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3.xml" ContentType="application/vnd.openxmlformats-officedocument.drawingml.chartshapes+xml"/>
  <Override PartName="/xl/drawings/drawing14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mithpittman/Documents/QSIA/"/>
    </mc:Choice>
  </mc:AlternateContent>
  <xr:revisionPtr revIDLastSave="0" documentId="13_ncr:1_{6DBEB2EB-1062-1D48-A519-1BED1169559B}" xr6:coauthVersionLast="47" xr6:coauthVersionMax="47" xr10:uidLastSave="{00000000-0000-0000-0000-000000000000}"/>
  <bookViews>
    <workbookView xWindow="0" yWindow="0" windowWidth="68800" windowHeight="28800" xr2:uid="{C981664A-3875-794C-AFFF-CF64554D5234}"/>
  </bookViews>
  <sheets>
    <sheet name="Variables" sheetId="73" r:id="rId1"/>
    <sheet name="PSI_EtOH" sheetId="63" r:id="rId2"/>
    <sheet name="PSI_OC" sheetId="55" r:id="rId3"/>
    <sheet name="PSI_PC" sheetId="76" r:id="rId4"/>
    <sheet name="PSI_Coal" sheetId="69" r:id="rId5"/>
    <sheet name="QSIA-EtOH" sheetId="67" r:id="rId6"/>
    <sheet name="QSIA-OC" sheetId="56" r:id="rId7"/>
    <sheet name="QSIA-PC" sheetId="78" r:id="rId8"/>
    <sheet name="QSIA-Coal" sheetId="70" r:id="rId9"/>
    <sheet name="Figures" sheetId="62" r:id="rId10"/>
    <sheet name="Sensitivity" sheetId="72" r:id="rId11"/>
    <sheet name="EtOH" sheetId="80" r:id="rId12"/>
    <sheet name="OCHC" sheetId="81" r:id="rId13"/>
    <sheet name="PCHC" sheetId="82" r:id="rId14"/>
    <sheet name="Coal" sheetId="83" r:id="rId15"/>
  </sheets>
  <externalReferences>
    <externalReference r:id="rId16"/>
  </externalReferences>
  <definedNames>
    <definedName name="_xleta.AVERAGE" hidden="1" xlm="1">#NAME?</definedName>
    <definedName name="_xleta.SUM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5" i="62" l="1"/>
  <c r="D11" i="62"/>
  <c r="D10" i="62"/>
  <c r="D9" i="62"/>
  <c r="D8" i="62"/>
  <c r="D6" i="62"/>
  <c r="D5" i="62"/>
  <c r="S2" i="83"/>
  <c r="S3" i="83"/>
  <c r="S4" i="83"/>
  <c r="S5" i="83"/>
  <c r="S6" i="83"/>
  <c r="S7" i="83"/>
  <c r="S8" i="83"/>
  <c r="S9" i="83"/>
  <c r="S10" i="83"/>
  <c r="S11" i="83"/>
  <c r="R3" i="83"/>
  <c r="R4" i="83"/>
  <c r="R5" i="83"/>
  <c r="R6" i="83"/>
  <c r="R7" i="83"/>
  <c r="R8" i="83"/>
  <c r="R9" i="83"/>
  <c r="R10" i="83"/>
  <c r="R11" i="83"/>
  <c r="R2" i="83"/>
  <c r="BE5" i="72"/>
  <c r="BF5" i="72"/>
  <c r="BE6" i="72"/>
  <c r="BF6" i="72"/>
  <c r="BE7" i="72"/>
  <c r="BF7" i="72"/>
  <c r="BE8" i="72"/>
  <c r="BF8" i="72"/>
  <c r="BE9" i="72"/>
  <c r="BF9" i="72"/>
  <c r="BE10" i="72"/>
  <c r="BF10" i="72"/>
  <c r="BE11" i="72"/>
  <c r="BF11" i="72"/>
  <c r="BE12" i="72"/>
  <c r="BF12" i="72"/>
  <c r="BE13" i="72"/>
  <c r="BF13" i="72"/>
  <c r="BE14" i="72"/>
  <c r="BF14" i="72"/>
  <c r="BE15" i="72"/>
  <c r="BF15" i="72"/>
  <c r="BE16" i="72"/>
  <c r="BF16" i="72"/>
  <c r="BE17" i="72"/>
  <c r="BF17" i="72"/>
  <c r="BE18" i="72"/>
  <c r="BF18" i="72"/>
  <c r="BE19" i="72"/>
  <c r="BF19" i="72"/>
  <c r="BE20" i="72"/>
  <c r="BF20" i="72"/>
  <c r="BE21" i="72"/>
  <c r="BF21" i="72"/>
  <c r="BE22" i="72"/>
  <c r="BF22" i="72"/>
  <c r="BE23" i="72"/>
  <c r="BF23" i="72"/>
  <c r="BE24" i="72"/>
  <c r="BF24" i="72"/>
  <c r="BE25" i="72"/>
  <c r="BF25" i="72"/>
  <c r="BE26" i="72"/>
  <c r="BF26" i="72"/>
  <c r="BE27" i="72"/>
  <c r="BF27" i="72"/>
  <c r="BE28" i="72"/>
  <c r="BF28" i="72"/>
  <c r="BE29" i="72"/>
  <c r="BF29" i="72"/>
  <c r="BE30" i="72"/>
  <c r="BF30" i="72"/>
  <c r="BE31" i="72"/>
  <c r="BF31" i="72"/>
  <c r="BE32" i="72"/>
  <c r="BF32" i="72"/>
  <c r="BE33" i="72"/>
  <c r="BF33" i="72"/>
  <c r="BE34" i="72"/>
  <c r="BF34" i="72"/>
  <c r="BE35" i="72"/>
  <c r="BF35" i="72"/>
  <c r="BE36" i="72"/>
  <c r="BF36" i="72"/>
  <c r="BE37" i="72"/>
  <c r="BF37" i="72"/>
  <c r="BE38" i="72"/>
  <c r="BF38" i="72"/>
  <c r="BE39" i="72"/>
  <c r="BF39" i="72"/>
  <c r="BE40" i="72"/>
  <c r="BF40" i="72"/>
  <c r="BE41" i="72"/>
  <c r="BF41" i="72"/>
  <c r="BE42" i="72"/>
  <c r="BF42" i="72"/>
  <c r="BE43" i="72"/>
  <c r="BF43" i="72"/>
  <c r="BE44" i="72"/>
  <c r="BF44" i="72"/>
  <c r="BE45" i="72"/>
  <c r="BF45" i="72"/>
  <c r="BE46" i="72"/>
  <c r="BF46" i="72"/>
  <c r="BE47" i="72"/>
  <c r="BF47" i="72"/>
  <c r="BE48" i="72"/>
  <c r="BF48" i="72"/>
  <c r="BE49" i="72"/>
  <c r="BF49" i="72"/>
  <c r="BE50" i="72"/>
  <c r="BF50" i="72"/>
  <c r="BE51" i="72"/>
  <c r="BF51" i="72"/>
  <c r="BE52" i="72"/>
  <c r="BF52" i="72"/>
  <c r="BE53" i="72"/>
  <c r="BF53" i="72"/>
  <c r="BE54" i="72"/>
  <c r="BF54" i="72"/>
  <c r="BE55" i="72"/>
  <c r="BF55" i="72"/>
  <c r="BE56" i="72"/>
  <c r="BF56" i="72"/>
  <c r="BE57" i="72"/>
  <c r="BF57" i="72"/>
  <c r="BE58" i="72"/>
  <c r="BF58" i="72"/>
  <c r="BE59" i="72"/>
  <c r="BF59" i="72"/>
  <c r="BE60" i="72"/>
  <c r="BF60" i="72"/>
  <c r="BE61" i="72"/>
  <c r="BF61" i="72"/>
  <c r="BE62" i="72"/>
  <c r="BF62" i="72"/>
  <c r="BE63" i="72"/>
  <c r="BF63" i="72"/>
  <c r="BE64" i="72"/>
  <c r="BF64" i="72"/>
  <c r="BE65" i="72"/>
  <c r="BF65" i="72"/>
  <c r="BE66" i="72"/>
  <c r="BF66" i="72"/>
  <c r="BE67" i="72"/>
  <c r="BF67" i="72"/>
  <c r="BE68" i="72"/>
  <c r="BF68" i="72"/>
  <c r="BE69" i="72"/>
  <c r="BF69" i="72"/>
  <c r="BE70" i="72"/>
  <c r="BF70" i="72"/>
  <c r="BE71" i="72"/>
  <c r="BF71" i="72"/>
  <c r="BE72" i="72"/>
  <c r="BF72" i="72"/>
  <c r="BE73" i="72"/>
  <c r="BF73" i="72"/>
  <c r="BF4" i="72"/>
  <c r="BE4" i="72"/>
  <c r="BD5" i="72"/>
  <c r="BD6" i="72"/>
  <c r="BD7" i="72"/>
  <c r="BD8" i="72"/>
  <c r="BD9" i="72"/>
  <c r="BD10" i="72"/>
  <c r="BD11" i="72"/>
  <c r="BD12" i="72"/>
  <c r="BD13" i="72"/>
  <c r="BD14" i="72"/>
  <c r="BD15" i="72"/>
  <c r="BD16" i="72"/>
  <c r="BD17" i="72"/>
  <c r="BD18" i="72"/>
  <c r="BD19" i="72"/>
  <c r="BD20" i="72"/>
  <c r="BD21" i="72"/>
  <c r="BD22" i="72"/>
  <c r="BD23" i="72"/>
  <c r="BD24" i="72"/>
  <c r="BD25" i="72"/>
  <c r="BD26" i="72"/>
  <c r="BD27" i="72"/>
  <c r="BD28" i="72"/>
  <c r="BD29" i="72"/>
  <c r="BD30" i="72"/>
  <c r="BD31" i="72"/>
  <c r="BD32" i="72"/>
  <c r="BD33" i="72"/>
  <c r="BD34" i="72"/>
  <c r="BD35" i="72"/>
  <c r="BD36" i="72"/>
  <c r="BD37" i="72"/>
  <c r="BD38" i="72"/>
  <c r="BD39" i="72"/>
  <c r="BD40" i="72"/>
  <c r="BD41" i="72"/>
  <c r="BD42" i="72"/>
  <c r="BD43" i="72"/>
  <c r="BD44" i="72"/>
  <c r="BD45" i="72"/>
  <c r="BD46" i="72"/>
  <c r="BD47" i="72"/>
  <c r="BD48" i="72"/>
  <c r="BD49" i="72"/>
  <c r="BD50" i="72"/>
  <c r="BD51" i="72"/>
  <c r="BD52" i="72"/>
  <c r="BD53" i="72"/>
  <c r="BD54" i="72"/>
  <c r="BD55" i="72"/>
  <c r="BD56" i="72"/>
  <c r="BD57" i="72"/>
  <c r="BD58" i="72"/>
  <c r="BD59" i="72"/>
  <c r="BD60" i="72"/>
  <c r="BD61" i="72"/>
  <c r="BD62" i="72"/>
  <c r="BD63" i="72"/>
  <c r="BD64" i="72"/>
  <c r="BD65" i="72"/>
  <c r="BD66" i="72"/>
  <c r="BD67" i="72"/>
  <c r="BD68" i="72"/>
  <c r="BD69" i="72"/>
  <c r="BD70" i="72"/>
  <c r="BD71" i="72"/>
  <c r="BD72" i="72"/>
  <c r="BD73" i="72"/>
  <c r="BD4" i="72"/>
  <c r="S20" i="82"/>
  <c r="R20" i="82"/>
  <c r="S19" i="82"/>
  <c r="R19" i="82"/>
  <c r="S18" i="82"/>
  <c r="R18" i="82"/>
  <c r="S17" i="82"/>
  <c r="R17" i="82"/>
  <c r="S16" i="82"/>
  <c r="R16" i="82"/>
  <c r="S15" i="82"/>
  <c r="R15" i="82"/>
  <c r="S14" i="82"/>
  <c r="R14" i="82"/>
  <c r="S13" i="82"/>
  <c r="R13" i="82"/>
  <c r="S12" i="82"/>
  <c r="R12" i="82"/>
  <c r="S11" i="82"/>
  <c r="R11" i="82"/>
  <c r="S10" i="82"/>
  <c r="R10" i="82"/>
  <c r="S9" i="82"/>
  <c r="R9" i="82"/>
  <c r="S8" i="82"/>
  <c r="R8" i="82"/>
  <c r="S7" i="82"/>
  <c r="R7" i="82"/>
  <c r="S6" i="82"/>
  <c r="R6" i="82"/>
  <c r="S5" i="82"/>
  <c r="R5" i="82"/>
  <c r="S4" i="82"/>
  <c r="R4" i="82"/>
  <c r="S3" i="82"/>
  <c r="R3" i="82"/>
  <c r="S2" i="82"/>
  <c r="R2" i="82"/>
  <c r="R14" i="81"/>
  <c r="S14" i="81"/>
  <c r="R15" i="81"/>
  <c r="S15" i="81"/>
  <c r="R16" i="81"/>
  <c r="S16" i="81"/>
  <c r="R17" i="81"/>
  <c r="S17" i="81"/>
  <c r="R18" i="81"/>
  <c r="S18" i="81"/>
  <c r="R19" i="81"/>
  <c r="S19" i="81"/>
  <c r="R20" i="81"/>
  <c r="S20" i="81"/>
  <c r="R21" i="81"/>
  <c r="S21" i="81"/>
  <c r="R22" i="81"/>
  <c r="S22" i="81"/>
  <c r="R23" i="81"/>
  <c r="S23" i="81"/>
  <c r="R24" i="81"/>
  <c r="S24" i="81"/>
  <c r="R25" i="81"/>
  <c r="S25" i="81"/>
  <c r="R26" i="81"/>
  <c r="S26" i="81"/>
  <c r="R27" i="81"/>
  <c r="S27" i="81"/>
  <c r="R28" i="81"/>
  <c r="S28" i="81"/>
  <c r="AW5" i="72" l="1"/>
  <c r="AX5" i="72"/>
  <c r="AW6" i="72"/>
  <c r="AX6" i="72"/>
  <c r="AW7" i="72"/>
  <c r="AX7" i="72"/>
  <c r="AW8" i="72"/>
  <c r="AX8" i="72"/>
  <c r="AW9" i="72"/>
  <c r="AX9" i="72"/>
  <c r="AW10" i="72"/>
  <c r="AX10" i="72"/>
  <c r="AW11" i="72"/>
  <c r="AX11" i="72"/>
  <c r="AW12" i="72"/>
  <c r="AX12" i="72"/>
  <c r="AW13" i="72"/>
  <c r="AX13" i="72"/>
  <c r="AW14" i="72"/>
  <c r="AX14" i="72"/>
  <c r="AW15" i="72"/>
  <c r="AX15" i="72"/>
  <c r="AW16" i="72"/>
  <c r="AX16" i="72"/>
  <c r="AW17" i="72"/>
  <c r="AX17" i="72"/>
  <c r="AW18" i="72"/>
  <c r="AX18" i="72"/>
  <c r="AW19" i="72"/>
  <c r="AX19" i="72"/>
  <c r="AW20" i="72"/>
  <c r="AX20" i="72"/>
  <c r="AW21" i="72"/>
  <c r="AX21" i="72"/>
  <c r="AW22" i="72"/>
  <c r="AX22" i="72"/>
  <c r="AW23" i="72"/>
  <c r="AX23" i="72"/>
  <c r="AW24" i="72"/>
  <c r="AX24" i="72"/>
  <c r="AW25" i="72"/>
  <c r="AX25" i="72"/>
  <c r="AW26" i="72"/>
  <c r="AX26" i="72"/>
  <c r="AW27" i="72"/>
  <c r="AX27" i="72"/>
  <c r="AW28" i="72"/>
  <c r="AX28" i="72"/>
  <c r="AW29" i="72"/>
  <c r="AX29" i="72"/>
  <c r="AW30" i="72"/>
  <c r="AX30" i="72"/>
  <c r="AW31" i="72"/>
  <c r="AX31" i="72"/>
  <c r="AW32" i="72"/>
  <c r="AX32" i="72"/>
  <c r="AW33" i="72"/>
  <c r="AX33" i="72"/>
  <c r="AW34" i="72"/>
  <c r="AX34" i="72"/>
  <c r="AW35" i="72"/>
  <c r="AX35" i="72"/>
  <c r="AW36" i="72"/>
  <c r="AX36" i="72"/>
  <c r="AW37" i="72"/>
  <c r="AX37" i="72"/>
  <c r="AW38" i="72"/>
  <c r="AX38" i="72"/>
  <c r="AW39" i="72"/>
  <c r="AX39" i="72"/>
  <c r="AW40" i="72"/>
  <c r="AX40" i="72"/>
  <c r="AW41" i="72"/>
  <c r="AX41" i="72"/>
  <c r="AW42" i="72"/>
  <c r="AX42" i="72"/>
  <c r="AW43" i="72"/>
  <c r="AX43" i="72"/>
  <c r="AW44" i="72"/>
  <c r="AX44" i="72"/>
  <c r="AW45" i="72"/>
  <c r="AX45" i="72"/>
  <c r="AW46" i="72"/>
  <c r="AX46" i="72"/>
  <c r="AW47" i="72"/>
  <c r="AX47" i="72"/>
  <c r="AW48" i="72"/>
  <c r="AX48" i="72"/>
  <c r="AW49" i="72"/>
  <c r="AX49" i="72"/>
  <c r="AW50" i="72"/>
  <c r="AX50" i="72"/>
  <c r="AW51" i="72"/>
  <c r="AX51" i="72"/>
  <c r="AW52" i="72"/>
  <c r="AX52" i="72"/>
  <c r="AW53" i="72"/>
  <c r="AX53" i="72"/>
  <c r="AW54" i="72"/>
  <c r="AX54" i="72"/>
  <c r="AW55" i="72"/>
  <c r="AX55" i="72"/>
  <c r="AW56" i="72"/>
  <c r="AX56" i="72"/>
  <c r="AW57" i="72"/>
  <c r="AX57" i="72"/>
  <c r="AW58" i="72"/>
  <c r="AX58" i="72"/>
  <c r="AW59" i="72"/>
  <c r="AX59" i="72"/>
  <c r="AW60" i="72"/>
  <c r="AX60" i="72"/>
  <c r="AW61" i="72"/>
  <c r="AX61" i="72"/>
  <c r="AW62" i="72"/>
  <c r="AX62" i="72"/>
  <c r="AW63" i="72"/>
  <c r="AX63" i="72"/>
  <c r="AW64" i="72"/>
  <c r="AX64" i="72"/>
  <c r="AW65" i="72"/>
  <c r="AX65" i="72"/>
  <c r="AW66" i="72"/>
  <c r="AX66" i="72"/>
  <c r="AW67" i="72"/>
  <c r="AX67" i="72"/>
  <c r="AW68" i="72"/>
  <c r="AX68" i="72"/>
  <c r="AW69" i="72"/>
  <c r="AX69" i="72"/>
  <c r="AW70" i="72"/>
  <c r="AX70" i="72"/>
  <c r="AW71" i="72"/>
  <c r="AX71" i="72"/>
  <c r="AW72" i="72"/>
  <c r="AX72" i="72"/>
  <c r="AW73" i="72"/>
  <c r="AX73" i="72"/>
  <c r="AX4" i="72"/>
  <c r="AW4" i="72"/>
  <c r="AO5" i="72"/>
  <c r="AP5" i="72"/>
  <c r="AO6" i="72"/>
  <c r="AP6" i="72"/>
  <c r="AO7" i="72"/>
  <c r="AP7" i="72"/>
  <c r="AO8" i="72"/>
  <c r="AP8" i="72"/>
  <c r="AO9" i="72"/>
  <c r="AP9" i="72"/>
  <c r="AO10" i="72"/>
  <c r="AP10" i="72"/>
  <c r="AO11" i="72"/>
  <c r="AP11" i="72"/>
  <c r="AO12" i="72"/>
  <c r="AP12" i="72"/>
  <c r="AO13" i="72"/>
  <c r="AP13" i="72"/>
  <c r="AO14" i="72"/>
  <c r="AP14" i="72"/>
  <c r="AO15" i="72"/>
  <c r="AP15" i="72"/>
  <c r="AO16" i="72"/>
  <c r="AP16" i="72"/>
  <c r="AO17" i="72"/>
  <c r="AP17" i="72"/>
  <c r="AO18" i="72"/>
  <c r="AP18" i="72"/>
  <c r="AO19" i="72"/>
  <c r="AP19" i="72"/>
  <c r="AO20" i="72"/>
  <c r="AP20" i="72"/>
  <c r="AO21" i="72"/>
  <c r="AP21" i="72"/>
  <c r="AO22" i="72"/>
  <c r="AP22" i="72"/>
  <c r="AO23" i="72"/>
  <c r="AP23" i="72"/>
  <c r="AO24" i="72"/>
  <c r="AP24" i="72"/>
  <c r="AO25" i="72"/>
  <c r="AP25" i="72"/>
  <c r="AO26" i="72"/>
  <c r="AP26" i="72"/>
  <c r="AO27" i="72"/>
  <c r="AP27" i="72"/>
  <c r="AO28" i="72"/>
  <c r="AP28" i="72"/>
  <c r="AO29" i="72"/>
  <c r="AP29" i="72"/>
  <c r="AO30" i="72"/>
  <c r="AP30" i="72"/>
  <c r="AO31" i="72"/>
  <c r="AP31" i="72"/>
  <c r="AO32" i="72"/>
  <c r="AP32" i="72"/>
  <c r="AO33" i="72"/>
  <c r="AP33" i="72"/>
  <c r="AO34" i="72"/>
  <c r="AP34" i="72"/>
  <c r="AO35" i="72"/>
  <c r="AP35" i="72"/>
  <c r="AO36" i="72"/>
  <c r="AP36" i="72"/>
  <c r="AO37" i="72"/>
  <c r="AP37" i="72"/>
  <c r="AO38" i="72"/>
  <c r="AP38" i="72"/>
  <c r="AO39" i="72"/>
  <c r="AP39" i="72"/>
  <c r="AO40" i="72"/>
  <c r="AP40" i="72"/>
  <c r="AO41" i="72"/>
  <c r="AP41" i="72"/>
  <c r="AO42" i="72"/>
  <c r="AP42" i="72"/>
  <c r="AO43" i="72"/>
  <c r="AP43" i="72"/>
  <c r="AO44" i="72"/>
  <c r="AP44" i="72"/>
  <c r="AO45" i="72"/>
  <c r="AP45" i="72"/>
  <c r="AO46" i="72"/>
  <c r="AP46" i="72"/>
  <c r="AO47" i="72"/>
  <c r="AP47" i="72"/>
  <c r="AO48" i="72"/>
  <c r="AP48" i="72"/>
  <c r="AO49" i="72"/>
  <c r="AP49" i="72"/>
  <c r="AO50" i="72"/>
  <c r="AP50" i="72"/>
  <c r="AO51" i="72"/>
  <c r="AP51" i="72"/>
  <c r="AO52" i="72"/>
  <c r="AP52" i="72"/>
  <c r="AO53" i="72"/>
  <c r="AP53" i="72"/>
  <c r="AO54" i="72"/>
  <c r="AP54" i="72"/>
  <c r="AO55" i="72"/>
  <c r="AP55" i="72"/>
  <c r="AO56" i="72"/>
  <c r="AP56" i="72"/>
  <c r="AO57" i="72"/>
  <c r="AP57" i="72"/>
  <c r="AO58" i="72"/>
  <c r="AP58" i="72"/>
  <c r="AO59" i="72"/>
  <c r="AP59" i="72"/>
  <c r="AO60" i="72"/>
  <c r="AP60" i="72"/>
  <c r="AO61" i="72"/>
  <c r="AP61" i="72"/>
  <c r="AO62" i="72"/>
  <c r="AP62" i="72"/>
  <c r="AO63" i="72"/>
  <c r="AP63" i="72"/>
  <c r="AO64" i="72"/>
  <c r="AP64" i="72"/>
  <c r="AO65" i="72"/>
  <c r="AP65" i="72"/>
  <c r="AO66" i="72"/>
  <c r="AP66" i="72"/>
  <c r="AO67" i="72"/>
  <c r="AP67" i="72"/>
  <c r="AO68" i="72"/>
  <c r="AP68" i="72"/>
  <c r="AO69" i="72"/>
  <c r="AP69" i="72"/>
  <c r="AO70" i="72"/>
  <c r="AP70" i="72"/>
  <c r="AO71" i="72"/>
  <c r="AP71" i="72"/>
  <c r="AO72" i="72"/>
  <c r="AP72" i="72"/>
  <c r="AO73" i="72"/>
  <c r="AP73" i="72"/>
  <c r="AP4" i="72"/>
  <c r="AO4" i="72"/>
  <c r="AN44" i="72"/>
  <c r="AN55" i="72"/>
  <c r="S13" i="81"/>
  <c r="R13" i="81"/>
  <c r="S12" i="81"/>
  <c r="R12" i="81"/>
  <c r="S11" i="81"/>
  <c r="R11" i="81"/>
  <c r="S10" i="81"/>
  <c r="R10" i="81"/>
  <c r="S9" i="81"/>
  <c r="R9" i="81"/>
  <c r="S8" i="81"/>
  <c r="R8" i="81"/>
  <c r="S7" i="81"/>
  <c r="R7" i="81"/>
  <c r="S6" i="81"/>
  <c r="R6" i="81"/>
  <c r="S5" i="81"/>
  <c r="R5" i="81"/>
  <c r="S4" i="81"/>
  <c r="R4" i="81"/>
  <c r="S3" i="81"/>
  <c r="R3" i="81"/>
  <c r="S2" i="81"/>
  <c r="R2" i="81"/>
  <c r="AG5" i="72"/>
  <c r="AH5" i="72"/>
  <c r="AG6" i="72"/>
  <c r="AH6" i="72"/>
  <c r="AG7" i="72"/>
  <c r="AH7" i="72"/>
  <c r="AG8" i="72"/>
  <c r="AH8" i="72"/>
  <c r="AG9" i="72"/>
  <c r="AH9" i="72"/>
  <c r="AG10" i="72"/>
  <c r="AH10" i="72"/>
  <c r="AG11" i="72"/>
  <c r="AH11" i="72"/>
  <c r="AG12" i="72"/>
  <c r="AH12" i="72"/>
  <c r="AG13" i="72"/>
  <c r="AH13" i="72"/>
  <c r="AG14" i="72"/>
  <c r="AH14" i="72"/>
  <c r="AG15" i="72"/>
  <c r="AH15" i="72"/>
  <c r="AG16" i="72"/>
  <c r="AH16" i="72"/>
  <c r="AG17" i="72"/>
  <c r="AH17" i="72"/>
  <c r="AG18" i="72"/>
  <c r="AH18" i="72"/>
  <c r="AG19" i="72"/>
  <c r="AH19" i="72"/>
  <c r="AG20" i="72"/>
  <c r="AH20" i="72"/>
  <c r="AG21" i="72"/>
  <c r="AH21" i="72"/>
  <c r="AG22" i="72"/>
  <c r="AH22" i="72"/>
  <c r="AG23" i="72"/>
  <c r="AH23" i="72"/>
  <c r="AG24" i="72"/>
  <c r="AH24" i="72"/>
  <c r="AG25" i="72"/>
  <c r="AH25" i="72"/>
  <c r="AG26" i="72"/>
  <c r="AH26" i="72"/>
  <c r="AG27" i="72"/>
  <c r="AH27" i="72"/>
  <c r="AG28" i="72"/>
  <c r="AH28" i="72"/>
  <c r="AG29" i="72"/>
  <c r="AH29" i="72"/>
  <c r="AG30" i="72"/>
  <c r="AH30" i="72"/>
  <c r="AG31" i="72"/>
  <c r="AH31" i="72"/>
  <c r="AG32" i="72"/>
  <c r="AH32" i="72"/>
  <c r="AG33" i="72"/>
  <c r="AH33" i="72"/>
  <c r="AG34" i="72"/>
  <c r="AH34" i="72"/>
  <c r="AG35" i="72"/>
  <c r="AH35" i="72"/>
  <c r="AG36" i="72"/>
  <c r="AH36" i="72"/>
  <c r="AG37" i="72"/>
  <c r="AH37" i="72"/>
  <c r="AG38" i="72"/>
  <c r="AH38" i="72"/>
  <c r="AG39" i="72"/>
  <c r="AH39" i="72"/>
  <c r="AG40" i="72"/>
  <c r="AH40" i="72"/>
  <c r="AG41" i="72"/>
  <c r="AH41" i="72"/>
  <c r="AG42" i="72"/>
  <c r="AH42" i="72"/>
  <c r="AG43" i="72"/>
  <c r="AH43" i="72"/>
  <c r="AG44" i="72"/>
  <c r="AH44" i="72"/>
  <c r="AG45" i="72"/>
  <c r="AH45" i="72"/>
  <c r="AG46" i="72"/>
  <c r="AH46" i="72"/>
  <c r="AG47" i="72"/>
  <c r="AH47" i="72"/>
  <c r="AG48" i="72"/>
  <c r="AH48" i="72"/>
  <c r="AG49" i="72"/>
  <c r="AH49" i="72"/>
  <c r="AG50" i="72"/>
  <c r="AH50" i="72"/>
  <c r="AG51" i="72"/>
  <c r="AH51" i="72"/>
  <c r="AG52" i="72"/>
  <c r="AH52" i="72"/>
  <c r="AG53" i="72"/>
  <c r="AH53" i="72"/>
  <c r="AG54" i="72"/>
  <c r="AH54" i="72"/>
  <c r="AG55" i="72"/>
  <c r="AH55" i="72"/>
  <c r="AG56" i="72"/>
  <c r="AH56" i="72"/>
  <c r="AG57" i="72"/>
  <c r="AH57" i="72"/>
  <c r="AG58" i="72"/>
  <c r="AH58" i="72"/>
  <c r="AG59" i="72"/>
  <c r="AH59" i="72"/>
  <c r="AG60" i="72"/>
  <c r="AH60" i="72"/>
  <c r="AG61" i="72"/>
  <c r="AH61" i="72"/>
  <c r="AG62" i="72"/>
  <c r="AH62" i="72"/>
  <c r="AG63" i="72"/>
  <c r="AH63" i="72"/>
  <c r="AG64" i="72"/>
  <c r="AH64" i="72"/>
  <c r="AG65" i="72"/>
  <c r="AH65" i="72"/>
  <c r="AG66" i="72"/>
  <c r="AH66" i="72"/>
  <c r="AG67" i="72"/>
  <c r="AH67" i="72"/>
  <c r="AG68" i="72"/>
  <c r="AH68" i="72"/>
  <c r="AG69" i="72"/>
  <c r="AH69" i="72"/>
  <c r="AG70" i="72"/>
  <c r="AH70" i="72"/>
  <c r="AG71" i="72"/>
  <c r="AH71" i="72"/>
  <c r="AG72" i="72"/>
  <c r="AH72" i="72"/>
  <c r="AG73" i="72"/>
  <c r="AH73" i="72"/>
  <c r="AH4" i="72"/>
  <c r="AG4" i="72"/>
  <c r="M16" i="80"/>
  <c r="N16" i="80"/>
  <c r="M17" i="80"/>
  <c r="N17" i="80"/>
  <c r="M18" i="80"/>
  <c r="N18" i="80"/>
  <c r="M19" i="80"/>
  <c r="N19" i="80"/>
  <c r="M20" i="80"/>
  <c r="N20" i="80"/>
  <c r="M21" i="80"/>
  <c r="N21" i="80"/>
  <c r="M22" i="80"/>
  <c r="N22" i="80"/>
  <c r="M23" i="80"/>
  <c r="N23" i="80"/>
  <c r="M24" i="80"/>
  <c r="N24" i="80"/>
  <c r="M25" i="80"/>
  <c r="N25" i="80"/>
  <c r="M26" i="80"/>
  <c r="N26" i="80"/>
  <c r="M27" i="80"/>
  <c r="N27" i="80"/>
  <c r="C61" i="70"/>
  <c r="C60" i="70"/>
  <c r="C66" i="56"/>
  <c r="C68" i="56"/>
  <c r="T12" i="72"/>
  <c r="AL12" i="72" s="1"/>
  <c r="W68" i="72"/>
  <c r="AE68" i="72" s="1"/>
  <c r="AF68" i="72" s="1"/>
  <c r="V68" i="72"/>
  <c r="BB68" i="72" s="1"/>
  <c r="S4" i="72"/>
  <c r="AD4" i="72" s="1"/>
  <c r="S44" i="72"/>
  <c r="AD44" i="72" s="1"/>
  <c r="S5" i="72"/>
  <c r="AD5" i="72" s="1"/>
  <c r="F4" i="73"/>
  <c r="S51" i="72"/>
  <c r="AD51" i="72" s="1"/>
  <c r="T4" i="72"/>
  <c r="AL4" i="72" s="1"/>
  <c r="T51" i="72"/>
  <c r="AL51" i="72" s="1"/>
  <c r="U51" i="72"/>
  <c r="AT51" i="72" s="1"/>
  <c r="V51" i="72"/>
  <c r="BB51" i="72" s="1"/>
  <c r="W51" i="72"/>
  <c r="AE51" i="72" s="1"/>
  <c r="AF51" i="72" s="1"/>
  <c r="X51" i="72"/>
  <c r="AM51" i="72" s="1"/>
  <c r="AN51" i="72" s="1"/>
  <c r="Y51" i="72"/>
  <c r="AU51" i="72" s="1"/>
  <c r="AV51" i="72" s="1"/>
  <c r="Z51" i="72"/>
  <c r="BC51" i="72" s="1"/>
  <c r="T52" i="72"/>
  <c r="AL52" i="72" s="1"/>
  <c r="U52" i="72"/>
  <c r="AT52" i="72" s="1"/>
  <c r="V52" i="72"/>
  <c r="BB52" i="72" s="1"/>
  <c r="W52" i="72"/>
  <c r="AE52" i="72" s="1"/>
  <c r="AF52" i="72" s="1"/>
  <c r="X52" i="72"/>
  <c r="AM52" i="72" s="1"/>
  <c r="AN52" i="72" s="1"/>
  <c r="Y52" i="72"/>
  <c r="AU52" i="72" s="1"/>
  <c r="AV52" i="72" s="1"/>
  <c r="Z52" i="72"/>
  <c r="BC52" i="72" s="1"/>
  <c r="T53" i="72"/>
  <c r="AL53" i="72" s="1"/>
  <c r="U53" i="72"/>
  <c r="AT53" i="72" s="1"/>
  <c r="V53" i="72"/>
  <c r="BB53" i="72" s="1"/>
  <c r="W53" i="72"/>
  <c r="AE53" i="72" s="1"/>
  <c r="AF53" i="72" s="1"/>
  <c r="X53" i="72"/>
  <c r="AM53" i="72" s="1"/>
  <c r="AN53" i="72" s="1"/>
  <c r="Y53" i="72"/>
  <c r="AU53" i="72" s="1"/>
  <c r="AV53" i="72" s="1"/>
  <c r="Z53" i="72"/>
  <c r="BC53" i="72" s="1"/>
  <c r="T54" i="72"/>
  <c r="AL54" i="72" s="1"/>
  <c r="U54" i="72"/>
  <c r="AT54" i="72" s="1"/>
  <c r="V54" i="72"/>
  <c r="BB54" i="72" s="1"/>
  <c r="W54" i="72"/>
  <c r="AE54" i="72" s="1"/>
  <c r="AF54" i="72" s="1"/>
  <c r="X54" i="72"/>
  <c r="AM54" i="72" s="1"/>
  <c r="AN54" i="72" s="1"/>
  <c r="Y54" i="72"/>
  <c r="AU54" i="72" s="1"/>
  <c r="AV54" i="72" s="1"/>
  <c r="Z54" i="72"/>
  <c r="BC54" i="72" s="1"/>
  <c r="T55" i="72"/>
  <c r="AL55" i="72" s="1"/>
  <c r="U55" i="72"/>
  <c r="AT55" i="72" s="1"/>
  <c r="V55" i="72"/>
  <c r="BB55" i="72" s="1"/>
  <c r="W55" i="72"/>
  <c r="AE55" i="72" s="1"/>
  <c r="AF55" i="72" s="1"/>
  <c r="X55" i="72"/>
  <c r="AM55" i="72" s="1"/>
  <c r="Y55" i="72"/>
  <c r="AU55" i="72" s="1"/>
  <c r="AV55" i="72" s="1"/>
  <c r="Z55" i="72"/>
  <c r="BC55" i="72" s="1"/>
  <c r="T56" i="72"/>
  <c r="AL56" i="72" s="1"/>
  <c r="U56" i="72"/>
  <c r="AT56" i="72" s="1"/>
  <c r="V56" i="72"/>
  <c r="BB56" i="72" s="1"/>
  <c r="W56" i="72"/>
  <c r="AE56" i="72" s="1"/>
  <c r="AF56" i="72" s="1"/>
  <c r="X56" i="72"/>
  <c r="AM56" i="72" s="1"/>
  <c r="AN56" i="72" s="1"/>
  <c r="Y56" i="72"/>
  <c r="AU56" i="72" s="1"/>
  <c r="AV56" i="72" s="1"/>
  <c r="Z56" i="72"/>
  <c r="BC56" i="72" s="1"/>
  <c r="T57" i="72"/>
  <c r="AL57" i="72" s="1"/>
  <c r="U57" i="72"/>
  <c r="AT57" i="72" s="1"/>
  <c r="V57" i="72"/>
  <c r="BB57" i="72" s="1"/>
  <c r="W57" i="72"/>
  <c r="AE57" i="72" s="1"/>
  <c r="AF57" i="72" s="1"/>
  <c r="X57" i="72"/>
  <c r="AM57" i="72" s="1"/>
  <c r="AN57" i="72" s="1"/>
  <c r="Y57" i="72"/>
  <c r="AU57" i="72" s="1"/>
  <c r="AV57" i="72" s="1"/>
  <c r="Z57" i="72"/>
  <c r="BC57" i="72" s="1"/>
  <c r="T58" i="72"/>
  <c r="AL58" i="72" s="1"/>
  <c r="U58" i="72"/>
  <c r="AT58" i="72" s="1"/>
  <c r="V58" i="72"/>
  <c r="BB58" i="72" s="1"/>
  <c r="W58" i="72"/>
  <c r="AE58" i="72" s="1"/>
  <c r="AF58" i="72" s="1"/>
  <c r="X58" i="72"/>
  <c r="AM58" i="72" s="1"/>
  <c r="AN58" i="72" s="1"/>
  <c r="Y58" i="72"/>
  <c r="AU58" i="72" s="1"/>
  <c r="AV58" i="72" s="1"/>
  <c r="Z58" i="72"/>
  <c r="BC58" i="72" s="1"/>
  <c r="T59" i="72"/>
  <c r="AL59" i="72" s="1"/>
  <c r="U59" i="72"/>
  <c r="AT59" i="72" s="1"/>
  <c r="V59" i="72"/>
  <c r="BB59" i="72" s="1"/>
  <c r="W59" i="72"/>
  <c r="AE59" i="72" s="1"/>
  <c r="AF59" i="72" s="1"/>
  <c r="X59" i="72"/>
  <c r="AM59" i="72" s="1"/>
  <c r="AN59" i="72" s="1"/>
  <c r="Y59" i="72"/>
  <c r="AU59" i="72" s="1"/>
  <c r="AV59" i="72" s="1"/>
  <c r="Z59" i="72"/>
  <c r="BC59" i="72" s="1"/>
  <c r="T60" i="72"/>
  <c r="AL60" i="72" s="1"/>
  <c r="U60" i="72"/>
  <c r="AT60" i="72" s="1"/>
  <c r="V60" i="72"/>
  <c r="BB60" i="72" s="1"/>
  <c r="W60" i="72"/>
  <c r="AE60" i="72" s="1"/>
  <c r="AF60" i="72" s="1"/>
  <c r="X60" i="72"/>
  <c r="AM60" i="72" s="1"/>
  <c r="AN60" i="72" s="1"/>
  <c r="Y60" i="72"/>
  <c r="AU60" i="72" s="1"/>
  <c r="AV60" i="72" s="1"/>
  <c r="Z60" i="72"/>
  <c r="BC60" i="72" s="1"/>
  <c r="T61" i="72"/>
  <c r="AL61" i="72" s="1"/>
  <c r="U61" i="72"/>
  <c r="AT61" i="72" s="1"/>
  <c r="V61" i="72"/>
  <c r="BB61" i="72" s="1"/>
  <c r="W61" i="72"/>
  <c r="AE61" i="72" s="1"/>
  <c r="AF61" i="72" s="1"/>
  <c r="X61" i="72"/>
  <c r="AM61" i="72" s="1"/>
  <c r="AN61" i="72" s="1"/>
  <c r="Y61" i="72"/>
  <c r="AU61" i="72" s="1"/>
  <c r="AV61" i="72" s="1"/>
  <c r="Z61" i="72"/>
  <c r="BC61" i="72" s="1"/>
  <c r="T62" i="72"/>
  <c r="AL62" i="72" s="1"/>
  <c r="U62" i="72"/>
  <c r="AT62" i="72" s="1"/>
  <c r="V62" i="72"/>
  <c r="BB62" i="72" s="1"/>
  <c r="W62" i="72"/>
  <c r="AE62" i="72" s="1"/>
  <c r="AF62" i="72" s="1"/>
  <c r="X62" i="72"/>
  <c r="AM62" i="72" s="1"/>
  <c r="AN62" i="72" s="1"/>
  <c r="Y62" i="72"/>
  <c r="AU62" i="72" s="1"/>
  <c r="AV62" i="72" s="1"/>
  <c r="Z62" i="72"/>
  <c r="BC62" i="72" s="1"/>
  <c r="T63" i="72"/>
  <c r="AL63" i="72" s="1"/>
  <c r="U63" i="72"/>
  <c r="AT63" i="72" s="1"/>
  <c r="V63" i="72"/>
  <c r="BB63" i="72" s="1"/>
  <c r="W63" i="72"/>
  <c r="AE63" i="72" s="1"/>
  <c r="AF63" i="72" s="1"/>
  <c r="X63" i="72"/>
  <c r="AM63" i="72" s="1"/>
  <c r="AN63" i="72" s="1"/>
  <c r="Y63" i="72"/>
  <c r="AU63" i="72" s="1"/>
  <c r="AV63" i="72" s="1"/>
  <c r="Z63" i="72"/>
  <c r="BC63" i="72" s="1"/>
  <c r="T64" i="72"/>
  <c r="AL64" i="72" s="1"/>
  <c r="U64" i="72"/>
  <c r="AT64" i="72" s="1"/>
  <c r="V64" i="72"/>
  <c r="BB64" i="72" s="1"/>
  <c r="W64" i="72"/>
  <c r="AE64" i="72" s="1"/>
  <c r="AF64" i="72" s="1"/>
  <c r="X64" i="72"/>
  <c r="AM64" i="72" s="1"/>
  <c r="AN64" i="72" s="1"/>
  <c r="Y64" i="72"/>
  <c r="AU64" i="72" s="1"/>
  <c r="AV64" i="72" s="1"/>
  <c r="Z64" i="72"/>
  <c r="BC64" i="72" s="1"/>
  <c r="T65" i="72"/>
  <c r="AL65" i="72" s="1"/>
  <c r="U65" i="72"/>
  <c r="AT65" i="72" s="1"/>
  <c r="V65" i="72"/>
  <c r="BB65" i="72" s="1"/>
  <c r="W65" i="72"/>
  <c r="AE65" i="72" s="1"/>
  <c r="AF65" i="72" s="1"/>
  <c r="X65" i="72"/>
  <c r="AM65" i="72" s="1"/>
  <c r="AN65" i="72" s="1"/>
  <c r="Y65" i="72"/>
  <c r="AU65" i="72" s="1"/>
  <c r="AV65" i="72" s="1"/>
  <c r="Z65" i="72"/>
  <c r="BC65" i="72" s="1"/>
  <c r="T66" i="72"/>
  <c r="AL66" i="72" s="1"/>
  <c r="U66" i="72"/>
  <c r="AT66" i="72" s="1"/>
  <c r="V66" i="72"/>
  <c r="BB66" i="72" s="1"/>
  <c r="W66" i="72"/>
  <c r="AE66" i="72" s="1"/>
  <c r="AF66" i="72" s="1"/>
  <c r="X66" i="72"/>
  <c r="AM66" i="72" s="1"/>
  <c r="AN66" i="72" s="1"/>
  <c r="Y66" i="72"/>
  <c r="AU66" i="72" s="1"/>
  <c r="AV66" i="72" s="1"/>
  <c r="Z66" i="72"/>
  <c r="BC66" i="72" s="1"/>
  <c r="T67" i="72"/>
  <c r="AL67" i="72" s="1"/>
  <c r="U67" i="72"/>
  <c r="AT67" i="72" s="1"/>
  <c r="V67" i="72"/>
  <c r="BB67" i="72" s="1"/>
  <c r="W67" i="72"/>
  <c r="AE67" i="72" s="1"/>
  <c r="AF67" i="72" s="1"/>
  <c r="X67" i="72"/>
  <c r="AM67" i="72" s="1"/>
  <c r="AN67" i="72" s="1"/>
  <c r="Y67" i="72"/>
  <c r="AU67" i="72" s="1"/>
  <c r="AV67" i="72" s="1"/>
  <c r="Z67" i="72"/>
  <c r="BC67" i="72" s="1"/>
  <c r="T68" i="72"/>
  <c r="AL68" i="72" s="1"/>
  <c r="U68" i="72"/>
  <c r="AT68" i="72" s="1"/>
  <c r="X68" i="72"/>
  <c r="AM68" i="72" s="1"/>
  <c r="AN68" i="72" s="1"/>
  <c r="Y68" i="72"/>
  <c r="AU68" i="72" s="1"/>
  <c r="AV68" i="72" s="1"/>
  <c r="Z68" i="72"/>
  <c r="BC68" i="72" s="1"/>
  <c r="T69" i="72"/>
  <c r="AL69" i="72" s="1"/>
  <c r="U69" i="72"/>
  <c r="AT69" i="72" s="1"/>
  <c r="V69" i="72"/>
  <c r="BB69" i="72" s="1"/>
  <c r="W69" i="72"/>
  <c r="AE69" i="72" s="1"/>
  <c r="AF69" i="72" s="1"/>
  <c r="X69" i="72"/>
  <c r="AM69" i="72" s="1"/>
  <c r="AN69" i="72" s="1"/>
  <c r="Y69" i="72"/>
  <c r="AU69" i="72" s="1"/>
  <c r="AV69" i="72" s="1"/>
  <c r="Z69" i="72"/>
  <c r="BC69" i="72" s="1"/>
  <c r="T70" i="72"/>
  <c r="AL70" i="72" s="1"/>
  <c r="U70" i="72"/>
  <c r="AT70" i="72" s="1"/>
  <c r="V70" i="72"/>
  <c r="BB70" i="72" s="1"/>
  <c r="W70" i="72"/>
  <c r="AE70" i="72" s="1"/>
  <c r="AF70" i="72" s="1"/>
  <c r="X70" i="72"/>
  <c r="AM70" i="72" s="1"/>
  <c r="AN70" i="72" s="1"/>
  <c r="Y70" i="72"/>
  <c r="AU70" i="72" s="1"/>
  <c r="AV70" i="72" s="1"/>
  <c r="Z70" i="72"/>
  <c r="BC70" i="72" s="1"/>
  <c r="S71" i="72"/>
  <c r="AD71" i="72" s="1"/>
  <c r="T71" i="72"/>
  <c r="AL71" i="72" s="1"/>
  <c r="U71" i="72"/>
  <c r="AT71" i="72" s="1"/>
  <c r="V71" i="72"/>
  <c r="BB71" i="72" s="1"/>
  <c r="W71" i="72"/>
  <c r="AE71" i="72" s="1"/>
  <c r="AF71" i="72" s="1"/>
  <c r="X71" i="72"/>
  <c r="AM71" i="72" s="1"/>
  <c r="AN71" i="72" s="1"/>
  <c r="Y71" i="72"/>
  <c r="AU71" i="72" s="1"/>
  <c r="AV71" i="72" s="1"/>
  <c r="Z71" i="72"/>
  <c r="BC71" i="72" s="1"/>
  <c r="S72" i="72"/>
  <c r="AD72" i="72" s="1"/>
  <c r="T72" i="72"/>
  <c r="AL72" i="72" s="1"/>
  <c r="U72" i="72"/>
  <c r="AT72" i="72" s="1"/>
  <c r="V72" i="72"/>
  <c r="BB72" i="72" s="1"/>
  <c r="W72" i="72"/>
  <c r="AE72" i="72" s="1"/>
  <c r="AF72" i="72" s="1"/>
  <c r="X72" i="72"/>
  <c r="AM72" i="72" s="1"/>
  <c r="AN72" i="72" s="1"/>
  <c r="Y72" i="72"/>
  <c r="AU72" i="72" s="1"/>
  <c r="AV72" i="72" s="1"/>
  <c r="Z72" i="72"/>
  <c r="BC72" i="72" s="1"/>
  <c r="S73" i="72"/>
  <c r="AD73" i="72" s="1"/>
  <c r="T73" i="72"/>
  <c r="AL73" i="72" s="1"/>
  <c r="U73" i="72"/>
  <c r="AT73" i="72" s="1"/>
  <c r="V73" i="72"/>
  <c r="BB73" i="72" s="1"/>
  <c r="W73" i="72"/>
  <c r="AE73" i="72" s="1"/>
  <c r="AF73" i="72" s="1"/>
  <c r="X73" i="72"/>
  <c r="AM73" i="72" s="1"/>
  <c r="AN73" i="72" s="1"/>
  <c r="Y73" i="72"/>
  <c r="AU73" i="72" s="1"/>
  <c r="AV73" i="72" s="1"/>
  <c r="Z73" i="72"/>
  <c r="BC73" i="72" s="1"/>
  <c r="S24" i="72"/>
  <c r="AD24" i="72" s="1"/>
  <c r="T24" i="72"/>
  <c r="AL24" i="72" s="1"/>
  <c r="U24" i="72"/>
  <c r="AT24" i="72" s="1"/>
  <c r="V24" i="72"/>
  <c r="BB24" i="72" s="1"/>
  <c r="W24" i="72"/>
  <c r="AE24" i="72" s="1"/>
  <c r="AF24" i="72" s="1"/>
  <c r="X24" i="72"/>
  <c r="AM24" i="72" s="1"/>
  <c r="AN24" i="72" s="1"/>
  <c r="Y24" i="72"/>
  <c r="AU24" i="72" s="1"/>
  <c r="AV24" i="72" s="1"/>
  <c r="Z24" i="72"/>
  <c r="BC24" i="72" s="1"/>
  <c r="S25" i="72"/>
  <c r="AD25" i="72" s="1"/>
  <c r="T25" i="72"/>
  <c r="AL25" i="72" s="1"/>
  <c r="U25" i="72"/>
  <c r="AT25" i="72" s="1"/>
  <c r="V25" i="72"/>
  <c r="BB25" i="72" s="1"/>
  <c r="W25" i="72"/>
  <c r="AE25" i="72" s="1"/>
  <c r="AF25" i="72" s="1"/>
  <c r="X25" i="72"/>
  <c r="AM25" i="72" s="1"/>
  <c r="AN25" i="72" s="1"/>
  <c r="Y25" i="72"/>
  <c r="AU25" i="72" s="1"/>
  <c r="AV25" i="72" s="1"/>
  <c r="Z25" i="72"/>
  <c r="BC25" i="72" s="1"/>
  <c r="S26" i="72"/>
  <c r="AD26" i="72" s="1"/>
  <c r="T26" i="72"/>
  <c r="AL26" i="72" s="1"/>
  <c r="U26" i="72"/>
  <c r="AT26" i="72" s="1"/>
  <c r="V26" i="72"/>
  <c r="BB26" i="72" s="1"/>
  <c r="W26" i="72"/>
  <c r="AE26" i="72" s="1"/>
  <c r="AF26" i="72" s="1"/>
  <c r="X26" i="72"/>
  <c r="AM26" i="72" s="1"/>
  <c r="AN26" i="72" s="1"/>
  <c r="Y26" i="72"/>
  <c r="AU26" i="72" s="1"/>
  <c r="AV26" i="72" s="1"/>
  <c r="Z26" i="72"/>
  <c r="BC26" i="72" s="1"/>
  <c r="S27" i="72"/>
  <c r="AD27" i="72" s="1"/>
  <c r="T27" i="72"/>
  <c r="AL27" i="72" s="1"/>
  <c r="U27" i="72"/>
  <c r="AT27" i="72" s="1"/>
  <c r="V27" i="72"/>
  <c r="BB27" i="72" s="1"/>
  <c r="W27" i="72"/>
  <c r="AE27" i="72" s="1"/>
  <c r="AF27" i="72" s="1"/>
  <c r="X27" i="72"/>
  <c r="AM27" i="72" s="1"/>
  <c r="AN27" i="72" s="1"/>
  <c r="Y27" i="72"/>
  <c r="AU27" i="72" s="1"/>
  <c r="AV27" i="72" s="1"/>
  <c r="Z27" i="72"/>
  <c r="BC27" i="72" s="1"/>
  <c r="S28" i="72"/>
  <c r="AD28" i="72" s="1"/>
  <c r="T28" i="72"/>
  <c r="AL28" i="72" s="1"/>
  <c r="U28" i="72"/>
  <c r="AT28" i="72" s="1"/>
  <c r="V28" i="72"/>
  <c r="BB28" i="72" s="1"/>
  <c r="W28" i="72"/>
  <c r="AE28" i="72" s="1"/>
  <c r="AF28" i="72" s="1"/>
  <c r="X28" i="72"/>
  <c r="AM28" i="72" s="1"/>
  <c r="AN28" i="72" s="1"/>
  <c r="Y28" i="72"/>
  <c r="AU28" i="72" s="1"/>
  <c r="AV28" i="72" s="1"/>
  <c r="Z28" i="72"/>
  <c r="BC28" i="72" s="1"/>
  <c r="S29" i="72"/>
  <c r="AD29" i="72" s="1"/>
  <c r="T29" i="72"/>
  <c r="AL29" i="72" s="1"/>
  <c r="U29" i="72"/>
  <c r="AT29" i="72" s="1"/>
  <c r="V29" i="72"/>
  <c r="BB29" i="72" s="1"/>
  <c r="W29" i="72"/>
  <c r="AE29" i="72" s="1"/>
  <c r="AF29" i="72" s="1"/>
  <c r="X29" i="72"/>
  <c r="AM29" i="72" s="1"/>
  <c r="AN29" i="72" s="1"/>
  <c r="Y29" i="72"/>
  <c r="AU29" i="72" s="1"/>
  <c r="AV29" i="72" s="1"/>
  <c r="Z29" i="72"/>
  <c r="BC29" i="72" s="1"/>
  <c r="S30" i="72"/>
  <c r="AD30" i="72" s="1"/>
  <c r="T30" i="72"/>
  <c r="AL30" i="72" s="1"/>
  <c r="U30" i="72"/>
  <c r="AT30" i="72" s="1"/>
  <c r="V30" i="72"/>
  <c r="BB30" i="72" s="1"/>
  <c r="W30" i="72"/>
  <c r="AE30" i="72" s="1"/>
  <c r="AF30" i="72" s="1"/>
  <c r="X30" i="72"/>
  <c r="AM30" i="72" s="1"/>
  <c r="AN30" i="72" s="1"/>
  <c r="Y30" i="72"/>
  <c r="AU30" i="72" s="1"/>
  <c r="AV30" i="72" s="1"/>
  <c r="Z30" i="72"/>
  <c r="BC30" i="72" s="1"/>
  <c r="S31" i="72"/>
  <c r="AD31" i="72" s="1"/>
  <c r="T31" i="72"/>
  <c r="AL31" i="72" s="1"/>
  <c r="U31" i="72"/>
  <c r="AT31" i="72" s="1"/>
  <c r="V31" i="72"/>
  <c r="BB31" i="72" s="1"/>
  <c r="W31" i="72"/>
  <c r="AE31" i="72" s="1"/>
  <c r="AF31" i="72" s="1"/>
  <c r="X31" i="72"/>
  <c r="AM31" i="72" s="1"/>
  <c r="AN31" i="72" s="1"/>
  <c r="Y31" i="72"/>
  <c r="AU31" i="72" s="1"/>
  <c r="AV31" i="72" s="1"/>
  <c r="Z31" i="72"/>
  <c r="BC31" i="72" s="1"/>
  <c r="S32" i="72"/>
  <c r="AD32" i="72" s="1"/>
  <c r="T32" i="72"/>
  <c r="AL32" i="72" s="1"/>
  <c r="U32" i="72"/>
  <c r="AT32" i="72" s="1"/>
  <c r="V32" i="72"/>
  <c r="BB32" i="72" s="1"/>
  <c r="W32" i="72"/>
  <c r="AE32" i="72" s="1"/>
  <c r="AF32" i="72" s="1"/>
  <c r="X32" i="72"/>
  <c r="AM32" i="72" s="1"/>
  <c r="AN32" i="72" s="1"/>
  <c r="Y32" i="72"/>
  <c r="AU32" i="72" s="1"/>
  <c r="AV32" i="72" s="1"/>
  <c r="Z32" i="72"/>
  <c r="BC32" i="72" s="1"/>
  <c r="S33" i="72"/>
  <c r="AD33" i="72" s="1"/>
  <c r="T33" i="72"/>
  <c r="AL33" i="72" s="1"/>
  <c r="U33" i="72"/>
  <c r="AT33" i="72" s="1"/>
  <c r="V33" i="72"/>
  <c r="BB33" i="72" s="1"/>
  <c r="W33" i="72"/>
  <c r="AE33" i="72" s="1"/>
  <c r="AF33" i="72" s="1"/>
  <c r="X33" i="72"/>
  <c r="AM33" i="72" s="1"/>
  <c r="AN33" i="72" s="1"/>
  <c r="Y33" i="72"/>
  <c r="AU33" i="72" s="1"/>
  <c r="AV33" i="72" s="1"/>
  <c r="Z33" i="72"/>
  <c r="BC33" i="72" s="1"/>
  <c r="S34" i="72"/>
  <c r="AD34" i="72" s="1"/>
  <c r="T34" i="72"/>
  <c r="AL34" i="72" s="1"/>
  <c r="U34" i="72"/>
  <c r="AT34" i="72" s="1"/>
  <c r="V34" i="72"/>
  <c r="BB34" i="72" s="1"/>
  <c r="W34" i="72"/>
  <c r="AE34" i="72" s="1"/>
  <c r="AF34" i="72" s="1"/>
  <c r="X34" i="72"/>
  <c r="AM34" i="72" s="1"/>
  <c r="AN34" i="72" s="1"/>
  <c r="Y34" i="72"/>
  <c r="AU34" i="72" s="1"/>
  <c r="AV34" i="72" s="1"/>
  <c r="Z34" i="72"/>
  <c r="BC34" i="72" s="1"/>
  <c r="S35" i="72"/>
  <c r="AD35" i="72" s="1"/>
  <c r="T35" i="72"/>
  <c r="AL35" i="72" s="1"/>
  <c r="U35" i="72"/>
  <c r="AT35" i="72" s="1"/>
  <c r="V35" i="72"/>
  <c r="BB35" i="72" s="1"/>
  <c r="W35" i="72"/>
  <c r="AE35" i="72" s="1"/>
  <c r="AF35" i="72" s="1"/>
  <c r="X35" i="72"/>
  <c r="AM35" i="72" s="1"/>
  <c r="AN35" i="72" s="1"/>
  <c r="Y35" i="72"/>
  <c r="AU35" i="72" s="1"/>
  <c r="AV35" i="72" s="1"/>
  <c r="Z35" i="72"/>
  <c r="BC35" i="72" s="1"/>
  <c r="S36" i="72"/>
  <c r="AD36" i="72" s="1"/>
  <c r="T36" i="72"/>
  <c r="AL36" i="72" s="1"/>
  <c r="U36" i="72"/>
  <c r="AT36" i="72" s="1"/>
  <c r="V36" i="72"/>
  <c r="BB36" i="72" s="1"/>
  <c r="W36" i="72"/>
  <c r="AE36" i="72" s="1"/>
  <c r="AF36" i="72" s="1"/>
  <c r="X36" i="72"/>
  <c r="AM36" i="72" s="1"/>
  <c r="AN36" i="72" s="1"/>
  <c r="Y36" i="72"/>
  <c r="AU36" i="72" s="1"/>
  <c r="AV36" i="72" s="1"/>
  <c r="Z36" i="72"/>
  <c r="BC36" i="72" s="1"/>
  <c r="S37" i="72"/>
  <c r="AD37" i="72" s="1"/>
  <c r="T37" i="72"/>
  <c r="AL37" i="72" s="1"/>
  <c r="U37" i="72"/>
  <c r="AT37" i="72" s="1"/>
  <c r="V37" i="72"/>
  <c r="BB37" i="72" s="1"/>
  <c r="W37" i="72"/>
  <c r="AE37" i="72" s="1"/>
  <c r="AF37" i="72" s="1"/>
  <c r="X37" i="72"/>
  <c r="AM37" i="72" s="1"/>
  <c r="AN37" i="72" s="1"/>
  <c r="Y37" i="72"/>
  <c r="AU37" i="72" s="1"/>
  <c r="AV37" i="72" s="1"/>
  <c r="Z37" i="72"/>
  <c r="BC37" i="72" s="1"/>
  <c r="S38" i="72"/>
  <c r="AD38" i="72" s="1"/>
  <c r="T38" i="72"/>
  <c r="AL38" i="72" s="1"/>
  <c r="U38" i="72"/>
  <c r="AT38" i="72" s="1"/>
  <c r="V38" i="72"/>
  <c r="BB38" i="72" s="1"/>
  <c r="W38" i="72"/>
  <c r="AE38" i="72" s="1"/>
  <c r="AF38" i="72" s="1"/>
  <c r="X38" i="72"/>
  <c r="AM38" i="72" s="1"/>
  <c r="AN38" i="72" s="1"/>
  <c r="Y38" i="72"/>
  <c r="AU38" i="72" s="1"/>
  <c r="AV38" i="72" s="1"/>
  <c r="Z38" i="72"/>
  <c r="BC38" i="72" s="1"/>
  <c r="S39" i="72"/>
  <c r="AD39" i="72" s="1"/>
  <c r="T39" i="72"/>
  <c r="AL39" i="72" s="1"/>
  <c r="U39" i="72"/>
  <c r="AT39" i="72" s="1"/>
  <c r="V39" i="72"/>
  <c r="BB39" i="72" s="1"/>
  <c r="W39" i="72"/>
  <c r="AE39" i="72" s="1"/>
  <c r="AF39" i="72" s="1"/>
  <c r="X39" i="72"/>
  <c r="AM39" i="72" s="1"/>
  <c r="AN39" i="72" s="1"/>
  <c r="Y39" i="72"/>
  <c r="AU39" i="72" s="1"/>
  <c r="AV39" i="72" s="1"/>
  <c r="Z39" i="72"/>
  <c r="BC39" i="72" s="1"/>
  <c r="S40" i="72"/>
  <c r="AD40" i="72" s="1"/>
  <c r="T40" i="72"/>
  <c r="AL40" i="72" s="1"/>
  <c r="U40" i="72"/>
  <c r="AT40" i="72" s="1"/>
  <c r="V40" i="72"/>
  <c r="BB40" i="72" s="1"/>
  <c r="W40" i="72"/>
  <c r="AE40" i="72" s="1"/>
  <c r="AF40" i="72" s="1"/>
  <c r="X40" i="72"/>
  <c r="AM40" i="72" s="1"/>
  <c r="AN40" i="72" s="1"/>
  <c r="Y40" i="72"/>
  <c r="AU40" i="72" s="1"/>
  <c r="AV40" i="72" s="1"/>
  <c r="Z40" i="72"/>
  <c r="BC40" i="72" s="1"/>
  <c r="S41" i="72"/>
  <c r="AD41" i="72" s="1"/>
  <c r="T41" i="72"/>
  <c r="AL41" i="72" s="1"/>
  <c r="U41" i="72"/>
  <c r="AT41" i="72" s="1"/>
  <c r="V41" i="72"/>
  <c r="BB41" i="72" s="1"/>
  <c r="W41" i="72"/>
  <c r="AE41" i="72" s="1"/>
  <c r="AF41" i="72" s="1"/>
  <c r="X41" i="72"/>
  <c r="AM41" i="72" s="1"/>
  <c r="AN41" i="72" s="1"/>
  <c r="Y41" i="72"/>
  <c r="AU41" i="72" s="1"/>
  <c r="AV41" i="72" s="1"/>
  <c r="Z41" i="72"/>
  <c r="BC41" i="72" s="1"/>
  <c r="S42" i="72"/>
  <c r="AD42" i="72" s="1"/>
  <c r="T42" i="72"/>
  <c r="AL42" i="72" s="1"/>
  <c r="U42" i="72"/>
  <c r="AT42" i="72" s="1"/>
  <c r="V42" i="72"/>
  <c r="BB42" i="72" s="1"/>
  <c r="W42" i="72"/>
  <c r="AE42" i="72" s="1"/>
  <c r="AF42" i="72" s="1"/>
  <c r="X42" i="72"/>
  <c r="AM42" i="72" s="1"/>
  <c r="AN42" i="72" s="1"/>
  <c r="Y42" i="72"/>
  <c r="AU42" i="72" s="1"/>
  <c r="AV42" i="72" s="1"/>
  <c r="Z42" i="72"/>
  <c r="BC42" i="72" s="1"/>
  <c r="S43" i="72"/>
  <c r="AD43" i="72" s="1"/>
  <c r="T43" i="72"/>
  <c r="AL43" i="72" s="1"/>
  <c r="U43" i="72"/>
  <c r="AT43" i="72" s="1"/>
  <c r="V43" i="72"/>
  <c r="BB43" i="72" s="1"/>
  <c r="W43" i="72"/>
  <c r="AE43" i="72" s="1"/>
  <c r="AF43" i="72" s="1"/>
  <c r="X43" i="72"/>
  <c r="AM43" i="72" s="1"/>
  <c r="AN43" i="72" s="1"/>
  <c r="Y43" i="72"/>
  <c r="AU43" i="72" s="1"/>
  <c r="AV43" i="72" s="1"/>
  <c r="Z43" i="72"/>
  <c r="BC43" i="72" s="1"/>
  <c r="T44" i="72"/>
  <c r="AL44" i="72" s="1"/>
  <c r="U44" i="72"/>
  <c r="AT44" i="72" s="1"/>
  <c r="V44" i="72"/>
  <c r="BB44" i="72" s="1"/>
  <c r="W44" i="72"/>
  <c r="AE44" i="72" s="1"/>
  <c r="AF44" i="72" s="1"/>
  <c r="X44" i="72"/>
  <c r="AM44" i="72" s="1"/>
  <c r="Y44" i="72"/>
  <c r="AU44" i="72" s="1"/>
  <c r="AV44" i="72" s="1"/>
  <c r="Z44" i="72"/>
  <c r="BC44" i="72" s="1"/>
  <c r="S45" i="72"/>
  <c r="AD45" i="72" s="1"/>
  <c r="T45" i="72"/>
  <c r="AL45" i="72" s="1"/>
  <c r="U45" i="72"/>
  <c r="AT45" i="72" s="1"/>
  <c r="V45" i="72"/>
  <c r="BB45" i="72" s="1"/>
  <c r="W45" i="72"/>
  <c r="AE45" i="72" s="1"/>
  <c r="AF45" i="72" s="1"/>
  <c r="X45" i="72"/>
  <c r="AM45" i="72" s="1"/>
  <c r="AN45" i="72" s="1"/>
  <c r="Y45" i="72"/>
  <c r="AU45" i="72" s="1"/>
  <c r="AV45" i="72" s="1"/>
  <c r="Z45" i="72"/>
  <c r="BC45" i="72" s="1"/>
  <c r="S46" i="72"/>
  <c r="AD46" i="72" s="1"/>
  <c r="T46" i="72"/>
  <c r="AL46" i="72" s="1"/>
  <c r="U46" i="72"/>
  <c r="AT46" i="72" s="1"/>
  <c r="V46" i="72"/>
  <c r="BB46" i="72" s="1"/>
  <c r="W46" i="72"/>
  <c r="AE46" i="72" s="1"/>
  <c r="AF46" i="72" s="1"/>
  <c r="X46" i="72"/>
  <c r="AM46" i="72" s="1"/>
  <c r="AN46" i="72" s="1"/>
  <c r="Y46" i="72"/>
  <c r="AU46" i="72" s="1"/>
  <c r="AV46" i="72" s="1"/>
  <c r="Z46" i="72"/>
  <c r="BC46" i="72" s="1"/>
  <c r="S47" i="72"/>
  <c r="AD47" i="72" s="1"/>
  <c r="T47" i="72"/>
  <c r="AL47" i="72" s="1"/>
  <c r="U47" i="72"/>
  <c r="AT47" i="72" s="1"/>
  <c r="V47" i="72"/>
  <c r="BB47" i="72" s="1"/>
  <c r="W47" i="72"/>
  <c r="AE47" i="72" s="1"/>
  <c r="AF47" i="72" s="1"/>
  <c r="X47" i="72"/>
  <c r="AM47" i="72" s="1"/>
  <c r="AN47" i="72" s="1"/>
  <c r="Y47" i="72"/>
  <c r="AU47" i="72" s="1"/>
  <c r="AV47" i="72" s="1"/>
  <c r="Z47" i="72"/>
  <c r="BC47" i="72" s="1"/>
  <c r="S48" i="72"/>
  <c r="AD48" i="72" s="1"/>
  <c r="T48" i="72"/>
  <c r="AL48" i="72" s="1"/>
  <c r="U48" i="72"/>
  <c r="AT48" i="72" s="1"/>
  <c r="V48" i="72"/>
  <c r="BB48" i="72" s="1"/>
  <c r="W48" i="72"/>
  <c r="AE48" i="72" s="1"/>
  <c r="AF48" i="72" s="1"/>
  <c r="X48" i="72"/>
  <c r="AM48" i="72" s="1"/>
  <c r="AN48" i="72" s="1"/>
  <c r="Y48" i="72"/>
  <c r="AU48" i="72" s="1"/>
  <c r="AV48" i="72" s="1"/>
  <c r="Z48" i="72"/>
  <c r="BC48" i="72" s="1"/>
  <c r="S49" i="72"/>
  <c r="AD49" i="72" s="1"/>
  <c r="T49" i="72"/>
  <c r="AL49" i="72" s="1"/>
  <c r="U49" i="72"/>
  <c r="AT49" i="72" s="1"/>
  <c r="V49" i="72"/>
  <c r="BB49" i="72" s="1"/>
  <c r="W49" i="72"/>
  <c r="AE49" i="72" s="1"/>
  <c r="AF49" i="72" s="1"/>
  <c r="X49" i="72"/>
  <c r="AM49" i="72" s="1"/>
  <c r="AN49" i="72" s="1"/>
  <c r="Y49" i="72"/>
  <c r="AU49" i="72" s="1"/>
  <c r="AV49" i="72" s="1"/>
  <c r="Z49" i="72"/>
  <c r="BC49" i="72" s="1"/>
  <c r="S50" i="72"/>
  <c r="AD50" i="72" s="1"/>
  <c r="T50" i="72"/>
  <c r="AL50" i="72" s="1"/>
  <c r="U50" i="72"/>
  <c r="AT50" i="72" s="1"/>
  <c r="V50" i="72"/>
  <c r="BB50" i="72" s="1"/>
  <c r="W50" i="72"/>
  <c r="AE50" i="72" s="1"/>
  <c r="AF50" i="72" s="1"/>
  <c r="X50" i="72"/>
  <c r="AM50" i="72" s="1"/>
  <c r="AN50" i="72" s="1"/>
  <c r="Y50" i="72"/>
  <c r="AU50" i="72" s="1"/>
  <c r="AV50" i="72" s="1"/>
  <c r="Z50" i="72"/>
  <c r="BC50" i="72" s="1"/>
  <c r="T5" i="72"/>
  <c r="AL5" i="72" s="1"/>
  <c r="U5" i="72"/>
  <c r="AT5" i="72" s="1"/>
  <c r="V5" i="72"/>
  <c r="BB5" i="72" s="1"/>
  <c r="W5" i="72"/>
  <c r="AE5" i="72" s="1"/>
  <c r="AF5" i="72" s="1"/>
  <c r="X5" i="72"/>
  <c r="AM5" i="72" s="1"/>
  <c r="AN5" i="72" s="1"/>
  <c r="Y5" i="72"/>
  <c r="AU5" i="72" s="1"/>
  <c r="AV5" i="72" s="1"/>
  <c r="Z5" i="72"/>
  <c r="BC5" i="72" s="1"/>
  <c r="S6" i="72"/>
  <c r="AD6" i="72" s="1"/>
  <c r="T6" i="72"/>
  <c r="AL6" i="72" s="1"/>
  <c r="U6" i="72"/>
  <c r="AT6" i="72" s="1"/>
  <c r="V6" i="72"/>
  <c r="BB6" i="72" s="1"/>
  <c r="W6" i="72"/>
  <c r="AE6" i="72" s="1"/>
  <c r="AF6" i="72" s="1"/>
  <c r="X6" i="72"/>
  <c r="AM6" i="72" s="1"/>
  <c r="AN6" i="72" s="1"/>
  <c r="Y6" i="72"/>
  <c r="AU6" i="72" s="1"/>
  <c r="AV6" i="72" s="1"/>
  <c r="Z6" i="72"/>
  <c r="BC6" i="72" s="1"/>
  <c r="S7" i="72"/>
  <c r="AD7" i="72" s="1"/>
  <c r="T7" i="72"/>
  <c r="AL7" i="72" s="1"/>
  <c r="U7" i="72"/>
  <c r="AT7" i="72" s="1"/>
  <c r="V7" i="72"/>
  <c r="BB7" i="72" s="1"/>
  <c r="W7" i="72"/>
  <c r="AE7" i="72" s="1"/>
  <c r="AF7" i="72" s="1"/>
  <c r="X7" i="72"/>
  <c r="AM7" i="72" s="1"/>
  <c r="AN7" i="72" s="1"/>
  <c r="Y7" i="72"/>
  <c r="AU7" i="72" s="1"/>
  <c r="AV7" i="72" s="1"/>
  <c r="Z7" i="72"/>
  <c r="BC7" i="72" s="1"/>
  <c r="S8" i="72"/>
  <c r="AD8" i="72" s="1"/>
  <c r="T8" i="72"/>
  <c r="AL8" i="72" s="1"/>
  <c r="U8" i="72"/>
  <c r="AT8" i="72" s="1"/>
  <c r="V8" i="72"/>
  <c r="BB8" i="72" s="1"/>
  <c r="W8" i="72"/>
  <c r="AE8" i="72" s="1"/>
  <c r="AF8" i="72" s="1"/>
  <c r="X8" i="72"/>
  <c r="AM8" i="72" s="1"/>
  <c r="AN8" i="72" s="1"/>
  <c r="Y8" i="72"/>
  <c r="AU8" i="72" s="1"/>
  <c r="AV8" i="72" s="1"/>
  <c r="Z8" i="72"/>
  <c r="BC8" i="72" s="1"/>
  <c r="S9" i="72"/>
  <c r="AD9" i="72" s="1"/>
  <c r="T9" i="72"/>
  <c r="AL9" i="72" s="1"/>
  <c r="U9" i="72"/>
  <c r="AT9" i="72" s="1"/>
  <c r="V9" i="72"/>
  <c r="BB9" i="72" s="1"/>
  <c r="W9" i="72"/>
  <c r="AE9" i="72" s="1"/>
  <c r="AF9" i="72" s="1"/>
  <c r="X9" i="72"/>
  <c r="AM9" i="72" s="1"/>
  <c r="AN9" i="72" s="1"/>
  <c r="Y9" i="72"/>
  <c r="AU9" i="72" s="1"/>
  <c r="AV9" i="72" s="1"/>
  <c r="Z9" i="72"/>
  <c r="BC9" i="72" s="1"/>
  <c r="S10" i="72"/>
  <c r="AD10" i="72" s="1"/>
  <c r="T10" i="72"/>
  <c r="AL10" i="72" s="1"/>
  <c r="U10" i="72"/>
  <c r="AT10" i="72" s="1"/>
  <c r="V10" i="72"/>
  <c r="BB10" i="72" s="1"/>
  <c r="W10" i="72"/>
  <c r="AE10" i="72" s="1"/>
  <c r="AF10" i="72" s="1"/>
  <c r="X10" i="72"/>
  <c r="AM10" i="72" s="1"/>
  <c r="AN10" i="72" s="1"/>
  <c r="Y10" i="72"/>
  <c r="AU10" i="72" s="1"/>
  <c r="AV10" i="72" s="1"/>
  <c r="Z10" i="72"/>
  <c r="BC10" i="72" s="1"/>
  <c r="S11" i="72"/>
  <c r="AD11" i="72" s="1"/>
  <c r="T11" i="72"/>
  <c r="AL11" i="72" s="1"/>
  <c r="U11" i="72"/>
  <c r="AT11" i="72" s="1"/>
  <c r="V11" i="72"/>
  <c r="BB11" i="72" s="1"/>
  <c r="W11" i="72"/>
  <c r="AE11" i="72" s="1"/>
  <c r="AF11" i="72" s="1"/>
  <c r="X11" i="72"/>
  <c r="AM11" i="72" s="1"/>
  <c r="AN11" i="72" s="1"/>
  <c r="Y11" i="72"/>
  <c r="AU11" i="72" s="1"/>
  <c r="AV11" i="72" s="1"/>
  <c r="Z11" i="72"/>
  <c r="BC11" i="72" s="1"/>
  <c r="S12" i="72"/>
  <c r="AD12" i="72" s="1"/>
  <c r="U12" i="72"/>
  <c r="AT12" i="72" s="1"/>
  <c r="V12" i="72"/>
  <c r="BB12" i="72" s="1"/>
  <c r="W12" i="72"/>
  <c r="AE12" i="72" s="1"/>
  <c r="AF12" i="72" s="1"/>
  <c r="X12" i="72"/>
  <c r="AM12" i="72" s="1"/>
  <c r="AN12" i="72" s="1"/>
  <c r="Y12" i="72"/>
  <c r="AU12" i="72" s="1"/>
  <c r="AV12" i="72" s="1"/>
  <c r="Z12" i="72"/>
  <c r="BC12" i="72" s="1"/>
  <c r="S13" i="72"/>
  <c r="AD13" i="72" s="1"/>
  <c r="T13" i="72"/>
  <c r="AL13" i="72" s="1"/>
  <c r="U13" i="72"/>
  <c r="AT13" i="72" s="1"/>
  <c r="V13" i="72"/>
  <c r="BB13" i="72" s="1"/>
  <c r="W13" i="72"/>
  <c r="AE13" i="72" s="1"/>
  <c r="AF13" i="72" s="1"/>
  <c r="X13" i="72"/>
  <c r="AM13" i="72" s="1"/>
  <c r="AN13" i="72" s="1"/>
  <c r="Y13" i="72"/>
  <c r="AU13" i="72" s="1"/>
  <c r="AV13" i="72" s="1"/>
  <c r="Z13" i="72"/>
  <c r="BC13" i="72" s="1"/>
  <c r="S14" i="72"/>
  <c r="AD14" i="72" s="1"/>
  <c r="T14" i="72"/>
  <c r="AL14" i="72" s="1"/>
  <c r="U14" i="72"/>
  <c r="AT14" i="72" s="1"/>
  <c r="V14" i="72"/>
  <c r="BB14" i="72" s="1"/>
  <c r="W14" i="72"/>
  <c r="AE14" i="72" s="1"/>
  <c r="AF14" i="72" s="1"/>
  <c r="X14" i="72"/>
  <c r="AM14" i="72" s="1"/>
  <c r="AN14" i="72" s="1"/>
  <c r="Y14" i="72"/>
  <c r="AU14" i="72" s="1"/>
  <c r="AV14" i="72" s="1"/>
  <c r="Z14" i="72"/>
  <c r="BC14" i="72" s="1"/>
  <c r="S15" i="72"/>
  <c r="AD15" i="72" s="1"/>
  <c r="T15" i="72"/>
  <c r="AL15" i="72" s="1"/>
  <c r="U15" i="72"/>
  <c r="AT15" i="72" s="1"/>
  <c r="V15" i="72"/>
  <c r="BB15" i="72" s="1"/>
  <c r="W15" i="72"/>
  <c r="AE15" i="72" s="1"/>
  <c r="AF15" i="72" s="1"/>
  <c r="X15" i="72"/>
  <c r="AM15" i="72" s="1"/>
  <c r="AN15" i="72" s="1"/>
  <c r="Y15" i="72"/>
  <c r="AU15" i="72" s="1"/>
  <c r="AV15" i="72" s="1"/>
  <c r="Z15" i="72"/>
  <c r="BC15" i="72" s="1"/>
  <c r="S16" i="72"/>
  <c r="AD16" i="72" s="1"/>
  <c r="T16" i="72"/>
  <c r="AL16" i="72" s="1"/>
  <c r="U16" i="72"/>
  <c r="AT16" i="72" s="1"/>
  <c r="V16" i="72"/>
  <c r="BB16" i="72" s="1"/>
  <c r="W16" i="72"/>
  <c r="AE16" i="72" s="1"/>
  <c r="AF16" i="72" s="1"/>
  <c r="X16" i="72"/>
  <c r="AM16" i="72" s="1"/>
  <c r="AN16" i="72" s="1"/>
  <c r="Y16" i="72"/>
  <c r="AU16" i="72" s="1"/>
  <c r="AV16" i="72" s="1"/>
  <c r="Z16" i="72"/>
  <c r="BC16" i="72" s="1"/>
  <c r="S17" i="72"/>
  <c r="AD17" i="72" s="1"/>
  <c r="T17" i="72"/>
  <c r="AL17" i="72" s="1"/>
  <c r="U17" i="72"/>
  <c r="AT17" i="72" s="1"/>
  <c r="V17" i="72"/>
  <c r="BB17" i="72" s="1"/>
  <c r="W17" i="72"/>
  <c r="AE17" i="72" s="1"/>
  <c r="AF17" i="72" s="1"/>
  <c r="X17" i="72"/>
  <c r="AM17" i="72" s="1"/>
  <c r="AN17" i="72" s="1"/>
  <c r="Y17" i="72"/>
  <c r="AU17" i="72" s="1"/>
  <c r="AV17" i="72" s="1"/>
  <c r="Z17" i="72"/>
  <c r="BC17" i="72" s="1"/>
  <c r="S18" i="72"/>
  <c r="AD18" i="72" s="1"/>
  <c r="T18" i="72"/>
  <c r="AL18" i="72" s="1"/>
  <c r="U18" i="72"/>
  <c r="AT18" i="72" s="1"/>
  <c r="V18" i="72"/>
  <c r="BB18" i="72" s="1"/>
  <c r="W18" i="72"/>
  <c r="AE18" i="72" s="1"/>
  <c r="AF18" i="72" s="1"/>
  <c r="X18" i="72"/>
  <c r="AM18" i="72" s="1"/>
  <c r="AN18" i="72" s="1"/>
  <c r="Y18" i="72"/>
  <c r="AU18" i="72" s="1"/>
  <c r="AV18" i="72" s="1"/>
  <c r="Z18" i="72"/>
  <c r="BC18" i="72" s="1"/>
  <c r="S19" i="72"/>
  <c r="AD19" i="72" s="1"/>
  <c r="T19" i="72"/>
  <c r="AL19" i="72" s="1"/>
  <c r="U19" i="72"/>
  <c r="AT19" i="72" s="1"/>
  <c r="V19" i="72"/>
  <c r="BB19" i="72" s="1"/>
  <c r="W19" i="72"/>
  <c r="AE19" i="72" s="1"/>
  <c r="AF19" i="72" s="1"/>
  <c r="X19" i="72"/>
  <c r="AM19" i="72" s="1"/>
  <c r="AN19" i="72" s="1"/>
  <c r="Y19" i="72"/>
  <c r="AU19" i="72" s="1"/>
  <c r="AV19" i="72" s="1"/>
  <c r="Z19" i="72"/>
  <c r="BC19" i="72" s="1"/>
  <c r="S20" i="72"/>
  <c r="AD20" i="72" s="1"/>
  <c r="T20" i="72"/>
  <c r="AL20" i="72" s="1"/>
  <c r="U20" i="72"/>
  <c r="AT20" i="72" s="1"/>
  <c r="V20" i="72"/>
  <c r="BB20" i="72" s="1"/>
  <c r="W20" i="72"/>
  <c r="AE20" i="72" s="1"/>
  <c r="AF20" i="72" s="1"/>
  <c r="X20" i="72"/>
  <c r="AM20" i="72" s="1"/>
  <c r="AN20" i="72" s="1"/>
  <c r="Y20" i="72"/>
  <c r="AU20" i="72" s="1"/>
  <c r="AV20" i="72" s="1"/>
  <c r="Z20" i="72"/>
  <c r="BC20" i="72" s="1"/>
  <c r="S21" i="72"/>
  <c r="AD21" i="72" s="1"/>
  <c r="T21" i="72"/>
  <c r="AL21" i="72" s="1"/>
  <c r="U21" i="72"/>
  <c r="AT21" i="72" s="1"/>
  <c r="V21" i="72"/>
  <c r="BB21" i="72" s="1"/>
  <c r="W21" i="72"/>
  <c r="AE21" i="72" s="1"/>
  <c r="AF21" i="72" s="1"/>
  <c r="X21" i="72"/>
  <c r="AM21" i="72" s="1"/>
  <c r="AN21" i="72" s="1"/>
  <c r="Y21" i="72"/>
  <c r="AU21" i="72" s="1"/>
  <c r="AV21" i="72" s="1"/>
  <c r="Z21" i="72"/>
  <c r="BC21" i="72" s="1"/>
  <c r="S22" i="72"/>
  <c r="AD22" i="72" s="1"/>
  <c r="T22" i="72"/>
  <c r="AL22" i="72" s="1"/>
  <c r="U22" i="72"/>
  <c r="AT22" i="72" s="1"/>
  <c r="V22" i="72"/>
  <c r="BB22" i="72" s="1"/>
  <c r="W22" i="72"/>
  <c r="AE22" i="72" s="1"/>
  <c r="AF22" i="72" s="1"/>
  <c r="X22" i="72"/>
  <c r="AM22" i="72" s="1"/>
  <c r="AN22" i="72" s="1"/>
  <c r="Y22" i="72"/>
  <c r="AU22" i="72" s="1"/>
  <c r="AV22" i="72" s="1"/>
  <c r="Z22" i="72"/>
  <c r="BC22" i="72" s="1"/>
  <c r="S23" i="72"/>
  <c r="AD23" i="72" s="1"/>
  <c r="T23" i="72"/>
  <c r="AL23" i="72" s="1"/>
  <c r="U23" i="72"/>
  <c r="AT23" i="72" s="1"/>
  <c r="V23" i="72"/>
  <c r="BB23" i="72" s="1"/>
  <c r="W23" i="72"/>
  <c r="AE23" i="72" s="1"/>
  <c r="AF23" i="72" s="1"/>
  <c r="X23" i="72"/>
  <c r="AM23" i="72" s="1"/>
  <c r="AN23" i="72" s="1"/>
  <c r="Y23" i="72"/>
  <c r="AU23" i="72" s="1"/>
  <c r="AV23" i="72" s="1"/>
  <c r="Z23" i="72"/>
  <c r="BC23" i="72" s="1"/>
  <c r="Z4" i="72"/>
  <c r="BC4" i="72" s="1"/>
  <c r="Y4" i="72"/>
  <c r="AU4" i="72" s="1"/>
  <c r="AV4" i="72" s="1"/>
  <c r="X4" i="72"/>
  <c r="AM4" i="72" s="1"/>
  <c r="AN4" i="72" s="1"/>
  <c r="W4" i="72"/>
  <c r="AE4" i="72" s="1"/>
  <c r="AF4" i="72" s="1"/>
  <c r="V4" i="72"/>
  <c r="BB4" i="72" s="1"/>
  <c r="U4" i="72"/>
  <c r="AT4" i="72" s="1"/>
  <c r="L3" i="73"/>
  <c r="K3" i="73"/>
  <c r="K7" i="73"/>
  <c r="L7" i="73"/>
  <c r="K8" i="73"/>
  <c r="L8" i="73"/>
  <c r="K9" i="73"/>
  <c r="L9" i="73"/>
  <c r="K10" i="73"/>
  <c r="L10" i="73"/>
  <c r="K11" i="73"/>
  <c r="L11" i="73"/>
  <c r="K12" i="73"/>
  <c r="L12" i="73"/>
  <c r="K13" i="73"/>
  <c r="L13" i="73"/>
  <c r="K14" i="73"/>
  <c r="L14" i="73"/>
  <c r="K15" i="73"/>
  <c r="L15" i="73"/>
  <c r="K16" i="73"/>
  <c r="L16" i="73"/>
  <c r="K17" i="73"/>
  <c r="L17" i="73"/>
  <c r="K18" i="73"/>
  <c r="L18" i="73"/>
  <c r="K19" i="73"/>
  <c r="L19" i="73"/>
  <c r="K20" i="73"/>
  <c r="L20" i="73"/>
  <c r="K21" i="73"/>
  <c r="L21" i="73"/>
  <c r="K22" i="73"/>
  <c r="L22" i="73"/>
  <c r="K23" i="73"/>
  <c r="L23" i="73"/>
  <c r="K24" i="73"/>
  <c r="L24" i="73"/>
  <c r="K25" i="73"/>
  <c r="L25" i="73"/>
  <c r="K26" i="73"/>
  <c r="L26" i="73"/>
  <c r="K27" i="73"/>
  <c r="L27" i="73"/>
  <c r="K28" i="73"/>
  <c r="L28" i="73"/>
  <c r="K29" i="73"/>
  <c r="L29" i="73"/>
  <c r="K30" i="73"/>
  <c r="L30" i="73"/>
  <c r="K31" i="73"/>
  <c r="L31" i="73"/>
  <c r="K32" i="73"/>
  <c r="L32" i="73"/>
  <c r="K33" i="73"/>
  <c r="L33" i="73"/>
  <c r="K34" i="73"/>
  <c r="L34" i="73"/>
  <c r="K35" i="73"/>
  <c r="L35" i="73"/>
  <c r="K36" i="73"/>
  <c r="L36" i="73"/>
  <c r="K37" i="73"/>
  <c r="L37" i="73"/>
  <c r="K38" i="73"/>
  <c r="L38" i="73"/>
  <c r="K39" i="73"/>
  <c r="L39" i="73"/>
  <c r="K40" i="73"/>
  <c r="L40" i="73"/>
  <c r="K41" i="73"/>
  <c r="L41" i="73"/>
  <c r="K42" i="73"/>
  <c r="L42" i="73"/>
  <c r="K43" i="73"/>
  <c r="L43" i="73"/>
  <c r="K44" i="73"/>
  <c r="L44" i="73"/>
  <c r="K45" i="73"/>
  <c r="L45" i="73"/>
  <c r="K47" i="73"/>
  <c r="L47" i="73"/>
  <c r="K49" i="73"/>
  <c r="L49" i="73"/>
  <c r="K50" i="73"/>
  <c r="L50" i="73"/>
  <c r="K51" i="73"/>
  <c r="L51" i="73"/>
  <c r="K52" i="73"/>
  <c r="L52" i="73"/>
  <c r="K53" i="73"/>
  <c r="L53" i="73"/>
  <c r="K54" i="73"/>
  <c r="L54" i="73"/>
  <c r="K57" i="73"/>
  <c r="L57" i="73"/>
  <c r="K58" i="73"/>
  <c r="L58" i="73"/>
  <c r="K59" i="73"/>
  <c r="L59" i="73"/>
  <c r="K61" i="73"/>
  <c r="L61" i="73"/>
  <c r="K62" i="73"/>
  <c r="L62" i="73"/>
  <c r="K63" i="73"/>
  <c r="L63" i="73"/>
  <c r="K65" i="73"/>
  <c r="L65" i="73"/>
  <c r="K67" i="73"/>
  <c r="L67" i="73"/>
  <c r="K68" i="73"/>
  <c r="L68" i="73"/>
  <c r="K69" i="73"/>
  <c r="L69" i="73"/>
  <c r="K70" i="73"/>
  <c r="L70" i="73"/>
  <c r="K72" i="73"/>
  <c r="L72" i="73"/>
  <c r="K74" i="73"/>
  <c r="L74" i="73"/>
  <c r="F5" i="73"/>
  <c r="F6" i="73"/>
  <c r="F7" i="73"/>
  <c r="F8" i="73"/>
  <c r="F9" i="73"/>
  <c r="C4" i="67" s="1"/>
  <c r="F10" i="73"/>
  <c r="C5" i="67" s="1"/>
  <c r="F11" i="73"/>
  <c r="C9" i="67" s="1"/>
  <c r="F12" i="73"/>
  <c r="F13" i="73"/>
  <c r="C18" i="56" s="1"/>
  <c r="F14" i="73"/>
  <c r="F15" i="73"/>
  <c r="F16" i="73"/>
  <c r="C22" i="67" s="1"/>
  <c r="F17" i="73"/>
  <c r="F18" i="73"/>
  <c r="C23" i="56" s="1"/>
  <c r="F19" i="73"/>
  <c r="F20" i="73"/>
  <c r="C23" i="70" s="1"/>
  <c r="F21" i="73"/>
  <c r="F22" i="73"/>
  <c r="C29" i="67" s="1"/>
  <c r="F23" i="73"/>
  <c r="C30" i="56" s="1"/>
  <c r="F24" i="73"/>
  <c r="C35" i="56" s="1"/>
  <c r="F25" i="73"/>
  <c r="C36" i="56" s="1"/>
  <c r="F26" i="73"/>
  <c r="F27" i="73"/>
  <c r="F28" i="73"/>
  <c r="C39" i="67" s="1"/>
  <c r="F29" i="73"/>
  <c r="C47" i="67" s="1"/>
  <c r="F30" i="73"/>
  <c r="C48" i="70" s="1"/>
  <c r="F31" i="73"/>
  <c r="C49" i="67" s="1"/>
  <c r="F32" i="73"/>
  <c r="C50" i="67" s="1"/>
  <c r="F33" i="73"/>
  <c r="C56" i="67" s="1"/>
  <c r="F34" i="73"/>
  <c r="C57" i="67" s="1"/>
  <c r="F35" i="73"/>
  <c r="F36" i="73"/>
  <c r="C81" i="67" s="1"/>
  <c r="F37" i="73"/>
  <c r="C88" i="56" s="1"/>
  <c r="F38" i="73"/>
  <c r="C65" i="67" s="1"/>
  <c r="F39" i="73"/>
  <c r="C71" i="56" s="1"/>
  <c r="F40" i="73"/>
  <c r="C72" i="56" s="1"/>
  <c r="F41" i="73"/>
  <c r="C73" i="56" s="1"/>
  <c r="F42" i="73"/>
  <c r="C74" i="56" s="1"/>
  <c r="F43" i="73"/>
  <c r="F44" i="73"/>
  <c r="F45" i="73"/>
  <c r="F47" i="73"/>
  <c r="F49" i="73"/>
  <c r="F50" i="73"/>
  <c r="F51" i="73"/>
  <c r="F52" i="73"/>
  <c r="F53" i="73"/>
  <c r="F54" i="73"/>
  <c r="F57" i="73"/>
  <c r="F58" i="73"/>
  <c r="F59" i="73"/>
  <c r="F61" i="73"/>
  <c r="F62" i="73"/>
  <c r="F63" i="73"/>
  <c r="F65" i="73"/>
  <c r="F67" i="73"/>
  <c r="F68" i="73"/>
  <c r="F69" i="73"/>
  <c r="F70" i="73"/>
  <c r="F72" i="73"/>
  <c r="F3" i="73"/>
  <c r="C18" i="67"/>
  <c r="B2404" i="55" l="1"/>
  <c r="B1948" i="55"/>
  <c r="B2421" i="55"/>
  <c r="B2066" i="55"/>
  <c r="B2437" i="55"/>
  <c r="B2058" i="55"/>
  <c r="B2454" i="55"/>
  <c r="B2198" i="55"/>
  <c r="B2453" i="55"/>
  <c r="B2286" i="55"/>
  <c r="B2468" i="55"/>
  <c r="B2295" i="55"/>
  <c r="B2323" i="55"/>
  <c r="B1949" i="55"/>
  <c r="B2067" i="55"/>
  <c r="B2059" i="55"/>
  <c r="B2186" i="55"/>
  <c r="B2283" i="55"/>
  <c r="B2296" i="55"/>
  <c r="B2310" i="55"/>
  <c r="B2405" i="55"/>
  <c r="B2422" i="55"/>
  <c r="B2438" i="55"/>
  <c r="B2455" i="55"/>
  <c r="B2469" i="55"/>
  <c r="B2420" i="55"/>
  <c r="B1831" i="55"/>
  <c r="B1946" i="55"/>
  <c r="B2175" i="55"/>
  <c r="B2199" i="55"/>
  <c r="B2284" i="55"/>
  <c r="B2309" i="55"/>
  <c r="B2325" i="55"/>
  <c r="B2402" i="55"/>
  <c r="B2419" i="55"/>
  <c r="B1833" i="55"/>
  <c r="B2063" i="55"/>
  <c r="B2174" i="55"/>
  <c r="B2212" i="55"/>
  <c r="B2293" i="55"/>
  <c r="B2314" i="55"/>
  <c r="B2324" i="55"/>
  <c r="B2401" i="55"/>
  <c r="B2418" i="55"/>
  <c r="B2434" i="55"/>
  <c r="B2451" i="55"/>
  <c r="B1832" i="55"/>
  <c r="B1944" i="55"/>
  <c r="B2062" i="55"/>
  <c r="B2173" i="55"/>
  <c r="B2215" i="55"/>
  <c r="B2299" i="55"/>
  <c r="B2313" i="55"/>
  <c r="B2399" i="55"/>
  <c r="B2400" i="55"/>
  <c r="B2433" i="55"/>
  <c r="B2450" i="55"/>
  <c r="B2467" i="55"/>
  <c r="C10" i="67"/>
  <c r="C44" i="67" s="1"/>
  <c r="C138" i="63"/>
  <c r="C146" i="63"/>
  <c r="C154" i="63"/>
  <c r="C162" i="63"/>
  <c r="C170" i="63"/>
  <c r="C139" i="63"/>
  <c r="C147" i="63"/>
  <c r="C155" i="63"/>
  <c r="C163" i="63"/>
  <c r="C171" i="63"/>
  <c r="C140" i="63"/>
  <c r="C148" i="63"/>
  <c r="C156" i="63"/>
  <c r="C164" i="63"/>
  <c r="C172" i="63"/>
  <c r="C141" i="63"/>
  <c r="C149" i="63"/>
  <c r="C157" i="63"/>
  <c r="C165" i="63"/>
  <c r="C137" i="63"/>
  <c r="C142" i="63"/>
  <c r="C150" i="63"/>
  <c r="C158" i="63"/>
  <c r="C166" i="63"/>
  <c r="C143" i="63"/>
  <c r="C151" i="63"/>
  <c r="C159" i="63"/>
  <c r="C167" i="63"/>
  <c r="C144" i="63"/>
  <c r="C152" i="63"/>
  <c r="C160" i="63"/>
  <c r="C168" i="63"/>
  <c r="C145" i="63"/>
  <c r="C153" i="63"/>
  <c r="C161" i="63"/>
  <c r="C169" i="63"/>
  <c r="B1947" i="55"/>
  <c r="B2065" i="55"/>
  <c r="B2170" i="55"/>
  <c r="B2200" i="55"/>
  <c r="B2285" i="55"/>
  <c r="B2294" i="55"/>
  <c r="B2326" i="55"/>
  <c r="B2403" i="55"/>
  <c r="B2436" i="55"/>
  <c r="B2435" i="55"/>
  <c r="B1943" i="55"/>
  <c r="B1834" i="55"/>
  <c r="B2061" i="55"/>
  <c r="B2172" i="55"/>
  <c r="B2214" i="55"/>
  <c r="B2298" i="55"/>
  <c r="B2312" i="55"/>
  <c r="B2407" i="55"/>
  <c r="B2417" i="55"/>
  <c r="B2440" i="55"/>
  <c r="B2457" i="55"/>
  <c r="B2471" i="55"/>
  <c r="B2064" i="55"/>
  <c r="B2452" i="55"/>
  <c r="B1945" i="55"/>
  <c r="B1950" i="55"/>
  <c r="B2057" i="55"/>
  <c r="B2060" i="55"/>
  <c r="B2171" i="55"/>
  <c r="B2213" i="55"/>
  <c r="B2297" i="55"/>
  <c r="B2311" i="55"/>
  <c r="B2406" i="55"/>
  <c r="B2423" i="55"/>
  <c r="B2439" i="55"/>
  <c r="B2456" i="55"/>
  <c r="B2470" i="55"/>
  <c r="S70" i="72"/>
  <c r="AD70" i="72" s="1"/>
  <c r="S69" i="72"/>
  <c r="AD69" i="72" s="1"/>
  <c r="S68" i="72"/>
  <c r="AD68" i="72" s="1"/>
  <c r="S67" i="72"/>
  <c r="AD67" i="72" s="1"/>
  <c r="S66" i="72"/>
  <c r="AD66" i="72" s="1"/>
  <c r="S65" i="72"/>
  <c r="AD65" i="72" s="1"/>
  <c r="S64" i="72"/>
  <c r="AD64" i="72" s="1"/>
  <c r="S63" i="72"/>
  <c r="AD63" i="72" s="1"/>
  <c r="S62" i="72"/>
  <c r="AD62" i="72" s="1"/>
  <c r="S61" i="72"/>
  <c r="AD61" i="72" s="1"/>
  <c r="S60" i="72"/>
  <c r="AD60" i="72" s="1"/>
  <c r="S59" i="72"/>
  <c r="AD59" i="72" s="1"/>
  <c r="S58" i="72"/>
  <c r="AD58" i="72" s="1"/>
  <c r="S57" i="72"/>
  <c r="AD57" i="72" s="1"/>
  <c r="S56" i="72"/>
  <c r="AD56" i="72" s="1"/>
  <c r="S55" i="72"/>
  <c r="AD55" i="72" s="1"/>
  <c r="S54" i="72"/>
  <c r="AD54" i="72" s="1"/>
  <c r="S53" i="72"/>
  <c r="AD53" i="72" s="1"/>
  <c r="S52" i="72"/>
  <c r="AD52" i="72" s="1"/>
  <c r="A12" i="63"/>
  <c r="A11" i="55"/>
  <c r="B15" i="76"/>
  <c r="B13" i="69"/>
  <c r="C38" i="67"/>
  <c r="C39" i="78"/>
  <c r="C28" i="67"/>
  <c r="C37" i="67"/>
  <c r="C43" i="56"/>
  <c r="C48" i="67"/>
  <c r="C37" i="70"/>
  <c r="C9" i="78"/>
  <c r="AD96" i="78" s="1"/>
  <c r="C48" i="78"/>
  <c r="C80" i="67"/>
  <c r="C80" i="78"/>
  <c r="C39" i="70"/>
  <c r="C44" i="56"/>
  <c r="C62" i="56"/>
  <c r="C67" i="78"/>
  <c r="C56" i="70"/>
  <c r="C10" i="78"/>
  <c r="C23" i="78"/>
  <c r="C18" i="78"/>
  <c r="C30" i="70"/>
  <c r="C57" i="70"/>
  <c r="C40" i="78"/>
  <c r="C29" i="70"/>
  <c r="C82" i="78"/>
  <c r="C56" i="56"/>
  <c r="C81" i="78"/>
  <c r="C51" i="78"/>
  <c r="C63" i="56"/>
  <c r="C29" i="78"/>
  <c r="C50" i="78"/>
  <c r="C38" i="70"/>
  <c r="C78" i="70"/>
  <c r="C4" i="78"/>
  <c r="C30" i="78"/>
  <c r="V130" i="78" s="1"/>
  <c r="C57" i="78"/>
  <c r="C50" i="70"/>
  <c r="C79" i="70"/>
  <c r="C22" i="78"/>
  <c r="C31" i="78"/>
  <c r="AG130" i="78" s="1"/>
  <c r="C49" i="78"/>
  <c r="C47" i="70"/>
  <c r="C80" i="70"/>
  <c r="C5" i="78"/>
  <c r="C38" i="78"/>
  <c r="T135" i="78" s="1"/>
  <c r="C58" i="78"/>
  <c r="C28" i="70"/>
  <c r="C49" i="70"/>
  <c r="C54" i="56"/>
  <c r="C86" i="56"/>
  <c r="C55" i="56"/>
  <c r="C45" i="56"/>
  <c r="C87" i="56"/>
  <c r="C53" i="56"/>
  <c r="C30" i="67"/>
  <c r="C28" i="56"/>
  <c r="C29" i="56"/>
  <c r="C10" i="56"/>
  <c r="C21" i="56" s="1"/>
  <c r="A9" i="55" s="1"/>
  <c r="C9" i="56"/>
  <c r="C4" i="56"/>
  <c r="C22" i="56"/>
  <c r="C5" i="56"/>
  <c r="B11" i="76"/>
  <c r="AT8" i="69"/>
  <c r="AT12" i="69"/>
  <c r="AT6" i="69"/>
  <c r="AG11" i="69"/>
  <c r="AH11" i="69" s="1"/>
  <c r="AP8" i="55"/>
  <c r="AT11" i="69"/>
  <c r="AF10" i="76"/>
  <c r="AG10" i="76" s="1"/>
  <c r="AO7" i="63"/>
  <c r="AO8" i="63"/>
  <c r="C84" i="78"/>
  <c r="C77" i="78"/>
  <c r="C63" i="78"/>
  <c r="B10" i="76"/>
  <c r="K5" i="73"/>
  <c r="L5" i="73"/>
  <c r="K6" i="73"/>
  <c r="L6" i="73"/>
  <c r="L4" i="73"/>
  <c r="K4" i="73"/>
  <c r="B6" i="69"/>
  <c r="B7" i="69"/>
  <c r="A8" i="63"/>
  <c r="B9" i="69" l="1"/>
  <c r="C61" i="67"/>
  <c r="C34" i="67"/>
  <c r="C54" i="67"/>
  <c r="C60" i="67"/>
  <c r="C43" i="67"/>
  <c r="C53" i="67"/>
  <c r="C45" i="67"/>
  <c r="B9" i="76"/>
  <c r="C146" i="76" s="1"/>
  <c r="C35" i="67"/>
  <c r="C21" i="78"/>
  <c r="AD123" i="78" s="1"/>
  <c r="C33" i="67"/>
  <c r="C42" i="67"/>
  <c r="C34" i="56"/>
  <c r="C33" i="56"/>
  <c r="AG99" i="78"/>
  <c r="AG174" i="78" s="1"/>
  <c r="AH96" i="78"/>
  <c r="R130" i="78"/>
  <c r="G96" i="78"/>
  <c r="AG96" i="78"/>
  <c r="AG184" i="78" s="1"/>
  <c r="J96" i="78"/>
  <c r="J188" i="78" s="1"/>
  <c r="O96" i="78"/>
  <c r="O188" i="78" s="1"/>
  <c r="Q96" i="78"/>
  <c r="Q188" i="78" s="1"/>
  <c r="R96" i="78"/>
  <c r="R188" i="78" s="1"/>
  <c r="Y96" i="78"/>
  <c r="Y184" i="78" s="1"/>
  <c r="Z96" i="78"/>
  <c r="Z188" i="78" s="1"/>
  <c r="AP7" i="63"/>
  <c r="AP8" i="63"/>
  <c r="AP9" i="63"/>
  <c r="I96" i="78"/>
  <c r="I184" i="78" s="1"/>
  <c r="AE96" i="78"/>
  <c r="W96" i="78"/>
  <c r="W184" i="78" s="1"/>
  <c r="W99" i="78"/>
  <c r="W124" i="78" s="1"/>
  <c r="M99" i="78"/>
  <c r="S130" i="78"/>
  <c r="X130" i="78"/>
  <c r="F55" i="73"/>
  <c r="AG6" i="69" s="1"/>
  <c r="AH6" i="69" s="1"/>
  <c r="AI6" i="69" s="1"/>
  <c r="K55" i="73"/>
  <c r="L55" i="73"/>
  <c r="K66" i="73"/>
  <c r="L66" i="73"/>
  <c r="K64" i="73"/>
  <c r="L64" i="73"/>
  <c r="K71" i="73"/>
  <c r="L71" i="73"/>
  <c r="F56" i="73"/>
  <c r="AG9" i="69" s="1"/>
  <c r="AH9" i="69" s="1"/>
  <c r="AI9" i="69" s="1"/>
  <c r="K56" i="73"/>
  <c r="L56" i="73"/>
  <c r="K73" i="73"/>
  <c r="L73" i="73"/>
  <c r="P130" i="78"/>
  <c r="Q130" i="78"/>
  <c r="Y130" i="78"/>
  <c r="Z130" i="78"/>
  <c r="O130" i="78"/>
  <c r="AA130" i="78"/>
  <c r="F73" i="73"/>
  <c r="AP7" i="76" s="1"/>
  <c r="AQ7" i="76" s="1"/>
  <c r="F64" i="73"/>
  <c r="AO10" i="63" s="1"/>
  <c r="AP10" i="63" s="1"/>
  <c r="F66" i="73"/>
  <c r="AO6" i="63" s="1"/>
  <c r="AP6" i="63" s="1"/>
  <c r="F71" i="73"/>
  <c r="AT9" i="69" s="1"/>
  <c r="T130" i="78"/>
  <c r="X99" i="78"/>
  <c r="X125" i="78" s="1"/>
  <c r="AH189" i="78"/>
  <c r="AJ99" i="78"/>
  <c r="AJ125" i="78" s="1"/>
  <c r="U130" i="78"/>
  <c r="M130" i="78"/>
  <c r="W130" i="78"/>
  <c r="D99" i="78"/>
  <c r="N99" i="78"/>
  <c r="N125" i="78" s="1"/>
  <c r="F99" i="78"/>
  <c r="P99" i="78"/>
  <c r="AB99" i="78"/>
  <c r="AB124" i="78" s="1"/>
  <c r="G99" i="78"/>
  <c r="G125" i="78" s="1"/>
  <c r="Q99" i="78"/>
  <c r="Q125" i="78" s="1"/>
  <c r="AC99" i="78"/>
  <c r="AC125" i="78" s="1"/>
  <c r="H99" i="78"/>
  <c r="H174" i="78" s="1"/>
  <c r="T99" i="78"/>
  <c r="T174" i="78" s="1"/>
  <c r="AD99" i="78"/>
  <c r="AD125" i="78" s="1"/>
  <c r="I99" i="78"/>
  <c r="U99" i="78"/>
  <c r="U125" i="78" s="1"/>
  <c r="AE99" i="78"/>
  <c r="AE174" i="78" s="1"/>
  <c r="L99" i="78"/>
  <c r="L125" i="78" s="1"/>
  <c r="V99" i="78"/>
  <c r="V125" i="78" s="1"/>
  <c r="AF99" i="78"/>
  <c r="AF174" i="78" s="1"/>
  <c r="E99" i="78"/>
  <c r="O99" i="78"/>
  <c r="O174" i="78" s="1"/>
  <c r="Y99" i="78"/>
  <c r="Y174" i="78" s="1"/>
  <c r="AI130" i="78"/>
  <c r="N130" i="78"/>
  <c r="H96" i="78"/>
  <c r="H188" i="78" s="1"/>
  <c r="P96" i="78"/>
  <c r="P188" i="78" s="1"/>
  <c r="X96" i="78"/>
  <c r="X188" i="78" s="1"/>
  <c r="AF96" i="78"/>
  <c r="AF188" i="78" s="1"/>
  <c r="AJ130" i="78"/>
  <c r="E96" i="78"/>
  <c r="M96" i="78"/>
  <c r="M188" i="78" s="1"/>
  <c r="U96" i="78"/>
  <c r="U184" i="78" s="1"/>
  <c r="AC96" i="78"/>
  <c r="AB130" i="78"/>
  <c r="K96" i="78"/>
  <c r="S96" i="78"/>
  <c r="S184" i="78" s="1"/>
  <c r="AA96" i="78"/>
  <c r="AI96" i="78"/>
  <c r="AI188" i="78" s="1"/>
  <c r="D96" i="78"/>
  <c r="L96" i="78"/>
  <c r="L188" i="78" s="1"/>
  <c r="T96" i="78"/>
  <c r="AB96" i="78"/>
  <c r="AB188" i="78" s="1"/>
  <c r="AJ96" i="78"/>
  <c r="AJ184" i="78" s="1"/>
  <c r="F96" i="78"/>
  <c r="N96" i="78"/>
  <c r="N184" i="78" s="1"/>
  <c r="V96" i="78"/>
  <c r="V184" i="78" s="1"/>
  <c r="AC130" i="78"/>
  <c r="AD130" i="78"/>
  <c r="AI99" i="78"/>
  <c r="AH130" i="78"/>
  <c r="J99" i="78"/>
  <c r="J125" i="78" s="1"/>
  <c r="R99" i="78"/>
  <c r="R125" i="78" s="1"/>
  <c r="Z99" i="78"/>
  <c r="Z125" i="78" s="1"/>
  <c r="AH99" i="78"/>
  <c r="AH125" i="78" s="1"/>
  <c r="K99" i="78"/>
  <c r="K125" i="78" s="1"/>
  <c r="S99" i="78"/>
  <c r="S174" i="78" s="1"/>
  <c r="AA99" i="78"/>
  <c r="AA174" i="78" s="1"/>
  <c r="AE130" i="78"/>
  <c r="AF130" i="78"/>
  <c r="AQ8" i="55"/>
  <c r="AH10" i="76"/>
  <c r="AI11" i="69"/>
  <c r="AP9" i="55"/>
  <c r="AQ9" i="55" s="1"/>
  <c r="A6" i="63"/>
  <c r="AP8" i="76"/>
  <c r="AQ8" i="76" s="1"/>
  <c r="AP9" i="76"/>
  <c r="AQ9" i="76" s="1"/>
  <c r="W189" i="78"/>
  <c r="Z135" i="78"/>
  <c r="AH135" i="78"/>
  <c r="Y189" i="78"/>
  <c r="K135" i="78"/>
  <c r="S135" i="78"/>
  <c r="A6" i="55"/>
  <c r="K338" i="76" s="1"/>
  <c r="B8" i="76"/>
  <c r="A7" i="63"/>
  <c r="B6" i="76"/>
  <c r="B7" i="76"/>
  <c r="A7" i="55"/>
  <c r="A8" i="55"/>
  <c r="L159" i="76" s="1"/>
  <c r="B8" i="69"/>
  <c r="AP11" i="55"/>
  <c r="AQ11" i="55" s="1"/>
  <c r="AT10" i="69"/>
  <c r="AD184" i="78"/>
  <c r="AD188" i="78"/>
  <c r="H130" i="78"/>
  <c r="G130" i="78"/>
  <c r="K130" i="78"/>
  <c r="J130" i="78"/>
  <c r="I130" i="78"/>
  <c r="L130" i="78"/>
  <c r="AE135" i="78"/>
  <c r="W135" i="78"/>
  <c r="O135" i="78"/>
  <c r="G135" i="78"/>
  <c r="AG135" i="78"/>
  <c r="X135" i="78"/>
  <c r="N135" i="78"/>
  <c r="AF135" i="78"/>
  <c r="V135" i="78"/>
  <c r="M135" i="78"/>
  <c r="AJ135" i="78"/>
  <c r="AA135" i="78"/>
  <c r="R135" i="78"/>
  <c r="I135" i="78"/>
  <c r="AD135" i="78"/>
  <c r="Q135" i="78"/>
  <c r="AC135" i="78"/>
  <c r="P135" i="78"/>
  <c r="L135" i="78"/>
  <c r="AB135" i="78"/>
  <c r="Y135" i="78"/>
  <c r="J135" i="78"/>
  <c r="U135" i="78"/>
  <c r="H135" i="78"/>
  <c r="AI135" i="78"/>
  <c r="AC189" i="78"/>
  <c r="U189" i="78"/>
  <c r="M189" i="78"/>
  <c r="AJ189" i="78"/>
  <c r="AB189" i="78"/>
  <c r="T189" i="78"/>
  <c r="L189" i="78"/>
  <c r="AF189" i="78"/>
  <c r="X189" i="78"/>
  <c r="P189" i="78"/>
  <c r="H189" i="78"/>
  <c r="AA189" i="78"/>
  <c r="O189" i="78"/>
  <c r="Z189" i="78"/>
  <c r="N189" i="78"/>
  <c r="AG189" i="78"/>
  <c r="S189" i="78"/>
  <c r="G189" i="78"/>
  <c r="AE189" i="78"/>
  <c r="J189" i="78"/>
  <c r="AD189" i="78"/>
  <c r="I189" i="78"/>
  <c r="R189" i="78"/>
  <c r="AI189" i="78"/>
  <c r="K189" i="78"/>
  <c r="Q189" i="78"/>
  <c r="V189" i="78"/>
  <c r="C34" i="76" l="1"/>
  <c r="B251" i="69"/>
  <c r="B23" i="69"/>
  <c r="B138" i="69"/>
  <c r="B148" i="69"/>
  <c r="B137" i="69"/>
  <c r="B146" i="69"/>
  <c r="B143" i="69"/>
  <c r="B147" i="69"/>
  <c r="B142" i="69"/>
  <c r="B140" i="69"/>
  <c r="B139" i="69"/>
  <c r="B141" i="69"/>
  <c r="B145" i="69"/>
  <c r="B144" i="69"/>
  <c r="AA123" i="78"/>
  <c r="C149" i="76"/>
  <c r="C27" i="76"/>
  <c r="C142" i="76"/>
  <c r="C141" i="76"/>
  <c r="I9" i="78"/>
  <c r="C34" i="78" s="1"/>
  <c r="AB134" i="78" s="1"/>
  <c r="C36" i="76"/>
  <c r="C153" i="76"/>
  <c r="C31" i="76"/>
  <c r="C140" i="76"/>
  <c r="C39" i="76"/>
  <c r="C147" i="76"/>
  <c r="I4" i="78"/>
  <c r="C44" i="78" s="1"/>
  <c r="AC151" i="78" s="1"/>
  <c r="I10" i="78"/>
  <c r="C35" i="78" s="1"/>
  <c r="Y138" i="78" s="1"/>
  <c r="I5" i="78"/>
  <c r="C45" i="78" s="1"/>
  <c r="AJ155" i="78" s="1"/>
  <c r="I8" i="78"/>
  <c r="C55" i="78" s="1"/>
  <c r="AH168" i="78" s="1"/>
  <c r="T123" i="78"/>
  <c r="I11" i="78"/>
  <c r="C36" i="78" s="1"/>
  <c r="AC123" i="78"/>
  <c r="C255" i="76"/>
  <c r="AL61" i="76" s="1"/>
  <c r="K123" i="78"/>
  <c r="AE123" i="78"/>
  <c r="AH123" i="78"/>
  <c r="I6" i="78"/>
  <c r="C46" i="78" s="1"/>
  <c r="U159" i="78" s="1"/>
  <c r="C254" i="76"/>
  <c r="AO7" i="76" s="1"/>
  <c r="C150" i="76"/>
  <c r="C257" i="76"/>
  <c r="C37" i="76"/>
  <c r="C30" i="76"/>
  <c r="C32" i="76"/>
  <c r="C144" i="76"/>
  <c r="AE11" i="76" s="1"/>
  <c r="C26" i="76"/>
  <c r="C38" i="76"/>
  <c r="C152" i="76"/>
  <c r="C258" i="76"/>
  <c r="AJ77" i="76" s="1"/>
  <c r="C145" i="76"/>
  <c r="C28" i="76"/>
  <c r="C33" i="76"/>
  <c r="C151" i="76"/>
  <c r="C256" i="76"/>
  <c r="C29" i="76"/>
  <c r="C35" i="76"/>
  <c r="C40" i="76"/>
  <c r="AE10" i="76" s="1"/>
  <c r="C148" i="76"/>
  <c r="C143" i="76"/>
  <c r="I7" i="78"/>
  <c r="C27" i="78" s="1"/>
  <c r="AD129" i="78" s="1"/>
  <c r="I2" i="78"/>
  <c r="C43" i="78" s="1"/>
  <c r="Z147" i="78" s="1"/>
  <c r="I3" i="78"/>
  <c r="C54" i="78" s="1"/>
  <c r="W164" i="78" s="1"/>
  <c r="AG125" i="78"/>
  <c r="AH188" i="78"/>
  <c r="AG124" i="78"/>
  <c r="AG143" i="78"/>
  <c r="AH184" i="78"/>
  <c r="H169" i="78"/>
  <c r="S123" i="78"/>
  <c r="AF165" i="78"/>
  <c r="K184" i="78"/>
  <c r="N124" i="78"/>
  <c r="H139" i="78"/>
  <c r="T124" i="78"/>
  <c r="W165" i="78"/>
  <c r="W125" i="78"/>
  <c r="W174" i="78"/>
  <c r="Y123" i="78"/>
  <c r="N123" i="78"/>
  <c r="W169" i="78"/>
  <c r="AC188" i="78"/>
  <c r="G188" i="78"/>
  <c r="N152" i="78"/>
  <c r="T188" i="78"/>
  <c r="P184" i="78"/>
  <c r="J184" i="78"/>
  <c r="H184" i="78"/>
  <c r="G184" i="78"/>
  <c r="J123" i="78"/>
  <c r="O184" i="78"/>
  <c r="AC184" i="78"/>
  <c r="G123" i="78"/>
  <c r="Q123" i="78"/>
  <c r="O123" i="78"/>
  <c r="H123" i="78"/>
  <c r="N165" i="78"/>
  <c r="AB174" i="78"/>
  <c r="AG123" i="78"/>
  <c r="Q184" i="78"/>
  <c r="N188" i="78"/>
  <c r="U188" i="78"/>
  <c r="AG188" i="78"/>
  <c r="M184" i="78"/>
  <c r="R123" i="78"/>
  <c r="V160" i="78"/>
  <c r="W152" i="78"/>
  <c r="K160" i="78"/>
  <c r="W139" i="78"/>
  <c r="T139" i="78"/>
  <c r="N143" i="78"/>
  <c r="AG169" i="78"/>
  <c r="AG165" i="78"/>
  <c r="T169" i="78"/>
  <c r="I165" i="78"/>
  <c r="P148" i="78"/>
  <c r="W156" i="78"/>
  <c r="U143" i="78"/>
  <c r="N160" i="78"/>
  <c r="W148" i="78"/>
  <c r="AD160" i="78"/>
  <c r="AD156" i="78"/>
  <c r="AG160" i="78"/>
  <c r="T156" i="78"/>
  <c r="W143" i="78"/>
  <c r="G156" i="78"/>
  <c r="AF148" i="78"/>
  <c r="T160" i="78"/>
  <c r="G165" i="78"/>
  <c r="H125" i="78"/>
  <c r="AF152" i="78"/>
  <c r="H165" i="78"/>
  <c r="AG156" i="78"/>
  <c r="T165" i="78"/>
  <c r="T143" i="78"/>
  <c r="Y148" i="78"/>
  <c r="AF160" i="78"/>
  <c r="AE160" i="78"/>
  <c r="H152" i="78"/>
  <c r="V169" i="78"/>
  <c r="H160" i="78"/>
  <c r="AF139" i="78"/>
  <c r="AF156" i="78"/>
  <c r="T152" i="78"/>
  <c r="H143" i="78"/>
  <c r="X160" i="78"/>
  <c r="T148" i="78"/>
  <c r="AF143" i="78"/>
  <c r="N139" i="78"/>
  <c r="N169" i="78"/>
  <c r="H156" i="78"/>
  <c r="AG148" i="78"/>
  <c r="AD139" i="78"/>
  <c r="X165" i="78"/>
  <c r="AE156" i="78"/>
  <c r="M160" i="78"/>
  <c r="X152" i="78"/>
  <c r="X148" i="78"/>
  <c r="O152" i="78"/>
  <c r="AD148" i="78"/>
  <c r="L165" i="78"/>
  <c r="AF12" i="76"/>
  <c r="AG12" i="76" s="1"/>
  <c r="AH12" i="76" s="1"/>
  <c r="AD9" i="63"/>
  <c r="AE9" i="63" s="1"/>
  <c r="AF9" i="63" s="1"/>
  <c r="AD6" i="63"/>
  <c r="AE6" i="63" s="1"/>
  <c r="AF6" i="63" s="1"/>
  <c r="AF6" i="76"/>
  <c r="AG6" i="76" s="1"/>
  <c r="AH6" i="76" s="1"/>
  <c r="W188" i="78"/>
  <c r="K188" i="78"/>
  <c r="I123" i="78"/>
  <c r="R184" i="78"/>
  <c r="Z123" i="78"/>
  <c r="Z184" i="78"/>
  <c r="AE188" i="78"/>
  <c r="AE184" i="78"/>
  <c r="I188" i="78"/>
  <c r="X123" i="78"/>
  <c r="W123" i="78"/>
  <c r="Y188" i="78"/>
  <c r="AE139" i="78"/>
  <c r="G169" i="78"/>
  <c r="Y143" i="78"/>
  <c r="AC152" i="78"/>
  <c r="G160" i="78"/>
  <c r="V156" i="78"/>
  <c r="M125" i="78"/>
  <c r="AC165" i="78"/>
  <c r="AC139" i="78"/>
  <c r="V174" i="78"/>
  <c r="AE148" i="78"/>
  <c r="V148" i="78"/>
  <c r="G148" i="78"/>
  <c r="AC143" i="78"/>
  <c r="M169" i="78"/>
  <c r="AC169" i="78"/>
  <c r="AC148" i="78"/>
  <c r="AJ148" i="78"/>
  <c r="G124" i="78"/>
  <c r="V143" i="78"/>
  <c r="M152" i="78"/>
  <c r="AB152" i="78"/>
  <c r="L148" i="78"/>
  <c r="L169" i="78"/>
  <c r="L152" i="78"/>
  <c r="AB165" i="78"/>
  <c r="AJ139" i="78"/>
  <c r="Y152" i="78"/>
  <c r="AE169" i="78"/>
  <c r="AJ156" i="78"/>
  <c r="M148" i="78"/>
  <c r="AH152" i="78"/>
  <c r="S143" i="78"/>
  <c r="Z160" i="78"/>
  <c r="Q124" i="78"/>
  <c r="Q165" i="78"/>
  <c r="S148" i="78"/>
  <c r="L160" i="78"/>
  <c r="R139" i="78"/>
  <c r="U174" i="78"/>
  <c r="Q152" i="78"/>
  <c r="AE143" i="78"/>
  <c r="G143" i="78"/>
  <c r="M165" i="78"/>
  <c r="Q169" i="78"/>
  <c r="AE152" i="78"/>
  <c r="K124" i="78"/>
  <c r="Q139" i="78"/>
  <c r="AJ124" i="78"/>
  <c r="M174" i="78"/>
  <c r="L139" i="78"/>
  <c r="Q143" i="78"/>
  <c r="Z143" i="78"/>
  <c r="M139" i="78"/>
  <c r="M156" i="78"/>
  <c r="AB160" i="78"/>
  <c r="AJ169" i="78"/>
  <c r="AE124" i="78"/>
  <c r="M124" i="78"/>
  <c r="L174" i="78"/>
  <c r="G139" i="78"/>
  <c r="Z152" i="78"/>
  <c r="K156" i="78"/>
  <c r="U169" i="78"/>
  <c r="K257" i="76"/>
  <c r="G259" i="69"/>
  <c r="X124" i="78"/>
  <c r="X174" i="78"/>
  <c r="I148" i="78"/>
  <c r="P160" i="78"/>
  <c r="X143" i="78"/>
  <c r="O139" i="78"/>
  <c r="AD169" i="78"/>
  <c r="X156" i="78"/>
  <c r="O125" i="78"/>
  <c r="AC156" i="78"/>
  <c r="AD152" i="78"/>
  <c r="AD165" i="78"/>
  <c r="O165" i="78"/>
  <c r="AA184" i="78"/>
  <c r="AA188" i="78"/>
  <c r="AD124" i="78"/>
  <c r="O160" i="78"/>
  <c r="X139" i="78"/>
  <c r="AD143" i="78"/>
  <c r="X169" i="78"/>
  <c r="O124" i="78"/>
  <c r="T184" i="78"/>
  <c r="O143" i="78"/>
  <c r="S188" i="78"/>
  <c r="K148" i="78"/>
  <c r="AD174" i="78"/>
  <c r="O156" i="78"/>
  <c r="O148" i="78"/>
  <c r="O169" i="78"/>
  <c r="S165" i="78"/>
  <c r="M143" i="78"/>
  <c r="AG152" i="78"/>
  <c r="AG139" i="78"/>
  <c r="AB156" i="78"/>
  <c r="N148" i="78"/>
  <c r="Q156" i="78"/>
  <c r="H148" i="78"/>
  <c r="W160" i="78"/>
  <c r="G152" i="78"/>
  <c r="N156" i="78"/>
  <c r="AF169" i="78"/>
  <c r="AB169" i="78"/>
  <c r="AF124" i="78"/>
  <c r="H124" i="78"/>
  <c r="AI156" i="78"/>
  <c r="AH169" i="78"/>
  <c r="S160" i="78"/>
  <c r="V152" i="78"/>
  <c r="AC174" i="78"/>
  <c r="AH160" i="78"/>
  <c r="V139" i="78"/>
  <c r="U148" i="78"/>
  <c r="U165" i="78"/>
  <c r="AC160" i="78"/>
  <c r="U139" i="78"/>
  <c r="AH156" i="78"/>
  <c r="J139" i="78"/>
  <c r="V188" i="78"/>
  <c r="AH148" i="78"/>
  <c r="S169" i="78"/>
  <c r="S139" i="78"/>
  <c r="AJ160" i="78"/>
  <c r="AC124" i="78"/>
  <c r="V123" i="78"/>
  <c r="AF123" i="78"/>
  <c r="AB148" i="78"/>
  <c r="U123" i="78"/>
  <c r="AJ143" i="78"/>
  <c r="U156" i="78"/>
  <c r="AB139" i="78"/>
  <c r="AH139" i="78"/>
  <c r="AH165" i="78"/>
  <c r="AB184" i="78"/>
  <c r="U152" i="78"/>
  <c r="V124" i="78"/>
  <c r="U124" i="78"/>
  <c r="AJ152" i="78"/>
  <c r="AB143" i="78"/>
  <c r="U160" i="78"/>
  <c r="AJ165" i="78"/>
  <c r="V165" i="78"/>
  <c r="AJ174" i="78"/>
  <c r="AP10" i="55"/>
  <c r="AQ10" i="55" s="1"/>
  <c r="AT7" i="69"/>
  <c r="N174" i="78"/>
  <c r="M123" i="78"/>
  <c r="AI165" i="78"/>
  <c r="AI139" i="78"/>
  <c r="I160" i="78"/>
  <c r="P143" i="78"/>
  <c r="L124" i="78"/>
  <c r="L156" i="78"/>
  <c r="P169" i="78"/>
  <c r="Q160" i="78"/>
  <c r="Q174" i="78"/>
  <c r="Y125" i="78"/>
  <c r="X184" i="78"/>
  <c r="I156" i="78"/>
  <c r="I139" i="78"/>
  <c r="L143" i="78"/>
  <c r="Q148" i="78"/>
  <c r="Y156" i="78"/>
  <c r="J152" i="78"/>
  <c r="AB125" i="78"/>
  <c r="I125" i="78"/>
  <c r="P125" i="78"/>
  <c r="P174" i="78"/>
  <c r="AI123" i="78"/>
  <c r="Y124" i="78"/>
  <c r="Z174" i="78"/>
  <c r="K152" i="78"/>
  <c r="K139" i="78"/>
  <c r="P156" i="78"/>
  <c r="AA152" i="78"/>
  <c r="P139" i="78"/>
  <c r="Z169" i="78"/>
  <c r="K165" i="78"/>
  <c r="K169" i="78"/>
  <c r="AA148" i="78"/>
  <c r="I174" i="78"/>
  <c r="I124" i="78"/>
  <c r="Z124" i="78"/>
  <c r="I169" i="78"/>
  <c r="P165" i="78"/>
  <c r="I152" i="78"/>
  <c r="Z148" i="78"/>
  <c r="K143" i="78"/>
  <c r="Y165" i="78"/>
  <c r="Z156" i="78"/>
  <c r="Y160" i="78"/>
  <c r="P124" i="78"/>
  <c r="AI184" i="78"/>
  <c r="Y139" i="78"/>
  <c r="P152" i="78"/>
  <c r="AA143" i="78"/>
  <c r="Y169" i="78"/>
  <c r="Z165" i="78"/>
  <c r="T125" i="78"/>
  <c r="AF125" i="78"/>
  <c r="Z139" i="78"/>
  <c r="AA169" i="78"/>
  <c r="I143" i="78"/>
  <c r="AA139" i="78"/>
  <c r="R152" i="78"/>
  <c r="AE165" i="78"/>
  <c r="P123" i="78"/>
  <c r="L123" i="78"/>
  <c r="G174" i="78"/>
  <c r="AE125" i="78"/>
  <c r="AA165" i="78"/>
  <c r="AA160" i="78"/>
  <c r="AA156" i="78"/>
  <c r="AI124" i="78"/>
  <c r="AI160" i="78"/>
  <c r="J148" i="78"/>
  <c r="AB123" i="78"/>
  <c r="AJ188" i="78"/>
  <c r="AJ123" i="78"/>
  <c r="R124" i="78"/>
  <c r="L184" i="78"/>
  <c r="J160" i="78"/>
  <c r="J143" i="78"/>
  <c r="AI125" i="78"/>
  <c r="J124" i="78"/>
  <c r="R148" i="78"/>
  <c r="R160" i="78"/>
  <c r="AI143" i="78"/>
  <c r="J165" i="78"/>
  <c r="J156" i="78"/>
  <c r="AF184" i="78"/>
  <c r="AI174" i="78"/>
  <c r="R169" i="78"/>
  <c r="R174" i="78"/>
  <c r="AI148" i="78"/>
  <c r="R143" i="78"/>
  <c r="J169" i="78"/>
  <c r="AI152" i="78"/>
  <c r="J174" i="78"/>
  <c r="AI169" i="78"/>
  <c r="R165" i="78"/>
  <c r="R156" i="78"/>
  <c r="K174" i="78"/>
  <c r="AA124" i="78"/>
  <c r="AA125" i="78"/>
  <c r="AH124" i="78"/>
  <c r="S152" i="78"/>
  <c r="AH174" i="78"/>
  <c r="S124" i="78"/>
  <c r="S125" i="78"/>
  <c r="AH143" i="78"/>
  <c r="S156" i="78"/>
  <c r="K159" i="78"/>
  <c r="AC168" i="78"/>
  <c r="L144" i="76"/>
  <c r="AC10" i="76" s="1"/>
  <c r="K291" i="76"/>
  <c r="K320" i="76"/>
  <c r="L61" i="76"/>
  <c r="K280" i="76"/>
  <c r="L56" i="76"/>
  <c r="L212" i="76"/>
  <c r="K260" i="76"/>
  <c r="L27" i="76"/>
  <c r="L164" i="76"/>
  <c r="K313" i="76"/>
  <c r="L111" i="76"/>
  <c r="L199" i="76"/>
  <c r="L245" i="76"/>
  <c r="K335" i="76"/>
  <c r="K307" i="76"/>
  <c r="L220" i="76"/>
  <c r="AC86" i="76" s="1"/>
  <c r="K276" i="76"/>
  <c r="L128" i="76"/>
  <c r="L41" i="76"/>
  <c r="K290" i="76"/>
  <c r="L214" i="76"/>
  <c r="K359" i="76"/>
  <c r="L74" i="76"/>
  <c r="W54" i="76" s="1"/>
  <c r="L188" i="76"/>
  <c r="L95" i="76"/>
  <c r="K326" i="76"/>
  <c r="AK78" i="76" s="1"/>
  <c r="L100" i="76"/>
  <c r="L221" i="76"/>
  <c r="AC87" i="76" s="1"/>
  <c r="K346" i="76"/>
  <c r="K339" i="76"/>
  <c r="L28" i="76"/>
  <c r="AA8" i="76" s="1"/>
  <c r="L176" i="76"/>
  <c r="L146" i="76"/>
  <c r="K345" i="76"/>
  <c r="K281" i="76"/>
  <c r="K347" i="76"/>
  <c r="K286" i="76"/>
  <c r="L108" i="76"/>
  <c r="L117" i="76"/>
  <c r="L213" i="76"/>
  <c r="L236" i="76"/>
  <c r="L172" i="76"/>
  <c r="AC38" i="76" s="1"/>
  <c r="L107" i="76"/>
  <c r="L119" i="76"/>
  <c r="L143" i="76"/>
  <c r="L80" i="76"/>
  <c r="K352" i="76"/>
  <c r="K334" i="76"/>
  <c r="AK86" i="76" s="1"/>
  <c r="K323" i="76"/>
  <c r="L45" i="76"/>
  <c r="AA25" i="76" s="1"/>
  <c r="L29" i="76"/>
  <c r="K277" i="76"/>
  <c r="K261" i="76"/>
  <c r="K262" i="76"/>
  <c r="AJ14" i="76" s="1"/>
  <c r="L122" i="76"/>
  <c r="L175" i="76"/>
  <c r="L165" i="76"/>
  <c r="L192" i="76"/>
  <c r="B102" i="78"/>
  <c r="AC102" i="78" s="1"/>
  <c r="L218" i="76"/>
  <c r="K336" i="76"/>
  <c r="K319" i="76"/>
  <c r="AJ71" i="76" s="1"/>
  <c r="K308" i="76"/>
  <c r="K354" i="76"/>
  <c r="L49" i="76"/>
  <c r="L34" i="76"/>
  <c r="L33" i="76"/>
  <c r="W13" i="76" s="1"/>
  <c r="K302" i="76"/>
  <c r="L58" i="76"/>
  <c r="L141" i="76"/>
  <c r="L147" i="76"/>
  <c r="L162" i="76"/>
  <c r="K289" i="76"/>
  <c r="K278" i="76"/>
  <c r="K284" i="76"/>
  <c r="L62" i="76"/>
  <c r="L98" i="76"/>
  <c r="W78" i="76" s="1"/>
  <c r="L230" i="76"/>
  <c r="K350" i="76"/>
  <c r="AK102" i="76" s="1"/>
  <c r="L205" i="76"/>
  <c r="K259" i="76"/>
  <c r="AJ11" i="76" s="1"/>
  <c r="L169" i="76"/>
  <c r="AC35" i="76" s="1"/>
  <c r="K330" i="76"/>
  <c r="K299" i="76"/>
  <c r="K282" i="76"/>
  <c r="K285" i="76"/>
  <c r="K264" i="76"/>
  <c r="L179" i="76"/>
  <c r="K254" i="76"/>
  <c r="AJ6" i="76" s="1"/>
  <c r="L171" i="76"/>
  <c r="K337" i="76"/>
  <c r="L90" i="76"/>
  <c r="L168" i="76"/>
  <c r="AC34" i="76" s="1"/>
  <c r="L26" i="76"/>
  <c r="L148" i="76"/>
  <c r="K348" i="76"/>
  <c r="AK100" i="76" s="1"/>
  <c r="L235" i="76"/>
  <c r="AC101" i="76" s="1"/>
  <c r="L181" i="76"/>
  <c r="L233" i="76"/>
  <c r="L215" i="76"/>
  <c r="L32" i="76"/>
  <c r="L71" i="76"/>
  <c r="K341" i="76"/>
  <c r="L150" i="76"/>
  <c r="L140" i="76"/>
  <c r="AC6" i="76" s="1"/>
  <c r="K292" i="76"/>
  <c r="L237" i="76"/>
  <c r="L178" i="76"/>
  <c r="L31" i="76"/>
  <c r="L228" i="76"/>
  <c r="K263" i="76"/>
  <c r="AK15" i="76" s="1"/>
  <c r="K273" i="76"/>
  <c r="K310" i="76"/>
  <c r="L120" i="76"/>
  <c r="L102" i="76"/>
  <c r="L101" i="76"/>
  <c r="W81" i="76" s="1"/>
  <c r="L156" i="76"/>
  <c r="K317" i="76"/>
  <c r="K271" i="76"/>
  <c r="L112" i="76"/>
  <c r="W92" i="76" s="1"/>
  <c r="K288" i="76"/>
  <c r="L88" i="76"/>
  <c r="L196" i="76"/>
  <c r="L87" i="76"/>
  <c r="L65" i="76"/>
  <c r="K274" i="76"/>
  <c r="L154" i="76"/>
  <c r="AC20" i="76" s="1"/>
  <c r="L73" i="76"/>
  <c r="W53" i="76" s="1"/>
  <c r="L125" i="76"/>
  <c r="K270" i="76"/>
  <c r="L187" i="76"/>
  <c r="L69" i="76"/>
  <c r="W49" i="76" s="1"/>
  <c r="L174" i="76"/>
  <c r="AC40" i="76" s="1"/>
  <c r="L67" i="76"/>
  <c r="L40" i="76"/>
  <c r="L234" i="76"/>
  <c r="L240" i="76"/>
  <c r="K293" i="76"/>
  <c r="K297" i="76"/>
  <c r="L216" i="76"/>
  <c r="L203" i="76"/>
  <c r="AC69" i="76" s="1"/>
  <c r="L123" i="76"/>
  <c r="L44" i="76"/>
  <c r="L183" i="76"/>
  <c r="L38" i="76"/>
  <c r="W18" i="76" s="1"/>
  <c r="B103" i="78"/>
  <c r="J103" i="78" s="1"/>
  <c r="L223" i="76"/>
  <c r="L158" i="76"/>
  <c r="L55" i="76"/>
  <c r="L157" i="76"/>
  <c r="L224" i="76"/>
  <c r="L91" i="76"/>
  <c r="AA71" i="76" s="1"/>
  <c r="K316" i="76"/>
  <c r="K327" i="76"/>
  <c r="K357" i="76"/>
  <c r="AL109" i="76" s="1"/>
  <c r="K306" i="76"/>
  <c r="AL58" i="76" s="1"/>
  <c r="L109" i="76"/>
  <c r="L78" i="76"/>
  <c r="L85" i="76"/>
  <c r="L118" i="76"/>
  <c r="K269" i="76"/>
  <c r="L75" i="76"/>
  <c r="L160" i="76"/>
  <c r="L106" i="76"/>
  <c r="AA86" i="76" s="1"/>
  <c r="L222" i="76"/>
  <c r="L142" i="76"/>
  <c r="L167" i="76"/>
  <c r="AC33" i="76" s="1"/>
  <c r="B101" i="78"/>
  <c r="O101" i="78" s="1"/>
  <c r="K329" i="76"/>
  <c r="L185" i="76"/>
  <c r="K283" i="76"/>
  <c r="L206" i="76"/>
  <c r="AC72" i="76" s="1"/>
  <c r="L82" i="76"/>
  <c r="L194" i="76"/>
  <c r="L217" i="76"/>
  <c r="AC83" i="76" s="1"/>
  <c r="K342" i="76"/>
  <c r="AJ94" i="76" s="1"/>
  <c r="L225" i="76"/>
  <c r="AC91" i="76" s="1"/>
  <c r="L145" i="76"/>
  <c r="L170" i="76"/>
  <c r="AC36" i="76" s="1"/>
  <c r="L59" i="76"/>
  <c r="W39" i="76" s="1"/>
  <c r="L121" i="76"/>
  <c r="L35" i="76"/>
  <c r="K272" i="76"/>
  <c r="K256" i="76"/>
  <c r="AJ8" i="76" s="1"/>
  <c r="K267" i="76"/>
  <c r="L63" i="76"/>
  <c r="L53" i="76"/>
  <c r="L131" i="76"/>
  <c r="L239" i="76"/>
  <c r="AC105" i="76" s="1"/>
  <c r="K332" i="76"/>
  <c r="L72" i="76"/>
  <c r="L201" i="76"/>
  <c r="AC67" i="76" s="1"/>
  <c r="L229" i="76"/>
  <c r="L149" i="76"/>
  <c r="L103" i="76"/>
  <c r="L51" i="76"/>
  <c r="AA31" i="76" s="1"/>
  <c r="L166" i="76"/>
  <c r="L116" i="76"/>
  <c r="K318" i="76"/>
  <c r="AK70" i="76" s="1"/>
  <c r="L52" i="76"/>
  <c r="L173" i="76"/>
  <c r="AC39" i="76" s="1"/>
  <c r="L193" i="76"/>
  <c r="K295" i="76"/>
  <c r="AL47" i="76" s="1"/>
  <c r="L204" i="76"/>
  <c r="L232" i="76"/>
  <c r="AC98" i="76" s="1"/>
  <c r="L153" i="76"/>
  <c r="K351" i="76"/>
  <c r="L36" i="76"/>
  <c r="L57" i="76"/>
  <c r="K301" i="76"/>
  <c r="K268" i="76"/>
  <c r="L110" i="76"/>
  <c r="L89" i="76"/>
  <c r="K344" i="76"/>
  <c r="K343" i="76"/>
  <c r="K303" i="76"/>
  <c r="AJ55" i="76" s="1"/>
  <c r="K328" i="76"/>
  <c r="K353" i="76"/>
  <c r="K340" i="76"/>
  <c r="AL92" i="76" s="1"/>
  <c r="L39" i="76"/>
  <c r="K279" i="76"/>
  <c r="L99" i="76"/>
  <c r="L129" i="76"/>
  <c r="L48" i="76"/>
  <c r="AA28" i="76" s="1"/>
  <c r="K356" i="76"/>
  <c r="L177" i="76"/>
  <c r="K255" i="76"/>
  <c r="L238" i="76"/>
  <c r="AC104" i="76" s="1"/>
  <c r="L186" i="76"/>
  <c r="K300" i="76"/>
  <c r="L42" i="76"/>
  <c r="L209" i="76"/>
  <c r="AC75" i="76" s="1"/>
  <c r="K349" i="76"/>
  <c r="L54" i="76"/>
  <c r="L115" i="76"/>
  <c r="W95" i="76" s="1"/>
  <c r="L227" i="76"/>
  <c r="L243" i="76"/>
  <c r="L155" i="76"/>
  <c r="L242" i="76"/>
  <c r="AC108" i="76" s="1"/>
  <c r="L163" i="76"/>
  <c r="L189" i="76"/>
  <c r="K331" i="76"/>
  <c r="L114" i="76"/>
  <c r="W94" i="76" s="1"/>
  <c r="L60" i="76"/>
  <c r="L46" i="76"/>
  <c r="G168" i="78"/>
  <c r="I168" i="78"/>
  <c r="J159" i="78"/>
  <c r="M168" i="78"/>
  <c r="O159" i="78"/>
  <c r="AF159" i="78"/>
  <c r="I159" i="78"/>
  <c r="Z159" i="78"/>
  <c r="AG159" i="78"/>
  <c r="AD159" i="78"/>
  <c r="T159" i="78"/>
  <c r="AJ159" i="78"/>
  <c r="G159" i="78"/>
  <c r="R159" i="78"/>
  <c r="X159" i="78"/>
  <c r="Q159" i="78"/>
  <c r="W159" i="78"/>
  <c r="Y159" i="78"/>
  <c r="AC159" i="78"/>
  <c r="AE159" i="78"/>
  <c r="L159" i="78"/>
  <c r="AI159" i="78"/>
  <c r="AH159" i="78"/>
  <c r="K168" i="78"/>
  <c r="S159" i="78"/>
  <c r="P159" i="78"/>
  <c r="N159" i="78"/>
  <c r="H159" i="78"/>
  <c r="AB159" i="78"/>
  <c r="Q168" i="78"/>
  <c r="T168" i="78"/>
  <c r="H168" i="78"/>
  <c r="V168" i="78"/>
  <c r="AA168" i="78"/>
  <c r="W168" i="78"/>
  <c r="O168" i="78"/>
  <c r="R168" i="78"/>
  <c r="G164" i="78"/>
  <c r="AD168" i="78"/>
  <c r="AE168" i="78"/>
  <c r="J168" i="78"/>
  <c r="L168" i="78"/>
  <c r="AB168" i="78"/>
  <c r="Z168" i="78"/>
  <c r="X164" i="78"/>
  <c r="X168" i="78"/>
  <c r="AI168" i="78"/>
  <c r="AF168" i="78"/>
  <c r="P168" i="78"/>
  <c r="L202" i="76"/>
  <c r="L43" i="76"/>
  <c r="L30" i="76"/>
  <c r="K315" i="76"/>
  <c r="AJ67" i="76" s="1"/>
  <c r="L113" i="76"/>
  <c r="W93" i="76" s="1"/>
  <c r="L64" i="76"/>
  <c r="K258" i="76"/>
  <c r="L126" i="76"/>
  <c r="K266" i="76"/>
  <c r="L226" i="76"/>
  <c r="L152" i="76"/>
  <c r="AC18" i="76" s="1"/>
  <c r="L231" i="76"/>
  <c r="AC97" i="76" s="1"/>
  <c r="L92" i="76"/>
  <c r="L50" i="76"/>
  <c r="L104" i="76"/>
  <c r="K287" i="76"/>
  <c r="L124" i="76"/>
  <c r="L79" i="76"/>
  <c r="AM56" i="76"/>
  <c r="AM73" i="76"/>
  <c r="AJ63" i="76"/>
  <c r="AJ73" i="76"/>
  <c r="AJ107" i="76"/>
  <c r="AJ50" i="76"/>
  <c r="AJ76" i="76"/>
  <c r="AJ48" i="76"/>
  <c r="AJ64" i="76"/>
  <c r="AL17" i="76"/>
  <c r="AL57" i="76"/>
  <c r="AL107" i="76"/>
  <c r="AL48" i="76"/>
  <c r="AL50" i="76"/>
  <c r="AL56" i="76"/>
  <c r="AK27" i="76"/>
  <c r="AK57" i="76"/>
  <c r="AK61" i="76"/>
  <c r="AK73" i="76"/>
  <c r="AK85" i="76"/>
  <c r="AK107" i="76"/>
  <c r="AK56" i="76"/>
  <c r="AK64" i="76"/>
  <c r="AK50" i="76"/>
  <c r="AK66" i="76"/>
  <c r="AK90" i="76"/>
  <c r="AK46" i="76"/>
  <c r="AE12" i="76"/>
  <c r="AC27" i="76"/>
  <c r="AC50" i="76"/>
  <c r="AC74" i="76"/>
  <c r="AC17" i="76"/>
  <c r="AC57" i="76"/>
  <c r="AC73" i="76"/>
  <c r="AC64" i="76"/>
  <c r="AC110" i="76"/>
  <c r="AC48" i="76"/>
  <c r="AC77" i="76"/>
  <c r="AC61" i="76"/>
  <c r="AC107" i="76"/>
  <c r="AC56" i="76"/>
  <c r="AC85" i="76"/>
  <c r="Z57" i="76"/>
  <c r="Y73" i="76"/>
  <c r="AA48" i="76"/>
  <c r="AA56" i="76"/>
  <c r="AA64" i="76"/>
  <c r="AA46" i="76"/>
  <c r="AA66" i="76"/>
  <c r="AA85" i="76"/>
  <c r="AA27" i="76"/>
  <c r="W61" i="76"/>
  <c r="W77" i="76"/>
  <c r="W56" i="76"/>
  <c r="AE6" i="76"/>
  <c r="W110" i="76"/>
  <c r="W73" i="76"/>
  <c r="W46" i="76"/>
  <c r="W50" i="76"/>
  <c r="W66" i="76"/>
  <c r="AG142" i="78"/>
  <c r="Q142" i="78"/>
  <c r="I142" i="78"/>
  <c r="AC142" i="78"/>
  <c r="K142" i="78"/>
  <c r="AB142" i="78"/>
  <c r="S142" i="78"/>
  <c r="J142" i="78"/>
  <c r="W142" i="78"/>
  <c r="N142" i="78"/>
  <c r="M142" i="78"/>
  <c r="Z142" i="78"/>
  <c r="L142" i="78"/>
  <c r="X142" i="78"/>
  <c r="H142" i="78"/>
  <c r="U142" i="78"/>
  <c r="R142" i="78"/>
  <c r="O142" i="78"/>
  <c r="AJ142" i="78"/>
  <c r="AE142" i="78"/>
  <c r="G142" i="78"/>
  <c r="AD142" i="78"/>
  <c r="AI151" i="78"/>
  <c r="AG151" i="78" l="1"/>
  <c r="Z46" i="76"/>
  <c r="AK74" i="76"/>
  <c r="AK63" i="76"/>
  <c r="AM10" i="76"/>
  <c r="T164" i="78"/>
  <c r="AG168" i="78"/>
  <c r="Y168" i="78"/>
  <c r="U168" i="78"/>
  <c r="M159" i="78"/>
  <c r="N168" i="78"/>
  <c r="AA159" i="78"/>
  <c r="AJ168" i="78"/>
  <c r="AK76" i="76"/>
  <c r="AK48" i="76"/>
  <c r="AK17" i="76"/>
  <c r="AK60" i="76"/>
  <c r="Y83" i="76"/>
  <c r="Y82" i="76"/>
  <c r="AK87" i="76"/>
  <c r="W147" i="78"/>
  <c r="S155" i="78"/>
  <c r="AH155" i="78"/>
  <c r="AB93" i="76"/>
  <c r="AB70" i="76"/>
  <c r="AB24" i="76"/>
  <c r="AB44" i="76"/>
  <c r="I155" i="78"/>
  <c r="Q138" i="78"/>
  <c r="AF138" i="78"/>
  <c r="AI147" i="78"/>
  <c r="N134" i="78"/>
  <c r="AB82" i="76"/>
  <c r="AB7" i="76"/>
  <c r="U155" i="78"/>
  <c r="AB57" i="76"/>
  <c r="Z129" i="78"/>
  <c r="AM57" i="76"/>
  <c r="Z63" i="76"/>
  <c r="N311" i="76"/>
  <c r="N322" i="76"/>
  <c r="V164" i="78"/>
  <c r="S164" i="78"/>
  <c r="Z40" i="76"/>
  <c r="Z19" i="76"/>
  <c r="Z90" i="76"/>
  <c r="Z67" i="76"/>
  <c r="N304" i="76"/>
  <c r="AM46" i="76"/>
  <c r="M147" i="78"/>
  <c r="X151" i="78"/>
  <c r="N358" i="76"/>
  <c r="AM107" i="76"/>
  <c r="U164" i="78"/>
  <c r="Q164" i="78"/>
  <c r="AK44" i="76"/>
  <c r="AJ164" i="78"/>
  <c r="M164" i="78"/>
  <c r="P164" i="78"/>
  <c r="AE164" i="78"/>
  <c r="AM7" i="76"/>
  <c r="Q151" i="78"/>
  <c r="Q153" i="78" s="1"/>
  <c r="AB107" i="76"/>
  <c r="AL9" i="76"/>
  <c r="Y57" i="76"/>
  <c r="Z48" i="76"/>
  <c r="AE7" i="76"/>
  <c r="X66" i="76"/>
  <c r="AG129" i="78"/>
  <c r="AJ138" i="78"/>
  <c r="O151" i="78"/>
  <c r="O153" i="78" s="1"/>
  <c r="H129" i="78"/>
  <c r="Y77" i="76"/>
  <c r="Y134" i="78"/>
  <c r="S129" i="78"/>
  <c r="W134" i="78"/>
  <c r="AE138" i="78"/>
  <c r="Y56" i="76"/>
  <c r="Y84" i="76"/>
  <c r="AL81" i="76"/>
  <c r="AL68" i="76"/>
  <c r="AL99" i="76"/>
  <c r="AL32" i="76"/>
  <c r="Y66" i="76"/>
  <c r="AF151" i="78"/>
  <c r="AF153" i="78" s="1"/>
  <c r="V151" i="78"/>
  <c r="V153" i="78" s="1"/>
  <c r="G129" i="78"/>
  <c r="S134" i="78"/>
  <c r="Y107" i="76"/>
  <c r="AD164" i="78"/>
  <c r="W151" i="78"/>
  <c r="W153" i="78" s="1"/>
  <c r="AE129" i="78"/>
  <c r="V134" i="78"/>
  <c r="X61" i="76"/>
  <c r="X46" i="76"/>
  <c r="Y63" i="76"/>
  <c r="X74" i="76"/>
  <c r="Z50" i="76"/>
  <c r="Y61" i="76"/>
  <c r="Y85" i="76"/>
  <c r="J151" i="78"/>
  <c r="J153" i="78" s="1"/>
  <c r="G151" i="78"/>
  <c r="G153" i="78" s="1"/>
  <c r="AB151" i="78"/>
  <c r="AB153" i="78" s="1"/>
  <c r="W129" i="78"/>
  <c r="K129" i="78"/>
  <c r="AC129" i="78"/>
  <c r="N355" i="76"/>
  <c r="X64" i="76"/>
  <c r="X50" i="76"/>
  <c r="Y76" i="76"/>
  <c r="AE8" i="76"/>
  <c r="AB64" i="76"/>
  <c r="AB50" i="76"/>
  <c r="AL110" i="76"/>
  <c r="AL77" i="76"/>
  <c r="X134" i="78"/>
  <c r="N147" i="78"/>
  <c r="M134" i="78"/>
  <c r="J134" i="78"/>
  <c r="R138" i="78"/>
  <c r="AH138" i="78"/>
  <c r="Z138" i="78"/>
  <c r="AA138" i="78"/>
  <c r="AG147" i="78"/>
  <c r="AB29" i="76"/>
  <c r="Z16" i="76"/>
  <c r="Z32" i="76"/>
  <c r="Y98" i="76"/>
  <c r="AB49" i="76"/>
  <c r="AB100" i="76"/>
  <c r="AB58" i="76"/>
  <c r="Y91" i="76"/>
  <c r="AA63" i="76"/>
  <c r="AA77" i="76"/>
  <c r="AA110" i="76"/>
  <c r="AA73" i="76"/>
  <c r="AA50" i="76"/>
  <c r="AO6" i="76"/>
  <c r="AJ57" i="76"/>
  <c r="AJ74" i="76"/>
  <c r="AJ85" i="76"/>
  <c r="AJ56" i="76"/>
  <c r="AM85" i="76"/>
  <c r="AM64" i="76"/>
  <c r="W63" i="76"/>
  <c r="W48" i="76"/>
  <c r="W76" i="76"/>
  <c r="W64" i="76"/>
  <c r="X85" i="76"/>
  <c r="X27" i="76"/>
  <c r="X77" i="76"/>
  <c r="X56" i="76"/>
  <c r="I151" i="78"/>
  <c r="I153" i="78" s="1"/>
  <c r="AE151" i="78"/>
  <c r="AE153" i="78" s="1"/>
  <c r="AJ151" i="78"/>
  <c r="AJ153" i="78" s="1"/>
  <c r="P129" i="78"/>
  <c r="X129" i="78"/>
  <c r="N129" i="78"/>
  <c r="N321" i="76"/>
  <c r="X107" i="76"/>
  <c r="X48" i="76"/>
  <c r="W17" i="76"/>
  <c r="W74" i="76"/>
  <c r="AA74" i="76"/>
  <c r="AA57" i="76"/>
  <c r="Y50" i="76"/>
  <c r="AB27" i="76"/>
  <c r="AB56" i="76"/>
  <c r="Z77" i="76"/>
  <c r="AL74" i="76"/>
  <c r="AL73" i="76"/>
  <c r="AJ46" i="76"/>
  <c r="AJ27" i="76"/>
  <c r="AM61" i="76"/>
  <c r="W10" i="76"/>
  <c r="G147" i="78"/>
  <c r="AB147" i="78"/>
  <c r="AD155" i="78"/>
  <c r="K147" i="78"/>
  <c r="R134" i="78"/>
  <c r="J147" i="78"/>
  <c r="U134" i="78"/>
  <c r="Y155" i="78"/>
  <c r="M138" i="78"/>
  <c r="W138" i="78"/>
  <c r="AC138" i="78"/>
  <c r="G155" i="78"/>
  <c r="AI134" i="78"/>
  <c r="AA22" i="76"/>
  <c r="N151" i="78"/>
  <c r="N153" i="78" s="1"/>
  <c r="H151" i="78"/>
  <c r="H153" i="78" s="1"/>
  <c r="M151" i="78"/>
  <c r="M153" i="78" s="1"/>
  <c r="R129" i="78"/>
  <c r="AJ129" i="78"/>
  <c r="V129" i="78"/>
  <c r="N296" i="76"/>
  <c r="N325" i="76"/>
  <c r="X57" i="76"/>
  <c r="X17" i="76"/>
  <c r="W107" i="76"/>
  <c r="W27" i="76"/>
  <c r="AA107" i="76"/>
  <c r="AA17" i="76"/>
  <c r="Y48" i="76"/>
  <c r="AB76" i="76"/>
  <c r="AB48" i="76"/>
  <c r="Z74" i="76"/>
  <c r="AL66" i="76"/>
  <c r="AL63" i="76"/>
  <c r="AJ90" i="76"/>
  <c r="AJ17" i="76"/>
  <c r="Y59" i="76"/>
  <c r="AB92" i="76"/>
  <c r="X23" i="76"/>
  <c r="U147" i="78"/>
  <c r="AC147" i="78"/>
  <c r="AE147" i="78"/>
  <c r="P134" i="78"/>
  <c r="P155" i="78"/>
  <c r="G138" i="78"/>
  <c r="X138" i="78"/>
  <c r="X155" i="78"/>
  <c r="N138" i="78"/>
  <c r="AB138" i="78"/>
  <c r="AH151" i="78"/>
  <c r="AH153" i="78" s="1"/>
  <c r="S151" i="78"/>
  <c r="S153" i="78" s="1"/>
  <c r="AB129" i="78"/>
  <c r="L129" i="78"/>
  <c r="N298" i="76"/>
  <c r="AA134" i="78"/>
  <c r="X73" i="76"/>
  <c r="X76" i="76"/>
  <c r="W57" i="76"/>
  <c r="W85" i="76"/>
  <c r="AA61" i="76"/>
  <c r="Y110" i="76"/>
  <c r="Y17" i="76"/>
  <c r="AB85" i="76"/>
  <c r="AL64" i="76"/>
  <c r="AJ66" i="76"/>
  <c r="AM110" i="76"/>
  <c r="X104" i="76"/>
  <c r="AB68" i="76"/>
  <c r="AF134" i="78"/>
  <c r="H134" i="78"/>
  <c r="Q147" i="78"/>
  <c r="G134" i="78"/>
  <c r="O134" i="78"/>
  <c r="O136" i="78" s="1"/>
  <c r="J155" i="78"/>
  <c r="P138" i="78"/>
  <c r="W26" i="76"/>
  <c r="AB109" i="76"/>
  <c r="AB52" i="76"/>
  <c r="W69" i="76"/>
  <c r="AB32" i="76"/>
  <c r="AB88" i="76"/>
  <c r="W89" i="76"/>
  <c r="AA45" i="76"/>
  <c r="AB22" i="76"/>
  <c r="W6" i="76"/>
  <c r="AB96" i="76"/>
  <c r="AB13" i="76"/>
  <c r="W102" i="76"/>
  <c r="AL104" i="76"/>
  <c r="AB79" i="76"/>
  <c r="AB42" i="76"/>
  <c r="AB54" i="76"/>
  <c r="W7" i="76"/>
  <c r="AF147" i="78"/>
  <c r="L147" i="78"/>
  <c r="AA147" i="78"/>
  <c r="I147" i="78"/>
  <c r="H147" i="78"/>
  <c r="O147" i="78"/>
  <c r="O149" i="78" s="1"/>
  <c r="AD147" i="78"/>
  <c r="R147" i="78"/>
  <c r="Y147" i="78"/>
  <c r="AB73" i="76"/>
  <c r="AB61" i="76"/>
  <c r="AB25" i="76"/>
  <c r="AB77" i="76"/>
  <c r="K155" i="78"/>
  <c r="AB155" i="78"/>
  <c r="Z155" i="78"/>
  <c r="W155" i="78"/>
  <c r="M155" i="78"/>
  <c r="AI155" i="78"/>
  <c r="AG155" i="78"/>
  <c r="T155" i="78"/>
  <c r="N155" i="78"/>
  <c r="O155" i="78"/>
  <c r="O157" i="78" s="1"/>
  <c r="AC155" i="78"/>
  <c r="AE155" i="78"/>
  <c r="V155" i="78"/>
  <c r="X110" i="76"/>
  <c r="AB63" i="76"/>
  <c r="AB17" i="76"/>
  <c r="T147" i="78"/>
  <c r="V147" i="78"/>
  <c r="H155" i="78"/>
  <c r="L155" i="78"/>
  <c r="AA155" i="78"/>
  <c r="AB26" i="76"/>
  <c r="AB89" i="76"/>
  <c r="AB53" i="76"/>
  <c r="AB62" i="76"/>
  <c r="S147" i="78"/>
  <c r="C61" i="78"/>
  <c r="P173" i="78" s="1"/>
  <c r="P175" i="78" s="1"/>
  <c r="P176" i="78" s="1"/>
  <c r="P177" i="78" s="1"/>
  <c r="Y129" i="78"/>
  <c r="T129" i="78"/>
  <c r="AA129" i="78"/>
  <c r="Q129" i="78"/>
  <c r="AF129" i="78"/>
  <c r="AI129" i="78"/>
  <c r="J138" i="78"/>
  <c r="O138" i="78"/>
  <c r="O140" i="78" s="1"/>
  <c r="K138" i="78"/>
  <c r="AG138" i="78"/>
  <c r="S138" i="78"/>
  <c r="U138" i="78"/>
  <c r="L138" i="78"/>
  <c r="I138" i="78"/>
  <c r="Z134" i="78"/>
  <c r="AG134" i="78"/>
  <c r="K134" i="78"/>
  <c r="J129" i="78"/>
  <c r="I129" i="78"/>
  <c r="M129" i="78"/>
  <c r="L134" i="78"/>
  <c r="X63" i="76"/>
  <c r="AB46" i="76"/>
  <c r="AB74" i="76"/>
  <c r="AH134" i="78"/>
  <c r="AJ134" i="78"/>
  <c r="AC134" i="78"/>
  <c r="AH147" i="78"/>
  <c r="R155" i="78"/>
  <c r="Q155" i="78"/>
  <c r="H138" i="78"/>
  <c r="V138" i="78"/>
  <c r="AI138" i="78"/>
  <c r="U151" i="78"/>
  <c r="U153" i="78" s="1"/>
  <c r="P151" i="78"/>
  <c r="P153" i="78" s="1"/>
  <c r="K151" i="78"/>
  <c r="K153" i="78" s="1"/>
  <c r="Z151" i="78"/>
  <c r="Z153" i="78" s="1"/>
  <c r="T151" i="78"/>
  <c r="T153" i="78" s="1"/>
  <c r="R151" i="78"/>
  <c r="R153" i="78" s="1"/>
  <c r="AA151" i="78"/>
  <c r="AA153" i="78" s="1"/>
  <c r="AD151" i="78"/>
  <c r="AD153" i="78" s="1"/>
  <c r="Y151" i="78"/>
  <c r="Y153" i="78" s="1"/>
  <c r="L151" i="78"/>
  <c r="L153" i="78" s="1"/>
  <c r="O129" i="78"/>
  <c r="O131" i="78" s="1"/>
  <c r="AH129" i="78"/>
  <c r="U129" i="78"/>
  <c r="P147" i="78"/>
  <c r="Y27" i="76"/>
  <c r="AB110" i="76"/>
  <c r="AB66" i="76"/>
  <c r="Y72" i="76"/>
  <c r="T134" i="78"/>
  <c r="I134" i="78"/>
  <c r="AJ147" i="78"/>
  <c r="Q134" i="78"/>
  <c r="AE134" i="78"/>
  <c r="X147" i="78"/>
  <c r="AD138" i="78"/>
  <c r="AD134" i="78"/>
  <c r="AF155" i="78"/>
  <c r="AB55" i="76"/>
  <c r="AB95" i="76"/>
  <c r="AB106" i="76"/>
  <c r="Y105" i="76"/>
  <c r="AB47" i="76"/>
  <c r="AB37" i="76"/>
  <c r="AB65" i="76"/>
  <c r="Z27" i="76"/>
  <c r="Z61" i="76"/>
  <c r="AO8" i="76"/>
  <c r="AL27" i="76"/>
  <c r="AL46" i="76"/>
  <c r="AL90" i="76"/>
  <c r="AL85" i="76"/>
  <c r="AL76" i="76"/>
  <c r="N324" i="76"/>
  <c r="W109" i="76"/>
  <c r="AM95" i="76"/>
  <c r="AL103" i="76"/>
  <c r="Y52" i="76"/>
  <c r="AL24" i="76"/>
  <c r="AA65" i="76"/>
  <c r="AB90" i="76"/>
  <c r="Y24" i="76"/>
  <c r="X20" i="76"/>
  <c r="AL23" i="76"/>
  <c r="AB16" i="76"/>
  <c r="AB45" i="76"/>
  <c r="AB71" i="76"/>
  <c r="AA29" i="76"/>
  <c r="AB31" i="76"/>
  <c r="AL97" i="76"/>
  <c r="AL65" i="76"/>
  <c r="AL72" i="76"/>
  <c r="T142" i="78"/>
  <c r="AA142" i="78"/>
  <c r="AH142" i="78"/>
  <c r="P142" i="78"/>
  <c r="AC66" i="76"/>
  <c r="AC46" i="76"/>
  <c r="AC76" i="76"/>
  <c r="V142" i="78"/>
  <c r="AI142" i="78"/>
  <c r="AF142" i="78"/>
  <c r="Y142" i="78"/>
  <c r="AC63" i="76"/>
  <c r="AC25" i="76"/>
  <c r="AL39" i="76"/>
  <c r="AB21" i="76"/>
  <c r="AL52" i="76"/>
  <c r="AJ96" i="76"/>
  <c r="AC19" i="76"/>
  <c r="X96" i="76"/>
  <c r="Y15" i="76"/>
  <c r="AC60" i="76"/>
  <c r="AC8" i="76"/>
  <c r="AC23" i="76"/>
  <c r="AA103" i="76"/>
  <c r="Y47" i="76"/>
  <c r="AJ26" i="76"/>
  <c r="AB94" i="76"/>
  <c r="AL93" i="76"/>
  <c r="AC14" i="76"/>
  <c r="AL16" i="76"/>
  <c r="AC28" i="76"/>
  <c r="AL106" i="76"/>
  <c r="AB41" i="76"/>
  <c r="AB102" i="76"/>
  <c r="AC12" i="76"/>
  <c r="X75" i="76"/>
  <c r="AJ28" i="76"/>
  <c r="AC30" i="76"/>
  <c r="Y46" i="76"/>
  <c r="AB103" i="76"/>
  <c r="AB81" i="76"/>
  <c r="Y70" i="76"/>
  <c r="Y38" i="76"/>
  <c r="AL13" i="76"/>
  <c r="AB9" i="76"/>
  <c r="W88" i="76"/>
  <c r="AC78" i="76"/>
  <c r="N309" i="76"/>
  <c r="N314" i="76"/>
  <c r="Y64" i="76"/>
  <c r="Y74" i="76"/>
  <c r="AK110" i="76"/>
  <c r="AK77" i="76"/>
  <c r="AA30" i="76"/>
  <c r="Y44" i="76"/>
  <c r="AJ83" i="76"/>
  <c r="AC43" i="76"/>
  <c r="AB59" i="76"/>
  <c r="AC15" i="76"/>
  <c r="AB11" i="76"/>
  <c r="AC51" i="76"/>
  <c r="W55" i="76"/>
  <c r="AK79" i="76"/>
  <c r="AK45" i="76"/>
  <c r="AA68" i="76"/>
  <c r="AA100" i="76"/>
  <c r="AC99" i="76"/>
  <c r="AJ89" i="76"/>
  <c r="AL82" i="76"/>
  <c r="AK36" i="76"/>
  <c r="AB84" i="76"/>
  <c r="AL29" i="76"/>
  <c r="Y99" i="76"/>
  <c r="AK98" i="76"/>
  <c r="AC80" i="76"/>
  <c r="AC111" i="76"/>
  <c r="Y111" i="76"/>
  <c r="Y12" i="76"/>
  <c r="AK34" i="76"/>
  <c r="Z60" i="76"/>
  <c r="Z97" i="76"/>
  <c r="AK59" i="76"/>
  <c r="AK12" i="76"/>
  <c r="S168" i="78"/>
  <c r="T138" i="78"/>
  <c r="V159" i="78"/>
  <c r="X14" i="76"/>
  <c r="X21" i="76"/>
  <c r="X41" i="76"/>
  <c r="AA76" i="76"/>
  <c r="AJ110" i="76"/>
  <c r="AJ61" i="76"/>
  <c r="AJ20" i="76"/>
  <c r="AA33" i="76"/>
  <c r="AM35" i="76"/>
  <c r="AJ49" i="76"/>
  <c r="AM51" i="76"/>
  <c r="AA42" i="76"/>
  <c r="AM88" i="76"/>
  <c r="AJ91" i="76"/>
  <c r="AJ111" i="76"/>
  <c r="AJ108" i="76"/>
  <c r="AJ19" i="76"/>
  <c r="AJ21" i="76"/>
  <c r="AJ62" i="76"/>
  <c r="AJ30" i="76"/>
  <c r="AA9" i="76"/>
  <c r="AJ42" i="76"/>
  <c r="AM27" i="76"/>
  <c r="Z64" i="76"/>
  <c r="N275" i="76"/>
  <c r="N312" i="76"/>
  <c r="Z110" i="76"/>
  <c r="Z107" i="76"/>
  <c r="Z56" i="76"/>
  <c r="AM74" i="76"/>
  <c r="AM48" i="76"/>
  <c r="AM77" i="76"/>
  <c r="N164" i="78"/>
  <c r="AB164" i="78"/>
  <c r="O164" i="78"/>
  <c r="O166" i="78" s="1"/>
  <c r="AM101" i="76"/>
  <c r="AM80" i="76"/>
  <c r="Z37" i="76"/>
  <c r="AM40" i="76"/>
  <c r="Z87" i="76"/>
  <c r="AM25" i="76"/>
  <c r="AM41" i="76"/>
  <c r="AM33" i="76"/>
  <c r="Z80" i="76"/>
  <c r="AM75" i="76"/>
  <c r="Z108" i="76"/>
  <c r="AF164" i="78"/>
  <c r="Z85" i="76"/>
  <c r="AE9" i="76"/>
  <c r="AM76" i="76"/>
  <c r="AM63" i="76"/>
  <c r="AM18" i="76"/>
  <c r="H164" i="78"/>
  <c r="Y164" i="78"/>
  <c r="I164" i="78"/>
  <c r="L164" i="78"/>
  <c r="Z79" i="76"/>
  <c r="AM84" i="76"/>
  <c r="Z58" i="76"/>
  <c r="AM69" i="76"/>
  <c r="N291" i="76"/>
  <c r="N265" i="76"/>
  <c r="N294" i="76"/>
  <c r="Z76" i="76"/>
  <c r="Z66" i="76"/>
  <c r="AM66" i="76"/>
  <c r="AM17" i="76"/>
  <c r="Z106" i="76"/>
  <c r="AG164" i="78"/>
  <c r="AC164" i="78"/>
  <c r="J164" i="78"/>
  <c r="AI164" i="78"/>
  <c r="Z164" i="78"/>
  <c r="AA164" i="78"/>
  <c r="R164" i="78"/>
  <c r="AM31" i="76"/>
  <c r="Z62" i="76"/>
  <c r="Z11" i="76"/>
  <c r="AM37" i="76"/>
  <c r="N305" i="76"/>
  <c r="N333" i="76"/>
  <c r="N338" i="76"/>
  <c r="Z73" i="76"/>
  <c r="Z17" i="76"/>
  <c r="AM90" i="76"/>
  <c r="AM50" i="76"/>
  <c r="AH164" i="78"/>
  <c r="K164" i="78"/>
  <c r="Z34" i="76"/>
  <c r="AM105" i="76"/>
  <c r="AM53" i="76"/>
  <c r="Z43" i="76"/>
  <c r="AM22" i="76"/>
  <c r="AM54" i="76"/>
  <c r="AM38" i="76"/>
  <c r="Z36" i="76"/>
  <c r="X101" i="76"/>
  <c r="X35" i="76"/>
  <c r="Y51" i="76"/>
  <c r="AO9" i="76"/>
  <c r="AC153" i="78"/>
  <c r="J194" i="78"/>
  <c r="AC186" i="78"/>
  <c r="AC193" i="78" s="1"/>
  <c r="X153" i="78"/>
  <c r="AB105" i="76"/>
  <c r="O126" i="78"/>
  <c r="AG153" i="78"/>
  <c r="AM9" i="76"/>
  <c r="AK9" i="76"/>
  <c r="AJ9" i="76"/>
  <c r="N257" i="76"/>
  <c r="AI153" i="78"/>
  <c r="AJ104" i="76"/>
  <c r="X7" i="76"/>
  <c r="Z51" i="76"/>
  <c r="N300" i="76"/>
  <c r="AB40" i="76"/>
  <c r="AM60" i="76"/>
  <c r="X26" i="76"/>
  <c r="AA7" i="76"/>
  <c r="AB10" i="76"/>
  <c r="Z6" i="76"/>
  <c r="AC88" i="76"/>
  <c r="AK28" i="76"/>
  <c r="AA108" i="76"/>
  <c r="W108" i="76"/>
  <c r="W58" i="76"/>
  <c r="X103" i="76"/>
  <c r="X15" i="76"/>
  <c r="AM106" i="76"/>
  <c r="N341" i="76"/>
  <c r="N317" i="76"/>
  <c r="AJ102" i="76"/>
  <c r="AM16" i="76"/>
  <c r="Y103" i="76"/>
  <c r="Z103" i="76"/>
  <c r="AJ93" i="76"/>
  <c r="N313" i="76"/>
  <c r="X47" i="76"/>
  <c r="X29" i="76"/>
  <c r="AL28" i="76"/>
  <c r="AJ97" i="76"/>
  <c r="AJ43" i="76"/>
  <c r="N271" i="76"/>
  <c r="AC71" i="76"/>
  <c r="AM78" i="76"/>
  <c r="N274" i="76"/>
  <c r="W47" i="76"/>
  <c r="W20" i="76"/>
  <c r="N320" i="76"/>
  <c r="AB60" i="76"/>
  <c r="AK72" i="76"/>
  <c r="AK69" i="76"/>
  <c r="AL100" i="76"/>
  <c r="X62" i="76"/>
  <c r="Y6" i="76"/>
  <c r="AC79" i="76"/>
  <c r="AL37" i="76"/>
  <c r="X69" i="76"/>
  <c r="W101" i="76"/>
  <c r="AA51" i="76"/>
  <c r="AC13" i="76"/>
  <c r="AK104" i="76"/>
  <c r="W51" i="76"/>
  <c r="AA6" i="76"/>
  <c r="Y45" i="76"/>
  <c r="Z45" i="76"/>
  <c r="AC96" i="76"/>
  <c r="N285" i="76"/>
  <c r="X89" i="76"/>
  <c r="X45" i="76"/>
  <c r="W35" i="76"/>
  <c r="W45" i="76"/>
  <c r="AA11" i="76"/>
  <c r="AA26" i="76"/>
  <c r="Y102" i="76"/>
  <c r="Y62" i="76"/>
  <c r="Z102" i="76"/>
  <c r="Z35" i="76"/>
  <c r="AC54" i="76"/>
  <c r="AC22" i="76"/>
  <c r="N307" i="76"/>
  <c r="X51" i="76"/>
  <c r="X6" i="76"/>
  <c r="AA69" i="76"/>
  <c r="AA35" i="76"/>
  <c r="Y35" i="76"/>
  <c r="Y11" i="76"/>
  <c r="Z101" i="76"/>
  <c r="Z69" i="76"/>
  <c r="AK31" i="76"/>
  <c r="AA62" i="76"/>
  <c r="AA101" i="76"/>
  <c r="Y7" i="76"/>
  <c r="Z7" i="76"/>
  <c r="AJ31" i="76"/>
  <c r="X11" i="76"/>
  <c r="Y101" i="76"/>
  <c r="Y89" i="76"/>
  <c r="AC42" i="76"/>
  <c r="N308" i="76"/>
  <c r="AA102" i="76"/>
  <c r="Y69" i="76"/>
  <c r="Z26" i="76"/>
  <c r="N352" i="76"/>
  <c r="AB69" i="76"/>
  <c r="N332" i="76"/>
  <c r="N354" i="76"/>
  <c r="AA79" i="76"/>
  <c r="AB19" i="76"/>
  <c r="Z75" i="76"/>
  <c r="AC21" i="76"/>
  <c r="Y58" i="76"/>
  <c r="W96" i="76"/>
  <c r="AB86" i="76"/>
  <c r="Z89" i="76"/>
  <c r="AC41" i="76"/>
  <c r="AA58" i="76"/>
  <c r="AC102" i="76"/>
  <c r="AJ84" i="76"/>
  <c r="W75" i="76"/>
  <c r="AJ106" i="76"/>
  <c r="X102" i="76"/>
  <c r="AA89" i="76"/>
  <c r="Z96" i="76"/>
  <c r="AC109" i="76"/>
  <c r="N264" i="76"/>
  <c r="AB14" i="76"/>
  <c r="Z47" i="76"/>
  <c r="AC94" i="76"/>
  <c r="AK93" i="76"/>
  <c r="AK43" i="76"/>
  <c r="AJ86" i="76"/>
  <c r="AJ69" i="76"/>
  <c r="AM93" i="76"/>
  <c r="N350" i="76"/>
  <c r="W15" i="76"/>
  <c r="AA96" i="76"/>
  <c r="AA47" i="76"/>
  <c r="Y96" i="76"/>
  <c r="AB12" i="76"/>
  <c r="AB8" i="76"/>
  <c r="Z15" i="76"/>
  <c r="AK106" i="76"/>
  <c r="AK26" i="76"/>
  <c r="AL86" i="76"/>
  <c r="AL69" i="76"/>
  <c r="AM102" i="76"/>
  <c r="AM28" i="76"/>
  <c r="AA15" i="76"/>
  <c r="AL84" i="76"/>
  <c r="AM86" i="76"/>
  <c r="AM26" i="76"/>
  <c r="N334" i="76"/>
  <c r="W79" i="76"/>
  <c r="W103" i="76"/>
  <c r="AB28" i="76"/>
  <c r="AK84" i="76"/>
  <c r="AL43" i="76"/>
  <c r="AJ16" i="76"/>
  <c r="AM43" i="76"/>
  <c r="AB23" i="76"/>
  <c r="AL102" i="76"/>
  <c r="AJ103" i="76"/>
  <c r="AB98" i="76"/>
  <c r="AC52" i="76"/>
  <c r="N279" i="76"/>
  <c r="N345" i="76"/>
  <c r="N276" i="76"/>
  <c r="X108" i="76"/>
  <c r="X58" i="76"/>
  <c r="X79" i="76"/>
  <c r="W62" i="76"/>
  <c r="W11" i="76"/>
  <c r="AA75" i="76"/>
  <c r="Y75" i="76"/>
  <c r="Y26" i="76"/>
  <c r="Y79" i="76"/>
  <c r="AL26" i="76"/>
  <c r="AJ60" i="76"/>
  <c r="N344" i="76"/>
  <c r="N326" i="76"/>
  <c r="Y108" i="76"/>
  <c r="AB38" i="76"/>
  <c r="AB30" i="76"/>
  <c r="AK16" i="76"/>
  <c r="AM52" i="76"/>
  <c r="AC32" i="76"/>
  <c r="AC31" i="76"/>
  <c r="AJ37" i="76"/>
  <c r="AM65" i="76"/>
  <c r="W29" i="76"/>
  <c r="AA52" i="76"/>
  <c r="AA109" i="76"/>
  <c r="Y29" i="76"/>
  <c r="W52" i="76"/>
  <c r="AK65" i="76"/>
  <c r="AK23" i="76"/>
  <c r="AL60" i="76"/>
  <c r="AJ72" i="76"/>
  <c r="AJ70" i="76"/>
  <c r="AM104" i="76"/>
  <c r="AM97" i="76"/>
  <c r="AB33" i="76"/>
  <c r="Z24" i="76"/>
  <c r="AB83" i="76"/>
  <c r="AL75" i="76"/>
  <c r="AL31" i="76"/>
  <c r="AM70" i="76"/>
  <c r="AK37" i="76"/>
  <c r="AL70" i="76"/>
  <c r="AJ65" i="76"/>
  <c r="AJ23" i="76"/>
  <c r="AM100" i="76"/>
  <c r="W65" i="76"/>
  <c r="AA24" i="76"/>
  <c r="Y20" i="76"/>
  <c r="Z20" i="76"/>
  <c r="N263" i="76"/>
  <c r="X52" i="76"/>
  <c r="Z52" i="76"/>
  <c r="AC90" i="76"/>
  <c r="Y65" i="76"/>
  <c r="AC45" i="76"/>
  <c r="AK97" i="76"/>
  <c r="AM72" i="76"/>
  <c r="AA20" i="76"/>
  <c r="Z65" i="76"/>
  <c r="AK103" i="76"/>
  <c r="AM15" i="76"/>
  <c r="AB20" i="76"/>
  <c r="Z29" i="76"/>
  <c r="Z22" i="76"/>
  <c r="AC16" i="76"/>
  <c r="AK24" i="76"/>
  <c r="AK75" i="76"/>
  <c r="AL95" i="76"/>
  <c r="N323" i="76"/>
  <c r="N351" i="76"/>
  <c r="X65" i="76"/>
  <c r="AL15" i="76"/>
  <c r="AJ100" i="76"/>
  <c r="AJ75" i="76"/>
  <c r="AM103" i="76"/>
  <c r="N348" i="76"/>
  <c r="N272" i="76"/>
  <c r="X24" i="76"/>
  <c r="W24" i="76"/>
  <c r="Y109" i="76"/>
  <c r="AL78" i="76"/>
  <c r="AJ78" i="76"/>
  <c r="AJ15" i="76"/>
  <c r="AM23" i="76"/>
  <c r="N318" i="76"/>
  <c r="AJ24" i="76"/>
  <c r="AM24" i="76"/>
  <c r="W8" i="76"/>
  <c r="AA78" i="76"/>
  <c r="Y97" i="76"/>
  <c r="Z111" i="76"/>
  <c r="W67" i="76"/>
  <c r="N260" i="76"/>
  <c r="W12" i="76"/>
  <c r="AA90" i="76"/>
  <c r="AA97" i="76"/>
  <c r="AM14" i="76"/>
  <c r="AA60" i="76"/>
  <c r="AM12" i="76"/>
  <c r="AM71" i="76"/>
  <c r="AL12" i="76"/>
  <c r="AC82" i="76"/>
  <c r="X8" i="76"/>
  <c r="Y21" i="76"/>
  <c r="Y60" i="76"/>
  <c r="AB34" i="76"/>
  <c r="AJ34" i="76"/>
  <c r="X12" i="76"/>
  <c r="X86" i="76"/>
  <c r="W90" i="76"/>
  <c r="AC7" i="76"/>
  <c r="AL71" i="76"/>
  <c r="X19" i="76"/>
  <c r="AC93" i="76"/>
  <c r="AL34" i="76"/>
  <c r="X111" i="76"/>
  <c r="X54" i="76"/>
  <c r="X90" i="76"/>
  <c r="W111" i="76"/>
  <c r="Y39" i="76"/>
  <c r="Z86" i="76"/>
  <c r="Z39" i="76"/>
  <c r="AC44" i="76"/>
  <c r="X67" i="76"/>
  <c r="X81" i="76"/>
  <c r="Y49" i="76"/>
  <c r="Y78" i="76"/>
  <c r="Z78" i="76"/>
  <c r="AJ58" i="76"/>
  <c r="W40" i="76"/>
  <c r="W97" i="76"/>
  <c r="W72" i="76"/>
  <c r="AA19" i="76"/>
  <c r="AA81" i="76"/>
  <c r="Y40" i="76"/>
  <c r="Y81" i="76"/>
  <c r="AK14" i="76"/>
  <c r="AJ59" i="76"/>
  <c r="N337" i="76"/>
  <c r="Y41" i="76"/>
  <c r="N335" i="76"/>
  <c r="AC70" i="76"/>
  <c r="N261" i="76"/>
  <c r="AL51" i="76"/>
  <c r="N339" i="76"/>
  <c r="X42" i="76"/>
  <c r="Y32" i="76"/>
  <c r="N306" i="76"/>
  <c r="N254" i="76"/>
  <c r="P254" i="76" s="1"/>
  <c r="N262" i="76"/>
  <c r="X49" i="76"/>
  <c r="X93" i="76"/>
  <c r="X39" i="76"/>
  <c r="X78" i="76"/>
  <c r="W60" i="76"/>
  <c r="AA67" i="76"/>
  <c r="AA111" i="76"/>
  <c r="AA54" i="76"/>
  <c r="AA12" i="76"/>
  <c r="Y67" i="76"/>
  <c r="Y90" i="76"/>
  <c r="Y86" i="76"/>
  <c r="AB104" i="76"/>
  <c r="AB72" i="76"/>
  <c r="AB18" i="76"/>
  <c r="Z12" i="76"/>
  <c r="AK71" i="76"/>
  <c r="AL14" i="76"/>
  <c r="AL59" i="76"/>
  <c r="AJ12" i="76"/>
  <c r="AM59" i="76"/>
  <c r="N282" i="76"/>
  <c r="N347" i="76"/>
  <c r="N319" i="76"/>
  <c r="X40" i="76"/>
  <c r="X97" i="76"/>
  <c r="X60" i="76"/>
  <c r="W86" i="76"/>
  <c r="W31" i="76"/>
  <c r="AA40" i="76"/>
  <c r="Y8" i="76"/>
  <c r="Y31" i="76"/>
  <c r="Z31" i="76"/>
  <c r="Z8" i="76"/>
  <c r="AC24" i="76"/>
  <c r="AM34" i="76"/>
  <c r="X91" i="76"/>
  <c r="W41" i="76"/>
  <c r="W19" i="76"/>
  <c r="AA39" i="76"/>
  <c r="AA49" i="76"/>
  <c r="Y19" i="76"/>
  <c r="Y54" i="76"/>
  <c r="Z49" i="76"/>
  <c r="Z81" i="76"/>
  <c r="Z54" i="76"/>
  <c r="X31" i="76"/>
  <c r="AA41" i="76"/>
  <c r="AK58" i="76"/>
  <c r="AM58" i="76"/>
  <c r="N359" i="76"/>
  <c r="X9" i="76"/>
  <c r="Y95" i="76"/>
  <c r="N346" i="76"/>
  <c r="N277" i="76"/>
  <c r="Y9" i="76"/>
  <c r="N340" i="76"/>
  <c r="N297" i="76"/>
  <c r="AA21" i="76"/>
  <c r="AA91" i="76"/>
  <c r="Z94" i="76"/>
  <c r="Z9" i="76"/>
  <c r="AC62" i="76"/>
  <c r="N268" i="76"/>
  <c r="Y42" i="76"/>
  <c r="Z91" i="76"/>
  <c r="X106" i="76"/>
  <c r="X80" i="76"/>
  <c r="W91" i="76"/>
  <c r="W21" i="76"/>
  <c r="AA106" i="76"/>
  <c r="AC65" i="76"/>
  <c r="W106" i="76"/>
  <c r="Z41" i="76"/>
  <c r="X87" i="76"/>
  <c r="W87" i="76"/>
  <c r="AB101" i="76"/>
  <c r="N286" i="76"/>
  <c r="AC190" i="78"/>
  <c r="N290" i="76"/>
  <c r="N259" i="76"/>
  <c r="N293" i="76"/>
  <c r="W36" i="76"/>
  <c r="AA87" i="76"/>
  <c r="Y87" i="76"/>
  <c r="N273" i="76"/>
  <c r="N330" i="76"/>
  <c r="W9" i="76"/>
  <c r="W25" i="76"/>
  <c r="N353" i="76"/>
  <c r="N288" i="76"/>
  <c r="N284" i="76"/>
  <c r="N280" i="76"/>
  <c r="N302" i="76"/>
  <c r="X36" i="76"/>
  <c r="W16" i="76"/>
  <c r="AA80" i="76"/>
  <c r="N258" i="76"/>
  <c r="N329" i="76"/>
  <c r="W80" i="76"/>
  <c r="Y80" i="76"/>
  <c r="N289" i="76"/>
  <c r="X25" i="76"/>
  <c r="W98" i="76"/>
  <c r="AB39" i="76"/>
  <c r="Z21" i="76"/>
  <c r="AC49" i="76"/>
  <c r="AC58" i="76"/>
  <c r="N281" i="76"/>
  <c r="N328" i="76"/>
  <c r="Z14" i="76"/>
  <c r="X34" i="76"/>
  <c r="Y92" i="76"/>
  <c r="AJ36" i="76"/>
  <c r="N331" i="76"/>
  <c r="X10" i="76"/>
  <c r="AK41" i="76"/>
  <c r="N292" i="76"/>
  <c r="Y13" i="76"/>
  <c r="AC84" i="76"/>
  <c r="AL21" i="76"/>
  <c r="AL94" i="76"/>
  <c r="N266" i="76"/>
  <c r="N310" i="76"/>
  <c r="X32" i="76"/>
  <c r="AK11" i="76"/>
  <c r="AL45" i="76"/>
  <c r="N315" i="76"/>
  <c r="N256" i="76"/>
  <c r="W71" i="76"/>
  <c r="W105" i="76"/>
  <c r="AA92" i="76"/>
  <c r="AA10" i="76"/>
  <c r="Y88" i="76"/>
  <c r="Z92" i="76"/>
  <c r="Z105" i="76"/>
  <c r="Z95" i="76"/>
  <c r="AK30" i="76"/>
  <c r="AM55" i="76"/>
  <c r="AB67" i="76"/>
  <c r="AA95" i="76"/>
  <c r="X16" i="76"/>
  <c r="AA88" i="76"/>
  <c r="AA38" i="76"/>
  <c r="AA94" i="76"/>
  <c r="AA99" i="76"/>
  <c r="AA32" i="76"/>
  <c r="Z25" i="76"/>
  <c r="AC47" i="76"/>
  <c r="AK33" i="76"/>
  <c r="AK7" i="76"/>
  <c r="AJ41" i="76"/>
  <c r="AM68" i="76"/>
  <c r="N299" i="76"/>
  <c r="N278" i="76"/>
  <c r="X99" i="76"/>
  <c r="W32" i="76"/>
  <c r="AA37" i="76"/>
  <c r="Z53" i="76"/>
  <c r="AC100" i="76"/>
  <c r="AK91" i="76"/>
  <c r="AJ99" i="76"/>
  <c r="AJ7" i="76"/>
  <c r="N255" i="76"/>
  <c r="N342" i="76"/>
  <c r="N303" i="76"/>
  <c r="X28" i="76"/>
  <c r="X53" i="76"/>
  <c r="W14" i="76"/>
  <c r="AA98" i="76"/>
  <c r="AA16" i="76"/>
  <c r="Y53" i="76"/>
  <c r="AB6" i="76"/>
  <c r="AK20" i="76"/>
  <c r="AK40" i="76"/>
  <c r="AL33" i="76"/>
  <c r="AJ33" i="76"/>
  <c r="AL7" i="76"/>
  <c r="AJ109" i="76"/>
  <c r="AM20" i="76"/>
  <c r="AC106" i="76"/>
  <c r="AM21" i="76"/>
  <c r="X102" i="78"/>
  <c r="X190" i="78" s="1"/>
  <c r="X95" i="76"/>
  <c r="X18" i="76"/>
  <c r="X94" i="76"/>
  <c r="Y94" i="76"/>
  <c r="AB87" i="76"/>
  <c r="AK92" i="76"/>
  <c r="AK21" i="76"/>
  <c r="AL41" i="76"/>
  <c r="AJ38" i="76"/>
  <c r="AB102" i="78"/>
  <c r="AB190" i="78" s="1"/>
  <c r="AB43" i="76"/>
  <c r="Z38" i="76"/>
  <c r="AC95" i="76"/>
  <c r="AL54" i="76"/>
  <c r="AL20" i="76"/>
  <c r="AL11" i="76"/>
  <c r="AM91" i="76"/>
  <c r="AM11" i="76"/>
  <c r="Z28" i="76"/>
  <c r="Z33" i="76"/>
  <c r="Z30" i="76"/>
  <c r="AC9" i="76"/>
  <c r="AC26" i="76"/>
  <c r="AK99" i="76"/>
  <c r="AJ92" i="76"/>
  <c r="AM87" i="76"/>
  <c r="AM89" i="76"/>
  <c r="W22" i="76"/>
  <c r="N269" i="76"/>
  <c r="N316" i="76"/>
  <c r="N343" i="76"/>
  <c r="X92" i="76"/>
  <c r="X98" i="76"/>
  <c r="AA53" i="76"/>
  <c r="AA18" i="76"/>
  <c r="AA13" i="76"/>
  <c r="Y68" i="76"/>
  <c r="Y18" i="76"/>
  <c r="Y37" i="76"/>
  <c r="Y22" i="76"/>
  <c r="AB99" i="76"/>
  <c r="AB91" i="76"/>
  <c r="Z98" i="76"/>
  <c r="Z99" i="76"/>
  <c r="Z71" i="76"/>
  <c r="AC37" i="76"/>
  <c r="AK82" i="76"/>
  <c r="AK8" i="76"/>
  <c r="AK25" i="76"/>
  <c r="AM62" i="76"/>
  <c r="AM44" i="76"/>
  <c r="U101" i="78"/>
  <c r="X22" i="76"/>
  <c r="O144" i="78"/>
  <c r="O161" i="78"/>
  <c r="X109" i="76"/>
  <c r="W37" i="76"/>
  <c r="AA14" i="76"/>
  <c r="Y25" i="76"/>
  <c r="Y10" i="76"/>
  <c r="Y14" i="76"/>
  <c r="Z109" i="76"/>
  <c r="AK68" i="76"/>
  <c r="AL30" i="76"/>
  <c r="AL25" i="76"/>
  <c r="AJ82" i="76"/>
  <c r="AJ25" i="76"/>
  <c r="AM42" i="76"/>
  <c r="AG102" i="78"/>
  <c r="T101" i="78"/>
  <c r="T126" i="78" s="1"/>
  <c r="AK6" i="76"/>
  <c r="J102" i="78"/>
  <c r="J186" i="78" s="1"/>
  <c r="J192" i="78" s="1"/>
  <c r="AL6" i="76"/>
  <c r="AJ102" i="78"/>
  <c r="AJ186" i="78" s="1"/>
  <c r="AJ192" i="78" s="1"/>
  <c r="Y71" i="76"/>
  <c r="AJ95" i="76"/>
  <c r="N267" i="76"/>
  <c r="X71" i="76"/>
  <c r="X105" i="76"/>
  <c r="X13" i="76"/>
  <c r="W23" i="76"/>
  <c r="AL40" i="76"/>
  <c r="AG101" i="78"/>
  <c r="AG126" i="78" s="1"/>
  <c r="AD101" i="78"/>
  <c r="AD126" i="78" s="1"/>
  <c r="G102" i="78"/>
  <c r="AM6" i="76"/>
  <c r="W102" i="78"/>
  <c r="W190" i="78" s="1"/>
  <c r="AA23" i="76"/>
  <c r="Z23" i="76"/>
  <c r="AK109" i="76"/>
  <c r="AK35" i="76"/>
  <c r="Y103" i="78"/>
  <c r="Y194" i="78" s="1"/>
  <c r="Z83" i="76"/>
  <c r="AK105" i="76"/>
  <c r="N287" i="76"/>
  <c r="N295" i="76"/>
  <c r="N357" i="76"/>
  <c r="X83" i="76"/>
  <c r="W33" i="76"/>
  <c r="W42" i="76"/>
  <c r="AA36" i="76"/>
  <c r="AC89" i="76"/>
  <c r="AC53" i="76"/>
  <c r="AK53" i="76"/>
  <c r="AL89" i="76"/>
  <c r="AJ45" i="76"/>
  <c r="AM36" i="76"/>
  <c r="AM83" i="76"/>
  <c r="AM19" i="76"/>
  <c r="AI102" i="78"/>
  <c r="AI186" i="78" s="1"/>
  <c r="AI192" i="78" s="1"/>
  <c r="T102" i="78"/>
  <c r="T186" i="78" s="1"/>
  <c r="T192" i="78" s="1"/>
  <c r="X88" i="76"/>
  <c r="X84" i="76"/>
  <c r="Y33" i="76"/>
  <c r="Z42" i="76"/>
  <c r="Z68" i="76"/>
  <c r="AK47" i="76"/>
  <c r="AL38" i="76"/>
  <c r="AL87" i="76"/>
  <c r="AM109" i="76"/>
  <c r="AM29" i="76"/>
  <c r="L102" i="78"/>
  <c r="L186" i="78" s="1"/>
  <c r="L192" i="78" s="1"/>
  <c r="N283" i="76"/>
  <c r="X33" i="76"/>
  <c r="W84" i="76"/>
  <c r="AA83" i="76"/>
  <c r="AA70" i="76"/>
  <c r="AC68" i="76"/>
  <c r="AL35" i="76"/>
  <c r="X44" i="76"/>
  <c r="W99" i="76"/>
  <c r="W44" i="76"/>
  <c r="AA44" i="76"/>
  <c r="Y34" i="76"/>
  <c r="AB108" i="76"/>
  <c r="Z10" i="76"/>
  <c r="Z55" i="76"/>
  <c r="Z88" i="76"/>
  <c r="AC81" i="76"/>
  <c r="AK95" i="76"/>
  <c r="AK55" i="76"/>
  <c r="AL91" i="76"/>
  <c r="AL53" i="76"/>
  <c r="AJ54" i="76"/>
  <c r="AJ79" i="76"/>
  <c r="AM30" i="76"/>
  <c r="AM8" i="76"/>
  <c r="K101" i="78"/>
  <c r="K126" i="78" s="1"/>
  <c r="X82" i="76"/>
  <c r="AA43" i="76"/>
  <c r="Y100" i="76"/>
  <c r="AB51" i="76"/>
  <c r="Z100" i="76"/>
  <c r="AC55" i="76"/>
  <c r="AK38" i="76"/>
  <c r="AK89" i="76"/>
  <c r="AL88" i="76"/>
  <c r="AL105" i="76"/>
  <c r="AJ98" i="76"/>
  <c r="AJ53" i="76"/>
  <c r="AK108" i="76"/>
  <c r="AL108" i="76"/>
  <c r="AL79" i="76"/>
  <c r="N270" i="76"/>
  <c r="N336" i="76"/>
  <c r="X68" i="76"/>
  <c r="X38" i="76"/>
  <c r="W68" i="76"/>
  <c r="AB111" i="76"/>
  <c r="Z70" i="76"/>
  <c r="AC29" i="76"/>
  <c r="AK83" i="76"/>
  <c r="AK19" i="76"/>
  <c r="AL22" i="76"/>
  <c r="AL19" i="76"/>
  <c r="AJ44" i="76"/>
  <c r="N102" i="78"/>
  <c r="N186" i="78" s="1"/>
  <c r="N193" i="78" s="1"/>
  <c r="Y55" i="76"/>
  <c r="AB15" i="76"/>
  <c r="AC59" i="76"/>
  <c r="AK80" i="76"/>
  <c r="AL80" i="76"/>
  <c r="AM108" i="76"/>
  <c r="N349" i="76"/>
  <c r="N301" i="76"/>
  <c r="N356" i="76"/>
  <c r="N327" i="76"/>
  <c r="X100" i="76"/>
  <c r="W34" i="76"/>
  <c r="W70" i="76"/>
  <c r="AA55" i="76"/>
  <c r="Y43" i="76"/>
  <c r="Y16" i="76"/>
  <c r="Z84" i="76"/>
  <c r="AL36" i="76"/>
  <c r="AL55" i="76"/>
  <c r="AJ81" i="76"/>
  <c r="AM111" i="76"/>
  <c r="AH102" i="78"/>
  <c r="AH190" i="78" s="1"/>
  <c r="AA101" i="78"/>
  <c r="X70" i="76"/>
  <c r="W100" i="76"/>
  <c r="W82" i="76"/>
  <c r="W104" i="76"/>
  <c r="AA105" i="76"/>
  <c r="AB78" i="76"/>
  <c r="AB75" i="76"/>
  <c r="Z18" i="76"/>
  <c r="Z82" i="76"/>
  <c r="AC11" i="76"/>
  <c r="AK62" i="76"/>
  <c r="AK81" i="76"/>
  <c r="AL98" i="76"/>
  <c r="AL62" i="76"/>
  <c r="AL44" i="76"/>
  <c r="AL111" i="76"/>
  <c r="AJ40" i="76"/>
  <c r="AJ80" i="76"/>
  <c r="AJ51" i="76"/>
  <c r="AM98" i="76"/>
  <c r="AM99" i="76"/>
  <c r="AM49" i="76"/>
  <c r="U102" i="78"/>
  <c r="U186" i="78" s="1"/>
  <c r="U192" i="78" s="1"/>
  <c r="AE102" i="78"/>
  <c r="AE190" i="78" s="1"/>
  <c r="T103" i="78"/>
  <c r="T194" i="78" s="1"/>
  <c r="Y102" i="78"/>
  <c r="Y190" i="78" s="1"/>
  <c r="X43" i="76"/>
  <c r="X37" i="76"/>
  <c r="W38" i="76"/>
  <c r="W83" i="76"/>
  <c r="W28" i="76"/>
  <c r="Y36" i="76"/>
  <c r="Y28" i="76"/>
  <c r="AB36" i="76"/>
  <c r="AB35" i="76"/>
  <c r="Z13" i="76"/>
  <c r="AC103" i="76"/>
  <c r="AK54" i="76"/>
  <c r="AK42" i="76"/>
  <c r="AK111" i="76"/>
  <c r="AL42" i="76"/>
  <c r="AJ32" i="76"/>
  <c r="AJ68" i="76"/>
  <c r="AJ105" i="76"/>
  <c r="AJ87" i="76"/>
  <c r="AJ47" i="76"/>
  <c r="AJ29" i="76"/>
  <c r="AJ13" i="76"/>
  <c r="AM82" i="76"/>
  <c r="AM32" i="76"/>
  <c r="AM79" i="76"/>
  <c r="AM45" i="76"/>
  <c r="AF102" i="78"/>
  <c r="AF186" i="78" s="1"/>
  <c r="AF192" i="78" s="1"/>
  <c r="M102" i="78"/>
  <c r="X55" i="76"/>
  <c r="W43" i="76"/>
  <c r="AB97" i="76"/>
  <c r="AK22" i="76"/>
  <c r="AK88" i="76"/>
  <c r="AK32" i="76"/>
  <c r="AK51" i="76"/>
  <c r="AL101" i="76"/>
  <c r="AL49" i="76"/>
  <c r="AJ88" i="76"/>
  <c r="AM47" i="76"/>
  <c r="AM81" i="76"/>
  <c r="AM13" i="76"/>
  <c r="AD102" i="78"/>
  <c r="S102" i="78"/>
  <c r="S186" i="78" s="1"/>
  <c r="S193" i="78" s="1"/>
  <c r="AA82" i="76"/>
  <c r="AA34" i="76"/>
  <c r="Y30" i="76"/>
  <c r="AB80" i="76"/>
  <c r="AK101" i="76"/>
  <c r="AK49" i="76"/>
  <c r="AK29" i="76"/>
  <c r="AK13" i="76"/>
  <c r="AJ22" i="76"/>
  <c r="AJ35" i="76"/>
  <c r="K102" i="78"/>
  <c r="K190" i="78" s="1"/>
  <c r="Q102" i="78"/>
  <c r="O102" i="78"/>
  <c r="O190" i="78" s="1"/>
  <c r="R102" i="78"/>
  <c r="V102" i="78"/>
  <c r="V186" i="78" s="1"/>
  <c r="V192" i="78" s="1"/>
  <c r="P102" i="78"/>
  <c r="P190" i="78" s="1"/>
  <c r="H102" i="78"/>
  <c r="Z102" i="78"/>
  <c r="Z186" i="78" s="1"/>
  <c r="Z192" i="78" s="1"/>
  <c r="AI103" i="78"/>
  <c r="AI194" i="78" s="1"/>
  <c r="AA102" i="78"/>
  <c r="I102" i="78"/>
  <c r="I186" i="78" s="1"/>
  <c r="I192" i="78" s="1"/>
  <c r="H101" i="78"/>
  <c r="H170" i="78" s="1"/>
  <c r="O103" i="78"/>
  <c r="O194" i="78" s="1"/>
  <c r="S101" i="78"/>
  <c r="S157" i="78" s="1"/>
  <c r="X30" i="76"/>
  <c r="Z44" i="76"/>
  <c r="W30" i="76"/>
  <c r="AK39" i="76"/>
  <c r="AL96" i="76"/>
  <c r="AL8" i="76"/>
  <c r="AM96" i="76"/>
  <c r="X101" i="78"/>
  <c r="M101" i="78"/>
  <c r="M103" i="78"/>
  <c r="M194" i="78" s="1"/>
  <c r="R103" i="78"/>
  <c r="R194" i="78" s="1"/>
  <c r="AF103" i="78"/>
  <c r="AF194" i="78" s="1"/>
  <c r="P103" i="78"/>
  <c r="P194" i="78" s="1"/>
  <c r="I103" i="78"/>
  <c r="I194" i="78" s="1"/>
  <c r="AJ103" i="78"/>
  <c r="AJ194" i="78" s="1"/>
  <c r="V103" i="78"/>
  <c r="V194" i="78" s="1"/>
  <c r="Q103" i="78"/>
  <c r="Q194" i="78" s="1"/>
  <c r="Z103" i="78"/>
  <c r="Z194" i="78" s="1"/>
  <c r="AD103" i="78"/>
  <c r="AD194" i="78" s="1"/>
  <c r="K103" i="78"/>
  <c r="K194" i="78" s="1"/>
  <c r="AB103" i="78"/>
  <c r="AB194" i="78" s="1"/>
  <c r="AA59" i="76"/>
  <c r="AJ101" i="76"/>
  <c r="L103" i="78"/>
  <c r="L194" i="78" s="1"/>
  <c r="H103" i="78"/>
  <c r="H194" i="78" s="1"/>
  <c r="U103" i="78"/>
  <c r="U194" i="78" s="1"/>
  <c r="W103" i="78"/>
  <c r="W194" i="78" s="1"/>
  <c r="AC103" i="78"/>
  <c r="AC194" i="78" s="1"/>
  <c r="X103" i="78"/>
  <c r="X194" i="78" s="1"/>
  <c r="S103" i="78"/>
  <c r="S194" i="78" s="1"/>
  <c r="AE103" i="78"/>
  <c r="AE194" i="78" s="1"/>
  <c r="AG103" i="78"/>
  <c r="AG194" i="78" s="1"/>
  <c r="N103" i="78"/>
  <c r="N194" i="78" s="1"/>
  <c r="Y104" i="76"/>
  <c r="AA93" i="76"/>
  <c r="AL83" i="76"/>
  <c r="AM92" i="76"/>
  <c r="AM67" i="76"/>
  <c r="AH103" i="78"/>
  <c r="AH194" i="78" s="1"/>
  <c r="G103" i="78"/>
  <c r="G194" i="78" s="1"/>
  <c r="AA103" i="78"/>
  <c r="AA194" i="78" s="1"/>
  <c r="Y106" i="76"/>
  <c r="Z93" i="76"/>
  <c r="AA84" i="76"/>
  <c r="AK96" i="76"/>
  <c r="AK94" i="76"/>
  <c r="AK10" i="76"/>
  <c r="AL18" i="76"/>
  <c r="AJ10" i="76"/>
  <c r="AM94" i="76"/>
  <c r="AC101" i="78"/>
  <c r="AC170" i="78" s="1"/>
  <c r="N101" i="78"/>
  <c r="N126" i="78" s="1"/>
  <c r="W101" i="78"/>
  <c r="W126" i="78" s="1"/>
  <c r="W59" i="76"/>
  <c r="P101" i="78"/>
  <c r="Q101" i="78"/>
  <c r="Q126" i="78" s="1"/>
  <c r="O170" i="78"/>
  <c r="V101" i="78"/>
  <c r="X59" i="76"/>
  <c r="Y23" i="76"/>
  <c r="Z59" i="76"/>
  <c r="AJ52" i="76"/>
  <c r="R101" i="78"/>
  <c r="R144" i="78" s="1"/>
  <c r="AI101" i="78"/>
  <c r="AI140" i="78" s="1"/>
  <c r="AE101" i="78"/>
  <c r="AE126" i="78" s="1"/>
  <c r="Y101" i="78"/>
  <c r="Y140" i="78" s="1"/>
  <c r="G101" i="78"/>
  <c r="G170" i="78" s="1"/>
  <c r="J101" i="78"/>
  <c r="AF101" i="78"/>
  <c r="AJ101" i="78"/>
  <c r="Z101" i="78"/>
  <c r="Z144" i="78" s="1"/>
  <c r="AH101" i="78"/>
  <c r="AK52" i="76"/>
  <c r="AJ18" i="76"/>
  <c r="I101" i="78"/>
  <c r="AB101" i="78"/>
  <c r="AB126" i="78" s="1"/>
  <c r="L101" i="78"/>
  <c r="L126" i="78" s="1"/>
  <c r="Y93" i="76"/>
  <c r="Z72" i="76"/>
  <c r="AK18" i="76"/>
  <c r="AK67" i="76"/>
  <c r="X72" i="76"/>
  <c r="AA72" i="76"/>
  <c r="AL10" i="76"/>
  <c r="AL67" i="76"/>
  <c r="AJ39" i="76"/>
  <c r="AM39" i="76"/>
  <c r="Z104" i="76"/>
  <c r="AA104" i="76"/>
  <c r="AC92" i="76"/>
  <c r="AJ173" i="78"/>
  <c r="AJ175" i="78" s="1"/>
  <c r="AJ176" i="78" s="1"/>
  <c r="AJ177" i="78" s="1"/>
  <c r="AB173" i="78"/>
  <c r="AB175" i="78" s="1"/>
  <c r="AB176" i="78" s="1"/>
  <c r="AB177" i="78" s="1"/>
  <c r="V173" i="78"/>
  <c r="V175" i="78" s="1"/>
  <c r="V176" i="78" s="1"/>
  <c r="V177" i="78" s="1"/>
  <c r="AD173" i="78" l="1"/>
  <c r="AD175" i="78" s="1"/>
  <c r="AD176" i="78" s="1"/>
  <c r="AD177" i="78" s="1"/>
  <c r="AJ140" i="78"/>
  <c r="M136" i="78"/>
  <c r="S173" i="78"/>
  <c r="S175" i="78" s="1"/>
  <c r="S176" i="78" s="1"/>
  <c r="S177" i="78" s="1"/>
  <c r="T173" i="78"/>
  <c r="T175" i="78" s="1"/>
  <c r="T176" i="78" s="1"/>
  <c r="T177" i="78" s="1"/>
  <c r="P140" i="78"/>
  <c r="AF144" i="78"/>
  <c r="AC173" i="78"/>
  <c r="AC175" i="78" s="1"/>
  <c r="AC176" i="78" s="1"/>
  <c r="AC177" i="78" s="1"/>
  <c r="AI173" i="78"/>
  <c r="AI175" i="78" s="1"/>
  <c r="AI176" i="78" s="1"/>
  <c r="AI177" i="78" s="1"/>
  <c r="Q173" i="78"/>
  <c r="Q175" i="78" s="1"/>
  <c r="Q176" i="78" s="1"/>
  <c r="Q177" i="78" s="1"/>
  <c r="W173" i="78"/>
  <c r="W175" i="78" s="1"/>
  <c r="W176" i="78" s="1"/>
  <c r="W177" i="78" s="1"/>
  <c r="AG173" i="78"/>
  <c r="AG175" i="78" s="1"/>
  <c r="AG176" i="78" s="1"/>
  <c r="AG177" i="78" s="1"/>
  <c r="L173" i="78"/>
  <c r="L175" i="78" s="1"/>
  <c r="L176" i="78" s="1"/>
  <c r="L177" i="78" s="1"/>
  <c r="G173" i="78"/>
  <c r="G175" i="78" s="1"/>
  <c r="X149" i="78"/>
  <c r="Z173" i="78"/>
  <c r="Z175" i="78" s="1"/>
  <c r="Z176" i="78" s="1"/>
  <c r="Z177" i="78" s="1"/>
  <c r="I173" i="78"/>
  <c r="I175" i="78" s="1"/>
  <c r="I176" i="78" s="1"/>
  <c r="I177" i="78" s="1"/>
  <c r="J173" i="78"/>
  <c r="J175" i="78" s="1"/>
  <c r="J176" i="78" s="1"/>
  <c r="J177" i="78" s="1"/>
  <c r="O173" i="78"/>
  <c r="O175" i="78" s="1"/>
  <c r="O176" i="78" s="1"/>
  <c r="O177" i="78" s="1"/>
  <c r="Y173" i="78"/>
  <c r="Y175" i="78" s="1"/>
  <c r="Y176" i="78" s="1"/>
  <c r="Y177" i="78" s="1"/>
  <c r="R173" i="78"/>
  <c r="R175" i="78" s="1"/>
  <c r="R176" i="78" s="1"/>
  <c r="R177" i="78" s="1"/>
  <c r="AH173" i="78"/>
  <c r="AH175" i="78" s="1"/>
  <c r="AH176" i="78" s="1"/>
  <c r="AH177" i="78" s="1"/>
  <c r="AF173" i="78"/>
  <c r="AF175" i="78" s="1"/>
  <c r="AF176" i="78" s="1"/>
  <c r="AF177" i="78" s="1"/>
  <c r="K173" i="78"/>
  <c r="K175" i="78" s="1"/>
  <c r="K176" i="78" s="1"/>
  <c r="K177" i="78" s="1"/>
  <c r="U173" i="78"/>
  <c r="U175" i="78" s="1"/>
  <c r="U176" i="78" s="1"/>
  <c r="U177" i="78" s="1"/>
  <c r="X173" i="78"/>
  <c r="X175" i="78" s="1"/>
  <c r="X176" i="78" s="1"/>
  <c r="X177" i="78" s="1"/>
  <c r="J140" i="78"/>
  <c r="U140" i="78"/>
  <c r="AE173" i="78"/>
  <c r="AE175" i="78" s="1"/>
  <c r="AE176" i="78" s="1"/>
  <c r="AE177" i="78" s="1"/>
  <c r="N173" i="78"/>
  <c r="N175" i="78" s="1"/>
  <c r="N176" i="78" s="1"/>
  <c r="N177" i="78" s="1"/>
  <c r="H173" i="78"/>
  <c r="H175" i="78" s="1"/>
  <c r="H176" i="78" s="1"/>
  <c r="H177" i="78" s="1"/>
  <c r="I149" i="78"/>
  <c r="AA166" i="78"/>
  <c r="M173" i="78"/>
  <c r="M175" i="78" s="1"/>
  <c r="M176" i="78" s="1"/>
  <c r="M177" i="78" s="1"/>
  <c r="AA173" i="78"/>
  <c r="AA175" i="78" s="1"/>
  <c r="AA176" i="78" s="1"/>
  <c r="AA177" i="78" s="1"/>
  <c r="V161" i="78"/>
  <c r="AH166" i="78"/>
  <c r="AC192" i="78"/>
  <c r="D89" i="62"/>
  <c r="D64" i="62"/>
  <c r="D67" i="62"/>
  <c r="D99" i="62"/>
  <c r="D75" i="62"/>
  <c r="D68" i="62"/>
  <c r="D65" i="62"/>
  <c r="D69" i="62"/>
  <c r="D66" i="62"/>
  <c r="D93" i="62"/>
  <c r="D97" i="62"/>
  <c r="T144" i="78"/>
  <c r="AG166" i="78"/>
  <c r="AI190" i="78"/>
  <c r="U144" i="78"/>
  <c r="T193" i="78"/>
  <c r="T149" i="78"/>
  <c r="N192" i="78"/>
  <c r="V193" i="78"/>
  <c r="AA144" i="78"/>
  <c r="AG131" i="78"/>
  <c r="AD161" i="78"/>
  <c r="T157" i="78"/>
  <c r="U136" i="78"/>
  <c r="U149" i="78"/>
  <c r="AD140" i="78"/>
  <c r="T166" i="78"/>
  <c r="T161" i="78"/>
  <c r="U131" i="78"/>
  <c r="U157" i="78"/>
  <c r="U166" i="78"/>
  <c r="J193" i="78"/>
  <c r="S192" i="78"/>
  <c r="K157" i="78"/>
  <c r="K166" i="78"/>
  <c r="AD131" i="78"/>
  <c r="T140" i="78"/>
  <c r="AD149" i="78"/>
  <c r="AD144" i="78"/>
  <c r="I193" i="78"/>
  <c r="T190" i="78"/>
  <c r="AI193" i="78"/>
  <c r="O186" i="78"/>
  <c r="O192" i="78" s="1"/>
  <c r="U161" i="78"/>
  <c r="T131" i="78"/>
  <c r="AG157" i="78"/>
  <c r="AJ193" i="78"/>
  <c r="AF193" i="78"/>
  <c r="X131" i="78"/>
  <c r="W186" i="78"/>
  <c r="W192" i="78" s="1"/>
  <c r="H161" i="78"/>
  <c r="K170" i="78"/>
  <c r="Y186" i="78"/>
  <c r="Y192" i="78" s="1"/>
  <c r="J190" i="78"/>
  <c r="AG161" i="78"/>
  <c r="AG149" i="78"/>
  <c r="AA157" i="78"/>
  <c r="AA149" i="78"/>
  <c r="AJ190" i="78"/>
  <c r="T170" i="78"/>
  <c r="U170" i="78"/>
  <c r="Z190" i="78"/>
  <c r="H144" i="78"/>
  <c r="S149" i="78"/>
  <c r="AA131" i="78"/>
  <c r="AD157" i="78"/>
  <c r="U193" i="78"/>
  <c r="T136" i="78"/>
  <c r="Y161" i="78"/>
  <c r="N190" i="78"/>
  <c r="AB186" i="78"/>
  <c r="AB192" i="78" s="1"/>
  <c r="U190" i="78"/>
  <c r="AD170" i="78"/>
  <c r="AA136" i="78"/>
  <c r="AG170" i="78"/>
  <c r="L190" i="78"/>
  <c r="Z193" i="78"/>
  <c r="AD136" i="78"/>
  <c r="S131" i="78"/>
  <c r="H136" i="78"/>
  <c r="AA170" i="78"/>
  <c r="AG140" i="78"/>
  <c r="AA140" i="78"/>
  <c r="AG136" i="78"/>
  <c r="L193" i="78"/>
  <c r="K161" i="78"/>
  <c r="K140" i="78"/>
  <c r="J144" i="78"/>
  <c r="Q131" i="78"/>
  <c r="Q136" i="78"/>
  <c r="Q140" i="78"/>
  <c r="AD166" i="78"/>
  <c r="K136" i="78"/>
  <c r="P161" i="78"/>
  <c r="K144" i="78"/>
  <c r="E113" i="78"/>
  <c r="Q149" i="78"/>
  <c r="K149" i="78"/>
  <c r="AG144" i="78"/>
  <c r="K186" i="78"/>
  <c r="K193" i="78" s="1"/>
  <c r="X186" i="78"/>
  <c r="X192" i="78" s="1"/>
  <c r="Q170" i="78"/>
  <c r="H140" i="78"/>
  <c r="M157" i="78"/>
  <c r="H157" i="78"/>
  <c r="H166" i="78"/>
  <c r="H126" i="78"/>
  <c r="U126" i="78"/>
  <c r="AH144" i="78"/>
  <c r="M140" i="78"/>
  <c r="H149" i="78"/>
  <c r="Q157" i="78"/>
  <c r="S166" i="78"/>
  <c r="K131" i="78"/>
  <c r="AE186" i="78"/>
  <c r="AE192" i="78" s="1"/>
  <c r="G190" i="78"/>
  <c r="G186" i="78"/>
  <c r="Z170" i="78"/>
  <c r="AG186" i="78"/>
  <c r="AG190" i="78"/>
  <c r="P149" i="78"/>
  <c r="I131" i="78"/>
  <c r="S190" i="78"/>
  <c r="H131" i="78"/>
  <c r="S136" i="78"/>
  <c r="AF190" i="78"/>
  <c r="M131" i="78"/>
  <c r="P186" i="78"/>
  <c r="P192" i="78" s="1"/>
  <c r="M161" i="78"/>
  <c r="P166" i="78"/>
  <c r="Y157" i="78"/>
  <c r="M149" i="78"/>
  <c r="Y166" i="78"/>
  <c r="M166" i="78"/>
  <c r="M170" i="78"/>
  <c r="AH186" i="78"/>
  <c r="AH192" i="78" s="1"/>
  <c r="AH136" i="78"/>
  <c r="I157" i="78"/>
  <c r="M144" i="78"/>
  <c r="M126" i="78"/>
  <c r="W144" i="78"/>
  <c r="AA126" i="78"/>
  <c r="AA161" i="78"/>
  <c r="S161" i="78"/>
  <c r="AJ126" i="78"/>
  <c r="AH161" i="78"/>
  <c r="R161" i="78"/>
  <c r="S144" i="78"/>
  <c r="AH131" i="78"/>
  <c r="I170" i="78"/>
  <c r="I136" i="78"/>
  <c r="AH149" i="78"/>
  <c r="Y170" i="78"/>
  <c r="Z149" i="78"/>
  <c r="AB157" i="78"/>
  <c r="I190" i="78"/>
  <c r="Z118" i="78"/>
  <c r="I144" i="78"/>
  <c r="D111" i="78"/>
  <c r="AJ144" i="78"/>
  <c r="Z126" i="78"/>
  <c r="R157" i="78"/>
  <c r="AJ161" i="78"/>
  <c r="AI144" i="78"/>
  <c r="AA190" i="78"/>
  <c r="AA186" i="78"/>
  <c r="Q190" i="78"/>
  <c r="Q186" i="78"/>
  <c r="AB149" i="78"/>
  <c r="V190" i="78"/>
  <c r="AH170" i="78"/>
  <c r="R166" i="78"/>
  <c r="AI136" i="78"/>
  <c r="H190" i="78"/>
  <c r="H186" i="78"/>
  <c r="P131" i="78"/>
  <c r="AB170" i="78"/>
  <c r="AH126" i="78"/>
  <c r="Z166" i="78"/>
  <c r="AI161" i="78"/>
  <c r="AI170" i="78"/>
  <c r="AD186" i="78"/>
  <c r="AD190" i="78"/>
  <c r="M186" i="78"/>
  <c r="M190" i="78"/>
  <c r="E107" i="78"/>
  <c r="R190" i="78"/>
  <c r="R186" i="78"/>
  <c r="AC119" i="78"/>
  <c r="P126" i="78"/>
  <c r="S119" i="78"/>
  <c r="X166" i="78"/>
  <c r="X140" i="78"/>
  <c r="S170" i="78"/>
  <c r="S126" i="78"/>
  <c r="P157" i="78"/>
  <c r="R170" i="78"/>
  <c r="X157" i="78"/>
  <c r="S140" i="78"/>
  <c r="J161" i="78"/>
  <c r="J170" i="78"/>
  <c r="P170" i="78"/>
  <c r="X144" i="78"/>
  <c r="X126" i="78"/>
  <c r="V170" i="78"/>
  <c r="X170" i="78"/>
  <c r="J126" i="78"/>
  <c r="AC157" i="78"/>
  <c r="AC149" i="78"/>
  <c r="X161" i="78"/>
  <c r="X136" i="78"/>
  <c r="I140" i="78"/>
  <c r="AI131" i="78"/>
  <c r="AF119" i="78"/>
  <c r="AI166" i="78"/>
  <c r="AE157" i="78"/>
  <c r="N144" i="78"/>
  <c r="N131" i="78"/>
  <c r="N170" i="78"/>
  <c r="AF170" i="78"/>
  <c r="W161" i="78"/>
  <c r="AI157" i="78"/>
  <c r="AE140" i="78"/>
  <c r="P144" i="78"/>
  <c r="AF140" i="78"/>
  <c r="F113" i="78"/>
  <c r="AE144" i="78"/>
  <c r="W131" i="78"/>
  <c r="W140" i="78"/>
  <c r="AC126" i="78"/>
  <c r="AE136" i="78"/>
  <c r="AE131" i="78"/>
  <c r="W157" i="78"/>
  <c r="AF126" i="78"/>
  <c r="S118" i="78"/>
  <c r="AE166" i="78"/>
  <c r="AC140" i="78"/>
  <c r="W166" i="78"/>
  <c r="P136" i="78"/>
  <c r="J166" i="78"/>
  <c r="AC166" i="78"/>
  <c r="AF136" i="78"/>
  <c r="R149" i="78"/>
  <c r="J131" i="78"/>
  <c r="AJ166" i="78"/>
  <c r="J149" i="78"/>
  <c r="AJ136" i="78"/>
  <c r="AJ170" i="78"/>
  <c r="R136" i="78"/>
  <c r="AF157" i="78"/>
  <c r="AJ131" i="78"/>
  <c r="G136" i="78"/>
  <c r="AA119" i="78"/>
  <c r="AJ119" i="78"/>
  <c r="R118" i="78"/>
  <c r="F107" i="78"/>
  <c r="AJ157" i="78"/>
  <c r="V126" i="78"/>
  <c r="Z131" i="78"/>
  <c r="K119" i="78"/>
  <c r="AB119" i="78"/>
  <c r="V136" i="78"/>
  <c r="H118" i="78"/>
  <c r="V144" i="78"/>
  <c r="AG119" i="78"/>
  <c r="T119" i="78"/>
  <c r="AC118" i="78"/>
  <c r="D113" i="78"/>
  <c r="N119" i="78"/>
  <c r="AI119" i="78"/>
  <c r="M118" i="78"/>
  <c r="M117" i="78"/>
  <c r="V166" i="78"/>
  <c r="X119" i="78"/>
  <c r="AH119" i="78"/>
  <c r="AG118" i="78"/>
  <c r="N117" i="78"/>
  <c r="G126" i="78"/>
  <c r="V149" i="78"/>
  <c r="P119" i="78"/>
  <c r="Z119" i="78"/>
  <c r="AF118" i="78"/>
  <c r="Z140" i="78"/>
  <c r="AH157" i="78"/>
  <c r="Z157" i="78"/>
  <c r="V140" i="78"/>
  <c r="AH140" i="78"/>
  <c r="V131" i="78"/>
  <c r="G149" i="78"/>
  <c r="U119" i="78"/>
  <c r="V119" i="78"/>
  <c r="AE118" i="78"/>
  <c r="G161" i="78"/>
  <c r="AC131" i="78"/>
  <c r="AE149" i="78"/>
  <c r="AE170" i="78"/>
  <c r="AC144" i="78"/>
  <c r="AC161" i="78"/>
  <c r="W119" i="78"/>
  <c r="AD119" i="78"/>
  <c r="M119" i="78"/>
  <c r="L161" i="78"/>
  <c r="AH118" i="78"/>
  <c r="T118" i="78"/>
  <c r="K118" i="78"/>
  <c r="J118" i="78"/>
  <c r="O117" i="78"/>
  <c r="Z117" i="78"/>
  <c r="Y117" i="78"/>
  <c r="AJ117" i="78"/>
  <c r="U117" i="78"/>
  <c r="R117" i="78"/>
  <c r="AG117" i="78"/>
  <c r="AB117" i="78"/>
  <c r="L144" i="78"/>
  <c r="L157" i="78"/>
  <c r="N140" i="78"/>
  <c r="N157" i="78"/>
  <c r="N166" i="78"/>
  <c r="X118" i="78"/>
  <c r="U118" i="78"/>
  <c r="AA118" i="78"/>
  <c r="P118" i="78"/>
  <c r="AI117" i="78"/>
  <c r="J117" i="78"/>
  <c r="AD117" i="78"/>
  <c r="T117" i="78"/>
  <c r="AA117" i="78"/>
  <c r="I117" i="78"/>
  <c r="V117" i="78"/>
  <c r="L117" i="78"/>
  <c r="Y126" i="78"/>
  <c r="L149" i="78"/>
  <c r="AB144" i="78"/>
  <c r="F111" i="78"/>
  <c r="W149" i="78"/>
  <c r="AD118" i="78"/>
  <c r="AB118" i="78"/>
  <c r="Y118" i="78"/>
  <c r="W118" i="78"/>
  <c r="S117" i="78"/>
  <c r="AF117" i="78"/>
  <c r="Q161" i="78"/>
  <c r="Q144" i="78"/>
  <c r="Y136" i="78"/>
  <c r="Q166" i="78"/>
  <c r="AE161" i="78"/>
  <c r="L140" i="78"/>
  <c r="AC136" i="78"/>
  <c r="G166" i="78"/>
  <c r="J136" i="78"/>
  <c r="J157" i="78"/>
  <c r="N136" i="78"/>
  <c r="AB136" i="78"/>
  <c r="E111" i="78"/>
  <c r="AI126" i="78"/>
  <c r="AI149" i="78"/>
  <c r="Y119" i="78"/>
  <c r="H119" i="78"/>
  <c r="L119" i="78"/>
  <c r="R119" i="78"/>
  <c r="N161" i="78"/>
  <c r="V118" i="78"/>
  <c r="L118" i="78"/>
  <c r="Q118" i="78"/>
  <c r="O118" i="78"/>
  <c r="K117" i="78"/>
  <c r="X117" i="78"/>
  <c r="W117" i="78"/>
  <c r="D107" i="78"/>
  <c r="L131" i="78"/>
  <c r="Y144" i="78"/>
  <c r="Y131" i="78"/>
  <c r="AB161" i="78"/>
  <c r="AB166" i="78"/>
  <c r="L170" i="78"/>
  <c r="AJ149" i="78"/>
  <c r="W170" i="78"/>
  <c r="G157" i="78"/>
  <c r="I161" i="78"/>
  <c r="I166" i="78"/>
  <c r="I126" i="78"/>
  <c r="AF166" i="78"/>
  <c r="AF149" i="78"/>
  <c r="AF161" i="78"/>
  <c r="R140" i="78"/>
  <c r="R126" i="78"/>
  <c r="L136" i="78"/>
  <c r="Q119" i="78"/>
  <c r="AE119" i="78"/>
  <c r="G119" i="78"/>
  <c r="J119" i="78"/>
  <c r="W136" i="78"/>
  <c r="N118" i="78"/>
  <c r="G118" i="78"/>
  <c r="I118" i="78"/>
  <c r="G117" i="78"/>
  <c r="Q117" i="78"/>
  <c r="P117" i="78"/>
  <c r="AC117" i="78"/>
  <c r="AB131" i="78"/>
  <c r="G144" i="78"/>
  <c r="G131" i="78"/>
  <c r="Y149" i="78"/>
  <c r="L166" i="78"/>
  <c r="G140" i="78"/>
  <c r="AB140" i="78"/>
  <c r="Z136" i="78"/>
  <c r="Z161" i="78"/>
  <c r="V157" i="78"/>
  <c r="I119" i="78"/>
  <c r="O119" i="78"/>
  <c r="AF131" i="78"/>
  <c r="N149" i="78"/>
  <c r="AJ118" i="78"/>
  <c r="AI118" i="78"/>
  <c r="AE117" i="78"/>
  <c r="AH117" i="78"/>
  <c r="H117" i="78"/>
  <c r="R131" i="78"/>
  <c r="AI17" i="63"/>
  <c r="AI27" i="63"/>
  <c r="AI46" i="63"/>
  <c r="AI48" i="63"/>
  <c r="AI50" i="63"/>
  <c r="AI56" i="63"/>
  <c r="AI57" i="63"/>
  <c r="AI61" i="63"/>
  <c r="AI63" i="63"/>
  <c r="AI64" i="63"/>
  <c r="AI66" i="63"/>
  <c r="AI73" i="63"/>
  <c r="AI74" i="63"/>
  <c r="AI76" i="63"/>
  <c r="AI77" i="63"/>
  <c r="AI85" i="63"/>
  <c r="AI107" i="63"/>
  <c r="AI110" i="63"/>
  <c r="AN7" i="63"/>
  <c r="AS12" i="69"/>
  <c r="AU12" i="69"/>
  <c r="AU9" i="69"/>
  <c r="AU8" i="69"/>
  <c r="AU11" i="69"/>
  <c r="AU6" i="69"/>
  <c r="AU7" i="69"/>
  <c r="AU10" i="69"/>
  <c r="AN10" i="63"/>
  <c r="AN9" i="63"/>
  <c r="AN8" i="63"/>
  <c r="AN6" i="63"/>
  <c r="AC11" i="63"/>
  <c r="AC10" i="63"/>
  <c r="AC7" i="63"/>
  <c r="AC6" i="63"/>
  <c r="AD10" i="55"/>
  <c r="AE10" i="55" s="1"/>
  <c r="AF10" i="55" s="1"/>
  <c r="AD11" i="55"/>
  <c r="AE11" i="55" s="1"/>
  <c r="AF11" i="55" s="1"/>
  <c r="AD14" i="55"/>
  <c r="AE14" i="55" s="1"/>
  <c r="AF14" i="55" s="1"/>
  <c r="AD7" i="55"/>
  <c r="AE7" i="55" s="1"/>
  <c r="AF7" i="55" s="1"/>
  <c r="D145" i="62" l="1"/>
  <c r="D123" i="62"/>
  <c r="D139" i="62"/>
  <c r="D112" i="62"/>
  <c r="D143" i="62"/>
  <c r="D115" i="62"/>
  <c r="F46" i="73"/>
  <c r="AD6" i="55" s="1"/>
  <c r="AE6" i="55" s="1"/>
  <c r="AF6" i="55" s="1"/>
  <c r="K46" i="73"/>
  <c r="L46" i="73"/>
  <c r="K60" i="73"/>
  <c r="L60" i="73"/>
  <c r="F48" i="73"/>
  <c r="AD8" i="55" s="1"/>
  <c r="AE8" i="55" s="1"/>
  <c r="AF8" i="55" s="1"/>
  <c r="K48" i="73"/>
  <c r="L48" i="73"/>
  <c r="F60" i="73"/>
  <c r="AP6" i="55" s="1"/>
  <c r="AQ6" i="55" s="1"/>
  <c r="O193" i="78"/>
  <c r="Y193" i="78"/>
  <c r="K192" i="78"/>
  <c r="W193" i="78"/>
  <c r="AB193" i="78"/>
  <c r="P193" i="78"/>
  <c r="AH193" i="78"/>
  <c r="AE193" i="78"/>
  <c r="X193" i="78"/>
  <c r="AG193" i="78"/>
  <c r="AG192" i="78"/>
  <c r="G193" i="78"/>
  <c r="G192" i="78"/>
  <c r="R192" i="78"/>
  <c r="R193" i="78"/>
  <c r="AA193" i="78"/>
  <c r="AA192" i="78"/>
  <c r="M193" i="78"/>
  <c r="M192" i="78"/>
  <c r="AD193" i="78"/>
  <c r="AD192" i="78"/>
  <c r="H192" i="78"/>
  <c r="H193" i="78"/>
  <c r="Q192" i="78"/>
  <c r="Q193" i="78"/>
  <c r="AP7" i="55"/>
  <c r="AQ7" i="55" s="1"/>
  <c r="AP6" i="76"/>
  <c r="AQ6" i="76" s="1"/>
  <c r="AD11" i="63"/>
  <c r="AE11" i="63" s="1"/>
  <c r="AF11" i="63" s="1"/>
  <c r="AD13" i="55"/>
  <c r="AE13" i="55" s="1"/>
  <c r="AF13" i="55" s="1"/>
  <c r="AG12" i="69"/>
  <c r="AH12" i="69" s="1"/>
  <c r="AI12" i="69" s="1"/>
  <c r="AF9" i="76"/>
  <c r="AG9" i="76" s="1"/>
  <c r="AH9" i="76" s="1"/>
  <c r="AG10" i="69"/>
  <c r="AH10" i="69" s="1"/>
  <c r="AI10" i="69" s="1"/>
  <c r="AD12" i="55"/>
  <c r="AE12" i="55" s="1"/>
  <c r="AF12" i="55" s="1"/>
  <c r="AD7" i="63"/>
  <c r="AE7" i="63" s="1"/>
  <c r="AF7" i="63" s="1"/>
  <c r="AF11" i="76"/>
  <c r="AG11" i="76" s="1"/>
  <c r="AH11" i="76" s="1"/>
  <c r="AD9" i="55"/>
  <c r="AE9" i="55" s="1"/>
  <c r="AF9" i="55" s="1"/>
  <c r="AF7" i="76"/>
  <c r="AG7" i="76" s="1"/>
  <c r="AH7" i="76" s="1"/>
  <c r="AG7" i="69"/>
  <c r="AH7" i="69" s="1"/>
  <c r="AI7" i="69" s="1"/>
  <c r="AD8" i="63"/>
  <c r="AE8" i="63" s="1"/>
  <c r="AF8" i="63" s="1"/>
  <c r="AO11" i="55"/>
  <c r="AO10" i="55"/>
  <c r="AO9" i="55"/>
  <c r="AO8" i="55"/>
  <c r="AO6" i="55"/>
  <c r="AC14" i="55"/>
  <c r="AC13" i="55"/>
  <c r="AC12" i="55"/>
  <c r="AC11" i="55"/>
  <c r="AC10" i="55"/>
  <c r="AC9" i="55"/>
  <c r="AC8" i="55"/>
  <c r="AC7" i="55"/>
  <c r="AC6" i="55"/>
  <c r="J262" i="69"/>
  <c r="AQ17" i="69" s="1"/>
  <c r="J272" i="69"/>
  <c r="AQ27" i="69" s="1"/>
  <c r="J291" i="69"/>
  <c r="AQ46" i="69" s="1"/>
  <c r="J293" i="69"/>
  <c r="AQ48" i="69" s="1"/>
  <c r="J295" i="69"/>
  <c r="AQ50" i="69" s="1"/>
  <c r="J301" i="69"/>
  <c r="AQ56" i="69" s="1"/>
  <c r="J302" i="69"/>
  <c r="AQ57" i="69" s="1"/>
  <c r="J306" i="69"/>
  <c r="AQ61" i="69" s="1"/>
  <c r="J308" i="69"/>
  <c r="AQ63" i="69" s="1"/>
  <c r="J309" i="69"/>
  <c r="AQ64" i="69" s="1"/>
  <c r="J311" i="69"/>
  <c r="AQ66" i="69" s="1"/>
  <c r="J318" i="69"/>
  <c r="AQ73" i="69" s="1"/>
  <c r="J319" i="69"/>
  <c r="AQ74" i="69" s="1"/>
  <c r="J321" i="69"/>
  <c r="AQ76" i="69" s="1"/>
  <c r="J322" i="69"/>
  <c r="AQ77" i="69" s="1"/>
  <c r="J330" i="69"/>
  <c r="AQ85" i="69" s="1"/>
  <c r="J352" i="69"/>
  <c r="AQ107" i="69" s="1"/>
  <c r="J355" i="69"/>
  <c r="AQ110" i="69" s="1"/>
  <c r="G356" i="69"/>
  <c r="J356" i="69" s="1"/>
  <c r="AQ111" i="69" s="1"/>
  <c r="G354" i="69"/>
  <c r="J354" i="69" s="1"/>
  <c r="AQ109" i="69" s="1"/>
  <c r="G353" i="69"/>
  <c r="J353" i="69" s="1"/>
  <c r="AQ108" i="69" s="1"/>
  <c r="G351" i="69"/>
  <c r="J351" i="69" s="1"/>
  <c r="AQ106" i="69" s="1"/>
  <c r="G350" i="69"/>
  <c r="J350" i="69" s="1"/>
  <c r="AQ105" i="69" s="1"/>
  <c r="G349" i="69"/>
  <c r="J349" i="69" s="1"/>
  <c r="AQ104" i="69" s="1"/>
  <c r="G348" i="69"/>
  <c r="J348" i="69" s="1"/>
  <c r="AQ103" i="69" s="1"/>
  <c r="G347" i="69"/>
  <c r="J347" i="69" s="1"/>
  <c r="AQ102" i="69" s="1"/>
  <c r="G346" i="69"/>
  <c r="J346" i="69" s="1"/>
  <c r="AQ101" i="69" s="1"/>
  <c r="G345" i="69"/>
  <c r="J345" i="69" s="1"/>
  <c r="AQ100" i="69" s="1"/>
  <c r="G344" i="69"/>
  <c r="J344" i="69" s="1"/>
  <c r="AQ99" i="69" s="1"/>
  <c r="G343" i="69"/>
  <c r="J343" i="69" s="1"/>
  <c r="AQ98" i="69" s="1"/>
  <c r="G342" i="69"/>
  <c r="J342" i="69" s="1"/>
  <c r="AQ97" i="69" s="1"/>
  <c r="G341" i="69"/>
  <c r="J341" i="69" s="1"/>
  <c r="AQ96" i="69" s="1"/>
  <c r="G340" i="69"/>
  <c r="J340" i="69" s="1"/>
  <c r="AQ95" i="69" s="1"/>
  <c r="G339" i="69"/>
  <c r="J339" i="69" s="1"/>
  <c r="AQ94" i="69" s="1"/>
  <c r="G338" i="69"/>
  <c r="J338" i="69" s="1"/>
  <c r="AQ93" i="69" s="1"/>
  <c r="G337" i="69"/>
  <c r="J337" i="69" s="1"/>
  <c r="AQ92" i="69" s="1"/>
  <c r="G336" i="69"/>
  <c r="J336" i="69" s="1"/>
  <c r="AQ91" i="69" s="1"/>
  <c r="G335" i="69"/>
  <c r="J335" i="69" s="1"/>
  <c r="AQ90" i="69" s="1"/>
  <c r="G334" i="69"/>
  <c r="J334" i="69" s="1"/>
  <c r="AQ89" i="69" s="1"/>
  <c r="G333" i="69"/>
  <c r="J333" i="69" s="1"/>
  <c r="AQ88" i="69" s="1"/>
  <c r="G332" i="69"/>
  <c r="J332" i="69" s="1"/>
  <c r="AQ87" i="69" s="1"/>
  <c r="G331" i="69"/>
  <c r="J331" i="69" s="1"/>
  <c r="AQ86" i="69" s="1"/>
  <c r="G329" i="69"/>
  <c r="J329" i="69" s="1"/>
  <c r="AQ84" i="69" s="1"/>
  <c r="G328" i="69"/>
  <c r="J328" i="69" s="1"/>
  <c r="AQ83" i="69" s="1"/>
  <c r="G327" i="69"/>
  <c r="J327" i="69" s="1"/>
  <c r="AQ82" i="69" s="1"/>
  <c r="G326" i="69"/>
  <c r="J326" i="69" s="1"/>
  <c r="AQ81" i="69" s="1"/>
  <c r="G325" i="69"/>
  <c r="J325" i="69" s="1"/>
  <c r="AQ80" i="69" s="1"/>
  <c r="G324" i="69"/>
  <c r="J324" i="69" s="1"/>
  <c r="AQ79" i="69" s="1"/>
  <c r="G323" i="69"/>
  <c r="J323" i="69" s="1"/>
  <c r="AQ78" i="69" s="1"/>
  <c r="G320" i="69"/>
  <c r="J320" i="69" s="1"/>
  <c r="AQ75" i="69" s="1"/>
  <c r="G317" i="69"/>
  <c r="J317" i="69" s="1"/>
  <c r="AQ72" i="69" s="1"/>
  <c r="G316" i="69"/>
  <c r="J316" i="69" s="1"/>
  <c r="AQ71" i="69" s="1"/>
  <c r="G315" i="69"/>
  <c r="J315" i="69" s="1"/>
  <c r="AQ70" i="69" s="1"/>
  <c r="G314" i="69"/>
  <c r="J314" i="69" s="1"/>
  <c r="AQ69" i="69" s="1"/>
  <c r="G313" i="69"/>
  <c r="J313" i="69" s="1"/>
  <c r="AQ68" i="69" s="1"/>
  <c r="G312" i="69"/>
  <c r="J312" i="69" s="1"/>
  <c r="AQ67" i="69" s="1"/>
  <c r="G310" i="69"/>
  <c r="J310" i="69" s="1"/>
  <c r="AQ65" i="69" s="1"/>
  <c r="G307" i="69"/>
  <c r="J307" i="69" s="1"/>
  <c r="AQ62" i="69" s="1"/>
  <c r="G305" i="69"/>
  <c r="J305" i="69" s="1"/>
  <c r="AQ60" i="69" s="1"/>
  <c r="G304" i="69"/>
  <c r="J304" i="69" s="1"/>
  <c r="AQ59" i="69" s="1"/>
  <c r="G303" i="69"/>
  <c r="J303" i="69" s="1"/>
  <c r="AQ58" i="69" s="1"/>
  <c r="G300" i="69"/>
  <c r="J300" i="69" s="1"/>
  <c r="AQ55" i="69" s="1"/>
  <c r="G299" i="69"/>
  <c r="J299" i="69" s="1"/>
  <c r="AQ54" i="69" s="1"/>
  <c r="G298" i="69"/>
  <c r="J298" i="69" s="1"/>
  <c r="AQ53" i="69" s="1"/>
  <c r="G297" i="69"/>
  <c r="J297" i="69" s="1"/>
  <c r="AQ52" i="69" s="1"/>
  <c r="G296" i="69"/>
  <c r="J296" i="69" s="1"/>
  <c r="AQ51" i="69" s="1"/>
  <c r="G294" i="69"/>
  <c r="J294" i="69" s="1"/>
  <c r="AQ49" i="69" s="1"/>
  <c r="G292" i="69"/>
  <c r="J292" i="69" s="1"/>
  <c r="AQ47" i="69" s="1"/>
  <c r="G290" i="69"/>
  <c r="J290" i="69" s="1"/>
  <c r="AQ45" i="69" s="1"/>
  <c r="G289" i="69"/>
  <c r="J289" i="69" s="1"/>
  <c r="AQ44" i="69" s="1"/>
  <c r="G288" i="69"/>
  <c r="J288" i="69" s="1"/>
  <c r="AQ43" i="69" s="1"/>
  <c r="G287" i="69"/>
  <c r="J287" i="69" s="1"/>
  <c r="AQ42" i="69" s="1"/>
  <c r="G286" i="69"/>
  <c r="J286" i="69" s="1"/>
  <c r="AQ41" i="69" s="1"/>
  <c r="G285" i="69"/>
  <c r="J285" i="69" s="1"/>
  <c r="AQ40" i="69" s="1"/>
  <c r="G284" i="69"/>
  <c r="J284" i="69" s="1"/>
  <c r="AQ39" i="69" s="1"/>
  <c r="G283" i="69"/>
  <c r="J283" i="69" s="1"/>
  <c r="AQ38" i="69" s="1"/>
  <c r="G282" i="69"/>
  <c r="J282" i="69" s="1"/>
  <c r="AQ37" i="69" s="1"/>
  <c r="G281" i="69"/>
  <c r="J281" i="69" s="1"/>
  <c r="AQ36" i="69" s="1"/>
  <c r="G280" i="69"/>
  <c r="J280" i="69" s="1"/>
  <c r="AQ35" i="69" s="1"/>
  <c r="G279" i="69"/>
  <c r="J279" i="69" s="1"/>
  <c r="AQ34" i="69" s="1"/>
  <c r="G278" i="69"/>
  <c r="J278" i="69" s="1"/>
  <c r="AQ33" i="69" s="1"/>
  <c r="G277" i="69"/>
  <c r="J277" i="69" s="1"/>
  <c r="AQ32" i="69" s="1"/>
  <c r="G276" i="69"/>
  <c r="J276" i="69" s="1"/>
  <c r="AQ31" i="69" s="1"/>
  <c r="G275" i="69"/>
  <c r="J275" i="69" s="1"/>
  <c r="AQ30" i="69" s="1"/>
  <c r="G274" i="69"/>
  <c r="J274" i="69" s="1"/>
  <c r="AQ29" i="69" s="1"/>
  <c r="G273" i="69"/>
  <c r="J273" i="69" s="1"/>
  <c r="AQ28" i="69" s="1"/>
  <c r="G271" i="69"/>
  <c r="J271" i="69" s="1"/>
  <c r="AQ26" i="69" s="1"/>
  <c r="G270" i="69"/>
  <c r="J270" i="69" s="1"/>
  <c r="AQ25" i="69" s="1"/>
  <c r="G269" i="69"/>
  <c r="J269" i="69" s="1"/>
  <c r="AQ24" i="69" s="1"/>
  <c r="G268" i="69"/>
  <c r="J268" i="69" s="1"/>
  <c r="AQ23" i="69" s="1"/>
  <c r="G267" i="69"/>
  <c r="J267" i="69" s="1"/>
  <c r="AQ22" i="69" s="1"/>
  <c r="G266" i="69"/>
  <c r="J266" i="69" s="1"/>
  <c r="AQ21" i="69" s="1"/>
  <c r="G265" i="69"/>
  <c r="J265" i="69" s="1"/>
  <c r="AQ20" i="69" s="1"/>
  <c r="G264" i="69"/>
  <c r="J264" i="69" s="1"/>
  <c r="AQ19" i="69" s="1"/>
  <c r="G263" i="69"/>
  <c r="J263" i="69" s="1"/>
  <c r="AQ18" i="69" s="1"/>
  <c r="G261" i="69"/>
  <c r="J261" i="69" s="1"/>
  <c r="AQ16" i="69" s="1"/>
  <c r="G260" i="69"/>
  <c r="J260" i="69" s="1"/>
  <c r="AQ15" i="69" s="1"/>
  <c r="J259" i="69"/>
  <c r="AQ14" i="69" s="1"/>
  <c r="G258" i="69"/>
  <c r="J258" i="69" s="1"/>
  <c r="AQ13" i="69" s="1"/>
  <c r="G257" i="69"/>
  <c r="J257" i="69" s="1"/>
  <c r="AQ12" i="69" s="1"/>
  <c r="G256" i="69"/>
  <c r="J256" i="69" s="1"/>
  <c r="AQ11" i="69" s="1"/>
  <c r="G255" i="69"/>
  <c r="J255" i="69" s="1"/>
  <c r="AQ10" i="69" s="1"/>
  <c r="G254" i="69"/>
  <c r="J254" i="69" s="1"/>
  <c r="AQ9" i="69" s="1"/>
  <c r="G253" i="69"/>
  <c r="J253" i="69" s="1"/>
  <c r="AQ8" i="69" s="1"/>
  <c r="G252" i="69"/>
  <c r="J252" i="69" s="1"/>
  <c r="AQ7" i="69" s="1"/>
  <c r="G251" i="69"/>
  <c r="J251" i="69" s="1"/>
  <c r="AQ6" i="69" s="1"/>
  <c r="AH17" i="63"/>
  <c r="AJ17" i="63"/>
  <c r="AK17" i="63"/>
  <c r="AL17" i="63"/>
  <c r="AH27" i="63"/>
  <c r="AJ27" i="63"/>
  <c r="AK27" i="63"/>
  <c r="AL27" i="63"/>
  <c r="AH46" i="63"/>
  <c r="AJ46" i="63"/>
  <c r="AK46" i="63"/>
  <c r="AL46" i="63"/>
  <c r="AH48" i="63"/>
  <c r="AJ48" i="63"/>
  <c r="AK48" i="63"/>
  <c r="AL48" i="63"/>
  <c r="AH50" i="63"/>
  <c r="AJ50" i="63"/>
  <c r="AK50" i="63"/>
  <c r="AL50" i="63"/>
  <c r="AH56" i="63"/>
  <c r="AJ56" i="63"/>
  <c r="AK56" i="63"/>
  <c r="AL56" i="63"/>
  <c r="AH57" i="63"/>
  <c r="AJ57" i="63"/>
  <c r="AK57" i="63"/>
  <c r="AL57" i="63"/>
  <c r="AH61" i="63"/>
  <c r="AJ61" i="63"/>
  <c r="AK61" i="63"/>
  <c r="AL61" i="63"/>
  <c r="AH63" i="63"/>
  <c r="AJ63" i="63"/>
  <c r="AK63" i="63"/>
  <c r="AL63" i="63"/>
  <c r="AH64" i="63"/>
  <c r="AJ64" i="63"/>
  <c r="AK64" i="63"/>
  <c r="AL64" i="63"/>
  <c r="AH66" i="63"/>
  <c r="AJ66" i="63"/>
  <c r="AK66" i="63"/>
  <c r="AL66" i="63"/>
  <c r="AH73" i="63"/>
  <c r="AJ73" i="63"/>
  <c r="AK73" i="63"/>
  <c r="AL73" i="63"/>
  <c r="AH74" i="63"/>
  <c r="AJ74" i="63"/>
  <c r="AK74" i="63"/>
  <c r="AL74" i="63"/>
  <c r="AH76" i="63"/>
  <c r="AJ76" i="63"/>
  <c r="AK76" i="63"/>
  <c r="AL76" i="63"/>
  <c r="AH77" i="63"/>
  <c r="AJ77" i="63"/>
  <c r="AK77" i="63"/>
  <c r="AL77" i="63"/>
  <c r="AH85" i="63"/>
  <c r="AJ85" i="63"/>
  <c r="AK85" i="63"/>
  <c r="AL85" i="63"/>
  <c r="AH107" i="63"/>
  <c r="AJ107" i="63"/>
  <c r="AK107" i="63"/>
  <c r="AL107" i="63"/>
  <c r="AH110" i="63"/>
  <c r="AJ110" i="63"/>
  <c r="AK110" i="63"/>
  <c r="AL110" i="63"/>
  <c r="AH17" i="55"/>
  <c r="AJ17" i="55"/>
  <c r="AK17" i="55"/>
  <c r="AL17" i="55"/>
  <c r="AM17" i="55"/>
  <c r="AH27" i="55"/>
  <c r="AJ27" i="55"/>
  <c r="AK27" i="55"/>
  <c r="AL27" i="55"/>
  <c r="AM27" i="55"/>
  <c r="AH46" i="55"/>
  <c r="AJ46" i="55"/>
  <c r="AK46" i="55"/>
  <c r="AL46" i="55"/>
  <c r="AM46" i="55"/>
  <c r="AH48" i="55"/>
  <c r="AJ48" i="55"/>
  <c r="AK48" i="55"/>
  <c r="AL48" i="55"/>
  <c r="AM48" i="55"/>
  <c r="AH50" i="55"/>
  <c r="AJ50" i="55"/>
  <c r="AK50" i="55"/>
  <c r="AL50" i="55"/>
  <c r="AM50" i="55"/>
  <c r="AH56" i="55"/>
  <c r="AJ56" i="55"/>
  <c r="AK56" i="55"/>
  <c r="AL56" i="55"/>
  <c r="AM56" i="55"/>
  <c r="AH57" i="55"/>
  <c r="AJ57" i="55"/>
  <c r="AK57" i="55"/>
  <c r="AL57" i="55"/>
  <c r="AM57" i="55"/>
  <c r="AH61" i="55"/>
  <c r="AJ61" i="55"/>
  <c r="AK61" i="55"/>
  <c r="AL61" i="55"/>
  <c r="AM61" i="55"/>
  <c r="AH63" i="55"/>
  <c r="AJ63" i="55"/>
  <c r="AK63" i="55"/>
  <c r="AL63" i="55"/>
  <c r="AM63" i="55"/>
  <c r="AH64" i="55"/>
  <c r="AJ64" i="55"/>
  <c r="AK64" i="55"/>
  <c r="AL64" i="55"/>
  <c r="AM64" i="55"/>
  <c r="AH66" i="55"/>
  <c r="AJ66" i="55"/>
  <c r="AK66" i="55"/>
  <c r="AL66" i="55"/>
  <c r="AM66" i="55"/>
  <c r="AH73" i="55"/>
  <c r="AJ73" i="55"/>
  <c r="AK73" i="55"/>
  <c r="AL73" i="55"/>
  <c r="AM73" i="55"/>
  <c r="AH74" i="55"/>
  <c r="AJ74" i="55"/>
  <c r="AK74" i="55"/>
  <c r="AL74" i="55"/>
  <c r="AM74" i="55"/>
  <c r="AH76" i="55"/>
  <c r="AJ76" i="55"/>
  <c r="AK76" i="55"/>
  <c r="AL76" i="55"/>
  <c r="AM76" i="55"/>
  <c r="AH77" i="55"/>
  <c r="AJ77" i="55"/>
  <c r="AK77" i="55"/>
  <c r="AL77" i="55"/>
  <c r="AM77" i="55"/>
  <c r="AH85" i="55"/>
  <c r="AJ85" i="55"/>
  <c r="AK85" i="55"/>
  <c r="AL85" i="55"/>
  <c r="AM85" i="55"/>
  <c r="AH107" i="55"/>
  <c r="AJ107" i="55"/>
  <c r="AK107" i="55"/>
  <c r="AL107" i="55"/>
  <c r="AM107" i="55"/>
  <c r="AH110" i="55"/>
  <c r="AJ110" i="55"/>
  <c r="AK110" i="55"/>
  <c r="AL110" i="55"/>
  <c r="AM110" i="55"/>
  <c r="AA17" i="55"/>
  <c r="AA27" i="55"/>
  <c r="AA46" i="55"/>
  <c r="AA48" i="55"/>
  <c r="AA50" i="55"/>
  <c r="AA56" i="55"/>
  <c r="AA57" i="55"/>
  <c r="AA61" i="55"/>
  <c r="AA63" i="55"/>
  <c r="AA64" i="55"/>
  <c r="AA66" i="55"/>
  <c r="AA73" i="55"/>
  <c r="AA74" i="55"/>
  <c r="AA76" i="55"/>
  <c r="AA77" i="55"/>
  <c r="AA85" i="55"/>
  <c r="AA107" i="55"/>
  <c r="AA110" i="55"/>
  <c r="Z17" i="55"/>
  <c r="Z27" i="55"/>
  <c r="Z46" i="55"/>
  <c r="Z48" i="55"/>
  <c r="Z50" i="55"/>
  <c r="Z56" i="55"/>
  <c r="Z57" i="55"/>
  <c r="Z61" i="55"/>
  <c r="Z63" i="55"/>
  <c r="Z64" i="55"/>
  <c r="Z66" i="55"/>
  <c r="Z73" i="55"/>
  <c r="Z74" i="55"/>
  <c r="Z76" i="55"/>
  <c r="Z77" i="55"/>
  <c r="Z85" i="55"/>
  <c r="Z107" i="55"/>
  <c r="Z110" i="55"/>
  <c r="Y17" i="55"/>
  <c r="Y27" i="55"/>
  <c r="Y46" i="55"/>
  <c r="Y48" i="55"/>
  <c r="Y50" i="55"/>
  <c r="Y56" i="55"/>
  <c r="Y57" i="55"/>
  <c r="Y61" i="55"/>
  <c r="Y63" i="55"/>
  <c r="Y64" i="55"/>
  <c r="Y66" i="55"/>
  <c r="Y73" i="55"/>
  <c r="Y74" i="55"/>
  <c r="Y76" i="55"/>
  <c r="Y77" i="55"/>
  <c r="Y85" i="55"/>
  <c r="Y107" i="55"/>
  <c r="Y110" i="55"/>
  <c r="X17" i="55"/>
  <c r="X27" i="55"/>
  <c r="X46" i="55"/>
  <c r="X48" i="55"/>
  <c r="X50" i="55"/>
  <c r="X56" i="55"/>
  <c r="X57" i="55"/>
  <c r="X61" i="55"/>
  <c r="X63" i="55"/>
  <c r="X64" i="55"/>
  <c r="X66" i="55"/>
  <c r="X73" i="55"/>
  <c r="X74" i="55"/>
  <c r="X76" i="55"/>
  <c r="X77" i="55"/>
  <c r="X85" i="55"/>
  <c r="X107" i="55"/>
  <c r="X110" i="55"/>
  <c r="W17" i="55"/>
  <c r="W27" i="55"/>
  <c r="W46" i="55"/>
  <c r="W48" i="55"/>
  <c r="W50" i="55"/>
  <c r="W56" i="55"/>
  <c r="W57" i="55"/>
  <c r="W61" i="55"/>
  <c r="W63" i="55"/>
  <c r="W64" i="55"/>
  <c r="W66" i="55"/>
  <c r="W73" i="55"/>
  <c r="W74" i="55"/>
  <c r="W76" i="55"/>
  <c r="W77" i="55"/>
  <c r="W85" i="55"/>
  <c r="W107" i="55"/>
  <c r="W110" i="55"/>
  <c r="V17" i="55"/>
  <c r="V27" i="55"/>
  <c r="V46" i="55"/>
  <c r="V48" i="55"/>
  <c r="V50" i="55"/>
  <c r="V56" i="55"/>
  <c r="V57" i="55"/>
  <c r="V61" i="55"/>
  <c r="V63" i="55"/>
  <c r="V64" i="55"/>
  <c r="V66" i="55"/>
  <c r="V73" i="55"/>
  <c r="V74" i="55"/>
  <c r="V76" i="55"/>
  <c r="V77" i="55"/>
  <c r="V85" i="55"/>
  <c r="V107" i="55"/>
  <c r="V110" i="55"/>
  <c r="U17" i="55"/>
  <c r="U27" i="55"/>
  <c r="U46" i="55"/>
  <c r="U48" i="55"/>
  <c r="U50" i="55"/>
  <c r="U56" i="55"/>
  <c r="U57" i="55"/>
  <c r="U61" i="55"/>
  <c r="U63" i="55"/>
  <c r="U64" i="55"/>
  <c r="U66" i="55"/>
  <c r="U73" i="55"/>
  <c r="U74" i="55"/>
  <c r="U76" i="55"/>
  <c r="U77" i="55"/>
  <c r="U85" i="55"/>
  <c r="U107" i="55"/>
  <c r="U110" i="55"/>
  <c r="S17" i="55"/>
  <c r="T17" i="55"/>
  <c r="S27" i="55"/>
  <c r="T27" i="55"/>
  <c r="S46" i="55"/>
  <c r="T46" i="55"/>
  <c r="S48" i="55"/>
  <c r="T48" i="55"/>
  <c r="S50" i="55"/>
  <c r="T50" i="55"/>
  <c r="S56" i="55"/>
  <c r="T56" i="55"/>
  <c r="S57" i="55"/>
  <c r="T57" i="55"/>
  <c r="S61" i="55"/>
  <c r="T61" i="55"/>
  <c r="S63" i="55"/>
  <c r="T63" i="55"/>
  <c r="S64" i="55"/>
  <c r="T64" i="55"/>
  <c r="S66" i="55"/>
  <c r="T66" i="55"/>
  <c r="S73" i="55"/>
  <c r="T73" i="55"/>
  <c r="S74" i="55"/>
  <c r="T74" i="55"/>
  <c r="S76" i="55"/>
  <c r="T76" i="55"/>
  <c r="S77" i="55"/>
  <c r="T77" i="55"/>
  <c r="S85" i="55"/>
  <c r="T85" i="55"/>
  <c r="S107" i="55"/>
  <c r="T107" i="55"/>
  <c r="S110" i="55"/>
  <c r="T110" i="55"/>
  <c r="V17" i="63"/>
  <c r="W17" i="63"/>
  <c r="Z17" i="63"/>
  <c r="AA17" i="63"/>
  <c r="V27" i="63"/>
  <c r="W27" i="63"/>
  <c r="Z27" i="63"/>
  <c r="AA27" i="63"/>
  <c r="V46" i="63"/>
  <c r="W46" i="63"/>
  <c r="Z46" i="63"/>
  <c r="AA46" i="63"/>
  <c r="V48" i="63"/>
  <c r="W48" i="63"/>
  <c r="Z48" i="63"/>
  <c r="AA48" i="63"/>
  <c r="V50" i="63"/>
  <c r="W50" i="63"/>
  <c r="Z50" i="63"/>
  <c r="AA50" i="63"/>
  <c r="V56" i="63"/>
  <c r="W56" i="63"/>
  <c r="Z56" i="63"/>
  <c r="AA56" i="63"/>
  <c r="V57" i="63"/>
  <c r="W57" i="63"/>
  <c r="Z57" i="63"/>
  <c r="AA57" i="63"/>
  <c r="V61" i="63"/>
  <c r="W61" i="63"/>
  <c r="Z61" i="63"/>
  <c r="AA61" i="63"/>
  <c r="V63" i="63"/>
  <c r="W63" i="63"/>
  <c r="Z63" i="63"/>
  <c r="AA63" i="63"/>
  <c r="V64" i="63"/>
  <c r="W64" i="63"/>
  <c r="Z64" i="63"/>
  <c r="AA64" i="63"/>
  <c r="V66" i="63"/>
  <c r="W66" i="63"/>
  <c r="Z66" i="63"/>
  <c r="AA66" i="63"/>
  <c r="V73" i="63"/>
  <c r="W73" i="63"/>
  <c r="Z73" i="63"/>
  <c r="AA73" i="63"/>
  <c r="V74" i="63"/>
  <c r="W74" i="63"/>
  <c r="Z74" i="63"/>
  <c r="AA74" i="63"/>
  <c r="V76" i="63"/>
  <c r="W76" i="63"/>
  <c r="Z76" i="63"/>
  <c r="AA76" i="63"/>
  <c r="V77" i="63"/>
  <c r="W77" i="63"/>
  <c r="Z77" i="63"/>
  <c r="AA77" i="63"/>
  <c r="V85" i="63"/>
  <c r="W85" i="63"/>
  <c r="Z85" i="63"/>
  <c r="AA85" i="63"/>
  <c r="V107" i="63"/>
  <c r="W107" i="63"/>
  <c r="Z107" i="63"/>
  <c r="AA107" i="63"/>
  <c r="V110" i="63"/>
  <c r="W110" i="63"/>
  <c r="Z110" i="63"/>
  <c r="AA110" i="63"/>
  <c r="V116" i="63"/>
  <c r="W116" i="63"/>
  <c r="Z116" i="63"/>
  <c r="AA116" i="63"/>
  <c r="H145" i="56"/>
  <c r="I145" i="56"/>
  <c r="J145" i="56"/>
  <c r="K145" i="56"/>
  <c r="L145" i="56"/>
  <c r="M145" i="56"/>
  <c r="N145" i="56"/>
  <c r="O145" i="56"/>
  <c r="P145" i="56"/>
  <c r="Q145" i="56"/>
  <c r="R145" i="56"/>
  <c r="S145" i="56"/>
  <c r="T145" i="56"/>
  <c r="U145" i="56"/>
  <c r="V145" i="56"/>
  <c r="W145" i="56"/>
  <c r="X145" i="56"/>
  <c r="Y145" i="56"/>
  <c r="Z145" i="56"/>
  <c r="AA145" i="56"/>
  <c r="AB145" i="56"/>
  <c r="AC145" i="56"/>
  <c r="AD145" i="56"/>
  <c r="AE145" i="56"/>
  <c r="AF145" i="56"/>
  <c r="AG145" i="56"/>
  <c r="AH145" i="56"/>
  <c r="AI145" i="56"/>
  <c r="AJ145" i="56"/>
  <c r="G145" i="56"/>
  <c r="AD10" i="63" l="1"/>
  <c r="AE10" i="63" s="1"/>
  <c r="AF10" i="63" s="1"/>
  <c r="AF8" i="76"/>
  <c r="AG8" i="76" s="1"/>
  <c r="AH8" i="76" s="1"/>
  <c r="D109" i="78" s="1"/>
  <c r="AG8" i="69"/>
  <c r="AH8" i="69" s="1"/>
  <c r="AI8" i="69" s="1"/>
  <c r="E110" i="78"/>
  <c r="F110" i="78"/>
  <c r="D110" i="78"/>
  <c r="E108" i="78"/>
  <c r="F108" i="78"/>
  <c r="D108" i="78"/>
  <c r="D112" i="78"/>
  <c r="F112" i="78"/>
  <c r="E112" i="78"/>
  <c r="P116" i="78"/>
  <c r="W116" i="78"/>
  <c r="M116" i="78"/>
  <c r="U116" i="78"/>
  <c r="AA116" i="78"/>
  <c r="Z116" i="78"/>
  <c r="AC116" i="78"/>
  <c r="V116" i="78"/>
  <c r="H116" i="78"/>
  <c r="Q116" i="78"/>
  <c r="O116" i="78"/>
  <c r="X116" i="78"/>
  <c r="L116" i="78"/>
  <c r="J116" i="78"/>
  <c r="T116" i="78"/>
  <c r="AB116" i="78"/>
  <c r="S116" i="78"/>
  <c r="AE116" i="78"/>
  <c r="AD116" i="78"/>
  <c r="N116" i="78"/>
  <c r="AI116" i="78"/>
  <c r="AH116" i="78"/>
  <c r="R116" i="78"/>
  <c r="AJ116" i="78"/>
  <c r="K116" i="78"/>
  <c r="AF116" i="78"/>
  <c r="AG116" i="78"/>
  <c r="Y116" i="78"/>
  <c r="I116" i="78"/>
  <c r="G116" i="78"/>
  <c r="E102" i="62"/>
  <c r="L251" i="69"/>
  <c r="C23" i="67"/>
  <c r="B13" i="62"/>
  <c r="B12" i="62"/>
  <c r="B11" i="62"/>
  <c r="D4" i="62" l="1"/>
  <c r="E109" i="78"/>
  <c r="F109" i="78"/>
  <c r="D117" i="62"/>
  <c r="D135" i="62"/>
  <c r="D114" i="62"/>
  <c r="D113" i="62"/>
  <c r="D3" i="62" l="1"/>
  <c r="D116" i="62"/>
  <c r="C21" i="70"/>
  <c r="M242" i="69"/>
  <c r="M240" i="69"/>
  <c r="M239" i="69"/>
  <c r="M237" i="69"/>
  <c r="M236" i="69"/>
  <c r="M235" i="69"/>
  <c r="M234" i="69"/>
  <c r="M233" i="69"/>
  <c r="M232" i="69"/>
  <c r="M231" i="69"/>
  <c r="M230" i="69"/>
  <c r="M229" i="69"/>
  <c r="M228" i="69"/>
  <c r="M227" i="69"/>
  <c r="M226" i="69"/>
  <c r="M225" i="69"/>
  <c r="M224" i="69"/>
  <c r="M223" i="69"/>
  <c r="M222" i="69"/>
  <c r="M221" i="69"/>
  <c r="M220" i="69"/>
  <c r="M219" i="69"/>
  <c r="M218" i="69"/>
  <c r="M217" i="69"/>
  <c r="M215" i="69"/>
  <c r="M214" i="69"/>
  <c r="M213" i="69"/>
  <c r="M212" i="69"/>
  <c r="M211" i="69"/>
  <c r="M210" i="69"/>
  <c r="M209" i="69"/>
  <c r="M206" i="69"/>
  <c r="M203" i="69"/>
  <c r="M202" i="69"/>
  <c r="M201" i="69"/>
  <c r="M200" i="69"/>
  <c r="M199" i="69"/>
  <c r="M198" i="69"/>
  <c r="M196" i="69"/>
  <c r="M193" i="69"/>
  <c r="M191" i="69"/>
  <c r="M190" i="69"/>
  <c r="M189" i="69"/>
  <c r="M186" i="69"/>
  <c r="M185" i="69"/>
  <c r="M184" i="69"/>
  <c r="M183" i="69"/>
  <c r="M182" i="69"/>
  <c r="M180" i="69"/>
  <c r="M178" i="69"/>
  <c r="M176" i="69"/>
  <c r="M175" i="69"/>
  <c r="M174" i="69"/>
  <c r="M173" i="69"/>
  <c r="M172" i="69"/>
  <c r="M171" i="69"/>
  <c r="M170" i="69"/>
  <c r="M169" i="69"/>
  <c r="M168" i="69"/>
  <c r="M167" i="69"/>
  <c r="M166" i="69"/>
  <c r="M165" i="69"/>
  <c r="M164" i="69"/>
  <c r="M163" i="69"/>
  <c r="M162" i="69"/>
  <c r="M161" i="69"/>
  <c r="M160" i="69"/>
  <c r="M159" i="69"/>
  <c r="M157" i="69"/>
  <c r="M156" i="69"/>
  <c r="M155" i="69"/>
  <c r="M154" i="69"/>
  <c r="M153" i="69"/>
  <c r="M152" i="69"/>
  <c r="M151" i="69"/>
  <c r="M150" i="69"/>
  <c r="M149" i="69"/>
  <c r="M147" i="69"/>
  <c r="M146" i="69"/>
  <c r="M145" i="69"/>
  <c r="M144" i="69"/>
  <c r="M143" i="69"/>
  <c r="M142" i="69"/>
  <c r="M141" i="69"/>
  <c r="M140" i="69"/>
  <c r="M139" i="69"/>
  <c r="M138" i="69"/>
  <c r="M137" i="69"/>
  <c r="N127" i="69"/>
  <c r="N125" i="69"/>
  <c r="N124" i="69"/>
  <c r="N122" i="69"/>
  <c r="N121" i="69"/>
  <c r="N120" i="69"/>
  <c r="N119" i="69"/>
  <c r="N118" i="69"/>
  <c r="N117" i="69"/>
  <c r="N116" i="69"/>
  <c r="N115" i="69"/>
  <c r="N114" i="69"/>
  <c r="N113" i="69"/>
  <c r="N112" i="69"/>
  <c r="N111" i="69"/>
  <c r="N110" i="69"/>
  <c r="N109" i="69"/>
  <c r="N108" i="69"/>
  <c r="N107" i="69"/>
  <c r="N106" i="69"/>
  <c r="N105" i="69"/>
  <c r="N104" i="69"/>
  <c r="N103" i="69"/>
  <c r="N102" i="69"/>
  <c r="N100" i="69"/>
  <c r="N99" i="69"/>
  <c r="N98" i="69"/>
  <c r="N97" i="69"/>
  <c r="N96" i="69"/>
  <c r="N95" i="69"/>
  <c r="N94" i="69"/>
  <c r="N91" i="69"/>
  <c r="N88" i="69"/>
  <c r="N87" i="69"/>
  <c r="N86" i="69"/>
  <c r="N85" i="69"/>
  <c r="N84" i="69"/>
  <c r="N83" i="69"/>
  <c r="N81" i="69"/>
  <c r="N78" i="69"/>
  <c r="N76" i="69"/>
  <c r="N75" i="69"/>
  <c r="N74" i="69"/>
  <c r="N71" i="69"/>
  <c r="N70" i="69"/>
  <c r="N69" i="69"/>
  <c r="N68" i="69"/>
  <c r="N67" i="69"/>
  <c r="N65" i="69"/>
  <c r="N63" i="69"/>
  <c r="N61" i="69"/>
  <c r="N60" i="69"/>
  <c r="N59" i="69"/>
  <c r="N58" i="69"/>
  <c r="N57" i="69"/>
  <c r="N56" i="69"/>
  <c r="N55" i="69"/>
  <c r="N54" i="69"/>
  <c r="N53" i="69"/>
  <c r="N52" i="69"/>
  <c r="N51" i="69"/>
  <c r="N50" i="69"/>
  <c r="N49" i="69"/>
  <c r="N48" i="69"/>
  <c r="N47" i="69"/>
  <c r="N46" i="69"/>
  <c r="N45" i="69"/>
  <c r="N44" i="69"/>
  <c r="N42" i="69"/>
  <c r="N41" i="69"/>
  <c r="N40" i="69"/>
  <c r="N39" i="69"/>
  <c r="N38" i="69"/>
  <c r="N37" i="69"/>
  <c r="N36" i="69"/>
  <c r="N35" i="69"/>
  <c r="N34" i="69"/>
  <c r="N32" i="69"/>
  <c r="N31" i="69"/>
  <c r="N30" i="69"/>
  <c r="N29" i="69"/>
  <c r="N28" i="69"/>
  <c r="N27" i="69"/>
  <c r="N26" i="69"/>
  <c r="N25" i="69"/>
  <c r="N24" i="69"/>
  <c r="N23" i="69"/>
  <c r="N22" i="69"/>
  <c r="AJ130" i="70"/>
  <c r="AI130" i="70"/>
  <c r="AH130" i="70"/>
  <c r="AG130" i="70"/>
  <c r="AF130" i="70"/>
  <c r="AE130" i="70"/>
  <c r="AD130" i="70"/>
  <c r="AC130" i="70"/>
  <c r="AB130" i="70"/>
  <c r="AA130" i="70"/>
  <c r="Z130" i="70"/>
  <c r="Y130" i="70"/>
  <c r="X130" i="70"/>
  <c r="W130" i="70"/>
  <c r="V130" i="70"/>
  <c r="U130" i="70"/>
  <c r="T130" i="70"/>
  <c r="S130" i="70"/>
  <c r="R130" i="70"/>
  <c r="Q130" i="70"/>
  <c r="P130" i="70"/>
  <c r="O130" i="70"/>
  <c r="N130" i="70"/>
  <c r="M130" i="70"/>
  <c r="B101" i="70"/>
  <c r="B100" i="70"/>
  <c r="B99" i="70"/>
  <c r="AJ97" i="70"/>
  <c r="AI97" i="70"/>
  <c r="AH97" i="70"/>
  <c r="AG97" i="70"/>
  <c r="AF97" i="70"/>
  <c r="AE97" i="70"/>
  <c r="AE120" i="70" s="1"/>
  <c r="AD97" i="70"/>
  <c r="AC97" i="70"/>
  <c r="AB97" i="70"/>
  <c r="AA97" i="70"/>
  <c r="Z97" i="70"/>
  <c r="Y97" i="70"/>
  <c r="X97" i="70"/>
  <c r="W97" i="70"/>
  <c r="V97" i="70"/>
  <c r="U97" i="70"/>
  <c r="T97" i="70"/>
  <c r="T120" i="70" s="1"/>
  <c r="S97" i="70"/>
  <c r="R97" i="70"/>
  <c r="Q97" i="70"/>
  <c r="P97" i="70"/>
  <c r="O97" i="70"/>
  <c r="N97" i="70"/>
  <c r="M97" i="70"/>
  <c r="L97" i="70"/>
  <c r="K97" i="70"/>
  <c r="J97" i="70"/>
  <c r="I97" i="70"/>
  <c r="H97" i="70"/>
  <c r="G97" i="70"/>
  <c r="F97" i="70"/>
  <c r="E97" i="70"/>
  <c r="D97" i="70"/>
  <c r="AJ94" i="70"/>
  <c r="AJ179" i="70" s="1"/>
  <c r="AI94" i="70"/>
  <c r="AI179" i="70" s="1"/>
  <c r="AH94" i="70"/>
  <c r="AH179" i="70" s="1"/>
  <c r="AG94" i="70"/>
  <c r="AG179" i="70" s="1"/>
  <c r="AF94" i="70"/>
  <c r="AF179" i="70" s="1"/>
  <c r="AE94" i="70"/>
  <c r="AE179" i="70" s="1"/>
  <c r="AD94" i="70"/>
  <c r="AD179" i="70" s="1"/>
  <c r="AC94" i="70"/>
  <c r="AC179" i="70" s="1"/>
  <c r="AB94" i="70"/>
  <c r="AB179" i="70" s="1"/>
  <c r="AA94" i="70"/>
  <c r="Z94" i="70"/>
  <c r="Z179" i="70" s="1"/>
  <c r="Y94" i="70"/>
  <c r="Y179" i="70" s="1"/>
  <c r="X94" i="70"/>
  <c r="X179" i="70" s="1"/>
  <c r="W94" i="70"/>
  <c r="W179" i="70" s="1"/>
  <c r="V94" i="70"/>
  <c r="V179" i="70" s="1"/>
  <c r="U94" i="70"/>
  <c r="U179" i="70" s="1"/>
  <c r="T94" i="70"/>
  <c r="T179" i="70" s="1"/>
  <c r="S94" i="70"/>
  <c r="S179" i="70" s="1"/>
  <c r="R94" i="70"/>
  <c r="R179" i="70" s="1"/>
  <c r="Q94" i="70"/>
  <c r="Q179" i="70" s="1"/>
  <c r="P94" i="70"/>
  <c r="P179" i="70" s="1"/>
  <c r="O94" i="70"/>
  <c r="O179" i="70" s="1"/>
  <c r="N94" i="70"/>
  <c r="N179" i="70" s="1"/>
  <c r="M94" i="70"/>
  <c r="L94" i="70"/>
  <c r="L179" i="70" s="1"/>
  <c r="K94" i="70"/>
  <c r="K179" i="70" s="1"/>
  <c r="J94" i="70"/>
  <c r="J179" i="70" s="1"/>
  <c r="I94" i="70"/>
  <c r="I179" i="70" s="1"/>
  <c r="H94" i="70"/>
  <c r="G94" i="70"/>
  <c r="F94" i="70"/>
  <c r="E94" i="70"/>
  <c r="D94" i="70"/>
  <c r="C82" i="70"/>
  <c r="C75" i="70"/>
  <c r="G135" i="70"/>
  <c r="A9" i="63"/>
  <c r="AJ133" i="67"/>
  <c r="AI133" i="67"/>
  <c r="AH133" i="67"/>
  <c r="AG133" i="67"/>
  <c r="AF133" i="67"/>
  <c r="AE133" i="67"/>
  <c r="AD133" i="67"/>
  <c r="AC133" i="67"/>
  <c r="AB133" i="67"/>
  <c r="AA133" i="67"/>
  <c r="Z133" i="67"/>
  <c r="Y133" i="67"/>
  <c r="X133" i="67"/>
  <c r="W133" i="67"/>
  <c r="V133" i="67"/>
  <c r="U133" i="67"/>
  <c r="T133" i="67"/>
  <c r="S133" i="67"/>
  <c r="R133" i="67"/>
  <c r="Q133" i="67"/>
  <c r="P133" i="67"/>
  <c r="O133" i="67"/>
  <c r="N133" i="67"/>
  <c r="M133" i="67"/>
  <c r="B103" i="67"/>
  <c r="B102" i="67"/>
  <c r="B101" i="67"/>
  <c r="AJ99" i="67"/>
  <c r="AI99" i="67"/>
  <c r="AI128" i="67" s="1"/>
  <c r="AH99" i="67"/>
  <c r="AH128" i="67" s="1"/>
  <c r="AG99" i="67"/>
  <c r="AF99" i="67"/>
  <c r="AE99" i="67"/>
  <c r="AD99" i="67"/>
  <c r="AC99" i="67"/>
  <c r="AB99" i="67"/>
  <c r="AA99" i="67"/>
  <c r="AA128" i="67" s="1"/>
  <c r="Z99" i="67"/>
  <c r="Z128" i="67" s="1"/>
  <c r="Y99" i="67"/>
  <c r="X99" i="67"/>
  <c r="W99" i="67"/>
  <c r="V99" i="67"/>
  <c r="U99" i="67"/>
  <c r="T99" i="67"/>
  <c r="S99" i="67"/>
  <c r="R99" i="67"/>
  <c r="R128" i="67" s="1"/>
  <c r="Q99" i="67"/>
  <c r="P99" i="67"/>
  <c r="O99" i="67"/>
  <c r="N99" i="67"/>
  <c r="N128" i="67" s="1"/>
  <c r="M99" i="67"/>
  <c r="M128" i="67" s="1"/>
  <c r="L99" i="67"/>
  <c r="K99" i="67"/>
  <c r="K128" i="67" s="1"/>
  <c r="J99" i="67"/>
  <c r="I99" i="67"/>
  <c r="H99" i="67"/>
  <c r="H128" i="67" s="1"/>
  <c r="G99" i="67"/>
  <c r="G128" i="67" s="1"/>
  <c r="F99" i="67"/>
  <c r="E99" i="67"/>
  <c r="D99" i="67"/>
  <c r="AJ96" i="67"/>
  <c r="AI96" i="67"/>
  <c r="AH96" i="67"/>
  <c r="AG96" i="67"/>
  <c r="AF96" i="67"/>
  <c r="AE96" i="67"/>
  <c r="AD96" i="67"/>
  <c r="AC96" i="67"/>
  <c r="AB96" i="67"/>
  <c r="AA96" i="67"/>
  <c r="Z96" i="67"/>
  <c r="Z185" i="67" s="1"/>
  <c r="Y96" i="67"/>
  <c r="X96" i="67"/>
  <c r="W96" i="67"/>
  <c r="V96" i="67"/>
  <c r="U96" i="67"/>
  <c r="T96" i="67"/>
  <c r="S96" i="67"/>
  <c r="R96" i="67"/>
  <c r="R185" i="67" s="1"/>
  <c r="Q96" i="67"/>
  <c r="P96" i="67"/>
  <c r="O96" i="67"/>
  <c r="N96" i="67"/>
  <c r="M96" i="67"/>
  <c r="L96" i="67"/>
  <c r="K96" i="67"/>
  <c r="J96" i="67"/>
  <c r="I96" i="67"/>
  <c r="H96" i="67"/>
  <c r="G96" i="67"/>
  <c r="F96" i="67"/>
  <c r="E96" i="67"/>
  <c r="D96" i="67"/>
  <c r="C84" i="67"/>
  <c r="C82" i="67"/>
  <c r="C77" i="67"/>
  <c r="K133" i="67"/>
  <c r="C21" i="67"/>
  <c r="K120" i="70" l="1"/>
  <c r="AA120" i="70"/>
  <c r="N120" i="70"/>
  <c r="AF120" i="70"/>
  <c r="V120" i="70"/>
  <c r="G120" i="70"/>
  <c r="M125" i="70"/>
  <c r="M120" i="70"/>
  <c r="J125" i="70"/>
  <c r="J120" i="70"/>
  <c r="R125" i="70"/>
  <c r="R120" i="70"/>
  <c r="Z125" i="70"/>
  <c r="Z120" i="70"/>
  <c r="AH125" i="70"/>
  <c r="AH120" i="70"/>
  <c r="S125" i="70"/>
  <c r="S120" i="70"/>
  <c r="AI125" i="70"/>
  <c r="AI120" i="70"/>
  <c r="AB125" i="70"/>
  <c r="AB120" i="70"/>
  <c r="AC125" i="70"/>
  <c r="AC120" i="70"/>
  <c r="O125" i="70"/>
  <c r="O120" i="70"/>
  <c r="W125" i="70"/>
  <c r="W120" i="70"/>
  <c r="L125" i="70"/>
  <c r="L120" i="70"/>
  <c r="AD125" i="70"/>
  <c r="AD120" i="70"/>
  <c r="H125" i="70"/>
  <c r="H120" i="70"/>
  <c r="P125" i="70"/>
  <c r="P120" i="70"/>
  <c r="X125" i="70"/>
  <c r="X120" i="70"/>
  <c r="AJ125" i="70"/>
  <c r="AJ120" i="70"/>
  <c r="U125" i="70"/>
  <c r="U120" i="70"/>
  <c r="I125" i="70"/>
  <c r="I120" i="70"/>
  <c r="Q125" i="70"/>
  <c r="Q120" i="70"/>
  <c r="Y125" i="70"/>
  <c r="Y120" i="70"/>
  <c r="AG125" i="70"/>
  <c r="AG120" i="70"/>
  <c r="B91" i="69"/>
  <c r="B99" i="69"/>
  <c r="B107" i="69"/>
  <c r="B115" i="69"/>
  <c r="B60" i="69"/>
  <c r="B68" i="69"/>
  <c r="B76" i="69"/>
  <c r="B84" i="69"/>
  <c r="B25" i="69"/>
  <c r="B33" i="69"/>
  <c r="B41" i="69"/>
  <c r="B49" i="69"/>
  <c r="AL21" i="69"/>
  <c r="B94" i="69"/>
  <c r="B55" i="69"/>
  <c r="B63" i="69"/>
  <c r="B71" i="69"/>
  <c r="B79" i="69"/>
  <c r="B87" i="69"/>
  <c r="B28" i="69"/>
  <c r="B36" i="69"/>
  <c r="B44" i="69"/>
  <c r="B52" i="69"/>
  <c r="B64" i="69"/>
  <c r="B37" i="69"/>
  <c r="B112" i="69"/>
  <c r="B65" i="69"/>
  <c r="B89" i="69"/>
  <c r="B54" i="69"/>
  <c r="B82" i="69"/>
  <c r="B92" i="69"/>
  <c r="B100" i="69"/>
  <c r="B108" i="69"/>
  <c r="B116" i="69"/>
  <c r="B61" i="69"/>
  <c r="B69" i="69"/>
  <c r="B77" i="69"/>
  <c r="B85" i="69"/>
  <c r="B26" i="69"/>
  <c r="B34" i="69"/>
  <c r="B42" i="69"/>
  <c r="B50" i="69"/>
  <c r="B110" i="69"/>
  <c r="B111" i="69"/>
  <c r="B72" i="69"/>
  <c r="B29" i="69"/>
  <c r="AO72" i="69"/>
  <c r="B57" i="69"/>
  <c r="B30" i="69"/>
  <c r="B97" i="69"/>
  <c r="B58" i="69"/>
  <c r="B90" i="69"/>
  <c r="B47" i="69"/>
  <c r="B93" i="69"/>
  <c r="B101" i="69"/>
  <c r="B109" i="69"/>
  <c r="B117" i="69"/>
  <c r="B62" i="69"/>
  <c r="B70" i="69"/>
  <c r="B78" i="69"/>
  <c r="B86" i="69"/>
  <c r="B27" i="69"/>
  <c r="B35" i="69"/>
  <c r="B43" i="69"/>
  <c r="B51" i="69"/>
  <c r="AP60" i="69"/>
  <c r="B56" i="69"/>
  <c r="B88" i="69"/>
  <c r="B53" i="69"/>
  <c r="B96" i="69"/>
  <c r="B81" i="69"/>
  <c r="B46" i="69"/>
  <c r="B105" i="69"/>
  <c r="B66" i="69"/>
  <c r="B31" i="69"/>
  <c r="B95" i="69"/>
  <c r="AM30" i="69"/>
  <c r="AN39" i="69"/>
  <c r="B98" i="69"/>
  <c r="B106" i="69"/>
  <c r="B114" i="69"/>
  <c r="B59" i="69"/>
  <c r="B67" i="69"/>
  <c r="B75" i="69"/>
  <c r="B83" i="69"/>
  <c r="B24" i="69"/>
  <c r="B32" i="69"/>
  <c r="B40" i="69"/>
  <c r="B48" i="69"/>
  <c r="B102" i="69"/>
  <c r="B103" i="69"/>
  <c r="B80" i="69"/>
  <c r="B45" i="69"/>
  <c r="B104" i="69"/>
  <c r="B73" i="69"/>
  <c r="B38" i="69"/>
  <c r="B113" i="69"/>
  <c r="B74" i="69"/>
  <c r="B39" i="69"/>
  <c r="H103" i="67"/>
  <c r="P103" i="67"/>
  <c r="X103" i="67"/>
  <c r="AF103" i="67"/>
  <c r="R103" i="67"/>
  <c r="Z103" i="67"/>
  <c r="I103" i="67"/>
  <c r="Q103" i="67"/>
  <c r="Y103" i="67"/>
  <c r="AG103" i="67"/>
  <c r="K103" i="67"/>
  <c r="AA103" i="67"/>
  <c r="L103" i="67"/>
  <c r="AJ103" i="67"/>
  <c r="J103" i="67"/>
  <c r="AH103" i="67"/>
  <c r="S103" i="67"/>
  <c r="AI103" i="67"/>
  <c r="T103" i="67"/>
  <c r="AB103" i="67"/>
  <c r="M103" i="67"/>
  <c r="U103" i="67"/>
  <c r="AC103" i="67"/>
  <c r="G103" i="67"/>
  <c r="N103" i="67"/>
  <c r="V103" i="67"/>
  <c r="AD103" i="67"/>
  <c r="O103" i="67"/>
  <c r="W103" i="67"/>
  <c r="AE103" i="67"/>
  <c r="I102" i="67"/>
  <c r="Q102" i="67"/>
  <c r="Y102" i="67"/>
  <c r="AG102" i="67"/>
  <c r="M102" i="67"/>
  <c r="U102" i="67"/>
  <c r="AC102" i="67"/>
  <c r="J102" i="67"/>
  <c r="R102" i="67"/>
  <c r="Z102" i="67"/>
  <c r="AH102" i="67"/>
  <c r="L102" i="67"/>
  <c r="K102" i="67"/>
  <c r="S102" i="67"/>
  <c r="AA102" i="67"/>
  <c r="AI102" i="67"/>
  <c r="G102" i="67"/>
  <c r="N102" i="67"/>
  <c r="V102" i="67"/>
  <c r="AD102" i="67"/>
  <c r="O102" i="67"/>
  <c r="W102" i="67"/>
  <c r="AE102" i="67"/>
  <c r="H102" i="67"/>
  <c r="P102" i="67"/>
  <c r="X102" i="67"/>
  <c r="AF102" i="67"/>
  <c r="T102" i="67"/>
  <c r="AB102" i="67"/>
  <c r="AJ102" i="67"/>
  <c r="AK6" i="69"/>
  <c r="I101" i="67"/>
  <c r="Q101" i="67"/>
  <c r="Y101" i="67"/>
  <c r="AG101" i="67"/>
  <c r="G101" i="67"/>
  <c r="J101" i="67"/>
  <c r="R101" i="67"/>
  <c r="Z101" i="67"/>
  <c r="AH101" i="67"/>
  <c r="U101" i="67"/>
  <c r="K101" i="67"/>
  <c r="S101" i="67"/>
  <c r="AA101" i="67"/>
  <c r="AI101" i="67"/>
  <c r="M101" i="67"/>
  <c r="AC101" i="67"/>
  <c r="L101" i="67"/>
  <c r="T101" i="67"/>
  <c r="AB101" i="67"/>
  <c r="AJ101" i="67"/>
  <c r="O101" i="67"/>
  <c r="P101" i="67"/>
  <c r="V101" i="67"/>
  <c r="AD101" i="67"/>
  <c r="W101" i="67"/>
  <c r="X101" i="67"/>
  <c r="H101" i="67"/>
  <c r="AE101" i="67"/>
  <c r="N101" i="67"/>
  <c r="AF101" i="67"/>
  <c r="K100" i="70"/>
  <c r="S100" i="70"/>
  <c r="AA100" i="70"/>
  <c r="AI100" i="70"/>
  <c r="G100" i="70"/>
  <c r="L100" i="70"/>
  <c r="T100" i="70"/>
  <c r="AB100" i="70"/>
  <c r="AJ100" i="70"/>
  <c r="M100" i="70"/>
  <c r="U100" i="70"/>
  <c r="AC100" i="70"/>
  <c r="N100" i="70"/>
  <c r="V100" i="70"/>
  <c r="AD100" i="70"/>
  <c r="O100" i="70"/>
  <c r="W100" i="70"/>
  <c r="AE100" i="70"/>
  <c r="H100" i="70"/>
  <c r="P100" i="70"/>
  <c r="X100" i="70"/>
  <c r="AF100" i="70"/>
  <c r="I100" i="70"/>
  <c r="Q100" i="70"/>
  <c r="Y100" i="70"/>
  <c r="AG100" i="70"/>
  <c r="J100" i="70"/>
  <c r="R100" i="70"/>
  <c r="Z100" i="70"/>
  <c r="AH100" i="70"/>
  <c r="N101" i="70"/>
  <c r="V101" i="70"/>
  <c r="AD101" i="70"/>
  <c r="O101" i="70"/>
  <c r="W101" i="70"/>
  <c r="AE101" i="70"/>
  <c r="H101" i="70"/>
  <c r="P101" i="70"/>
  <c r="X101" i="70"/>
  <c r="AF101" i="70"/>
  <c r="I101" i="70"/>
  <c r="Q101" i="70"/>
  <c r="Y101" i="70"/>
  <c r="AG101" i="70"/>
  <c r="J101" i="70"/>
  <c r="R101" i="70"/>
  <c r="Z101" i="70"/>
  <c r="AH101" i="70"/>
  <c r="K101" i="70"/>
  <c r="S101" i="70"/>
  <c r="AA101" i="70"/>
  <c r="AI101" i="70"/>
  <c r="L101" i="70"/>
  <c r="T101" i="70"/>
  <c r="AB101" i="70"/>
  <c r="AJ101" i="70"/>
  <c r="M101" i="70"/>
  <c r="U101" i="70"/>
  <c r="AC101" i="70"/>
  <c r="G101" i="70"/>
  <c r="H99" i="70"/>
  <c r="P99" i="70"/>
  <c r="X99" i="70"/>
  <c r="AF99" i="70"/>
  <c r="Z99" i="70"/>
  <c r="AA99" i="70"/>
  <c r="I99" i="70"/>
  <c r="Q99" i="70"/>
  <c r="Y99" i="70"/>
  <c r="AG99" i="70"/>
  <c r="G99" i="70"/>
  <c r="R99" i="70"/>
  <c r="AH99" i="70"/>
  <c r="S99" i="70"/>
  <c r="AI99" i="70"/>
  <c r="J99" i="70"/>
  <c r="K99" i="70"/>
  <c r="L99" i="70"/>
  <c r="T99" i="70"/>
  <c r="AB99" i="70"/>
  <c r="AJ99" i="70"/>
  <c r="M99" i="70"/>
  <c r="U99" i="70"/>
  <c r="AC99" i="70"/>
  <c r="N99" i="70"/>
  <c r="V99" i="70"/>
  <c r="AD99" i="70"/>
  <c r="O99" i="70"/>
  <c r="W99" i="70"/>
  <c r="AE99" i="70"/>
  <c r="AK21" i="69"/>
  <c r="AO21" i="69"/>
  <c r="AK30" i="69"/>
  <c r="AL30" i="69"/>
  <c r="AP59" i="69"/>
  <c r="AK59" i="69"/>
  <c r="AM71" i="69"/>
  <c r="AN71" i="69"/>
  <c r="AP71" i="69"/>
  <c r="AK71" i="69"/>
  <c r="AK83" i="69"/>
  <c r="AK100" i="69"/>
  <c r="AM100" i="69"/>
  <c r="AO100" i="69"/>
  <c r="AK13" i="69"/>
  <c r="AK22" i="69"/>
  <c r="AM31" i="69"/>
  <c r="AK31" i="69"/>
  <c r="AP31" i="69"/>
  <c r="AK39" i="69"/>
  <c r="AO49" i="69"/>
  <c r="AK49" i="69"/>
  <c r="AK60" i="69"/>
  <c r="AO60" i="69"/>
  <c r="AK72" i="69"/>
  <c r="AK84" i="69"/>
  <c r="AM84" i="69"/>
  <c r="AK93" i="69"/>
  <c r="AL93" i="69"/>
  <c r="AP93" i="69"/>
  <c r="AK101" i="69"/>
  <c r="AO101" i="69"/>
  <c r="AL111" i="69"/>
  <c r="AM111" i="69"/>
  <c r="AK111" i="69"/>
  <c r="AK14" i="69"/>
  <c r="AL23" i="69"/>
  <c r="AK23" i="69"/>
  <c r="AM32" i="69"/>
  <c r="AK32" i="69"/>
  <c r="AM40" i="69"/>
  <c r="AO40" i="69"/>
  <c r="AK40" i="69"/>
  <c r="AN51" i="69"/>
  <c r="AK51" i="69"/>
  <c r="AO51" i="69"/>
  <c r="AK62" i="69"/>
  <c r="AM62" i="69"/>
  <c r="AO62" i="69"/>
  <c r="AP62" i="69"/>
  <c r="P206" i="69"/>
  <c r="AK75" i="69"/>
  <c r="AO75" i="69"/>
  <c r="AK86" i="69"/>
  <c r="AP86" i="69"/>
  <c r="AK94" i="69"/>
  <c r="AL94" i="69"/>
  <c r="AO94" i="69"/>
  <c r="AK102" i="69"/>
  <c r="AM102" i="69"/>
  <c r="P227" i="69"/>
  <c r="AM96" i="69"/>
  <c r="AK96" i="69"/>
  <c r="AK109" i="69"/>
  <c r="AO109" i="69"/>
  <c r="AM109" i="69"/>
  <c r="AM7" i="69"/>
  <c r="AP7" i="69"/>
  <c r="AK7" i="69"/>
  <c r="AO7" i="69"/>
  <c r="AP25" i="69"/>
  <c r="AK25" i="69"/>
  <c r="AK67" i="69"/>
  <c r="AM67" i="69"/>
  <c r="AO67" i="69"/>
  <c r="AM104" i="69"/>
  <c r="AK104" i="69"/>
  <c r="P140" i="69"/>
  <c r="AO9" i="69"/>
  <c r="AK9" i="69"/>
  <c r="AO18" i="69"/>
  <c r="AM18" i="69"/>
  <c r="AK18" i="69"/>
  <c r="AL18" i="69"/>
  <c r="AN18" i="69"/>
  <c r="AO26" i="69"/>
  <c r="AK26" i="69"/>
  <c r="AP35" i="69"/>
  <c r="AM35" i="69"/>
  <c r="AO35" i="69"/>
  <c r="AK35" i="69"/>
  <c r="AP43" i="69"/>
  <c r="AK43" i="69"/>
  <c r="AM43" i="69"/>
  <c r="AO43" i="69"/>
  <c r="AK54" i="69"/>
  <c r="AM54" i="69"/>
  <c r="AP54" i="69"/>
  <c r="AO54" i="69"/>
  <c r="AK68" i="69"/>
  <c r="AO68" i="69"/>
  <c r="AL68" i="69"/>
  <c r="AM68" i="69"/>
  <c r="AP68" i="69"/>
  <c r="AM80" i="69"/>
  <c r="AO80" i="69"/>
  <c r="AK80" i="69"/>
  <c r="P220" i="69"/>
  <c r="AN89" i="69"/>
  <c r="AO89" i="69"/>
  <c r="AM89" i="69"/>
  <c r="AK89" i="69"/>
  <c r="AO97" i="69"/>
  <c r="AP97" i="69"/>
  <c r="AL97" i="69"/>
  <c r="AM97" i="69"/>
  <c r="AK97" i="69"/>
  <c r="AO105" i="69"/>
  <c r="AP105" i="69"/>
  <c r="AK105" i="69"/>
  <c r="AM105" i="69"/>
  <c r="P178" i="69"/>
  <c r="AM47" i="69"/>
  <c r="AO47" i="69"/>
  <c r="AK47" i="69"/>
  <c r="AM24" i="69"/>
  <c r="AO24" i="69"/>
  <c r="AK24" i="69"/>
  <c r="AL24" i="69"/>
  <c r="AP24" i="69"/>
  <c r="AO33" i="69"/>
  <c r="AK33" i="69"/>
  <c r="AM33" i="69"/>
  <c r="AO41" i="69"/>
  <c r="AP41" i="69"/>
  <c r="AK41" i="69"/>
  <c r="AM41" i="69"/>
  <c r="AK52" i="69"/>
  <c r="AP52" i="69"/>
  <c r="AL52" i="69"/>
  <c r="AM52" i="69"/>
  <c r="AK78" i="69"/>
  <c r="AO78" i="69"/>
  <c r="AM87" i="69"/>
  <c r="AK87" i="69"/>
  <c r="AO87" i="69"/>
  <c r="AP87" i="69"/>
  <c r="AM103" i="69"/>
  <c r="AK103" i="69"/>
  <c r="AP103" i="69"/>
  <c r="AM8" i="69"/>
  <c r="AO8" i="69"/>
  <c r="AK8" i="69"/>
  <c r="AL8" i="69"/>
  <c r="AP8" i="69"/>
  <c r="AO42" i="69"/>
  <c r="AP42" i="69"/>
  <c r="AM42" i="69"/>
  <c r="AK42" i="69"/>
  <c r="AL79" i="69"/>
  <c r="AM79" i="69"/>
  <c r="AK79" i="69"/>
  <c r="AO79" i="69"/>
  <c r="AP79" i="69"/>
  <c r="AO10" i="69"/>
  <c r="AP10" i="69"/>
  <c r="AM10" i="69"/>
  <c r="AK10" i="69"/>
  <c r="AN10" i="69"/>
  <c r="P150" i="69"/>
  <c r="AP19" i="69"/>
  <c r="AO19" i="69"/>
  <c r="AM19" i="69"/>
  <c r="AK19" i="69"/>
  <c r="P167" i="69"/>
  <c r="AK36" i="69"/>
  <c r="AO36" i="69"/>
  <c r="AP36" i="69"/>
  <c r="AM36" i="69"/>
  <c r="AK44" i="69"/>
  <c r="AO44" i="69"/>
  <c r="AP44" i="69"/>
  <c r="AM44" i="69"/>
  <c r="AM55" i="69"/>
  <c r="AN55" i="69"/>
  <c r="AK55" i="69"/>
  <c r="AO55" i="69"/>
  <c r="AP55" i="69"/>
  <c r="AK69" i="69"/>
  <c r="AP69" i="69"/>
  <c r="AM69" i="69"/>
  <c r="AO69" i="69"/>
  <c r="AO81" i="69"/>
  <c r="AP81" i="69"/>
  <c r="AL81" i="69"/>
  <c r="AK81" i="69"/>
  <c r="AM81" i="69"/>
  <c r="AO98" i="69"/>
  <c r="AP98" i="69"/>
  <c r="AK98" i="69"/>
  <c r="AL98" i="69"/>
  <c r="AM98" i="69"/>
  <c r="AO106" i="69"/>
  <c r="AP106" i="69"/>
  <c r="AM106" i="69"/>
  <c r="AK106" i="69"/>
  <c r="AL106" i="69"/>
  <c r="P143" i="69"/>
  <c r="AK12" i="69"/>
  <c r="AO12" i="69"/>
  <c r="AM12" i="69"/>
  <c r="AP12" i="69"/>
  <c r="P169" i="69"/>
  <c r="AK38" i="69"/>
  <c r="AM38" i="69"/>
  <c r="AO38" i="69"/>
  <c r="AP38" i="69"/>
  <c r="AK92" i="69"/>
  <c r="AL92" i="69"/>
  <c r="AM92" i="69"/>
  <c r="AP92" i="69"/>
  <c r="AO92" i="69"/>
  <c r="AM15" i="69"/>
  <c r="AN15" i="69"/>
  <c r="AK15" i="69"/>
  <c r="AO15" i="69"/>
  <c r="AP15" i="69"/>
  <c r="AO65" i="69"/>
  <c r="AP65" i="69"/>
  <c r="AL65" i="69"/>
  <c r="AK65" i="69"/>
  <c r="AM65" i="69"/>
  <c r="AM95" i="69"/>
  <c r="AO95" i="69"/>
  <c r="AP95" i="69"/>
  <c r="AK95" i="69"/>
  <c r="AM16" i="69"/>
  <c r="AO16" i="69"/>
  <c r="AK16" i="69"/>
  <c r="AL16" i="69"/>
  <c r="AP16" i="69"/>
  <c r="AO34" i="69"/>
  <c r="AP34" i="69"/>
  <c r="AM34" i="69"/>
  <c r="AK34" i="69"/>
  <c r="AL34" i="69"/>
  <c r="P184" i="69"/>
  <c r="AK53" i="69"/>
  <c r="AP53" i="69"/>
  <c r="AM53" i="69"/>
  <c r="AO53" i="69"/>
  <c r="P219" i="69"/>
  <c r="AM88" i="69"/>
  <c r="AO88" i="69"/>
  <c r="AK88" i="69"/>
  <c r="AP88" i="69"/>
  <c r="AK28" i="69"/>
  <c r="AO28" i="69"/>
  <c r="AP28" i="69"/>
  <c r="AM28" i="69"/>
  <c r="AO90" i="69"/>
  <c r="AP90" i="69"/>
  <c r="AM90" i="69"/>
  <c r="AK90" i="69"/>
  <c r="AP11" i="69"/>
  <c r="AO11" i="69"/>
  <c r="AK11" i="69"/>
  <c r="AM11" i="69"/>
  <c r="AK20" i="69"/>
  <c r="AO20" i="69"/>
  <c r="AM20" i="69"/>
  <c r="AN20" i="69"/>
  <c r="AP20" i="69"/>
  <c r="AK29" i="69"/>
  <c r="AP29" i="69"/>
  <c r="AM29" i="69"/>
  <c r="AN29" i="69"/>
  <c r="AO29" i="69"/>
  <c r="AK37" i="69"/>
  <c r="AP37" i="69"/>
  <c r="AO37" i="69"/>
  <c r="AM37" i="69"/>
  <c r="AN37" i="69"/>
  <c r="P176" i="69"/>
  <c r="AK45" i="69"/>
  <c r="AP45" i="69"/>
  <c r="AM45" i="69"/>
  <c r="AO45" i="69"/>
  <c r="P189" i="69"/>
  <c r="AO58" i="69"/>
  <c r="AP58" i="69"/>
  <c r="AM58" i="69"/>
  <c r="AK58" i="69"/>
  <c r="AK70" i="69"/>
  <c r="AL70" i="69"/>
  <c r="AM70" i="69"/>
  <c r="AP70" i="69"/>
  <c r="AO70" i="69"/>
  <c r="AO82" i="69"/>
  <c r="AP82" i="69"/>
  <c r="AM82" i="69"/>
  <c r="AK82" i="69"/>
  <c r="AP91" i="69"/>
  <c r="AN91" i="69"/>
  <c r="AO91" i="69"/>
  <c r="AL91" i="69"/>
  <c r="AK91" i="69"/>
  <c r="AM91" i="69"/>
  <c r="AP99" i="69"/>
  <c r="AL99" i="69"/>
  <c r="AM99" i="69"/>
  <c r="AN99" i="69"/>
  <c r="AO99" i="69"/>
  <c r="AK99" i="69"/>
  <c r="AK108" i="69"/>
  <c r="AM108" i="69"/>
  <c r="AO108" i="69"/>
  <c r="AN108" i="69"/>
  <c r="AP108" i="69"/>
  <c r="N180" i="70"/>
  <c r="N125" i="70"/>
  <c r="V180" i="70"/>
  <c r="V125" i="70"/>
  <c r="G174" i="70"/>
  <c r="G125" i="70"/>
  <c r="AE124" i="70"/>
  <c r="AE125" i="70"/>
  <c r="K124" i="70"/>
  <c r="K125" i="70"/>
  <c r="AA124" i="70"/>
  <c r="AA125" i="70"/>
  <c r="AF174" i="70"/>
  <c r="AF125" i="70"/>
  <c r="T174" i="70"/>
  <c r="T125" i="70"/>
  <c r="X195" i="67"/>
  <c r="X128" i="67"/>
  <c r="AG195" i="67"/>
  <c r="AG128" i="67"/>
  <c r="V195" i="67"/>
  <c r="V128" i="67"/>
  <c r="AD195" i="67"/>
  <c r="AD128" i="67"/>
  <c r="O195" i="67"/>
  <c r="O128" i="67"/>
  <c r="I195" i="67"/>
  <c r="I128" i="67"/>
  <c r="S195" i="67"/>
  <c r="S128" i="67"/>
  <c r="W195" i="67"/>
  <c r="W128" i="67"/>
  <c r="P195" i="67"/>
  <c r="P128" i="67"/>
  <c r="Y195" i="67"/>
  <c r="Y128" i="67"/>
  <c r="J195" i="67"/>
  <c r="J128" i="67"/>
  <c r="L195" i="67"/>
  <c r="L128" i="67"/>
  <c r="T195" i="67"/>
  <c r="T128" i="67"/>
  <c r="AB195" i="67"/>
  <c r="AB128" i="67"/>
  <c r="AJ195" i="67"/>
  <c r="AJ128" i="67"/>
  <c r="AE195" i="67"/>
  <c r="AE128" i="67"/>
  <c r="AF127" i="67"/>
  <c r="AF128" i="67"/>
  <c r="Q195" i="67"/>
  <c r="Q128" i="67"/>
  <c r="U195" i="67"/>
  <c r="U128" i="67"/>
  <c r="AC195" i="67"/>
  <c r="AC128" i="67"/>
  <c r="G126" i="67"/>
  <c r="L138" i="67"/>
  <c r="T138" i="67"/>
  <c r="AB138" i="67"/>
  <c r="AJ138" i="67"/>
  <c r="M138" i="67"/>
  <c r="U138" i="67"/>
  <c r="AC138" i="67"/>
  <c r="G138" i="67"/>
  <c r="N138" i="67"/>
  <c r="V138" i="67"/>
  <c r="AD138" i="67"/>
  <c r="I138" i="67"/>
  <c r="Q138" i="67"/>
  <c r="Y138" i="67"/>
  <c r="AG138" i="67"/>
  <c r="J138" i="67"/>
  <c r="Z138" i="67"/>
  <c r="AH138" i="67"/>
  <c r="P138" i="67"/>
  <c r="AI138" i="67"/>
  <c r="R138" i="67"/>
  <c r="S138" i="67"/>
  <c r="W138" i="67"/>
  <c r="H138" i="67"/>
  <c r="K138" i="67"/>
  <c r="AE138" i="67"/>
  <c r="O138" i="67"/>
  <c r="AF138" i="67"/>
  <c r="X138" i="67"/>
  <c r="AA138" i="67"/>
  <c r="AG127" i="67"/>
  <c r="O142" i="67"/>
  <c r="W142" i="67"/>
  <c r="AE142" i="67"/>
  <c r="J146" i="67"/>
  <c r="R146" i="67"/>
  <c r="Z146" i="67"/>
  <c r="AH146" i="67"/>
  <c r="H151" i="67"/>
  <c r="P151" i="67"/>
  <c r="X151" i="67"/>
  <c r="AF151" i="67"/>
  <c r="N155" i="67"/>
  <c r="V155" i="67"/>
  <c r="AD155" i="67"/>
  <c r="J159" i="67"/>
  <c r="R159" i="67"/>
  <c r="Z159" i="67"/>
  <c r="AH159" i="67"/>
  <c r="H163" i="67"/>
  <c r="P163" i="67"/>
  <c r="X163" i="67"/>
  <c r="AF163" i="67"/>
  <c r="N168" i="67"/>
  <c r="V168" i="67"/>
  <c r="AD168" i="67"/>
  <c r="L172" i="67"/>
  <c r="T172" i="67"/>
  <c r="AB172" i="67"/>
  <c r="AJ172" i="67"/>
  <c r="G142" i="67"/>
  <c r="I163" i="67"/>
  <c r="H142" i="67"/>
  <c r="P142" i="67"/>
  <c r="X142" i="67"/>
  <c r="AF142" i="67"/>
  <c r="K146" i="67"/>
  <c r="S146" i="67"/>
  <c r="AA146" i="67"/>
  <c r="AI146" i="67"/>
  <c r="I151" i="67"/>
  <c r="Q151" i="67"/>
  <c r="Y151" i="67"/>
  <c r="AG151" i="67"/>
  <c r="O155" i="67"/>
  <c r="W155" i="67"/>
  <c r="AE155" i="67"/>
  <c r="K159" i="67"/>
  <c r="S159" i="67"/>
  <c r="AA159" i="67"/>
  <c r="AI159" i="67"/>
  <c r="Q163" i="67"/>
  <c r="Y163" i="67"/>
  <c r="AG163" i="67"/>
  <c r="O168" i="67"/>
  <c r="W168" i="67"/>
  <c r="AE168" i="67"/>
  <c r="M172" i="67"/>
  <c r="U172" i="67"/>
  <c r="AC172" i="67"/>
  <c r="G172" i="67"/>
  <c r="V172" i="67"/>
  <c r="I142" i="67"/>
  <c r="Q142" i="67"/>
  <c r="Y142" i="67"/>
  <c r="AG142" i="67"/>
  <c r="L146" i="67"/>
  <c r="T146" i="67"/>
  <c r="AB146" i="67"/>
  <c r="AJ146" i="67"/>
  <c r="J151" i="67"/>
  <c r="R151" i="67"/>
  <c r="Z151" i="67"/>
  <c r="AH151" i="67"/>
  <c r="H155" i="67"/>
  <c r="P155" i="67"/>
  <c r="X155" i="67"/>
  <c r="AF155" i="67"/>
  <c r="L159" i="67"/>
  <c r="T159" i="67"/>
  <c r="AB159" i="67"/>
  <c r="AJ159" i="67"/>
  <c r="J163" i="67"/>
  <c r="R163" i="67"/>
  <c r="Z163" i="67"/>
  <c r="AH163" i="67"/>
  <c r="H168" i="67"/>
  <c r="P168" i="67"/>
  <c r="X168" i="67"/>
  <c r="AF168" i="67"/>
  <c r="N172" i="67"/>
  <c r="AD172" i="67"/>
  <c r="G168" i="67"/>
  <c r="L142" i="67"/>
  <c r="T142" i="67"/>
  <c r="AB142" i="67"/>
  <c r="AJ142" i="67"/>
  <c r="O146" i="67"/>
  <c r="W146" i="67"/>
  <c r="AE146" i="67"/>
  <c r="M151" i="67"/>
  <c r="U151" i="67"/>
  <c r="AC151" i="67"/>
  <c r="K155" i="67"/>
  <c r="S155" i="67"/>
  <c r="AA155" i="67"/>
  <c r="AI155" i="67"/>
  <c r="O159" i="67"/>
  <c r="W159" i="67"/>
  <c r="AE159" i="67"/>
  <c r="M163" i="67"/>
  <c r="U163" i="67"/>
  <c r="AC163" i="67"/>
  <c r="K168" i="67"/>
  <c r="S168" i="67"/>
  <c r="AA168" i="67"/>
  <c r="AI168" i="67"/>
  <c r="I172" i="67"/>
  <c r="Q172" i="67"/>
  <c r="Y172" i="67"/>
  <c r="AG172" i="67"/>
  <c r="G155" i="67"/>
  <c r="M142" i="67"/>
  <c r="Z142" i="67"/>
  <c r="M146" i="67"/>
  <c r="AC146" i="67"/>
  <c r="S151" i="67"/>
  <c r="AI151" i="67"/>
  <c r="I155" i="67"/>
  <c r="Y155" i="67"/>
  <c r="U159" i="67"/>
  <c r="K163" i="67"/>
  <c r="AA163" i="67"/>
  <c r="Q168" i="67"/>
  <c r="AG168" i="67"/>
  <c r="W172" i="67"/>
  <c r="G163" i="67"/>
  <c r="V159" i="67"/>
  <c r="AB163" i="67"/>
  <c r="AH168" i="67"/>
  <c r="H172" i="67"/>
  <c r="X172" i="67"/>
  <c r="G159" i="67"/>
  <c r="Z172" i="67"/>
  <c r="G151" i="67"/>
  <c r="Q146" i="67"/>
  <c r="O163" i="67"/>
  <c r="G146" i="67"/>
  <c r="U146" i="67"/>
  <c r="AA151" i="67"/>
  <c r="AG155" i="67"/>
  <c r="Y168" i="67"/>
  <c r="AI142" i="67"/>
  <c r="AB151" i="67"/>
  <c r="R155" i="67"/>
  <c r="J142" i="67"/>
  <c r="AA142" i="67"/>
  <c r="N146" i="67"/>
  <c r="AD146" i="67"/>
  <c r="T151" i="67"/>
  <c r="AJ151" i="67"/>
  <c r="J155" i="67"/>
  <c r="Z155" i="67"/>
  <c r="L163" i="67"/>
  <c r="R168" i="67"/>
  <c r="N142" i="67"/>
  <c r="AG146" i="67"/>
  <c r="W151" i="67"/>
  <c r="AC155" i="67"/>
  <c r="I159" i="67"/>
  <c r="K172" i="67"/>
  <c r="R142" i="67"/>
  <c r="K151" i="67"/>
  <c r="S163" i="67"/>
  <c r="I168" i="67"/>
  <c r="O172" i="67"/>
  <c r="V146" i="67"/>
  <c r="J168" i="67"/>
  <c r="P172" i="67"/>
  <c r="K142" i="67"/>
  <c r="AC142" i="67"/>
  <c r="P146" i="67"/>
  <c r="AF146" i="67"/>
  <c r="V151" i="67"/>
  <c r="L155" i="67"/>
  <c r="AB155" i="67"/>
  <c r="H159" i="67"/>
  <c r="X159" i="67"/>
  <c r="N163" i="67"/>
  <c r="AD163" i="67"/>
  <c r="T168" i="67"/>
  <c r="AJ168" i="67"/>
  <c r="J172" i="67"/>
  <c r="AD142" i="67"/>
  <c r="M155" i="67"/>
  <c r="Y159" i="67"/>
  <c r="AE163" i="67"/>
  <c r="U168" i="67"/>
  <c r="AA172" i="67"/>
  <c r="Q155" i="67"/>
  <c r="AC159" i="67"/>
  <c r="S142" i="67"/>
  <c r="L151" i="67"/>
  <c r="AH155" i="67"/>
  <c r="T163" i="67"/>
  <c r="Z168" i="67"/>
  <c r="AF172" i="67"/>
  <c r="AH142" i="67"/>
  <c r="M159" i="67"/>
  <c r="N159" i="67"/>
  <c r="U142" i="67"/>
  <c r="H146" i="67"/>
  <c r="X146" i="67"/>
  <c r="N151" i="67"/>
  <c r="AD151" i="67"/>
  <c r="T155" i="67"/>
  <c r="AJ155" i="67"/>
  <c r="P159" i="67"/>
  <c r="AF159" i="67"/>
  <c r="V163" i="67"/>
  <c r="L168" i="67"/>
  <c r="AB168" i="67"/>
  <c r="R172" i="67"/>
  <c r="AH172" i="67"/>
  <c r="V142" i="67"/>
  <c r="I146" i="67"/>
  <c r="Y146" i="67"/>
  <c r="O151" i="67"/>
  <c r="AE151" i="67"/>
  <c r="U155" i="67"/>
  <c r="Q159" i="67"/>
  <c r="AG159" i="67"/>
  <c r="W163" i="67"/>
  <c r="M168" i="67"/>
  <c r="AC168" i="67"/>
  <c r="S172" i="67"/>
  <c r="AI172" i="67"/>
  <c r="AI163" i="67"/>
  <c r="AE172" i="67"/>
  <c r="AD159" i="67"/>
  <c r="AJ163" i="67"/>
  <c r="G179" i="70"/>
  <c r="G173" i="70"/>
  <c r="I4" i="70"/>
  <c r="C43" i="70" s="1"/>
  <c r="G151" i="70" s="1"/>
  <c r="I2" i="70"/>
  <c r="C42" i="70" s="1"/>
  <c r="AE147" i="70" s="1"/>
  <c r="O124" i="70"/>
  <c r="I11" i="70"/>
  <c r="C35" i="70" s="1"/>
  <c r="I5" i="70"/>
  <c r="C44" i="70" s="1"/>
  <c r="I3" i="70"/>
  <c r="C53" i="70" s="1"/>
  <c r="M139" i="70"/>
  <c r="U139" i="70"/>
  <c r="AC139" i="70"/>
  <c r="K143" i="70"/>
  <c r="S143" i="70"/>
  <c r="AA143" i="70"/>
  <c r="AI143" i="70"/>
  <c r="I148" i="70"/>
  <c r="Q148" i="70"/>
  <c r="Y148" i="70"/>
  <c r="AG148" i="70"/>
  <c r="O152" i="70"/>
  <c r="W152" i="70"/>
  <c r="AE152" i="70"/>
  <c r="K156" i="70"/>
  <c r="S156" i="70"/>
  <c r="AA156" i="70"/>
  <c r="AI156" i="70"/>
  <c r="I160" i="70"/>
  <c r="Q160" i="70"/>
  <c r="Y160" i="70"/>
  <c r="AG160" i="70"/>
  <c r="O165" i="70"/>
  <c r="W165" i="70"/>
  <c r="AE165" i="70"/>
  <c r="M169" i="70"/>
  <c r="U169" i="70"/>
  <c r="AC169" i="70"/>
  <c r="G169" i="70"/>
  <c r="AD143" i="70"/>
  <c r="T148" i="70"/>
  <c r="J152" i="70"/>
  <c r="AD156" i="70"/>
  <c r="N139" i="70"/>
  <c r="V139" i="70"/>
  <c r="AD139" i="70"/>
  <c r="L143" i="70"/>
  <c r="T143" i="70"/>
  <c r="AB143" i="70"/>
  <c r="AJ143" i="70"/>
  <c r="J148" i="70"/>
  <c r="R148" i="70"/>
  <c r="Z148" i="70"/>
  <c r="AH148" i="70"/>
  <c r="H152" i="70"/>
  <c r="P152" i="70"/>
  <c r="X152" i="70"/>
  <c r="AF152" i="70"/>
  <c r="L156" i="70"/>
  <c r="T156" i="70"/>
  <c r="AB156" i="70"/>
  <c r="AJ156" i="70"/>
  <c r="J160" i="70"/>
  <c r="R160" i="70"/>
  <c r="Z160" i="70"/>
  <c r="AH160" i="70"/>
  <c r="H165" i="70"/>
  <c r="P165" i="70"/>
  <c r="X165" i="70"/>
  <c r="AF165" i="70"/>
  <c r="N169" i="70"/>
  <c r="V169" i="70"/>
  <c r="AD169" i="70"/>
  <c r="G165" i="70"/>
  <c r="AH152" i="70"/>
  <c r="AB160" i="70"/>
  <c r="O139" i="70"/>
  <c r="W139" i="70"/>
  <c r="AE139" i="70"/>
  <c r="M143" i="70"/>
  <c r="U143" i="70"/>
  <c r="AC143" i="70"/>
  <c r="K148" i="70"/>
  <c r="S148" i="70"/>
  <c r="AA148" i="70"/>
  <c r="AI148" i="70"/>
  <c r="I152" i="70"/>
  <c r="Q152" i="70"/>
  <c r="Y152" i="70"/>
  <c r="AG152" i="70"/>
  <c r="M156" i="70"/>
  <c r="U156" i="70"/>
  <c r="AC156" i="70"/>
  <c r="K160" i="70"/>
  <c r="S160" i="70"/>
  <c r="AA160" i="70"/>
  <c r="AI160" i="70"/>
  <c r="I165" i="70"/>
  <c r="Q165" i="70"/>
  <c r="Y165" i="70"/>
  <c r="AG165" i="70"/>
  <c r="O169" i="70"/>
  <c r="W169" i="70"/>
  <c r="AE169" i="70"/>
  <c r="G160" i="70"/>
  <c r="N143" i="70"/>
  <c r="AB148" i="70"/>
  <c r="R152" i="70"/>
  <c r="N156" i="70"/>
  <c r="T160" i="70"/>
  <c r="H139" i="70"/>
  <c r="P139" i="70"/>
  <c r="X139" i="70"/>
  <c r="AF139" i="70"/>
  <c r="AJ148" i="70"/>
  <c r="Z152" i="70"/>
  <c r="L160" i="70"/>
  <c r="I139" i="70"/>
  <c r="Q139" i="70"/>
  <c r="Y139" i="70"/>
  <c r="AG139" i="70"/>
  <c r="O143" i="70"/>
  <c r="W143" i="70"/>
  <c r="AE143" i="70"/>
  <c r="M148" i="70"/>
  <c r="U148" i="70"/>
  <c r="AC148" i="70"/>
  <c r="J139" i="70"/>
  <c r="R139" i="70"/>
  <c r="Z139" i="70"/>
  <c r="AH139" i="70"/>
  <c r="H143" i="70"/>
  <c r="P143" i="70"/>
  <c r="X143" i="70"/>
  <c r="AF143" i="70"/>
  <c r="N148" i="70"/>
  <c r="V148" i="70"/>
  <c r="AD148" i="70"/>
  <c r="K139" i="70"/>
  <c r="S139" i="70"/>
  <c r="AA139" i="70"/>
  <c r="AI139" i="70"/>
  <c r="I143" i="70"/>
  <c r="Q143" i="70"/>
  <c r="Y143" i="70"/>
  <c r="L139" i="70"/>
  <c r="T139" i="70"/>
  <c r="AB139" i="70"/>
  <c r="AJ139" i="70"/>
  <c r="J143" i="70"/>
  <c r="R143" i="70"/>
  <c r="Z143" i="70"/>
  <c r="AH143" i="70"/>
  <c r="H148" i="70"/>
  <c r="P148" i="70"/>
  <c r="X148" i="70"/>
  <c r="AF148" i="70"/>
  <c r="N152" i="70"/>
  <c r="V152" i="70"/>
  <c r="AD152" i="70"/>
  <c r="J156" i="70"/>
  <c r="R156" i="70"/>
  <c r="Z156" i="70"/>
  <c r="AH156" i="70"/>
  <c r="H160" i="70"/>
  <c r="P160" i="70"/>
  <c r="X160" i="70"/>
  <c r="AF160" i="70"/>
  <c r="N165" i="70"/>
  <c r="V165" i="70"/>
  <c r="AD165" i="70"/>
  <c r="L169" i="70"/>
  <c r="T169" i="70"/>
  <c r="AB169" i="70"/>
  <c r="AJ169" i="70"/>
  <c r="G139" i="70"/>
  <c r="V143" i="70"/>
  <c r="L148" i="70"/>
  <c r="V156" i="70"/>
  <c r="AJ160" i="70"/>
  <c r="M152" i="70"/>
  <c r="AJ152" i="70"/>
  <c r="I156" i="70"/>
  <c r="AF156" i="70"/>
  <c r="O160" i="70"/>
  <c r="L165" i="70"/>
  <c r="AB165" i="70"/>
  <c r="R169" i="70"/>
  <c r="AH169" i="70"/>
  <c r="Y169" i="70"/>
  <c r="S152" i="70"/>
  <c r="O156" i="70"/>
  <c r="AG156" i="70"/>
  <c r="U160" i="70"/>
  <c r="M165" i="70"/>
  <c r="AC165" i="70"/>
  <c r="S169" i="70"/>
  <c r="AI169" i="70"/>
  <c r="S165" i="70"/>
  <c r="I169" i="70"/>
  <c r="X156" i="70"/>
  <c r="T152" i="70"/>
  <c r="P156" i="70"/>
  <c r="V160" i="70"/>
  <c r="R165" i="70"/>
  <c r="AH165" i="70"/>
  <c r="H169" i="70"/>
  <c r="X169" i="70"/>
  <c r="G156" i="70"/>
  <c r="U152" i="70"/>
  <c r="Q156" i="70"/>
  <c r="W160" i="70"/>
  <c r="AI165" i="70"/>
  <c r="G152" i="70"/>
  <c r="O148" i="70"/>
  <c r="AA152" i="70"/>
  <c r="W156" i="70"/>
  <c r="AC160" i="70"/>
  <c r="T165" i="70"/>
  <c r="AJ165" i="70"/>
  <c r="J169" i="70"/>
  <c r="Z169" i="70"/>
  <c r="G148" i="70"/>
  <c r="W148" i="70"/>
  <c r="AB152" i="70"/>
  <c r="AD160" i="70"/>
  <c r="U165" i="70"/>
  <c r="K169" i="70"/>
  <c r="AA169" i="70"/>
  <c r="G143" i="70"/>
  <c r="AE148" i="70"/>
  <c r="K152" i="70"/>
  <c r="AC152" i="70"/>
  <c r="Y156" i="70"/>
  <c r="M160" i="70"/>
  <c r="AE160" i="70"/>
  <c r="J165" i="70"/>
  <c r="Z165" i="70"/>
  <c r="P169" i="70"/>
  <c r="AF169" i="70"/>
  <c r="AG143" i="70"/>
  <c r="L152" i="70"/>
  <c r="AI152" i="70"/>
  <c r="H156" i="70"/>
  <c r="AE156" i="70"/>
  <c r="N160" i="70"/>
  <c r="K165" i="70"/>
  <c r="AA165" i="70"/>
  <c r="Q169" i="70"/>
  <c r="AG169" i="70"/>
  <c r="I7" i="70"/>
  <c r="C26" i="70" s="1"/>
  <c r="K129" i="70" s="1"/>
  <c r="O123" i="70"/>
  <c r="O181" i="70" s="1"/>
  <c r="W123" i="70"/>
  <c r="AE123" i="70"/>
  <c r="G123" i="70"/>
  <c r="P123" i="70"/>
  <c r="X123" i="70"/>
  <c r="AF123" i="70"/>
  <c r="H123" i="70"/>
  <c r="I123" i="70"/>
  <c r="Q123" i="70"/>
  <c r="Y123" i="70"/>
  <c r="AG123" i="70"/>
  <c r="AG181" i="70" s="1"/>
  <c r="N123" i="70"/>
  <c r="V123" i="70"/>
  <c r="AD123" i="70"/>
  <c r="U123" i="70"/>
  <c r="U181" i="70" s="1"/>
  <c r="Z123" i="70"/>
  <c r="L123" i="70"/>
  <c r="J123" i="70"/>
  <c r="J181" i="70" s="1"/>
  <c r="K123" i="70"/>
  <c r="AA123" i="70"/>
  <c r="AB123" i="70"/>
  <c r="M123" i="70"/>
  <c r="R123" i="70"/>
  <c r="AC123" i="70"/>
  <c r="AH123" i="70"/>
  <c r="S123" i="70"/>
  <c r="S181" i="70" s="1"/>
  <c r="AI123" i="70"/>
  <c r="T123" i="70"/>
  <c r="AJ123" i="70"/>
  <c r="M179" i="70"/>
  <c r="O135" i="70"/>
  <c r="W135" i="70"/>
  <c r="AE135" i="70"/>
  <c r="H135" i="70"/>
  <c r="P135" i="70"/>
  <c r="X135" i="70"/>
  <c r="AF135" i="70"/>
  <c r="I135" i="70"/>
  <c r="Q135" i="70"/>
  <c r="Y135" i="70"/>
  <c r="AG135" i="70"/>
  <c r="J135" i="70"/>
  <c r="R135" i="70"/>
  <c r="Z135" i="70"/>
  <c r="AH135" i="70"/>
  <c r="K135" i="70"/>
  <c r="S135" i="70"/>
  <c r="AA135" i="70"/>
  <c r="AI135" i="70"/>
  <c r="L135" i="70"/>
  <c r="T135" i="70"/>
  <c r="AB135" i="70"/>
  <c r="AJ135" i="70"/>
  <c r="M135" i="70"/>
  <c r="U135" i="70"/>
  <c r="AC135" i="70"/>
  <c r="N135" i="70"/>
  <c r="V135" i="70"/>
  <c r="AD135" i="70"/>
  <c r="AA179" i="70"/>
  <c r="AA127" i="67"/>
  <c r="AA195" i="67"/>
  <c r="M127" i="67"/>
  <c r="M195" i="67"/>
  <c r="R195" i="67"/>
  <c r="Z127" i="67"/>
  <c r="Z195" i="67"/>
  <c r="AH127" i="67"/>
  <c r="AH195" i="67"/>
  <c r="AC127" i="67"/>
  <c r="AI127" i="67"/>
  <c r="AI195" i="67"/>
  <c r="N195" i="67"/>
  <c r="G195" i="67"/>
  <c r="K195" i="67"/>
  <c r="H127" i="67"/>
  <c r="H195" i="67"/>
  <c r="AF195" i="67"/>
  <c r="X127" i="67"/>
  <c r="I7" i="67"/>
  <c r="C26" i="67" s="1"/>
  <c r="P126" i="67"/>
  <c r="X126" i="67"/>
  <c r="AF126" i="67"/>
  <c r="AB126" i="67"/>
  <c r="M126" i="67"/>
  <c r="H126" i="67"/>
  <c r="V126" i="67"/>
  <c r="AE126" i="67"/>
  <c r="I126" i="67"/>
  <c r="Q126" i="67"/>
  <c r="Y126" i="67"/>
  <c r="AG126" i="67"/>
  <c r="J126" i="67"/>
  <c r="Z126" i="67"/>
  <c r="AH126" i="67"/>
  <c r="AJ126" i="67"/>
  <c r="AC126" i="67"/>
  <c r="N126" i="67"/>
  <c r="W126" i="67"/>
  <c r="R126" i="67"/>
  <c r="K126" i="67"/>
  <c r="S126" i="67"/>
  <c r="AA126" i="67"/>
  <c r="AI126" i="67"/>
  <c r="L126" i="67"/>
  <c r="T126" i="67"/>
  <c r="U126" i="67"/>
  <c r="AD126" i="67"/>
  <c r="O126" i="67"/>
  <c r="Y127" i="67"/>
  <c r="G194" i="67"/>
  <c r="K127" i="67"/>
  <c r="W124" i="70"/>
  <c r="I6" i="70"/>
  <c r="C45" i="70" s="1"/>
  <c r="G159" i="70" s="1"/>
  <c r="H179" i="70"/>
  <c r="I9" i="70"/>
  <c r="C33" i="70" s="1"/>
  <c r="V194" i="70"/>
  <c r="I8" i="70"/>
  <c r="C54" i="70" s="1"/>
  <c r="G168" i="70" s="1"/>
  <c r="I10" i="70"/>
  <c r="C34" i="70" s="1"/>
  <c r="G124" i="70"/>
  <c r="Z190" i="70"/>
  <c r="Z194" i="70"/>
  <c r="AG174" i="70"/>
  <c r="AG180" i="70"/>
  <c r="AG124" i="70"/>
  <c r="T194" i="70"/>
  <c r="T190" i="70"/>
  <c r="S180" i="70"/>
  <c r="S174" i="70"/>
  <c r="S124" i="70"/>
  <c r="R190" i="70"/>
  <c r="R194" i="70"/>
  <c r="Y174" i="70"/>
  <c r="Y180" i="70"/>
  <c r="I124" i="70"/>
  <c r="L194" i="70"/>
  <c r="L190" i="70"/>
  <c r="K180" i="70"/>
  <c r="K174" i="70"/>
  <c r="Y124" i="70"/>
  <c r="L130" i="70"/>
  <c r="K130" i="70"/>
  <c r="J130" i="70"/>
  <c r="I130" i="70"/>
  <c r="H130" i="70"/>
  <c r="G130" i="70"/>
  <c r="AE195" i="70"/>
  <c r="W195" i="70"/>
  <c r="O195" i="70"/>
  <c r="G195" i="70"/>
  <c r="AD195" i="70"/>
  <c r="V195" i="70"/>
  <c r="N195" i="70"/>
  <c r="AC195" i="70"/>
  <c r="U195" i="70"/>
  <c r="M195" i="70"/>
  <c r="AG195" i="70"/>
  <c r="Y195" i="70"/>
  <c r="Q195" i="70"/>
  <c r="I195" i="70"/>
  <c r="AI195" i="70"/>
  <c r="S195" i="70"/>
  <c r="AH195" i="70"/>
  <c r="R195" i="70"/>
  <c r="AA195" i="70"/>
  <c r="K195" i="70"/>
  <c r="Z195" i="70"/>
  <c r="J195" i="70"/>
  <c r="AJ195" i="70"/>
  <c r="AF195" i="70"/>
  <c r="AB195" i="70"/>
  <c r="P195" i="70"/>
  <c r="T195" i="70"/>
  <c r="L195" i="70"/>
  <c r="H195" i="70"/>
  <c r="X195" i="70"/>
  <c r="AH194" i="70"/>
  <c r="AH190" i="70"/>
  <c r="Q174" i="70"/>
  <c r="Q180" i="70"/>
  <c r="Q124" i="70"/>
  <c r="AB194" i="70"/>
  <c r="AB190" i="70"/>
  <c r="AA180" i="70"/>
  <c r="AA174" i="70"/>
  <c r="J190" i="70"/>
  <c r="J194" i="70"/>
  <c r="I174" i="70"/>
  <c r="I180" i="70"/>
  <c r="AJ194" i="70"/>
  <c r="AJ190" i="70"/>
  <c r="AI180" i="70"/>
  <c r="AI174" i="70"/>
  <c r="AI124" i="70"/>
  <c r="I190" i="70"/>
  <c r="I194" i="70"/>
  <c r="Q190" i="70"/>
  <c r="Q194" i="70"/>
  <c r="Y190" i="70"/>
  <c r="Y194" i="70"/>
  <c r="AG190" i="70"/>
  <c r="AG194" i="70"/>
  <c r="H180" i="70"/>
  <c r="H174" i="70"/>
  <c r="H124" i="70"/>
  <c r="P180" i="70"/>
  <c r="P124" i="70"/>
  <c r="P174" i="70"/>
  <c r="X180" i="70"/>
  <c r="X124" i="70"/>
  <c r="X174" i="70"/>
  <c r="K194" i="70"/>
  <c r="K190" i="70"/>
  <c r="S194" i="70"/>
  <c r="S190" i="70"/>
  <c r="AA194" i="70"/>
  <c r="AA190" i="70"/>
  <c r="AI194" i="70"/>
  <c r="AI190" i="70"/>
  <c r="J174" i="70"/>
  <c r="J180" i="70"/>
  <c r="R174" i="70"/>
  <c r="Z180" i="70"/>
  <c r="Z174" i="70"/>
  <c r="AH174" i="70"/>
  <c r="AH180" i="70"/>
  <c r="J124" i="70"/>
  <c r="Z124" i="70"/>
  <c r="R180" i="70"/>
  <c r="U194" i="70"/>
  <c r="U190" i="70"/>
  <c r="L180" i="70"/>
  <c r="L124" i="70"/>
  <c r="L174" i="70"/>
  <c r="AJ180" i="70"/>
  <c r="AJ174" i="70"/>
  <c r="AJ124" i="70"/>
  <c r="N194" i="70"/>
  <c r="V190" i="70"/>
  <c r="AD190" i="70"/>
  <c r="AD194" i="70"/>
  <c r="M180" i="70"/>
  <c r="M174" i="70"/>
  <c r="M124" i="70"/>
  <c r="U180" i="70"/>
  <c r="U174" i="70"/>
  <c r="U124" i="70"/>
  <c r="AC180" i="70"/>
  <c r="AC174" i="70"/>
  <c r="AC124" i="70"/>
  <c r="M194" i="70"/>
  <c r="M190" i="70"/>
  <c r="AC194" i="70"/>
  <c r="AC190" i="70"/>
  <c r="T180" i="70"/>
  <c r="T124" i="70"/>
  <c r="G190" i="70"/>
  <c r="G194" i="70"/>
  <c r="O190" i="70"/>
  <c r="O194" i="70"/>
  <c r="W190" i="70"/>
  <c r="W194" i="70"/>
  <c r="AE190" i="70"/>
  <c r="AE194" i="70"/>
  <c r="N174" i="70"/>
  <c r="N124" i="70"/>
  <c r="V174" i="70"/>
  <c r="V124" i="70"/>
  <c r="AD174" i="70"/>
  <c r="AD180" i="70"/>
  <c r="AD124" i="70"/>
  <c r="R124" i="70"/>
  <c r="AH124" i="70"/>
  <c r="N190" i="70"/>
  <c r="AB180" i="70"/>
  <c r="AB174" i="70"/>
  <c r="AB124" i="70"/>
  <c r="H190" i="70"/>
  <c r="H194" i="70"/>
  <c r="P190" i="70"/>
  <c r="P194" i="70"/>
  <c r="X190" i="70"/>
  <c r="X194" i="70"/>
  <c r="AF190" i="70"/>
  <c r="AF194" i="70"/>
  <c r="G180" i="70"/>
  <c r="O174" i="70"/>
  <c r="O180" i="70"/>
  <c r="W174" i="70"/>
  <c r="W180" i="70"/>
  <c r="AF124" i="70"/>
  <c r="AE174" i="70"/>
  <c r="AE180" i="70"/>
  <c r="AF180" i="70"/>
  <c r="W194" i="67"/>
  <c r="W181" i="67"/>
  <c r="W185" i="67"/>
  <c r="AF194" i="67"/>
  <c r="AF181" i="67"/>
  <c r="AF185" i="67"/>
  <c r="AE127" i="67"/>
  <c r="I10" i="67"/>
  <c r="M185" i="67"/>
  <c r="M194" i="67"/>
  <c r="M181" i="67"/>
  <c r="U185" i="67"/>
  <c r="U194" i="67"/>
  <c r="U181" i="67"/>
  <c r="AC185" i="67"/>
  <c r="AC194" i="67"/>
  <c r="AC181" i="67"/>
  <c r="T127" i="67"/>
  <c r="G133" i="67"/>
  <c r="I4" i="67"/>
  <c r="I11" i="67"/>
  <c r="N185" i="67"/>
  <c r="N194" i="67"/>
  <c r="V185" i="67"/>
  <c r="V194" i="67"/>
  <c r="AD185" i="67"/>
  <c r="AD181" i="67"/>
  <c r="L127" i="67"/>
  <c r="U127" i="67"/>
  <c r="AD127" i="67"/>
  <c r="AE194" i="67"/>
  <c r="AE181" i="67"/>
  <c r="AE185" i="67"/>
  <c r="V127" i="67"/>
  <c r="X194" i="67"/>
  <c r="X181" i="67"/>
  <c r="X185" i="67"/>
  <c r="G127" i="67"/>
  <c r="I6" i="67"/>
  <c r="I194" i="67"/>
  <c r="I181" i="67"/>
  <c r="I185" i="67"/>
  <c r="AG194" i="67"/>
  <c r="AG181" i="67"/>
  <c r="AG185" i="67"/>
  <c r="J194" i="67"/>
  <c r="J181" i="67"/>
  <c r="J185" i="67"/>
  <c r="R194" i="67"/>
  <c r="R181" i="67"/>
  <c r="Z194" i="67"/>
  <c r="Z181" i="67"/>
  <c r="AH194" i="67"/>
  <c r="AH181" i="67"/>
  <c r="AH185" i="67"/>
  <c r="Q127" i="67"/>
  <c r="G181" i="67"/>
  <c r="G185" i="67"/>
  <c r="H194" i="67"/>
  <c r="H181" i="67"/>
  <c r="H185" i="67"/>
  <c r="O127" i="67"/>
  <c r="N127" i="67"/>
  <c r="J133" i="67"/>
  <c r="I133" i="67"/>
  <c r="H133" i="67"/>
  <c r="L133" i="67"/>
  <c r="Q194" i="67"/>
  <c r="Q181" i="67"/>
  <c r="Q185" i="67"/>
  <c r="I2" i="67"/>
  <c r="I8" i="67"/>
  <c r="K185" i="67"/>
  <c r="K194" i="67"/>
  <c r="K181" i="67"/>
  <c r="S185" i="67"/>
  <c r="S194" i="67"/>
  <c r="S181" i="67"/>
  <c r="AA185" i="67"/>
  <c r="AA194" i="67"/>
  <c r="AA181" i="67"/>
  <c r="AI185" i="67"/>
  <c r="AI181" i="67"/>
  <c r="AI194" i="67"/>
  <c r="I127" i="67"/>
  <c r="R127" i="67"/>
  <c r="AJ127" i="67"/>
  <c r="N181" i="67"/>
  <c r="AD194" i="67"/>
  <c r="O194" i="67"/>
  <c r="O181" i="67"/>
  <c r="O185" i="67"/>
  <c r="I5" i="67"/>
  <c r="P194" i="67"/>
  <c r="P181" i="67"/>
  <c r="P185" i="67"/>
  <c r="W127" i="67"/>
  <c r="AE186" i="67"/>
  <c r="W186" i="67"/>
  <c r="O186" i="67"/>
  <c r="G186" i="67"/>
  <c r="AD186" i="67"/>
  <c r="V186" i="67"/>
  <c r="N186" i="67"/>
  <c r="AC186" i="67"/>
  <c r="U186" i="67"/>
  <c r="M186" i="67"/>
  <c r="AH186" i="67"/>
  <c r="Z186" i="67"/>
  <c r="R186" i="67"/>
  <c r="J186" i="67"/>
  <c r="AI186" i="67"/>
  <c r="S186" i="67"/>
  <c r="AG186" i="67"/>
  <c r="Q186" i="67"/>
  <c r="AF186" i="67"/>
  <c r="P186" i="67"/>
  <c r="X186" i="67"/>
  <c r="H186" i="67"/>
  <c r="L186" i="67"/>
  <c r="K186" i="67"/>
  <c r="I186" i="67"/>
  <c r="Y186" i="67"/>
  <c r="AJ186" i="67"/>
  <c r="AB186" i="67"/>
  <c r="AA186" i="67"/>
  <c r="T186" i="67"/>
  <c r="Y194" i="67"/>
  <c r="Y181" i="67"/>
  <c r="Y185" i="67"/>
  <c r="P127" i="67"/>
  <c r="I3" i="67"/>
  <c r="I9" i="67"/>
  <c r="L185" i="67"/>
  <c r="L194" i="67"/>
  <c r="L181" i="67"/>
  <c r="T185" i="67"/>
  <c r="T194" i="67"/>
  <c r="T181" i="67"/>
  <c r="AB185" i="67"/>
  <c r="AB194" i="67"/>
  <c r="AB181" i="67"/>
  <c r="AJ185" i="67"/>
  <c r="AJ194" i="67"/>
  <c r="AJ181" i="67"/>
  <c r="J127" i="67"/>
  <c r="S127" i="67"/>
  <c r="AB127" i="67"/>
  <c r="V181" i="67"/>
  <c r="Z83" i="69" l="1"/>
  <c r="Q61" i="69"/>
  <c r="Q118" i="69"/>
  <c r="AC37" i="69"/>
  <c r="AD106" i="69"/>
  <c r="Z33" i="69"/>
  <c r="Z75" i="69"/>
  <c r="Z52" i="69"/>
  <c r="X87" i="69"/>
  <c r="AB24" i="69"/>
  <c r="AD88" i="69"/>
  <c r="Y33" i="69"/>
  <c r="Z98" i="69"/>
  <c r="Z55" i="69"/>
  <c r="Z19" i="69"/>
  <c r="Z103" i="69"/>
  <c r="AB37" i="69"/>
  <c r="Q127" i="69"/>
  <c r="AA47" i="69"/>
  <c r="AB100" i="69"/>
  <c r="AC90" i="69"/>
  <c r="Q27" i="69"/>
  <c r="AD104" i="69"/>
  <c r="AC19" i="69"/>
  <c r="AC44" i="69"/>
  <c r="Y58" i="69"/>
  <c r="Q44" i="69"/>
  <c r="AD42" i="69"/>
  <c r="AC97" i="69"/>
  <c r="Q107" i="69"/>
  <c r="AC10" i="69"/>
  <c r="X67" i="69"/>
  <c r="AA82" i="69"/>
  <c r="Z101" i="69"/>
  <c r="Z82" i="69"/>
  <c r="AD37" i="69"/>
  <c r="AA98" i="69"/>
  <c r="Y10" i="69"/>
  <c r="AB104" i="69"/>
  <c r="AD33" i="69"/>
  <c r="AB36" i="69"/>
  <c r="Y69" i="69"/>
  <c r="Q38" i="69"/>
  <c r="Q55" i="69"/>
  <c r="AA10" i="69"/>
  <c r="AB92" i="69"/>
  <c r="AB97" i="69"/>
  <c r="AC75" i="69"/>
  <c r="AC102" i="69"/>
  <c r="AC42" i="69"/>
  <c r="Y82" i="69"/>
  <c r="Q124" i="69"/>
  <c r="Y103" i="69"/>
  <c r="AB99" i="69"/>
  <c r="Z58" i="69"/>
  <c r="X20" i="69"/>
  <c r="AB42" i="69"/>
  <c r="AC87" i="69"/>
  <c r="AC71" i="69"/>
  <c r="AB90" i="69"/>
  <c r="AD41" i="69"/>
  <c r="AC21" i="69"/>
  <c r="AD18" i="69"/>
  <c r="Q56" i="69"/>
  <c r="Z22" i="69"/>
  <c r="X47" i="69"/>
  <c r="Q45" i="69"/>
  <c r="AA92" i="69"/>
  <c r="AA99" i="69"/>
  <c r="AA58" i="69"/>
  <c r="AA20" i="69"/>
  <c r="AB44" i="69"/>
  <c r="AD16" i="69"/>
  <c r="AB87" i="69"/>
  <c r="AD38" i="69"/>
  <c r="Z69" i="69"/>
  <c r="AD24" i="69"/>
  <c r="AB18" i="69"/>
  <c r="X34" i="69"/>
  <c r="X14" i="69"/>
  <c r="X22" i="69"/>
  <c r="Y98" i="69"/>
  <c r="Q86" i="69"/>
  <c r="Q97" i="69"/>
  <c r="AD83" i="69"/>
  <c r="Q70" i="69"/>
  <c r="Z99" i="69"/>
  <c r="AC20" i="69"/>
  <c r="AA44" i="69"/>
  <c r="AC38" i="69"/>
  <c r="AA55" i="69"/>
  <c r="AA108" i="69"/>
  <c r="Z91" i="69"/>
  <c r="AC70" i="69"/>
  <c r="AB45" i="69"/>
  <c r="AD29" i="69"/>
  <c r="AB11" i="69"/>
  <c r="X81" i="69"/>
  <c r="AC28" i="69"/>
  <c r="Y67" i="69"/>
  <c r="AC16" i="69"/>
  <c r="Y87" i="69"/>
  <c r="AA33" i="69"/>
  <c r="AC92" i="69"/>
  <c r="AA38" i="69"/>
  <c r="AB106" i="69"/>
  <c r="AA69" i="69"/>
  <c r="Z36" i="69"/>
  <c r="AC25" i="69"/>
  <c r="AD78" i="69"/>
  <c r="AD54" i="69"/>
  <c r="AB34" i="69"/>
  <c r="X40" i="69"/>
  <c r="Z111" i="69"/>
  <c r="Q29" i="69"/>
  <c r="Q65" i="69"/>
  <c r="Y93" i="69"/>
  <c r="AA12" i="69"/>
  <c r="AD108" i="69"/>
  <c r="AC99" i="69"/>
  <c r="AC51" i="69"/>
  <c r="AA104" i="69"/>
  <c r="AA15" i="69"/>
  <c r="AB71" i="69"/>
  <c r="AD90" i="69"/>
  <c r="Y55" i="69"/>
  <c r="AD19" i="69"/>
  <c r="AB88" i="69"/>
  <c r="AA95" i="69"/>
  <c r="Y24" i="69"/>
  <c r="Z21" i="69"/>
  <c r="Y97" i="69"/>
  <c r="AC18" i="69"/>
  <c r="AD65" i="69"/>
  <c r="Z62" i="69"/>
  <c r="Z72" i="69"/>
  <c r="Z6" i="69"/>
  <c r="Y111" i="69"/>
  <c r="Q115" i="69"/>
  <c r="Q98" i="69"/>
  <c r="Q74" i="69"/>
  <c r="Q53" i="69"/>
  <c r="Q36" i="69"/>
  <c r="Q114" i="69"/>
  <c r="Q60" i="69"/>
  <c r="Q26" i="69"/>
  <c r="Z104" i="69"/>
  <c r="X42" i="69"/>
  <c r="Y52" i="69"/>
  <c r="Y15" i="69"/>
  <c r="X71" i="69"/>
  <c r="X90" i="69"/>
  <c r="AC55" i="69"/>
  <c r="AB19" i="69"/>
  <c r="X88" i="69"/>
  <c r="Z95" i="69"/>
  <c r="Q40" i="69"/>
  <c r="AB21" i="69"/>
  <c r="Q113" i="69"/>
  <c r="Q34" i="69"/>
  <c r="AD96" i="69"/>
  <c r="AA62" i="69"/>
  <c r="AD72" i="69"/>
  <c r="AD6" i="69"/>
  <c r="Y108" i="69"/>
  <c r="AB91" i="69"/>
  <c r="AA70" i="69"/>
  <c r="AC45" i="69"/>
  <c r="Y29" i="69"/>
  <c r="Z11" i="69"/>
  <c r="Y81" i="69"/>
  <c r="AD28" i="69"/>
  <c r="AC67" i="69"/>
  <c r="Z16" i="69"/>
  <c r="AB52" i="69"/>
  <c r="AD15" i="69"/>
  <c r="AD71" i="69"/>
  <c r="X106" i="69"/>
  <c r="X69" i="69"/>
  <c r="AD36" i="69"/>
  <c r="AB25" i="69"/>
  <c r="AB78" i="69"/>
  <c r="X54" i="69"/>
  <c r="Y53" i="69"/>
  <c r="Z102" i="69"/>
  <c r="Z40" i="69"/>
  <c r="Q88" i="69"/>
  <c r="AB108" i="69"/>
  <c r="AA91" i="69"/>
  <c r="AD70" i="69"/>
  <c r="AD45" i="69"/>
  <c r="AB29" i="69"/>
  <c r="AD11" i="69"/>
  <c r="Z81" i="69"/>
  <c r="AA28" i="69"/>
  <c r="AD67" i="69"/>
  <c r="X16" i="69"/>
  <c r="AC52" i="69"/>
  <c r="Z15" i="69"/>
  <c r="Y92" i="69"/>
  <c r="AB38" i="69"/>
  <c r="AC106" i="69"/>
  <c r="X36" i="69"/>
  <c r="AD25" i="69"/>
  <c r="AA78" i="69"/>
  <c r="Z54" i="69"/>
  <c r="Z53" i="69"/>
  <c r="AA102" i="69"/>
  <c r="AC40" i="69"/>
  <c r="X60" i="69"/>
  <c r="AC108" i="69"/>
  <c r="X99" i="69"/>
  <c r="X91" i="69"/>
  <c r="X82" i="69"/>
  <c r="AB70" i="69"/>
  <c r="X58" i="69"/>
  <c r="Z45" i="69"/>
  <c r="Z37" i="69"/>
  <c r="X29" i="69"/>
  <c r="AD20" i="69"/>
  <c r="X11" i="69"/>
  <c r="X98" i="69"/>
  <c r="AD81" i="69"/>
  <c r="Y44" i="69"/>
  <c r="Z28" i="69"/>
  <c r="AB10" i="69"/>
  <c r="Q120" i="69"/>
  <c r="Q83" i="69"/>
  <c r="Q58" i="69"/>
  <c r="Q32" i="69"/>
  <c r="Z87" i="69"/>
  <c r="X52" i="69"/>
  <c r="AB33" i="69"/>
  <c r="AC15" i="69"/>
  <c r="Z92" i="69"/>
  <c r="Y71" i="69"/>
  <c r="Y38" i="69"/>
  <c r="Q122" i="69"/>
  <c r="Q106" i="69"/>
  <c r="Q85" i="69"/>
  <c r="Q71" i="69"/>
  <c r="X19" i="69"/>
  <c r="AC88" i="69"/>
  <c r="AA103" i="69"/>
  <c r="X78" i="69"/>
  <c r="Z24" i="69"/>
  <c r="Y21" i="69"/>
  <c r="Z105" i="69"/>
  <c r="Q96" i="69"/>
  <c r="Q51" i="69"/>
  <c r="AB79" i="69"/>
  <c r="Z30" i="69"/>
  <c r="Q102" i="69"/>
  <c r="Z51" i="69"/>
  <c r="Q39" i="69"/>
  <c r="X111" i="69"/>
  <c r="Z84" i="69"/>
  <c r="Z39" i="69"/>
  <c r="Z47" i="69"/>
  <c r="Q28" i="69"/>
  <c r="AB8" i="69"/>
  <c r="X108" i="69"/>
  <c r="Y99" i="69"/>
  <c r="AD91" i="69"/>
  <c r="AD82" i="69"/>
  <c r="Z70" i="69"/>
  <c r="AC58" i="69"/>
  <c r="X45" i="69"/>
  <c r="Y37" i="69"/>
  <c r="Z29" i="69"/>
  <c r="AB20" i="69"/>
  <c r="AC11" i="69"/>
  <c r="AC98" i="69"/>
  <c r="AC81" i="69"/>
  <c r="AD44" i="69"/>
  <c r="Y28" i="69"/>
  <c r="X10" i="69"/>
  <c r="AC104" i="69"/>
  <c r="AB67" i="69"/>
  <c r="Z42" i="69"/>
  <c r="AB16" i="69"/>
  <c r="AD87" i="69"/>
  <c r="AA52" i="69"/>
  <c r="X33" i="69"/>
  <c r="X15" i="69"/>
  <c r="Q108" i="69"/>
  <c r="Q87" i="69"/>
  <c r="Q54" i="69"/>
  <c r="AA106" i="69"/>
  <c r="AA90" i="69"/>
  <c r="AD69" i="69"/>
  <c r="AB55" i="69"/>
  <c r="AC36" i="69"/>
  <c r="Q35" i="69"/>
  <c r="Z88" i="69"/>
  <c r="X25" i="69"/>
  <c r="Y95" i="69"/>
  <c r="Y41" i="69"/>
  <c r="Z7" i="69"/>
  <c r="Y83" i="69"/>
  <c r="AA80" i="69"/>
  <c r="AD35" i="69"/>
  <c r="Z96" i="69"/>
  <c r="Z34" i="69"/>
  <c r="AC109" i="69"/>
  <c r="AB94" i="69"/>
  <c r="AC62" i="69"/>
  <c r="AB32" i="69"/>
  <c r="X93" i="69"/>
  <c r="Z60" i="69"/>
  <c r="AA13" i="69"/>
  <c r="Z100" i="69"/>
  <c r="AC49" i="69"/>
  <c r="Z108" i="69"/>
  <c r="AD99" i="69"/>
  <c r="AC91" i="69"/>
  <c r="AC82" i="69"/>
  <c r="Y70" i="69"/>
  <c r="AB58" i="69"/>
  <c r="Y45" i="69"/>
  <c r="X37" i="69"/>
  <c r="AC29" i="69"/>
  <c r="Z20" i="69"/>
  <c r="AA11" i="69"/>
  <c r="AB98" i="69"/>
  <c r="AB81" i="69"/>
  <c r="X44" i="69"/>
  <c r="X28" i="69"/>
  <c r="Z10" i="69"/>
  <c r="Y104" i="69"/>
  <c r="AA67" i="69"/>
  <c r="AA42" i="69"/>
  <c r="AA16" i="69"/>
  <c r="Q103" i="69"/>
  <c r="Q68" i="69"/>
  <c r="Q49" i="69"/>
  <c r="Q31" i="69"/>
  <c r="X92" i="69"/>
  <c r="AA71" i="69"/>
  <c r="X38" i="69"/>
  <c r="Z106" i="69"/>
  <c r="Z90" i="69"/>
  <c r="AC69" i="69"/>
  <c r="X55" i="69"/>
  <c r="Q52" i="69"/>
  <c r="AA88" i="69"/>
  <c r="Z25" i="69"/>
  <c r="AB95" i="69"/>
  <c r="Z41" i="69"/>
  <c r="X7" i="69"/>
  <c r="X83" i="69"/>
  <c r="Z80" i="69"/>
  <c r="AC35" i="69"/>
  <c r="Z79" i="69"/>
  <c r="Z8" i="69"/>
  <c r="X30" i="69"/>
  <c r="AB109" i="69"/>
  <c r="AA86" i="69"/>
  <c r="Q78" i="69"/>
  <c r="Y23" i="69"/>
  <c r="Z93" i="69"/>
  <c r="AD49" i="69"/>
  <c r="Z13" i="69"/>
  <c r="X100" i="69"/>
  <c r="AD53" i="69"/>
  <c r="Y26" i="69"/>
  <c r="Y91" i="69"/>
  <c r="AB82" i="69"/>
  <c r="X70" i="69"/>
  <c r="AD58" i="69"/>
  <c r="AA45" i="69"/>
  <c r="AA37" i="69"/>
  <c r="AA29" i="69"/>
  <c r="Y20" i="69"/>
  <c r="Y11" i="69"/>
  <c r="AD98" i="69"/>
  <c r="AA81" i="69"/>
  <c r="Z44" i="69"/>
  <c r="AB28" i="69"/>
  <c r="AD10" i="69"/>
  <c r="X104" i="69"/>
  <c r="Z67" i="69"/>
  <c r="Y42" i="69"/>
  <c r="Y16" i="69"/>
  <c r="AA87" i="69"/>
  <c r="AD52" i="69"/>
  <c r="AC33" i="69"/>
  <c r="AB15" i="69"/>
  <c r="AD92" i="69"/>
  <c r="Z71" i="69"/>
  <c r="Z38" i="69"/>
  <c r="Y106" i="69"/>
  <c r="Y90" i="69"/>
  <c r="AB69" i="69"/>
  <c r="AD55" i="69"/>
  <c r="Y19" i="69"/>
  <c r="Z78" i="69"/>
  <c r="X41" i="69"/>
  <c r="Q23" i="69"/>
  <c r="Y80" i="69"/>
  <c r="AA35" i="69"/>
  <c r="AC79" i="69"/>
  <c r="AA30" i="69"/>
  <c r="Q125" i="69"/>
  <c r="AC86" i="69"/>
  <c r="X23" i="69"/>
  <c r="Q109" i="69"/>
  <c r="G196" i="67"/>
  <c r="G197" i="67" s="1"/>
  <c r="G198" i="67" s="1"/>
  <c r="W181" i="70"/>
  <c r="AJ181" i="70"/>
  <c r="AJ182" i="70" s="1"/>
  <c r="AJ183" i="70" s="1"/>
  <c r="P201" i="69"/>
  <c r="AN45" i="69"/>
  <c r="AN11" i="69"/>
  <c r="P159" i="69"/>
  <c r="AN53" i="69"/>
  <c r="AN95" i="69"/>
  <c r="AL15" i="69"/>
  <c r="P223" i="69"/>
  <c r="AL12" i="69"/>
  <c r="AL69" i="69"/>
  <c r="AL55" i="69"/>
  <c r="P175" i="69"/>
  <c r="AL19" i="69"/>
  <c r="AL10" i="69"/>
  <c r="AL87" i="69"/>
  <c r="P172" i="69"/>
  <c r="AL80" i="69"/>
  <c r="AN35" i="69"/>
  <c r="P225" i="69"/>
  <c r="P154" i="69"/>
  <c r="P242" i="69"/>
  <c r="AN100" i="69"/>
  <c r="AN26" i="69"/>
  <c r="P213" i="69"/>
  <c r="AN58" i="69"/>
  <c r="P221" i="69"/>
  <c r="AL88" i="69"/>
  <c r="AN34" i="69"/>
  <c r="AN65" i="69"/>
  <c r="P146" i="69"/>
  <c r="AN106" i="69"/>
  <c r="AN98" i="69"/>
  <c r="P186" i="69"/>
  <c r="AN42" i="69"/>
  <c r="P218" i="69"/>
  <c r="AN52" i="69"/>
  <c r="AL105" i="69"/>
  <c r="AL43" i="69"/>
  <c r="AN14" i="69"/>
  <c r="AL84" i="69"/>
  <c r="AL49" i="69"/>
  <c r="AL22" i="69"/>
  <c r="AL108" i="69"/>
  <c r="P222" i="69"/>
  <c r="AL58" i="69"/>
  <c r="AL29" i="69"/>
  <c r="P142" i="69"/>
  <c r="AN16" i="69"/>
  <c r="AL95" i="69"/>
  <c r="P196" i="69"/>
  <c r="AN12" i="69"/>
  <c r="AN81" i="69"/>
  <c r="P200" i="69"/>
  <c r="AL42" i="69"/>
  <c r="AN8" i="69"/>
  <c r="AL103" i="69"/>
  <c r="AN97" i="69"/>
  <c r="P166" i="69"/>
  <c r="AL32" i="69"/>
  <c r="AL14" i="69"/>
  <c r="AO59" i="69"/>
  <c r="P152" i="69"/>
  <c r="P230" i="69"/>
  <c r="AL82" i="69"/>
  <c r="AN70" i="69"/>
  <c r="AL37" i="69"/>
  <c r="P151" i="69"/>
  <c r="AN90" i="69"/>
  <c r="AL28" i="69"/>
  <c r="P226" i="69"/>
  <c r="AN92" i="69"/>
  <c r="AN38" i="69"/>
  <c r="P212" i="69"/>
  <c r="AL44" i="69"/>
  <c r="AN36" i="69"/>
  <c r="P234" i="69"/>
  <c r="AN78" i="69"/>
  <c r="AL33" i="69"/>
  <c r="P155" i="69"/>
  <c r="AN54" i="69"/>
  <c r="AN43" i="69"/>
  <c r="AL25" i="69"/>
  <c r="AN7" i="69"/>
  <c r="AN93" i="69"/>
  <c r="AL72" i="69"/>
  <c r="AM13" i="69"/>
  <c r="AO83" i="69"/>
  <c r="AM6" i="69"/>
  <c r="P239" i="69"/>
  <c r="AL45" i="69"/>
  <c r="P160" i="69"/>
  <c r="AL90" i="69"/>
  <c r="AL53" i="69"/>
  <c r="P147" i="69"/>
  <c r="P229" i="69"/>
  <c r="AL36" i="69"/>
  <c r="AN19" i="69"/>
  <c r="AL78" i="69"/>
  <c r="P211" i="69"/>
  <c r="AL9" i="69"/>
  <c r="AL104" i="69"/>
  <c r="AN96" i="69"/>
  <c r="AL75" i="69"/>
  <c r="AL51" i="69"/>
  <c r="AN32" i="69"/>
  <c r="AM93" i="69"/>
  <c r="AL39" i="69"/>
  <c r="AO13" i="69"/>
  <c r="AM83" i="69"/>
  <c r="P190" i="69"/>
  <c r="AN82" i="69"/>
  <c r="P168" i="69"/>
  <c r="AL20" i="69"/>
  <c r="AL11" i="69"/>
  <c r="AN28" i="69"/>
  <c r="AN88" i="69"/>
  <c r="P165" i="69"/>
  <c r="AL38" i="69"/>
  <c r="P237" i="69"/>
  <c r="AN69" i="69"/>
  <c r="AN44" i="69"/>
  <c r="P141" i="69"/>
  <c r="AL41" i="69"/>
  <c r="AN33" i="69"/>
  <c r="P157" i="69"/>
  <c r="P170" i="69"/>
  <c r="AI181" i="70"/>
  <c r="AI182" i="70" s="1"/>
  <c r="AI183" i="70" s="1"/>
  <c r="P181" i="70"/>
  <c r="P182" i="70" s="1"/>
  <c r="P183" i="70" s="1"/>
  <c r="I181" i="70"/>
  <c r="I182" i="70" s="1"/>
  <c r="I183" i="70" s="1"/>
  <c r="AD181" i="70"/>
  <c r="AD182" i="70" s="1"/>
  <c r="AD183" i="70" s="1"/>
  <c r="AH181" i="70"/>
  <c r="AH182" i="70" s="1"/>
  <c r="AH183" i="70" s="1"/>
  <c r="Y181" i="70"/>
  <c r="Y182" i="70" s="1"/>
  <c r="Y183" i="70" s="1"/>
  <c r="AC181" i="70"/>
  <c r="AC182" i="70" s="1"/>
  <c r="AC183" i="70" s="1"/>
  <c r="G126" i="70"/>
  <c r="Z181" i="70"/>
  <c r="Z182" i="70" s="1"/>
  <c r="Z183" i="70" s="1"/>
  <c r="E148" i="62"/>
  <c r="L181" i="70"/>
  <c r="L182" i="70" s="1"/>
  <c r="L183" i="70" s="1"/>
  <c r="Q181" i="70"/>
  <c r="Q182" i="70" s="1"/>
  <c r="Q183" i="70" s="1"/>
  <c r="R181" i="70"/>
  <c r="R182" i="70" s="1"/>
  <c r="R183" i="70" s="1"/>
  <c r="AB181" i="70"/>
  <c r="AB182" i="70" s="1"/>
  <c r="AB183" i="70" s="1"/>
  <c r="V181" i="70"/>
  <c r="V182" i="70" s="1"/>
  <c r="V183" i="70" s="1"/>
  <c r="X181" i="70"/>
  <c r="X182" i="70" s="1"/>
  <c r="X183" i="70" s="1"/>
  <c r="AA36" i="69"/>
  <c r="P210" i="69"/>
  <c r="AN103" i="69"/>
  <c r="P209" i="69"/>
  <c r="AP33" i="69"/>
  <c r="Q119" i="69"/>
  <c r="AB41" i="69"/>
  <c r="AC24" i="69"/>
  <c r="AD7" i="69"/>
  <c r="AL47" i="69"/>
  <c r="Q99" i="69"/>
  <c r="AL89" i="69"/>
  <c r="P199" i="69"/>
  <c r="AP26" i="69"/>
  <c r="P149" i="69"/>
  <c r="Q121" i="69"/>
  <c r="Q105" i="69"/>
  <c r="Q84" i="69"/>
  <c r="Q59" i="69"/>
  <c r="Q42" i="69"/>
  <c r="Q25" i="69"/>
  <c r="P198" i="69"/>
  <c r="Y79" i="69"/>
  <c r="AD34" i="69"/>
  <c r="AL109" i="69"/>
  <c r="AP96" i="69"/>
  <c r="Y109" i="69"/>
  <c r="AN40" i="69"/>
  <c r="AN23" i="69"/>
  <c r="Y86" i="69"/>
  <c r="AC23" i="69"/>
  <c r="AP111" i="69"/>
  <c r="AL60" i="69"/>
  <c r="AP22" i="69"/>
  <c r="P144" i="69"/>
  <c r="Q117" i="69"/>
  <c r="AA72" i="69"/>
  <c r="AB49" i="69"/>
  <c r="Q47" i="69"/>
  <c r="AL100" i="69"/>
  <c r="AL6" i="69"/>
  <c r="Q63" i="69"/>
  <c r="Y60" i="69"/>
  <c r="Y36" i="69"/>
  <c r="AA19" i="69"/>
  <c r="AN79" i="69"/>
  <c r="Y88" i="69"/>
  <c r="Q41" i="69"/>
  <c r="AP78" i="69"/>
  <c r="AB103" i="69"/>
  <c r="X95" i="69"/>
  <c r="AC78" i="69"/>
  <c r="Q57" i="69"/>
  <c r="AC7" i="69"/>
  <c r="AA83" i="69"/>
  <c r="X21" i="69"/>
  <c r="AN105" i="69"/>
  <c r="P228" i="69"/>
  <c r="AP80" i="69"/>
  <c r="AN68" i="69"/>
  <c r="AL54" i="69"/>
  <c r="P174" i="69"/>
  <c r="AL26" i="69"/>
  <c r="AA105" i="69"/>
  <c r="AA89" i="69"/>
  <c r="AD68" i="69"/>
  <c r="AD43" i="69"/>
  <c r="AD26" i="69"/>
  <c r="AD9" i="69"/>
  <c r="AA96" i="69"/>
  <c r="AA53" i="69"/>
  <c r="AD8" i="69"/>
  <c r="AL7" i="69"/>
  <c r="AC30" i="69"/>
  <c r="Y65" i="69"/>
  <c r="AL102" i="69"/>
  <c r="AN86" i="69"/>
  <c r="AL40" i="69"/>
  <c r="AA94" i="69"/>
  <c r="AA75" i="69"/>
  <c r="AB51" i="69"/>
  <c r="AC32" i="69"/>
  <c r="AB14" i="69"/>
  <c r="AP101" i="69"/>
  <c r="AN13" i="69"/>
  <c r="Y101" i="69"/>
  <c r="X84" i="69"/>
  <c r="Y31" i="69"/>
  <c r="Y13" i="69"/>
  <c r="AL83" i="69"/>
  <c r="AL71" i="69"/>
  <c r="AA59" i="69"/>
  <c r="Y6" i="69"/>
  <c r="X12" i="69"/>
  <c r="P139" i="69"/>
  <c r="Q104" i="69"/>
  <c r="P183" i="69"/>
  <c r="X103" i="69"/>
  <c r="AD95" i="69"/>
  <c r="Q94" i="69"/>
  <c r="AA24" i="69"/>
  <c r="AB7" i="69"/>
  <c r="AN47" i="69"/>
  <c r="AB83" i="69"/>
  <c r="AD21" i="69"/>
  <c r="P236" i="69"/>
  <c r="AL35" i="69"/>
  <c r="AC105" i="69"/>
  <c r="AC89" i="69"/>
  <c r="X68" i="69"/>
  <c r="AC43" i="69"/>
  <c r="AC26" i="69"/>
  <c r="AA9" i="69"/>
  <c r="AL67" i="69"/>
  <c r="AC8" i="69"/>
  <c r="AL96" i="69"/>
  <c r="X65" i="69"/>
  <c r="AL86" i="69"/>
  <c r="P163" i="69"/>
  <c r="P145" i="69"/>
  <c r="AC94" i="69"/>
  <c r="X32" i="69"/>
  <c r="Y14" i="69"/>
  <c r="P224" i="69"/>
  <c r="AN72" i="69"/>
  <c r="AN49" i="69"/>
  <c r="AL31" i="69"/>
  <c r="AL13" i="69"/>
  <c r="X101" i="69"/>
  <c r="Q76" i="69"/>
  <c r="AB31" i="69"/>
  <c r="AL59" i="69"/>
  <c r="Q75" i="69"/>
  <c r="P173" i="69"/>
  <c r="AA25" i="69"/>
  <c r="AN87" i="69"/>
  <c r="AN24" i="69"/>
  <c r="AD103" i="69"/>
  <c r="Q111" i="69"/>
  <c r="AA41" i="69"/>
  <c r="AA7" i="69"/>
  <c r="Q37" i="69"/>
  <c r="Y89" i="69"/>
  <c r="AC68" i="69"/>
  <c r="AB43" i="69"/>
  <c r="AB9" i="69"/>
  <c r="AC96" i="69"/>
  <c r="Q81" i="69"/>
  <c r="P233" i="69"/>
  <c r="AL62" i="69"/>
  <c r="P137" i="69"/>
  <c r="Q110" i="69"/>
  <c r="Q91" i="69"/>
  <c r="Q67" i="69"/>
  <c r="Q48" i="69"/>
  <c r="Q30" i="69"/>
  <c r="AL101" i="69"/>
  <c r="AP84" i="69"/>
  <c r="P180" i="69"/>
  <c r="P162" i="69"/>
  <c r="Q100" i="69"/>
  <c r="AA31" i="69"/>
  <c r="AF11" i="69"/>
  <c r="AC27" i="69"/>
  <c r="AC64" i="69"/>
  <c r="AC110" i="69"/>
  <c r="AC76" i="69"/>
  <c r="AC48" i="69"/>
  <c r="AC73" i="69"/>
  <c r="AC17" i="69"/>
  <c r="AC63" i="69"/>
  <c r="AC107" i="69"/>
  <c r="AC77" i="69"/>
  <c r="AC61" i="69"/>
  <c r="AC85" i="69"/>
  <c r="AC57" i="69"/>
  <c r="AC56" i="69"/>
  <c r="AC50" i="69"/>
  <c r="AC46" i="69"/>
  <c r="AC66" i="69"/>
  <c r="AC74" i="69"/>
  <c r="AC100" i="69"/>
  <c r="AC80" i="69"/>
  <c r="AC83" i="69"/>
  <c r="AC41" i="69"/>
  <c r="AC95" i="69"/>
  <c r="AC103" i="69"/>
  <c r="AC47" i="69"/>
  <c r="AC22" i="69"/>
  <c r="AC60" i="69"/>
  <c r="AC84" i="69"/>
  <c r="AC31" i="69"/>
  <c r="AC72" i="69"/>
  <c r="AC93" i="69"/>
  <c r="AC101" i="69"/>
  <c r="AC65" i="69"/>
  <c r="AC53" i="69"/>
  <c r="AC9" i="69"/>
  <c r="AC6" i="69"/>
  <c r="AC12" i="69"/>
  <c r="AC13" i="69"/>
  <c r="AC111" i="69"/>
  <c r="AC14" i="69"/>
  <c r="AC34" i="69"/>
  <c r="AC54" i="69"/>
  <c r="AS11" i="69"/>
  <c r="AP74" i="69"/>
  <c r="AP107" i="69"/>
  <c r="AP48" i="69"/>
  <c r="AP61" i="69"/>
  <c r="AP73" i="69"/>
  <c r="AP85" i="69"/>
  <c r="AP110" i="69"/>
  <c r="AP46" i="69"/>
  <c r="AP57" i="69"/>
  <c r="AP66" i="69"/>
  <c r="AP27" i="69"/>
  <c r="AP77" i="69"/>
  <c r="AP56" i="69"/>
  <c r="AP64" i="69"/>
  <c r="AP50" i="69"/>
  <c r="AP63" i="69"/>
  <c r="AP17" i="69"/>
  <c r="AP76" i="69"/>
  <c r="AP6" i="69"/>
  <c r="AP21" i="69"/>
  <c r="AP30" i="69"/>
  <c r="AP32" i="69"/>
  <c r="AP40" i="69"/>
  <c r="AP75" i="69"/>
  <c r="AP102" i="69"/>
  <c r="AP67" i="69"/>
  <c r="AP9" i="69"/>
  <c r="AP89" i="69"/>
  <c r="AP47" i="69"/>
  <c r="AP39" i="69"/>
  <c r="AP83" i="69"/>
  <c r="AP100" i="69"/>
  <c r="AP13" i="69"/>
  <c r="AP14" i="69"/>
  <c r="AP23" i="69"/>
  <c r="AP51" i="69"/>
  <c r="AP94" i="69"/>
  <c r="AP104" i="69"/>
  <c r="AP49" i="69"/>
  <c r="AP72" i="69"/>
  <c r="AP109" i="69"/>
  <c r="AP18" i="69"/>
  <c r="AF10" i="69"/>
  <c r="AB17" i="69"/>
  <c r="AB63" i="69"/>
  <c r="AB107" i="69"/>
  <c r="AB56" i="69"/>
  <c r="AB48" i="69"/>
  <c r="AB61" i="69"/>
  <c r="AB85" i="69"/>
  <c r="AB50" i="69"/>
  <c r="AB74" i="69"/>
  <c r="AB73" i="69"/>
  <c r="AB66" i="69"/>
  <c r="AB57" i="69"/>
  <c r="AB77" i="69"/>
  <c r="AB27" i="69"/>
  <c r="AB64" i="69"/>
  <c r="AB110" i="69"/>
  <c r="AB76" i="69"/>
  <c r="AB46" i="69"/>
  <c r="AB47" i="69"/>
  <c r="AB59" i="69"/>
  <c r="AB93" i="69"/>
  <c r="AB101" i="69"/>
  <c r="AB62" i="69"/>
  <c r="AB86" i="69"/>
  <c r="AB35" i="69"/>
  <c r="AB68" i="69"/>
  <c r="AB6" i="69"/>
  <c r="AB111" i="69"/>
  <c r="AB102" i="69"/>
  <c r="AB65" i="69"/>
  <c r="AB53" i="69"/>
  <c r="AB54" i="69"/>
  <c r="AB12" i="69"/>
  <c r="AB13" i="69"/>
  <c r="AB22" i="69"/>
  <c r="AB39" i="69"/>
  <c r="AB60" i="69"/>
  <c r="AB84" i="69"/>
  <c r="AB23" i="69"/>
  <c r="AB40" i="69"/>
  <c r="AB26" i="69"/>
  <c r="AB80" i="69"/>
  <c r="AB89" i="69"/>
  <c r="AB105" i="69"/>
  <c r="AB72" i="69"/>
  <c r="AB75" i="69"/>
  <c r="AB30" i="69"/>
  <c r="AB96" i="69"/>
  <c r="AF12" i="69"/>
  <c r="AD46" i="69"/>
  <c r="AD66" i="69"/>
  <c r="AD57" i="69"/>
  <c r="AD27" i="69"/>
  <c r="AD64" i="69"/>
  <c r="AD110" i="69"/>
  <c r="AD61" i="69"/>
  <c r="AD76" i="69"/>
  <c r="AD50" i="69"/>
  <c r="AD17" i="69"/>
  <c r="AD63" i="69"/>
  <c r="AD107" i="69"/>
  <c r="AD85" i="69"/>
  <c r="AD77" i="69"/>
  <c r="AD48" i="69"/>
  <c r="AD73" i="69"/>
  <c r="AD56" i="69"/>
  <c r="AD74" i="69"/>
  <c r="AD12" i="69"/>
  <c r="AD13" i="69"/>
  <c r="AD39" i="69"/>
  <c r="AD111" i="69"/>
  <c r="AD14" i="69"/>
  <c r="AD32" i="69"/>
  <c r="AD40" i="69"/>
  <c r="AD31" i="69"/>
  <c r="AD93" i="69"/>
  <c r="AD101" i="69"/>
  <c r="AD109" i="69"/>
  <c r="AD30" i="69"/>
  <c r="AD79" i="69"/>
  <c r="AD80" i="69"/>
  <c r="AD89" i="69"/>
  <c r="AD97" i="69"/>
  <c r="AD105" i="69"/>
  <c r="AD100" i="69"/>
  <c r="AD51" i="69"/>
  <c r="AD75" i="69"/>
  <c r="AD47" i="69"/>
  <c r="AD60" i="69"/>
  <c r="AD84" i="69"/>
  <c r="AD23" i="69"/>
  <c r="AD62" i="69"/>
  <c r="AD86" i="69"/>
  <c r="AD94" i="69"/>
  <c r="AD102" i="69"/>
  <c r="AF9" i="69"/>
  <c r="AA61" i="69"/>
  <c r="AA85" i="69"/>
  <c r="AA48" i="69"/>
  <c r="AA27" i="69"/>
  <c r="AA110" i="69"/>
  <c r="AA57" i="69"/>
  <c r="AA77" i="69"/>
  <c r="AA56" i="69"/>
  <c r="AA76" i="69"/>
  <c r="AA74" i="69"/>
  <c r="AA66" i="69"/>
  <c r="AA73" i="69"/>
  <c r="AA46" i="69"/>
  <c r="AA17" i="69"/>
  <c r="AA63" i="69"/>
  <c r="AA107" i="69"/>
  <c r="AA50" i="69"/>
  <c r="AA64" i="69"/>
  <c r="AA60" i="69"/>
  <c r="AA84" i="69"/>
  <c r="AA109" i="69"/>
  <c r="AA65" i="69"/>
  <c r="AA43" i="69"/>
  <c r="AA54" i="69"/>
  <c r="AA21" i="69"/>
  <c r="AA23" i="69"/>
  <c r="AA40" i="69"/>
  <c r="AA6" i="69"/>
  <c r="AA111" i="69"/>
  <c r="AA14" i="69"/>
  <c r="AA32" i="69"/>
  <c r="AA8" i="69"/>
  <c r="AA34" i="69"/>
  <c r="AA97" i="69"/>
  <c r="AA100" i="69"/>
  <c r="AA22" i="69"/>
  <c r="AA49" i="69"/>
  <c r="AA93" i="69"/>
  <c r="AA101" i="69"/>
  <c r="AA51" i="69"/>
  <c r="AA79" i="69"/>
  <c r="AA18" i="69"/>
  <c r="AA26" i="69"/>
  <c r="AA68" i="69"/>
  <c r="AS9" i="69"/>
  <c r="AN73" i="69"/>
  <c r="AN85" i="69"/>
  <c r="AN107" i="69"/>
  <c r="AN46" i="69"/>
  <c r="AN57" i="69"/>
  <c r="AN66" i="69"/>
  <c r="AN27" i="69"/>
  <c r="AN77" i="69"/>
  <c r="AN74" i="69"/>
  <c r="AN56" i="69"/>
  <c r="AN64" i="69"/>
  <c r="AN17" i="69"/>
  <c r="AN76" i="69"/>
  <c r="AN110" i="69"/>
  <c r="AN50" i="69"/>
  <c r="AN63" i="69"/>
  <c r="AN48" i="69"/>
  <c r="AN61" i="69"/>
  <c r="AN31" i="69"/>
  <c r="AN111" i="69"/>
  <c r="AN109" i="69"/>
  <c r="AN104" i="69"/>
  <c r="AN80" i="69"/>
  <c r="AN41" i="69"/>
  <c r="AN30" i="69"/>
  <c r="AN75" i="69"/>
  <c r="AN94" i="69"/>
  <c r="AN102" i="69"/>
  <c r="AN25" i="69"/>
  <c r="AN67" i="69"/>
  <c r="AN21" i="69"/>
  <c r="AN101" i="69"/>
  <c r="AN60" i="69"/>
  <c r="AN84" i="69"/>
  <c r="AN62" i="69"/>
  <c r="AN9" i="69"/>
  <c r="AA39" i="69"/>
  <c r="P161" i="69"/>
  <c r="Q116" i="69"/>
  <c r="AF8" i="69"/>
  <c r="Z57" i="69"/>
  <c r="Z77" i="69"/>
  <c r="Z48" i="69"/>
  <c r="Z63" i="69"/>
  <c r="Z56" i="69"/>
  <c r="Z76" i="69"/>
  <c r="Z73" i="69"/>
  <c r="Z17" i="69"/>
  <c r="Z50" i="69"/>
  <c r="Z74" i="69"/>
  <c r="Z46" i="69"/>
  <c r="Z66" i="69"/>
  <c r="Z107" i="69"/>
  <c r="Z61" i="69"/>
  <c r="Z85" i="69"/>
  <c r="Z27" i="69"/>
  <c r="Z64" i="69"/>
  <c r="Z110" i="69"/>
  <c r="Z23" i="69"/>
  <c r="Z89" i="69"/>
  <c r="Z97" i="69"/>
  <c r="Z12" i="69"/>
  <c r="Z49" i="69"/>
  <c r="Z14" i="69"/>
  <c r="Z32" i="69"/>
  <c r="Z86" i="69"/>
  <c r="Z94" i="69"/>
  <c r="Z26" i="69"/>
  <c r="Z18" i="69"/>
  <c r="Z68" i="69"/>
  <c r="Z59" i="69"/>
  <c r="Z31" i="69"/>
  <c r="Z109" i="69"/>
  <c r="Z65" i="69"/>
  <c r="Z9" i="69"/>
  <c r="Z35" i="69"/>
  <c r="Z43" i="69"/>
  <c r="AS8" i="69"/>
  <c r="AM46" i="69"/>
  <c r="AM57" i="69"/>
  <c r="AM66" i="69"/>
  <c r="AM48" i="69"/>
  <c r="AM61" i="69"/>
  <c r="AM27" i="69"/>
  <c r="AM77" i="69"/>
  <c r="AM56" i="69"/>
  <c r="AM64" i="69"/>
  <c r="AM17" i="69"/>
  <c r="AM76" i="69"/>
  <c r="AM110" i="69"/>
  <c r="AM50" i="69"/>
  <c r="AM63" i="69"/>
  <c r="AM74" i="69"/>
  <c r="AM107" i="69"/>
  <c r="AM73" i="69"/>
  <c r="AM85" i="69"/>
  <c r="P231" i="69"/>
  <c r="AM60" i="69"/>
  <c r="P215" i="69"/>
  <c r="AM14" i="69"/>
  <c r="P193" i="69"/>
  <c r="AM94" i="69"/>
  <c r="P156" i="69"/>
  <c r="P185" i="69"/>
  <c r="P164" i="69"/>
  <c r="AM78" i="69"/>
  <c r="AM21" i="69"/>
  <c r="P214" i="69"/>
  <c r="AM22" i="69"/>
  <c r="AM49" i="69"/>
  <c r="P203" i="69"/>
  <c r="AM101" i="69"/>
  <c r="P182" i="69"/>
  <c r="AM86" i="69"/>
  <c r="P138" i="69"/>
  <c r="P202" i="69"/>
  <c r="P191" i="69"/>
  <c r="AM72" i="69"/>
  <c r="P171" i="69"/>
  <c r="AM75" i="69"/>
  <c r="P240" i="69"/>
  <c r="AM9" i="69"/>
  <c r="AM59" i="69"/>
  <c r="P153" i="69"/>
  <c r="AM39" i="69"/>
  <c r="P232" i="69"/>
  <c r="AM23" i="69"/>
  <c r="AM51" i="69"/>
  <c r="P217" i="69"/>
  <c r="AM25" i="69"/>
  <c r="P235" i="69"/>
  <c r="AM26" i="69"/>
  <c r="AO39" i="69"/>
  <c r="AO52" i="69"/>
  <c r="AO103" i="69"/>
  <c r="AO14" i="69"/>
  <c r="AO23" i="69"/>
  <c r="AO104" i="69"/>
  <c r="AO6" i="69"/>
  <c r="AO30" i="69"/>
  <c r="AO22" i="69"/>
  <c r="AO31" i="69"/>
  <c r="AO84" i="69"/>
  <c r="AO93" i="69"/>
  <c r="AO111" i="69"/>
  <c r="AO86" i="69"/>
  <c r="AO102" i="69"/>
  <c r="AO25" i="69"/>
  <c r="AO71" i="69"/>
  <c r="AO32" i="69"/>
  <c r="AO96" i="69"/>
  <c r="X31" i="69"/>
  <c r="X49" i="69"/>
  <c r="X72" i="69"/>
  <c r="X51" i="69"/>
  <c r="X75" i="69"/>
  <c r="X102" i="69"/>
  <c r="Q24" i="69"/>
  <c r="Q50" i="69"/>
  <c r="Q69" i="69"/>
  <c r="Q95" i="69"/>
  <c r="Q112" i="69"/>
  <c r="X9" i="69"/>
  <c r="X26" i="69"/>
  <c r="X24" i="69"/>
  <c r="X59" i="69"/>
  <c r="X13" i="69"/>
  <c r="X39" i="69"/>
  <c r="X62" i="69"/>
  <c r="X18" i="69"/>
  <c r="X35" i="69"/>
  <c r="X43" i="69"/>
  <c r="X86" i="69"/>
  <c r="X94" i="69"/>
  <c r="X109" i="69"/>
  <c r="Q46" i="69"/>
  <c r="X79" i="69"/>
  <c r="X96" i="69"/>
  <c r="X8" i="69"/>
  <c r="X53" i="69"/>
  <c r="X80" i="69"/>
  <c r="X89" i="69"/>
  <c r="X97" i="69"/>
  <c r="X105" i="69"/>
  <c r="AF7" i="69"/>
  <c r="Y56" i="69"/>
  <c r="Y76" i="69"/>
  <c r="Y66" i="69"/>
  <c r="Y63" i="69"/>
  <c r="Y50" i="69"/>
  <c r="Y74" i="69"/>
  <c r="Y46" i="69"/>
  <c r="Y110" i="69"/>
  <c r="Y17" i="69"/>
  <c r="Y85" i="69"/>
  <c r="Y48" i="69"/>
  <c r="Y73" i="69"/>
  <c r="Y107" i="69"/>
  <c r="Y61" i="69"/>
  <c r="Y57" i="69"/>
  <c r="Y77" i="69"/>
  <c r="Y27" i="69"/>
  <c r="Y64" i="69"/>
  <c r="Y22" i="69"/>
  <c r="Y94" i="69"/>
  <c r="Y30" i="69"/>
  <c r="Y18" i="69"/>
  <c r="Y105" i="69"/>
  <c r="Y7" i="69"/>
  <c r="Y78" i="69"/>
  <c r="Y25" i="69"/>
  <c r="Y100" i="69"/>
  <c r="Y72" i="69"/>
  <c r="Y51" i="69"/>
  <c r="Y75" i="69"/>
  <c r="Y8" i="69"/>
  <c r="Y34" i="69"/>
  <c r="Y96" i="69"/>
  <c r="Y9" i="69"/>
  <c r="Y68" i="69"/>
  <c r="Y47" i="69"/>
  <c r="Y59" i="69"/>
  <c r="Y49" i="69"/>
  <c r="Y62" i="69"/>
  <c r="Y102" i="69"/>
  <c r="Y35" i="69"/>
  <c r="Y43" i="69"/>
  <c r="Y54" i="69"/>
  <c r="Y39" i="69"/>
  <c r="Y32" i="69"/>
  <c r="Y40" i="69"/>
  <c r="AN83" i="69"/>
  <c r="AD59" i="69"/>
  <c r="Y12" i="69"/>
  <c r="AN6" i="69"/>
  <c r="AN22" i="69"/>
  <c r="Y84" i="69"/>
  <c r="AC39" i="69"/>
  <c r="AD22" i="69"/>
  <c r="AN59" i="69"/>
  <c r="AC59" i="69"/>
  <c r="AF6" i="69"/>
  <c r="X50" i="69"/>
  <c r="X74" i="69"/>
  <c r="X85" i="69"/>
  <c r="X48" i="69"/>
  <c r="X73" i="69"/>
  <c r="X17" i="69"/>
  <c r="X63" i="69"/>
  <c r="X61" i="69"/>
  <c r="X46" i="69"/>
  <c r="X66" i="69"/>
  <c r="X77" i="69"/>
  <c r="X56" i="69"/>
  <c r="X76" i="69"/>
  <c r="X27" i="69"/>
  <c r="X64" i="69"/>
  <c r="X110" i="69"/>
  <c r="X107" i="69"/>
  <c r="X57" i="69"/>
  <c r="Q79" i="69"/>
  <c r="Q64" i="69"/>
  <c r="Q80" i="69"/>
  <c r="Q66" i="69"/>
  <c r="Q89" i="69"/>
  <c r="Q73" i="69"/>
  <c r="Q101" i="69"/>
  <c r="Q43" i="69"/>
  <c r="Q92" i="69"/>
  <c r="Q82" i="69"/>
  <c r="Q72" i="69"/>
  <c r="Q90" i="69"/>
  <c r="Q123" i="69"/>
  <c r="Q126" i="69"/>
  <c r="Q93" i="69"/>
  <c r="Q77" i="69"/>
  <c r="Q62" i="69"/>
  <c r="Q33" i="69"/>
  <c r="AS7" i="69"/>
  <c r="AL27" i="69"/>
  <c r="AL77" i="69"/>
  <c r="AL73" i="69"/>
  <c r="AL56" i="69"/>
  <c r="AL64" i="69"/>
  <c r="AL85" i="69"/>
  <c r="AL17" i="69"/>
  <c r="AL76" i="69"/>
  <c r="AL110" i="69"/>
  <c r="AL50" i="69"/>
  <c r="AL63" i="69"/>
  <c r="AL74" i="69"/>
  <c r="AL107" i="69"/>
  <c r="AL48" i="69"/>
  <c r="AL61" i="69"/>
  <c r="AL46" i="69"/>
  <c r="AL57" i="69"/>
  <c r="AL66" i="69"/>
  <c r="AS10" i="69"/>
  <c r="AO48" i="69"/>
  <c r="AO61" i="69"/>
  <c r="AO73" i="69"/>
  <c r="AO85" i="69"/>
  <c r="AO46" i="69"/>
  <c r="AO57" i="69"/>
  <c r="AO66" i="69"/>
  <c r="AO50" i="69"/>
  <c r="AO27" i="69"/>
  <c r="AO77" i="69"/>
  <c r="AO56" i="69"/>
  <c r="AO64" i="69"/>
  <c r="AO17" i="69"/>
  <c r="AO76" i="69"/>
  <c r="AO110" i="69"/>
  <c r="AO74" i="69"/>
  <c r="AO107" i="69"/>
  <c r="AO63" i="69"/>
  <c r="X6" i="69"/>
  <c r="AS6" i="69"/>
  <c r="AK56" i="69"/>
  <c r="AK64" i="69"/>
  <c r="AK46" i="69"/>
  <c r="AK17" i="69"/>
  <c r="AK76" i="69"/>
  <c r="AK110" i="69"/>
  <c r="AK57" i="69"/>
  <c r="AK66" i="69"/>
  <c r="AK50" i="69"/>
  <c r="AK63" i="69"/>
  <c r="AK74" i="69"/>
  <c r="AK107" i="69"/>
  <c r="AK48" i="69"/>
  <c r="AK61" i="69"/>
  <c r="AK73" i="69"/>
  <c r="AK85" i="69"/>
  <c r="AK27" i="69"/>
  <c r="AK77" i="69"/>
  <c r="P192" i="69"/>
  <c r="P216" i="69"/>
  <c r="P179" i="69"/>
  <c r="P205" i="69"/>
  <c r="P148" i="69"/>
  <c r="P194" i="69"/>
  <c r="P238" i="69"/>
  <c r="P177" i="69"/>
  <c r="P158" i="69"/>
  <c r="P195" i="69"/>
  <c r="P241" i="69"/>
  <c r="P197" i="69"/>
  <c r="P204" i="69"/>
  <c r="P187" i="69"/>
  <c r="P207" i="69"/>
  <c r="P188" i="69"/>
  <c r="P208" i="69"/>
  <c r="P181" i="69"/>
  <c r="Q22" i="69"/>
  <c r="AA196" i="67"/>
  <c r="AA197" i="67" s="1"/>
  <c r="AA198" i="67" s="1"/>
  <c r="AI196" i="67"/>
  <c r="AI197" i="67" s="1"/>
  <c r="AI198" i="67" s="1"/>
  <c r="AH196" i="67"/>
  <c r="AH197" i="67" s="1"/>
  <c r="AH198" i="67" s="1"/>
  <c r="K181" i="70"/>
  <c r="K182" i="70" s="1"/>
  <c r="K183" i="70" s="1"/>
  <c r="M181" i="70"/>
  <c r="M182" i="70" s="1"/>
  <c r="M183" i="70" s="1"/>
  <c r="J196" i="67"/>
  <c r="J197" i="67" s="1"/>
  <c r="J198" i="67" s="1"/>
  <c r="S196" i="67"/>
  <c r="S197" i="67" s="1"/>
  <c r="S198" i="67" s="1"/>
  <c r="AE196" i="67"/>
  <c r="AE197" i="67" s="1"/>
  <c r="AE198" i="67" s="1"/>
  <c r="K196" i="67"/>
  <c r="K197" i="67" s="1"/>
  <c r="K198" i="67" s="1"/>
  <c r="M196" i="67"/>
  <c r="M197" i="67" s="1"/>
  <c r="M198" i="67" s="1"/>
  <c r="T181" i="70"/>
  <c r="T182" i="70" s="1"/>
  <c r="T183" i="70" s="1"/>
  <c r="H181" i="70"/>
  <c r="H182" i="70" s="1"/>
  <c r="H183" i="70" s="1"/>
  <c r="K151" i="70"/>
  <c r="K153" i="70" s="1"/>
  <c r="AF181" i="70"/>
  <c r="AF182" i="70" s="1"/>
  <c r="AF183" i="70" s="1"/>
  <c r="Q151" i="70"/>
  <c r="Q153" i="70" s="1"/>
  <c r="Z151" i="70"/>
  <c r="Z153" i="70" s="1"/>
  <c r="AA181" i="70"/>
  <c r="AA182" i="70" s="1"/>
  <c r="AA183" i="70" s="1"/>
  <c r="N181" i="70"/>
  <c r="N182" i="70" s="1"/>
  <c r="N183" i="70" s="1"/>
  <c r="AE181" i="70"/>
  <c r="AE182" i="70" s="1"/>
  <c r="AE183" i="70" s="1"/>
  <c r="AH151" i="70"/>
  <c r="AH153" i="70" s="1"/>
  <c r="W151" i="70"/>
  <c r="W153" i="70" s="1"/>
  <c r="G181" i="70"/>
  <c r="G182" i="70" s="1"/>
  <c r="G183" i="70" s="1"/>
  <c r="I151" i="70"/>
  <c r="I153" i="70" s="1"/>
  <c r="AC151" i="70"/>
  <c r="AC153" i="70" s="1"/>
  <c r="G175" i="70"/>
  <c r="G176" i="70" s="1"/>
  <c r="G177" i="70" s="1"/>
  <c r="J151" i="70"/>
  <c r="J153" i="70" s="1"/>
  <c r="M151" i="70"/>
  <c r="M153" i="70" s="1"/>
  <c r="I196" i="67"/>
  <c r="I197" i="67" s="1"/>
  <c r="I198" i="67" s="1"/>
  <c r="N196" i="67"/>
  <c r="N197" i="67" s="1"/>
  <c r="N198" i="67" s="1"/>
  <c r="P196" i="67"/>
  <c r="P197" i="67" s="1"/>
  <c r="P198" i="67" s="1"/>
  <c r="V196" i="67"/>
  <c r="V197" i="67" s="1"/>
  <c r="V198" i="67" s="1"/>
  <c r="AF196" i="67"/>
  <c r="AF197" i="67" s="1"/>
  <c r="AF198" i="67" s="1"/>
  <c r="W196" i="67"/>
  <c r="W197" i="67" s="1"/>
  <c r="W198" i="67" s="1"/>
  <c r="R196" i="67"/>
  <c r="R197" i="67" s="1"/>
  <c r="R198" i="67" s="1"/>
  <c r="T196" i="67"/>
  <c r="T197" i="67" s="1"/>
  <c r="T198" i="67" s="1"/>
  <c r="L196" i="67"/>
  <c r="L197" i="67" s="1"/>
  <c r="L198" i="67" s="1"/>
  <c r="AC196" i="67"/>
  <c r="AC197" i="67" s="1"/>
  <c r="AC198" i="67" s="1"/>
  <c r="Y196" i="67"/>
  <c r="Y197" i="67" s="1"/>
  <c r="Y198" i="67" s="1"/>
  <c r="Q196" i="67"/>
  <c r="Q197" i="67" s="1"/>
  <c r="Q198" i="67" s="1"/>
  <c r="O196" i="67"/>
  <c r="O197" i="67" s="1"/>
  <c r="O198" i="67" s="1"/>
  <c r="AD196" i="67"/>
  <c r="AD197" i="67" s="1"/>
  <c r="AD198" i="67" s="1"/>
  <c r="H196" i="67"/>
  <c r="H197" i="67" s="1"/>
  <c r="H198" i="67" s="1"/>
  <c r="Z196" i="67"/>
  <c r="Z197" i="67" s="1"/>
  <c r="Z198" i="67" s="1"/>
  <c r="AB196" i="67"/>
  <c r="AB197" i="67" s="1"/>
  <c r="AB198" i="67" s="1"/>
  <c r="AG196" i="67"/>
  <c r="AG197" i="67" s="1"/>
  <c r="AG198" i="67" s="1"/>
  <c r="X196" i="67"/>
  <c r="X197" i="67" s="1"/>
  <c r="X198" i="67" s="1"/>
  <c r="U196" i="67"/>
  <c r="U197" i="67" s="1"/>
  <c r="U198" i="67" s="1"/>
  <c r="AJ196" i="67"/>
  <c r="AJ197" i="67" s="1"/>
  <c r="AJ198" i="67" s="1"/>
  <c r="Y151" i="70"/>
  <c r="Y153" i="70" s="1"/>
  <c r="AA151" i="70"/>
  <c r="AA153" i="70" s="1"/>
  <c r="N151" i="70"/>
  <c r="N153" i="70" s="1"/>
  <c r="AJ151" i="70"/>
  <c r="AJ153" i="70" s="1"/>
  <c r="O182" i="70"/>
  <c r="O183" i="70" s="1"/>
  <c r="S182" i="70"/>
  <c r="S183" i="70" s="1"/>
  <c r="AF151" i="70"/>
  <c r="AF153" i="70" s="1"/>
  <c r="H151" i="70"/>
  <c r="H153" i="70" s="1"/>
  <c r="T151" i="70"/>
  <c r="T153" i="70" s="1"/>
  <c r="R151" i="70"/>
  <c r="R153" i="70" s="1"/>
  <c r="O151" i="70"/>
  <c r="O153" i="70" s="1"/>
  <c r="L151" i="70"/>
  <c r="L153" i="70" s="1"/>
  <c r="X151" i="70"/>
  <c r="X153" i="70" s="1"/>
  <c r="AI151" i="70"/>
  <c r="AI153" i="70" s="1"/>
  <c r="V151" i="70"/>
  <c r="V153" i="70" s="1"/>
  <c r="K167" i="67"/>
  <c r="K169" i="67" s="1"/>
  <c r="S167" i="67"/>
  <c r="S169" i="67" s="1"/>
  <c r="AA167" i="67"/>
  <c r="AA169" i="67" s="1"/>
  <c r="AI167" i="67"/>
  <c r="AI169" i="67" s="1"/>
  <c r="AB167" i="67"/>
  <c r="AB169" i="67" s="1"/>
  <c r="L167" i="67"/>
  <c r="L169" i="67" s="1"/>
  <c r="T167" i="67"/>
  <c r="T169" i="67" s="1"/>
  <c r="AJ167" i="67"/>
  <c r="AJ169" i="67" s="1"/>
  <c r="M167" i="67"/>
  <c r="M169" i="67" s="1"/>
  <c r="U167" i="67"/>
  <c r="U169" i="67" s="1"/>
  <c r="AC167" i="67"/>
  <c r="AC169" i="67" s="1"/>
  <c r="G167" i="67"/>
  <c r="G169" i="67" s="1"/>
  <c r="H167" i="67"/>
  <c r="H169" i="67" s="1"/>
  <c r="P167" i="67"/>
  <c r="P169" i="67" s="1"/>
  <c r="X167" i="67"/>
  <c r="X169" i="67" s="1"/>
  <c r="AF167" i="67"/>
  <c r="AF169" i="67" s="1"/>
  <c r="N167" i="67"/>
  <c r="N169" i="67" s="1"/>
  <c r="AD167" i="67"/>
  <c r="AD169" i="67" s="1"/>
  <c r="O167" i="67"/>
  <c r="O169" i="67" s="1"/>
  <c r="AE167" i="67"/>
  <c r="AE169" i="67" s="1"/>
  <c r="AH167" i="67"/>
  <c r="AH169" i="67" s="1"/>
  <c r="W167" i="67"/>
  <c r="W169" i="67" s="1"/>
  <c r="R167" i="67"/>
  <c r="R169" i="67" s="1"/>
  <c r="Q167" i="67"/>
  <c r="Q169" i="67" s="1"/>
  <c r="AG167" i="67"/>
  <c r="AG169" i="67" s="1"/>
  <c r="V167" i="67"/>
  <c r="V169" i="67" s="1"/>
  <c r="I167" i="67"/>
  <c r="I169" i="67" s="1"/>
  <c r="Y167" i="67"/>
  <c r="Y169" i="67" s="1"/>
  <c r="J167" i="67"/>
  <c r="J169" i="67" s="1"/>
  <c r="Z167" i="67"/>
  <c r="Z169" i="67" s="1"/>
  <c r="M162" i="67"/>
  <c r="M164" i="67" s="1"/>
  <c r="U162" i="67"/>
  <c r="U164" i="67" s="1"/>
  <c r="AC162" i="67"/>
  <c r="AC164" i="67" s="1"/>
  <c r="N162" i="67"/>
  <c r="N164" i="67" s="1"/>
  <c r="V162" i="67"/>
  <c r="V164" i="67" s="1"/>
  <c r="AD162" i="67"/>
  <c r="AD164" i="67" s="1"/>
  <c r="O162" i="67"/>
  <c r="O164" i="67" s="1"/>
  <c r="W162" i="67"/>
  <c r="W164" i="67" s="1"/>
  <c r="AE162" i="67"/>
  <c r="AE164" i="67" s="1"/>
  <c r="G162" i="67"/>
  <c r="G164" i="67" s="1"/>
  <c r="J162" i="67"/>
  <c r="J164" i="67" s="1"/>
  <c r="R162" i="67"/>
  <c r="R164" i="67" s="1"/>
  <c r="Z162" i="67"/>
  <c r="Z164" i="67" s="1"/>
  <c r="AH162" i="67"/>
  <c r="AH164" i="67" s="1"/>
  <c r="H162" i="67"/>
  <c r="H164" i="67" s="1"/>
  <c r="X162" i="67"/>
  <c r="X164" i="67" s="1"/>
  <c r="Y162" i="67"/>
  <c r="Y164" i="67" s="1"/>
  <c r="L162" i="67"/>
  <c r="L164" i="67" s="1"/>
  <c r="AF162" i="67"/>
  <c r="AF164" i="67" s="1"/>
  <c r="Q162" i="67"/>
  <c r="Q164" i="67" s="1"/>
  <c r="I162" i="67"/>
  <c r="I164" i="67" s="1"/>
  <c r="AB162" i="67"/>
  <c r="AB164" i="67" s="1"/>
  <c r="AG162" i="67"/>
  <c r="AG164" i="67" s="1"/>
  <c r="K162" i="67"/>
  <c r="K164" i="67" s="1"/>
  <c r="AA162" i="67"/>
  <c r="AA164" i="67" s="1"/>
  <c r="S162" i="67"/>
  <c r="S164" i="67" s="1"/>
  <c r="AI162" i="67"/>
  <c r="AI164" i="67" s="1"/>
  <c r="T162" i="67"/>
  <c r="T164" i="67" s="1"/>
  <c r="AJ162" i="67"/>
  <c r="AJ164" i="67" s="1"/>
  <c r="P162" i="67"/>
  <c r="P164" i="67" s="1"/>
  <c r="M129" i="67"/>
  <c r="O158" i="67"/>
  <c r="O160" i="67" s="1"/>
  <c r="W158" i="67"/>
  <c r="W160" i="67" s="1"/>
  <c r="AE158" i="67"/>
  <c r="AE160" i="67" s="1"/>
  <c r="H158" i="67"/>
  <c r="H160" i="67" s="1"/>
  <c r="P158" i="67"/>
  <c r="P160" i="67" s="1"/>
  <c r="X158" i="67"/>
  <c r="X160" i="67" s="1"/>
  <c r="AF158" i="67"/>
  <c r="AF160" i="67" s="1"/>
  <c r="I158" i="67"/>
  <c r="I160" i="67" s="1"/>
  <c r="Q158" i="67"/>
  <c r="Q160" i="67" s="1"/>
  <c r="Y158" i="67"/>
  <c r="Y160" i="67" s="1"/>
  <c r="AG158" i="67"/>
  <c r="AG160" i="67" s="1"/>
  <c r="L158" i="67"/>
  <c r="L160" i="67" s="1"/>
  <c r="T158" i="67"/>
  <c r="T160" i="67" s="1"/>
  <c r="AB158" i="67"/>
  <c r="AB160" i="67" s="1"/>
  <c r="AJ158" i="67"/>
  <c r="AJ160" i="67" s="1"/>
  <c r="G158" i="67"/>
  <c r="G160" i="67" s="1"/>
  <c r="R158" i="67"/>
  <c r="R160" i="67" s="1"/>
  <c r="AH158" i="67"/>
  <c r="AH160" i="67" s="1"/>
  <c r="V158" i="67"/>
  <c r="V160" i="67" s="1"/>
  <c r="S158" i="67"/>
  <c r="S160" i="67" s="1"/>
  <c r="AI158" i="67"/>
  <c r="AI160" i="67" s="1"/>
  <c r="Z158" i="67"/>
  <c r="Z160" i="67" s="1"/>
  <c r="K158" i="67"/>
  <c r="K160" i="67" s="1"/>
  <c r="U158" i="67"/>
  <c r="U160" i="67" s="1"/>
  <c r="AA158" i="67"/>
  <c r="AA160" i="67" s="1"/>
  <c r="M158" i="67"/>
  <c r="M160" i="67" s="1"/>
  <c r="AC158" i="67"/>
  <c r="AC160" i="67" s="1"/>
  <c r="N158" i="67"/>
  <c r="N160" i="67" s="1"/>
  <c r="AD158" i="67"/>
  <c r="AD160" i="67" s="1"/>
  <c r="J158" i="67"/>
  <c r="J160" i="67" s="1"/>
  <c r="I171" i="67"/>
  <c r="I173" i="67" s="1"/>
  <c r="Q171" i="67"/>
  <c r="Q173" i="67" s="1"/>
  <c r="Y171" i="67"/>
  <c r="Y173" i="67" s="1"/>
  <c r="AG171" i="67"/>
  <c r="AG173" i="67" s="1"/>
  <c r="R171" i="67"/>
  <c r="R173" i="67" s="1"/>
  <c r="G171" i="67"/>
  <c r="G173" i="67" s="1"/>
  <c r="J171" i="67"/>
  <c r="J173" i="67" s="1"/>
  <c r="Z171" i="67"/>
  <c r="Z173" i="67" s="1"/>
  <c r="AH171" i="67"/>
  <c r="AH173" i="67" s="1"/>
  <c r="K171" i="67"/>
  <c r="K173" i="67" s="1"/>
  <c r="S171" i="67"/>
  <c r="S173" i="67" s="1"/>
  <c r="AA171" i="67"/>
  <c r="AA173" i="67" s="1"/>
  <c r="AI171" i="67"/>
  <c r="AI173" i="67" s="1"/>
  <c r="N171" i="67"/>
  <c r="N173" i="67" s="1"/>
  <c r="V171" i="67"/>
  <c r="V173" i="67" s="1"/>
  <c r="AD171" i="67"/>
  <c r="AD173" i="67" s="1"/>
  <c r="T171" i="67"/>
  <c r="T173" i="67" s="1"/>
  <c r="AJ171" i="67"/>
  <c r="AJ173" i="67" s="1"/>
  <c r="U171" i="67"/>
  <c r="U173" i="67" s="1"/>
  <c r="W171" i="67"/>
  <c r="W173" i="67" s="1"/>
  <c r="X171" i="67"/>
  <c r="X173" i="67" s="1"/>
  <c r="M171" i="67"/>
  <c r="M173" i="67" s="1"/>
  <c r="AB171" i="67"/>
  <c r="AB173" i="67" s="1"/>
  <c r="H171" i="67"/>
  <c r="H173" i="67" s="1"/>
  <c r="O171" i="67"/>
  <c r="O173" i="67" s="1"/>
  <c r="AE171" i="67"/>
  <c r="AE173" i="67" s="1"/>
  <c r="P171" i="67"/>
  <c r="P173" i="67" s="1"/>
  <c r="AF171" i="67"/>
  <c r="AF173" i="67" s="1"/>
  <c r="L171" i="67"/>
  <c r="L173" i="67" s="1"/>
  <c r="AC171" i="67"/>
  <c r="AC173" i="67" s="1"/>
  <c r="AG129" i="67"/>
  <c r="K141" i="67"/>
  <c r="K143" i="67" s="1"/>
  <c r="S141" i="67"/>
  <c r="S143" i="67" s="1"/>
  <c r="AA141" i="67"/>
  <c r="AA143" i="67" s="1"/>
  <c r="AI141" i="67"/>
  <c r="AI143" i="67" s="1"/>
  <c r="V141" i="67"/>
  <c r="V143" i="67" s="1"/>
  <c r="L141" i="67"/>
  <c r="L143" i="67" s="1"/>
  <c r="T141" i="67"/>
  <c r="T143" i="67" s="1"/>
  <c r="AB141" i="67"/>
  <c r="AB143" i="67" s="1"/>
  <c r="AJ141" i="67"/>
  <c r="AJ143" i="67" s="1"/>
  <c r="AD141" i="67"/>
  <c r="AD143" i="67" s="1"/>
  <c r="M141" i="67"/>
  <c r="M143" i="67" s="1"/>
  <c r="U141" i="67"/>
  <c r="U143" i="67" s="1"/>
  <c r="AC141" i="67"/>
  <c r="AC143" i="67" s="1"/>
  <c r="H141" i="67"/>
  <c r="H143" i="67" s="1"/>
  <c r="N141" i="67"/>
  <c r="N143" i="67" s="1"/>
  <c r="P141" i="67"/>
  <c r="P143" i="67" s="1"/>
  <c r="X141" i="67"/>
  <c r="X143" i="67" s="1"/>
  <c r="AF141" i="67"/>
  <c r="AF143" i="67" s="1"/>
  <c r="I141" i="67"/>
  <c r="I143" i="67" s="1"/>
  <c r="Q141" i="67"/>
  <c r="Q143" i="67" s="1"/>
  <c r="Y141" i="67"/>
  <c r="Y143" i="67" s="1"/>
  <c r="AG141" i="67"/>
  <c r="AG143" i="67" s="1"/>
  <c r="AE141" i="67"/>
  <c r="AE143" i="67" s="1"/>
  <c r="AH141" i="67"/>
  <c r="AH143" i="67" s="1"/>
  <c r="O141" i="67"/>
  <c r="O143" i="67" s="1"/>
  <c r="J141" i="67"/>
  <c r="J143" i="67" s="1"/>
  <c r="W141" i="67"/>
  <c r="W143" i="67" s="1"/>
  <c r="Z141" i="67"/>
  <c r="Z143" i="67" s="1"/>
  <c r="R141" i="67"/>
  <c r="R143" i="67" s="1"/>
  <c r="G150" i="67"/>
  <c r="G152" i="67" s="1"/>
  <c r="M150" i="67"/>
  <c r="M152" i="67" s="1"/>
  <c r="U150" i="67"/>
  <c r="U152" i="67" s="1"/>
  <c r="AC150" i="67"/>
  <c r="AC152" i="67" s="1"/>
  <c r="N150" i="67"/>
  <c r="N152" i="67" s="1"/>
  <c r="V150" i="67"/>
  <c r="V152" i="67" s="1"/>
  <c r="AD150" i="67"/>
  <c r="AD152" i="67" s="1"/>
  <c r="O150" i="67"/>
  <c r="O152" i="67" s="1"/>
  <c r="W150" i="67"/>
  <c r="W152" i="67" s="1"/>
  <c r="AE150" i="67"/>
  <c r="AE152" i="67" s="1"/>
  <c r="J150" i="67"/>
  <c r="J152" i="67" s="1"/>
  <c r="R150" i="67"/>
  <c r="R152" i="67" s="1"/>
  <c r="Z150" i="67"/>
  <c r="Z152" i="67" s="1"/>
  <c r="AH150" i="67"/>
  <c r="AH152" i="67" s="1"/>
  <c r="P150" i="67"/>
  <c r="P152" i="67" s="1"/>
  <c r="AF150" i="67"/>
  <c r="AF152" i="67" s="1"/>
  <c r="Q150" i="67"/>
  <c r="Q152" i="67" s="1"/>
  <c r="AG150" i="67"/>
  <c r="AG152" i="67" s="1"/>
  <c r="T150" i="67"/>
  <c r="T152" i="67" s="1"/>
  <c r="S150" i="67"/>
  <c r="S152" i="67" s="1"/>
  <c r="AI150" i="67"/>
  <c r="AI152" i="67" s="1"/>
  <c r="AJ150" i="67"/>
  <c r="AJ152" i="67" s="1"/>
  <c r="H150" i="67"/>
  <c r="H152" i="67" s="1"/>
  <c r="I150" i="67"/>
  <c r="I152" i="67" s="1"/>
  <c r="K150" i="67"/>
  <c r="K152" i="67" s="1"/>
  <c r="AA150" i="67"/>
  <c r="AA152" i="67" s="1"/>
  <c r="L150" i="67"/>
  <c r="L152" i="67" s="1"/>
  <c r="AB150" i="67"/>
  <c r="AB152" i="67" s="1"/>
  <c r="X150" i="67"/>
  <c r="X152" i="67" s="1"/>
  <c r="Y150" i="67"/>
  <c r="Y152" i="67" s="1"/>
  <c r="P145" i="67"/>
  <c r="P147" i="67" s="1"/>
  <c r="X145" i="67"/>
  <c r="X147" i="67" s="1"/>
  <c r="AF145" i="67"/>
  <c r="AF147" i="67" s="1"/>
  <c r="AA145" i="67"/>
  <c r="AA147" i="67" s="1"/>
  <c r="I145" i="67"/>
  <c r="I147" i="67" s="1"/>
  <c r="Q145" i="67"/>
  <c r="Q147" i="67" s="1"/>
  <c r="Y145" i="67"/>
  <c r="Y147" i="67" s="1"/>
  <c r="AG145" i="67"/>
  <c r="AG147" i="67" s="1"/>
  <c r="S145" i="67"/>
  <c r="S147" i="67" s="1"/>
  <c r="J145" i="67"/>
  <c r="J147" i="67" s="1"/>
  <c r="R145" i="67"/>
  <c r="R147" i="67" s="1"/>
  <c r="Z145" i="67"/>
  <c r="Z147" i="67" s="1"/>
  <c r="AH145" i="67"/>
  <c r="AH147" i="67" s="1"/>
  <c r="K145" i="67"/>
  <c r="K147" i="67" s="1"/>
  <c r="AI145" i="67"/>
  <c r="AI147" i="67" s="1"/>
  <c r="M145" i="67"/>
  <c r="M147" i="67" s="1"/>
  <c r="U145" i="67"/>
  <c r="U147" i="67" s="1"/>
  <c r="AC145" i="67"/>
  <c r="AC147" i="67" s="1"/>
  <c r="H145" i="67"/>
  <c r="H147" i="67" s="1"/>
  <c r="N145" i="67"/>
  <c r="N147" i="67" s="1"/>
  <c r="V145" i="67"/>
  <c r="V147" i="67" s="1"/>
  <c r="AD145" i="67"/>
  <c r="AD147" i="67" s="1"/>
  <c r="AB145" i="67"/>
  <c r="AB147" i="67" s="1"/>
  <c r="AE145" i="67"/>
  <c r="AE147" i="67" s="1"/>
  <c r="O145" i="67"/>
  <c r="O147" i="67" s="1"/>
  <c r="AJ145" i="67"/>
  <c r="AJ147" i="67" s="1"/>
  <c r="L145" i="67"/>
  <c r="L147" i="67" s="1"/>
  <c r="T145" i="67"/>
  <c r="T147" i="67" s="1"/>
  <c r="W145" i="67"/>
  <c r="W147" i="67" s="1"/>
  <c r="N137" i="67"/>
  <c r="N139" i="67" s="1"/>
  <c r="V137" i="67"/>
  <c r="V139" i="67" s="1"/>
  <c r="AD137" i="67"/>
  <c r="AD139" i="67" s="1"/>
  <c r="Y137" i="67"/>
  <c r="Y139" i="67" s="1"/>
  <c r="O137" i="67"/>
  <c r="O139" i="67" s="1"/>
  <c r="W137" i="67"/>
  <c r="W139" i="67" s="1"/>
  <c r="AE137" i="67"/>
  <c r="AE139" i="67" s="1"/>
  <c r="AG137" i="67"/>
  <c r="AG139" i="67" s="1"/>
  <c r="P137" i="67"/>
  <c r="P139" i="67" s="1"/>
  <c r="X137" i="67"/>
  <c r="X139" i="67" s="1"/>
  <c r="AF137" i="67"/>
  <c r="AF139" i="67" s="1"/>
  <c r="I137" i="67"/>
  <c r="I139" i="67" s="1"/>
  <c r="Q137" i="67"/>
  <c r="Q139" i="67" s="1"/>
  <c r="K137" i="67"/>
  <c r="K139" i="67" s="1"/>
  <c r="S137" i="67"/>
  <c r="S139" i="67" s="1"/>
  <c r="AA137" i="67"/>
  <c r="AA139" i="67" s="1"/>
  <c r="AI137" i="67"/>
  <c r="AI139" i="67" s="1"/>
  <c r="L137" i="67"/>
  <c r="L139" i="67" s="1"/>
  <c r="T137" i="67"/>
  <c r="T139" i="67" s="1"/>
  <c r="AB137" i="67"/>
  <c r="AB139" i="67" s="1"/>
  <c r="AJ137" i="67"/>
  <c r="AJ139" i="67" s="1"/>
  <c r="AH137" i="67"/>
  <c r="AH139" i="67" s="1"/>
  <c r="R137" i="67"/>
  <c r="R139" i="67" s="1"/>
  <c r="H137" i="67"/>
  <c r="H139" i="67" s="1"/>
  <c r="J137" i="67"/>
  <c r="J139" i="67" s="1"/>
  <c r="M137" i="67"/>
  <c r="M139" i="67" s="1"/>
  <c r="U137" i="67"/>
  <c r="U139" i="67" s="1"/>
  <c r="Z137" i="67"/>
  <c r="Z139" i="67" s="1"/>
  <c r="AC137" i="67"/>
  <c r="AC139" i="67" s="1"/>
  <c r="K154" i="67"/>
  <c r="K156" i="67" s="1"/>
  <c r="S154" i="67"/>
  <c r="S156" i="67" s="1"/>
  <c r="AA154" i="67"/>
  <c r="AA156" i="67" s="1"/>
  <c r="AI154" i="67"/>
  <c r="AI156" i="67" s="1"/>
  <c r="L154" i="67"/>
  <c r="L156" i="67" s="1"/>
  <c r="T154" i="67"/>
  <c r="T156" i="67" s="1"/>
  <c r="AB154" i="67"/>
  <c r="AB156" i="67" s="1"/>
  <c r="AJ154" i="67"/>
  <c r="AJ156" i="67" s="1"/>
  <c r="M154" i="67"/>
  <c r="M156" i="67" s="1"/>
  <c r="U154" i="67"/>
  <c r="U156" i="67" s="1"/>
  <c r="AC154" i="67"/>
  <c r="AC156" i="67" s="1"/>
  <c r="H154" i="67"/>
  <c r="H156" i="67" s="1"/>
  <c r="P154" i="67"/>
  <c r="P156" i="67" s="1"/>
  <c r="X154" i="67"/>
  <c r="X156" i="67" s="1"/>
  <c r="AF154" i="67"/>
  <c r="AF156" i="67" s="1"/>
  <c r="V154" i="67"/>
  <c r="V156" i="67" s="1"/>
  <c r="Z154" i="67"/>
  <c r="Z156" i="67" s="1"/>
  <c r="W154" i="67"/>
  <c r="W156" i="67" s="1"/>
  <c r="AD154" i="67"/>
  <c r="AD156" i="67" s="1"/>
  <c r="O154" i="67"/>
  <c r="O156" i="67" s="1"/>
  <c r="I154" i="67"/>
  <c r="I156" i="67" s="1"/>
  <c r="Y154" i="67"/>
  <c r="Y156" i="67" s="1"/>
  <c r="G154" i="67"/>
  <c r="G156" i="67" s="1"/>
  <c r="J154" i="67"/>
  <c r="J156" i="67" s="1"/>
  <c r="Q154" i="67"/>
  <c r="Q156" i="67" s="1"/>
  <c r="AG154" i="67"/>
  <c r="AG156" i="67" s="1"/>
  <c r="R154" i="67"/>
  <c r="R156" i="67" s="1"/>
  <c r="AH154" i="67"/>
  <c r="AH156" i="67" s="1"/>
  <c r="N154" i="67"/>
  <c r="N156" i="67" s="1"/>
  <c r="AE154" i="67"/>
  <c r="AE156" i="67" s="1"/>
  <c r="AG182" i="70"/>
  <c r="AG183" i="70" s="1"/>
  <c r="W182" i="70"/>
  <c r="W183" i="70" s="1"/>
  <c r="U182" i="70"/>
  <c r="U183" i="70" s="1"/>
  <c r="J182" i="70"/>
  <c r="J183" i="70" s="1"/>
  <c r="L147" i="70"/>
  <c r="L149" i="70" s="1"/>
  <c r="AF147" i="70"/>
  <c r="AF149" i="70" s="1"/>
  <c r="T147" i="70"/>
  <c r="T149" i="70" s="1"/>
  <c r="AA147" i="70"/>
  <c r="AA149" i="70" s="1"/>
  <c r="AE151" i="70"/>
  <c r="AE153" i="70" s="1"/>
  <c r="P151" i="70"/>
  <c r="P153" i="70" s="1"/>
  <c r="U151" i="70"/>
  <c r="U153" i="70" s="1"/>
  <c r="X147" i="70"/>
  <c r="X149" i="70" s="1"/>
  <c r="W147" i="70"/>
  <c r="W149" i="70" s="1"/>
  <c r="AG151" i="70"/>
  <c r="AG153" i="70" s="1"/>
  <c r="S151" i="70"/>
  <c r="S153" i="70" s="1"/>
  <c r="AD151" i="70"/>
  <c r="AD153" i="70" s="1"/>
  <c r="AB151" i="70"/>
  <c r="AB153" i="70" s="1"/>
  <c r="AJ147" i="70"/>
  <c r="AJ149" i="70" s="1"/>
  <c r="Q147" i="70"/>
  <c r="Q149" i="70" s="1"/>
  <c r="S147" i="70"/>
  <c r="S149" i="70" s="1"/>
  <c r="O147" i="70"/>
  <c r="O149" i="70" s="1"/>
  <c r="K147" i="70"/>
  <c r="K149" i="70" s="1"/>
  <c r="AH147" i="70"/>
  <c r="AH149" i="70" s="1"/>
  <c r="AB147" i="70"/>
  <c r="AB149" i="70" s="1"/>
  <c r="AG147" i="70"/>
  <c r="AG149" i="70" s="1"/>
  <c r="AI147" i="70"/>
  <c r="AI149" i="70" s="1"/>
  <c r="I147" i="70"/>
  <c r="I149" i="70" s="1"/>
  <c r="AD147" i="70"/>
  <c r="AD149" i="70" s="1"/>
  <c r="G147" i="70"/>
  <c r="G149" i="70" s="1"/>
  <c r="V147" i="70"/>
  <c r="V149" i="70" s="1"/>
  <c r="N147" i="70"/>
  <c r="N149" i="70" s="1"/>
  <c r="AC147" i="70"/>
  <c r="AC149" i="70" s="1"/>
  <c r="Z147" i="70"/>
  <c r="Z149" i="70" s="1"/>
  <c r="P147" i="70"/>
  <c r="P149" i="70" s="1"/>
  <c r="M164" i="70"/>
  <c r="M166" i="70" s="1"/>
  <c r="G164" i="70"/>
  <c r="G166" i="70" s="1"/>
  <c r="G138" i="70"/>
  <c r="G140" i="70" s="1"/>
  <c r="N138" i="70"/>
  <c r="N140" i="70" s="1"/>
  <c r="V138" i="70"/>
  <c r="V140" i="70" s="1"/>
  <c r="AD138" i="70"/>
  <c r="AD140" i="70" s="1"/>
  <c r="Q138" i="70"/>
  <c r="Q140" i="70" s="1"/>
  <c r="AG138" i="70"/>
  <c r="AG140" i="70" s="1"/>
  <c r="O138" i="70"/>
  <c r="O140" i="70" s="1"/>
  <c r="W138" i="70"/>
  <c r="W140" i="70" s="1"/>
  <c r="AE138" i="70"/>
  <c r="AE140" i="70" s="1"/>
  <c r="J138" i="70"/>
  <c r="J140" i="70" s="1"/>
  <c r="P138" i="70"/>
  <c r="P140" i="70" s="1"/>
  <c r="X138" i="70"/>
  <c r="X140" i="70" s="1"/>
  <c r="AF138" i="70"/>
  <c r="AF140" i="70" s="1"/>
  <c r="I138" i="70"/>
  <c r="I140" i="70" s="1"/>
  <c r="Y138" i="70"/>
  <c r="Y140" i="70" s="1"/>
  <c r="R138" i="70"/>
  <c r="R140" i="70" s="1"/>
  <c r="Z138" i="70"/>
  <c r="Z140" i="70" s="1"/>
  <c r="AH138" i="70"/>
  <c r="AH140" i="70" s="1"/>
  <c r="K138" i="70"/>
  <c r="K140" i="70" s="1"/>
  <c r="S138" i="70"/>
  <c r="S140" i="70" s="1"/>
  <c r="AA138" i="70"/>
  <c r="AA140" i="70" s="1"/>
  <c r="AI138" i="70"/>
  <c r="AI140" i="70" s="1"/>
  <c r="L138" i="70"/>
  <c r="L140" i="70" s="1"/>
  <c r="T138" i="70"/>
  <c r="T140" i="70" s="1"/>
  <c r="AB138" i="70"/>
  <c r="AB140" i="70" s="1"/>
  <c r="AJ138" i="70"/>
  <c r="AJ140" i="70" s="1"/>
  <c r="M138" i="70"/>
  <c r="M140" i="70" s="1"/>
  <c r="U138" i="70"/>
  <c r="U140" i="70" s="1"/>
  <c r="AC138" i="70"/>
  <c r="AC140" i="70" s="1"/>
  <c r="H138" i="70"/>
  <c r="H140" i="70" s="1"/>
  <c r="U147" i="70"/>
  <c r="U149" i="70" s="1"/>
  <c r="R147" i="70"/>
  <c r="R149" i="70" s="1"/>
  <c r="H147" i="70"/>
  <c r="H149" i="70" s="1"/>
  <c r="Q155" i="70"/>
  <c r="Q157" i="70" s="1"/>
  <c r="G155" i="70"/>
  <c r="G157" i="70" s="1"/>
  <c r="M147" i="70"/>
  <c r="M149" i="70" s="1"/>
  <c r="J147" i="70"/>
  <c r="J149" i="70" s="1"/>
  <c r="Y147" i="70"/>
  <c r="Y149" i="70" s="1"/>
  <c r="K142" i="70"/>
  <c r="K144" i="70" s="1"/>
  <c r="S142" i="70"/>
  <c r="S144" i="70" s="1"/>
  <c r="AA142" i="70"/>
  <c r="AA144" i="70" s="1"/>
  <c r="AI142" i="70"/>
  <c r="AI144" i="70" s="1"/>
  <c r="AD142" i="70"/>
  <c r="AD144" i="70" s="1"/>
  <c r="AE142" i="70"/>
  <c r="AE144" i="70" s="1"/>
  <c r="L142" i="70"/>
  <c r="L144" i="70" s="1"/>
  <c r="T142" i="70"/>
  <c r="T144" i="70" s="1"/>
  <c r="AB142" i="70"/>
  <c r="AB144" i="70" s="1"/>
  <c r="AJ142" i="70"/>
  <c r="AJ144" i="70" s="1"/>
  <c r="N142" i="70"/>
  <c r="N144" i="70" s="1"/>
  <c r="M142" i="70"/>
  <c r="M144" i="70" s="1"/>
  <c r="U142" i="70"/>
  <c r="U144" i="70" s="1"/>
  <c r="AC142" i="70"/>
  <c r="AC144" i="70" s="1"/>
  <c r="H142" i="70"/>
  <c r="H144" i="70" s="1"/>
  <c r="W142" i="70"/>
  <c r="W144" i="70" s="1"/>
  <c r="P142" i="70"/>
  <c r="P144" i="70" s="1"/>
  <c r="X142" i="70"/>
  <c r="X144" i="70" s="1"/>
  <c r="AF142" i="70"/>
  <c r="AF144" i="70" s="1"/>
  <c r="I142" i="70"/>
  <c r="I144" i="70" s="1"/>
  <c r="Q142" i="70"/>
  <c r="Q144" i="70" s="1"/>
  <c r="Y142" i="70"/>
  <c r="Y144" i="70" s="1"/>
  <c r="AG142" i="70"/>
  <c r="AG144" i="70" s="1"/>
  <c r="J142" i="70"/>
  <c r="J144" i="70" s="1"/>
  <c r="R142" i="70"/>
  <c r="R144" i="70" s="1"/>
  <c r="Z142" i="70"/>
  <c r="Z144" i="70" s="1"/>
  <c r="AH142" i="70"/>
  <c r="AH144" i="70" s="1"/>
  <c r="V142" i="70"/>
  <c r="V144" i="70" s="1"/>
  <c r="O142" i="70"/>
  <c r="O144" i="70" s="1"/>
  <c r="AE155" i="70"/>
  <c r="AE157" i="70" s="1"/>
  <c r="AC155" i="70"/>
  <c r="AC157" i="70" s="1"/>
  <c r="N164" i="70"/>
  <c r="N166" i="70" s="1"/>
  <c r="AG164" i="70"/>
  <c r="AG166" i="70" s="1"/>
  <c r="AJ155" i="70"/>
  <c r="AJ157" i="70" s="1"/>
  <c r="Z155" i="70"/>
  <c r="Z157" i="70" s="1"/>
  <c r="N155" i="70"/>
  <c r="N157" i="70" s="1"/>
  <c r="R155" i="70"/>
  <c r="R157" i="70" s="1"/>
  <c r="AI155" i="70"/>
  <c r="AI157" i="70" s="1"/>
  <c r="P155" i="70"/>
  <c r="P157" i="70" s="1"/>
  <c r="Z164" i="70"/>
  <c r="Z166" i="70" s="1"/>
  <c r="AB164" i="70"/>
  <c r="AB166" i="70" s="1"/>
  <c r="J164" i="70"/>
  <c r="J166" i="70" s="1"/>
  <c r="T164" i="70"/>
  <c r="T166" i="70" s="1"/>
  <c r="M155" i="70"/>
  <c r="M157" i="70" s="1"/>
  <c r="J155" i="70"/>
  <c r="J157" i="70" s="1"/>
  <c r="P164" i="70"/>
  <c r="P166" i="70" s="1"/>
  <c r="L164" i="70"/>
  <c r="L166" i="70" s="1"/>
  <c r="AB155" i="70"/>
  <c r="AB157" i="70" s="1"/>
  <c r="S155" i="70"/>
  <c r="S157" i="70" s="1"/>
  <c r="W164" i="70"/>
  <c r="W166" i="70" s="1"/>
  <c r="K164" i="70"/>
  <c r="K166" i="70" s="1"/>
  <c r="T155" i="70"/>
  <c r="T157" i="70" s="1"/>
  <c r="AF155" i="70"/>
  <c r="AF157" i="70" s="1"/>
  <c r="AH164" i="70"/>
  <c r="AH166" i="70" s="1"/>
  <c r="AD164" i="70"/>
  <c r="AD166" i="70" s="1"/>
  <c r="Y164" i="70"/>
  <c r="Y166" i="70" s="1"/>
  <c r="K155" i="70"/>
  <c r="K157" i="70" s="1"/>
  <c r="X155" i="70"/>
  <c r="X157" i="70" s="1"/>
  <c r="R164" i="70"/>
  <c r="R166" i="70" s="1"/>
  <c r="V164" i="70"/>
  <c r="V166" i="70" s="1"/>
  <c r="AD155" i="70"/>
  <c r="AD157" i="70" s="1"/>
  <c r="AH155" i="70"/>
  <c r="AH157" i="70" s="1"/>
  <c r="I155" i="70"/>
  <c r="I157" i="70" s="1"/>
  <c r="H164" i="70"/>
  <c r="H166" i="70" s="1"/>
  <c r="O164" i="70"/>
  <c r="O166" i="70" s="1"/>
  <c r="S164" i="70"/>
  <c r="S166" i="70" s="1"/>
  <c r="AJ164" i="70"/>
  <c r="AJ166" i="70" s="1"/>
  <c r="G142" i="70"/>
  <c r="G144" i="70" s="1"/>
  <c r="L155" i="70"/>
  <c r="L157" i="70" s="1"/>
  <c r="W155" i="70"/>
  <c r="W157" i="70" s="1"/>
  <c r="AG155" i="70"/>
  <c r="AG157" i="70" s="1"/>
  <c r="H155" i="70"/>
  <c r="H157" i="70" s="1"/>
  <c r="Q164" i="70"/>
  <c r="Q166" i="70" s="1"/>
  <c r="I164" i="70"/>
  <c r="I166" i="70" s="1"/>
  <c r="AC164" i="70"/>
  <c r="AC166" i="70" s="1"/>
  <c r="V155" i="70"/>
  <c r="V157" i="70" s="1"/>
  <c r="O155" i="70"/>
  <c r="O157" i="70" s="1"/>
  <c r="Y155" i="70"/>
  <c r="Y157" i="70" s="1"/>
  <c r="AF164" i="70"/>
  <c r="AF166" i="70" s="1"/>
  <c r="AI164" i="70"/>
  <c r="AI166" i="70" s="1"/>
  <c r="U164" i="70"/>
  <c r="U166" i="70" s="1"/>
  <c r="U155" i="70"/>
  <c r="U157" i="70" s="1"/>
  <c r="AA155" i="70"/>
  <c r="AA157" i="70" s="1"/>
  <c r="X164" i="70"/>
  <c r="X166" i="70" s="1"/>
  <c r="AE164" i="70"/>
  <c r="AE166" i="70" s="1"/>
  <c r="AA164" i="70"/>
  <c r="AA166" i="70" s="1"/>
  <c r="L134" i="70"/>
  <c r="L136" i="70" s="1"/>
  <c r="T134" i="70"/>
  <c r="T136" i="70" s="1"/>
  <c r="AB134" i="70"/>
  <c r="AB136" i="70" s="1"/>
  <c r="AJ134" i="70"/>
  <c r="AJ136" i="70" s="1"/>
  <c r="O134" i="70"/>
  <c r="O136" i="70" s="1"/>
  <c r="M134" i="70"/>
  <c r="M136" i="70" s="1"/>
  <c r="U134" i="70"/>
  <c r="U136" i="70" s="1"/>
  <c r="AC134" i="70"/>
  <c r="AC136" i="70" s="1"/>
  <c r="N134" i="70"/>
  <c r="N136" i="70" s="1"/>
  <c r="V134" i="70"/>
  <c r="V136" i="70" s="1"/>
  <c r="AD134" i="70"/>
  <c r="AD136" i="70" s="1"/>
  <c r="W134" i="70"/>
  <c r="W136" i="70" s="1"/>
  <c r="H134" i="70"/>
  <c r="H136" i="70" s="1"/>
  <c r="P134" i="70"/>
  <c r="P136" i="70" s="1"/>
  <c r="X134" i="70"/>
  <c r="X136" i="70" s="1"/>
  <c r="AF134" i="70"/>
  <c r="AF136" i="70" s="1"/>
  <c r="I134" i="70"/>
  <c r="I136" i="70" s="1"/>
  <c r="Q134" i="70"/>
  <c r="Q136" i="70" s="1"/>
  <c r="Y134" i="70"/>
  <c r="Y136" i="70" s="1"/>
  <c r="AG134" i="70"/>
  <c r="AG136" i="70" s="1"/>
  <c r="J134" i="70"/>
  <c r="J136" i="70" s="1"/>
  <c r="R134" i="70"/>
  <c r="R136" i="70" s="1"/>
  <c r="Z134" i="70"/>
  <c r="Z136" i="70" s="1"/>
  <c r="AH134" i="70"/>
  <c r="AH136" i="70" s="1"/>
  <c r="K134" i="70"/>
  <c r="K136" i="70" s="1"/>
  <c r="S134" i="70"/>
  <c r="S136" i="70" s="1"/>
  <c r="AA134" i="70"/>
  <c r="AA136" i="70" s="1"/>
  <c r="AI134" i="70"/>
  <c r="AI136" i="70" s="1"/>
  <c r="AE134" i="70"/>
  <c r="AE136" i="70" s="1"/>
  <c r="N159" i="70"/>
  <c r="N161" i="70" s="1"/>
  <c r="V159" i="70"/>
  <c r="V161" i="70" s="1"/>
  <c r="AD159" i="70"/>
  <c r="AD161" i="70" s="1"/>
  <c r="AG159" i="70"/>
  <c r="AG161" i="70" s="1"/>
  <c r="O159" i="70"/>
  <c r="O161" i="70" s="1"/>
  <c r="W159" i="70"/>
  <c r="W161" i="70" s="1"/>
  <c r="AE159" i="70"/>
  <c r="AE161" i="70" s="1"/>
  <c r="I159" i="70"/>
  <c r="I161" i="70" s="1"/>
  <c r="H159" i="70"/>
  <c r="H161" i="70" s="1"/>
  <c r="P159" i="70"/>
  <c r="P161" i="70" s="1"/>
  <c r="X159" i="70"/>
  <c r="X161" i="70" s="1"/>
  <c r="AF159" i="70"/>
  <c r="AF161" i="70" s="1"/>
  <c r="Q159" i="70"/>
  <c r="Q161" i="70" s="1"/>
  <c r="M159" i="70"/>
  <c r="M161" i="70" s="1"/>
  <c r="U159" i="70"/>
  <c r="U161" i="70" s="1"/>
  <c r="AC159" i="70"/>
  <c r="AC161" i="70" s="1"/>
  <c r="Y159" i="70"/>
  <c r="Y161" i="70" s="1"/>
  <c r="Z159" i="70"/>
  <c r="Z161" i="70" s="1"/>
  <c r="K159" i="70"/>
  <c r="K161" i="70" s="1"/>
  <c r="AA159" i="70"/>
  <c r="AA161" i="70" s="1"/>
  <c r="AH159" i="70"/>
  <c r="AH161" i="70" s="1"/>
  <c r="J159" i="70"/>
  <c r="J161" i="70" s="1"/>
  <c r="AB159" i="70"/>
  <c r="AB161" i="70" s="1"/>
  <c r="L159" i="70"/>
  <c r="L161" i="70" s="1"/>
  <c r="AI159" i="70"/>
  <c r="AI161" i="70" s="1"/>
  <c r="AJ159" i="70"/>
  <c r="AJ161" i="70" s="1"/>
  <c r="R159" i="70"/>
  <c r="R161" i="70" s="1"/>
  <c r="S159" i="70"/>
  <c r="S161" i="70" s="1"/>
  <c r="T159" i="70"/>
  <c r="T161" i="70" s="1"/>
  <c r="M129" i="70"/>
  <c r="M131" i="70" s="1"/>
  <c r="AD129" i="70"/>
  <c r="AD131" i="70" s="1"/>
  <c r="G161" i="70"/>
  <c r="S129" i="70"/>
  <c r="S131" i="70" s="1"/>
  <c r="J168" i="70"/>
  <c r="J170" i="70" s="1"/>
  <c r="R168" i="70"/>
  <c r="R170" i="70" s="1"/>
  <c r="Z168" i="70"/>
  <c r="Z170" i="70" s="1"/>
  <c r="AH168" i="70"/>
  <c r="AH170" i="70" s="1"/>
  <c r="K168" i="70"/>
  <c r="K170" i="70" s="1"/>
  <c r="S168" i="70"/>
  <c r="S170" i="70" s="1"/>
  <c r="AA168" i="70"/>
  <c r="AA170" i="70" s="1"/>
  <c r="AI168" i="70"/>
  <c r="AI170" i="70" s="1"/>
  <c r="L168" i="70"/>
  <c r="L170" i="70" s="1"/>
  <c r="T168" i="70"/>
  <c r="T170" i="70" s="1"/>
  <c r="AB168" i="70"/>
  <c r="AB170" i="70" s="1"/>
  <c r="AJ168" i="70"/>
  <c r="AJ170" i="70" s="1"/>
  <c r="I168" i="70"/>
  <c r="I170" i="70" s="1"/>
  <c r="Q168" i="70"/>
  <c r="Q170" i="70" s="1"/>
  <c r="Y168" i="70"/>
  <c r="Y170" i="70" s="1"/>
  <c r="AG168" i="70"/>
  <c r="AG170" i="70" s="1"/>
  <c r="O168" i="70"/>
  <c r="O170" i="70" s="1"/>
  <c r="AE168" i="70"/>
  <c r="AE170" i="70" s="1"/>
  <c r="V168" i="70"/>
  <c r="V170" i="70" s="1"/>
  <c r="P168" i="70"/>
  <c r="P170" i="70" s="1"/>
  <c r="AF168" i="70"/>
  <c r="AF170" i="70" s="1"/>
  <c r="U168" i="70"/>
  <c r="U170" i="70" s="1"/>
  <c r="W168" i="70"/>
  <c r="W170" i="70" s="1"/>
  <c r="H168" i="70"/>
  <c r="H170" i="70" s="1"/>
  <c r="X168" i="70"/>
  <c r="X170" i="70" s="1"/>
  <c r="M168" i="70"/>
  <c r="M170" i="70" s="1"/>
  <c r="AC168" i="70"/>
  <c r="AC170" i="70" s="1"/>
  <c r="N168" i="70"/>
  <c r="N170" i="70" s="1"/>
  <c r="AD168" i="70"/>
  <c r="AD170" i="70" s="1"/>
  <c r="W126" i="70"/>
  <c r="X129" i="67"/>
  <c r="X126" i="70"/>
  <c r="O126" i="70"/>
  <c r="U126" i="70"/>
  <c r="AE126" i="70"/>
  <c r="AE149" i="70"/>
  <c r="I126" i="70"/>
  <c r="AF129" i="67"/>
  <c r="AF187" i="67"/>
  <c r="Z187" i="67"/>
  <c r="H129" i="67"/>
  <c r="AC129" i="67"/>
  <c r="O129" i="67"/>
  <c r="AG187" i="67"/>
  <c r="Y129" i="67"/>
  <c r="Q126" i="70"/>
  <c r="AG129" i="70"/>
  <c r="AG131" i="70" s="1"/>
  <c r="I129" i="70"/>
  <c r="I131" i="70" s="1"/>
  <c r="AA129" i="70"/>
  <c r="AA131" i="70" s="1"/>
  <c r="V196" i="70"/>
  <c r="AC129" i="70"/>
  <c r="AC131" i="70" s="1"/>
  <c r="Q129" i="70"/>
  <c r="Q131" i="70" s="1"/>
  <c r="U129" i="70"/>
  <c r="U131" i="70" s="1"/>
  <c r="AI129" i="70"/>
  <c r="AI131" i="70" s="1"/>
  <c r="AC196" i="70"/>
  <c r="N129" i="70"/>
  <c r="N131" i="70" s="1"/>
  <c r="AE129" i="70"/>
  <c r="AE131" i="70" s="1"/>
  <c r="L129" i="70"/>
  <c r="L131" i="70" s="1"/>
  <c r="Y129" i="70"/>
  <c r="Y131" i="70" s="1"/>
  <c r="G129" i="70"/>
  <c r="G131" i="70" s="1"/>
  <c r="AI126" i="70"/>
  <c r="Z129" i="70"/>
  <c r="Z131" i="70" s="1"/>
  <c r="AH129" i="70"/>
  <c r="AH131" i="70" s="1"/>
  <c r="V129" i="70"/>
  <c r="V131" i="70" s="1"/>
  <c r="AB129" i="70"/>
  <c r="AB131" i="70" s="1"/>
  <c r="G153" i="70"/>
  <c r="O129" i="70"/>
  <c r="O131" i="70" s="1"/>
  <c r="H129" i="70"/>
  <c r="H131" i="70" s="1"/>
  <c r="AF129" i="70"/>
  <c r="AF131" i="70" s="1"/>
  <c r="AJ129" i="70"/>
  <c r="AJ131" i="70" s="1"/>
  <c r="W129" i="70"/>
  <c r="W131" i="70" s="1"/>
  <c r="G134" i="70"/>
  <c r="G136" i="70" s="1"/>
  <c r="X129" i="70"/>
  <c r="X131" i="70" s="1"/>
  <c r="J129" i="70"/>
  <c r="J131" i="70" s="1"/>
  <c r="T129" i="70"/>
  <c r="T131" i="70" s="1"/>
  <c r="P129" i="70"/>
  <c r="P131" i="70" s="1"/>
  <c r="R129" i="70"/>
  <c r="R131" i="70" s="1"/>
  <c r="Z126" i="70"/>
  <c r="P187" i="67"/>
  <c r="AI187" i="67"/>
  <c r="X196" i="70"/>
  <c r="H196" i="70"/>
  <c r="O196" i="70"/>
  <c r="N129" i="67"/>
  <c r="V126" i="70"/>
  <c r="H126" i="70"/>
  <c r="J196" i="70"/>
  <c r="K196" i="70"/>
  <c r="K126" i="70"/>
  <c r="AE187" i="67"/>
  <c r="V187" i="67"/>
  <c r="M196" i="70"/>
  <c r="W196" i="70"/>
  <c r="AG126" i="70"/>
  <c r="L126" i="70"/>
  <c r="O187" i="67"/>
  <c r="Y196" i="70"/>
  <c r="I196" i="70"/>
  <c r="L196" i="70"/>
  <c r="R187" i="67"/>
  <c r="AA129" i="67"/>
  <c r="S126" i="70"/>
  <c r="Y126" i="70"/>
  <c r="J129" i="67"/>
  <c r="AA126" i="70"/>
  <c r="AC126" i="70"/>
  <c r="M126" i="70"/>
  <c r="AF192" i="70"/>
  <c r="AF200" i="70"/>
  <c r="G200" i="70"/>
  <c r="G192" i="70"/>
  <c r="Z196" i="70"/>
  <c r="N200" i="70"/>
  <c r="N192" i="70"/>
  <c r="W200" i="70"/>
  <c r="W192" i="70"/>
  <c r="N126" i="70"/>
  <c r="AD196" i="70"/>
  <c r="AA196" i="70"/>
  <c r="AJ196" i="70"/>
  <c r="J192" i="70"/>
  <c r="J200" i="70"/>
  <c r="L200" i="70"/>
  <c r="L192" i="70"/>
  <c r="Z192" i="70"/>
  <c r="Z200" i="70"/>
  <c r="AH192" i="70"/>
  <c r="AH200" i="70"/>
  <c r="U200" i="70"/>
  <c r="U192" i="70"/>
  <c r="S192" i="70"/>
  <c r="S200" i="70"/>
  <c r="Y192" i="70"/>
  <c r="Y200" i="70"/>
  <c r="I192" i="70"/>
  <c r="I200" i="70"/>
  <c r="R196" i="70"/>
  <c r="AH196" i="70"/>
  <c r="R192" i="70"/>
  <c r="R200" i="70"/>
  <c r="T200" i="70"/>
  <c r="T192" i="70"/>
  <c r="AC200" i="70"/>
  <c r="AC192" i="70"/>
  <c r="AD126" i="70"/>
  <c r="J126" i="70"/>
  <c r="AI192" i="70"/>
  <c r="AI200" i="70"/>
  <c r="AF126" i="70"/>
  <c r="AE196" i="70"/>
  <c r="R126" i="70"/>
  <c r="T126" i="70"/>
  <c r="M200" i="70"/>
  <c r="M192" i="70"/>
  <c r="N196" i="70"/>
  <c r="U196" i="70"/>
  <c r="S196" i="70"/>
  <c r="AB192" i="70"/>
  <c r="AB200" i="70"/>
  <c r="H200" i="70"/>
  <c r="H192" i="70"/>
  <c r="V200" i="70"/>
  <c r="V192" i="70"/>
  <c r="P196" i="70"/>
  <c r="P126" i="70"/>
  <c r="AE200" i="70"/>
  <c r="AE192" i="70"/>
  <c r="AB126" i="70"/>
  <c r="AI196" i="70"/>
  <c r="K192" i="70"/>
  <c r="K200" i="70"/>
  <c r="AG196" i="70"/>
  <c r="Q196" i="70"/>
  <c r="T196" i="70"/>
  <c r="AD200" i="70"/>
  <c r="AD192" i="70"/>
  <c r="X192" i="70"/>
  <c r="X200" i="70"/>
  <c r="G170" i="70"/>
  <c r="O200" i="70"/>
  <c r="O192" i="70"/>
  <c r="AF196" i="70"/>
  <c r="P192" i="70"/>
  <c r="P200" i="70"/>
  <c r="G196" i="70"/>
  <c r="AH126" i="70"/>
  <c r="AJ126" i="70"/>
  <c r="AA192" i="70"/>
  <c r="AA200" i="70"/>
  <c r="AG192" i="70"/>
  <c r="AG200" i="70"/>
  <c r="Q192" i="70"/>
  <c r="Q200" i="70"/>
  <c r="K131" i="70"/>
  <c r="AJ200" i="70"/>
  <c r="AJ192" i="70"/>
  <c r="AB196" i="70"/>
  <c r="Y183" i="67"/>
  <c r="Y191" i="67"/>
  <c r="AJ132" i="67"/>
  <c r="AJ134" i="67" s="1"/>
  <c r="AB132" i="67"/>
  <c r="AB134" i="67" s="1"/>
  <c r="T132" i="67"/>
  <c r="T134" i="67" s="1"/>
  <c r="L132" i="67"/>
  <c r="L134" i="67" s="1"/>
  <c r="AE132" i="67"/>
  <c r="AE134" i="67" s="1"/>
  <c r="V132" i="67"/>
  <c r="V134" i="67" s="1"/>
  <c r="M132" i="67"/>
  <c r="M134" i="67" s="1"/>
  <c r="AD132" i="67"/>
  <c r="AD134" i="67" s="1"/>
  <c r="U132" i="67"/>
  <c r="U134" i="67" s="1"/>
  <c r="K132" i="67"/>
  <c r="K134" i="67" s="1"/>
  <c r="AC132" i="67"/>
  <c r="AC134" i="67" s="1"/>
  <c r="S132" i="67"/>
  <c r="S134" i="67" s="1"/>
  <c r="J132" i="67"/>
  <c r="J134" i="67" s="1"/>
  <c r="AG132" i="67"/>
  <c r="AG134" i="67" s="1"/>
  <c r="X132" i="67"/>
  <c r="X134" i="67" s="1"/>
  <c r="O132" i="67"/>
  <c r="O134" i="67" s="1"/>
  <c r="AI132" i="67"/>
  <c r="AI134" i="67" s="1"/>
  <c r="Q132" i="67"/>
  <c r="Q134" i="67" s="1"/>
  <c r="AA132" i="67"/>
  <c r="AA134" i="67" s="1"/>
  <c r="G132" i="67"/>
  <c r="G134" i="67" s="1"/>
  <c r="AH132" i="67"/>
  <c r="AH134" i="67" s="1"/>
  <c r="P132" i="67"/>
  <c r="P134" i="67" s="1"/>
  <c r="I132" i="67"/>
  <c r="I134" i="67" s="1"/>
  <c r="H132" i="67"/>
  <c r="H134" i="67" s="1"/>
  <c r="AF132" i="67"/>
  <c r="AF134" i="67" s="1"/>
  <c r="N132" i="67"/>
  <c r="N134" i="67" s="1"/>
  <c r="Z132" i="67"/>
  <c r="Z134" i="67" s="1"/>
  <c r="W132" i="67"/>
  <c r="W134" i="67" s="1"/>
  <c r="R132" i="67"/>
  <c r="R134" i="67" s="1"/>
  <c r="Y132" i="67"/>
  <c r="Y134" i="67" s="1"/>
  <c r="X191" i="67"/>
  <c r="X183" i="67"/>
  <c r="L129" i="67"/>
  <c r="L187" i="67"/>
  <c r="R129" i="67"/>
  <c r="S183" i="67"/>
  <c r="S191" i="67"/>
  <c r="H191" i="67"/>
  <c r="H183" i="67"/>
  <c r="G191" i="67"/>
  <c r="G183" i="67"/>
  <c r="J183" i="67"/>
  <c r="J191" i="67"/>
  <c r="AC191" i="67"/>
  <c r="AC183" i="67"/>
  <c r="G129" i="67"/>
  <c r="U129" i="67"/>
  <c r="AB187" i="67"/>
  <c r="G137" i="67"/>
  <c r="G139" i="67" s="1"/>
  <c r="Y187" i="67"/>
  <c r="P191" i="67"/>
  <c r="P183" i="67"/>
  <c r="AD129" i="67"/>
  <c r="AI183" i="67"/>
  <c r="AI191" i="67"/>
  <c r="Z183" i="67"/>
  <c r="Z191" i="67"/>
  <c r="X187" i="67"/>
  <c r="W129" i="67"/>
  <c r="M187" i="67"/>
  <c r="S187" i="67"/>
  <c r="T183" i="67"/>
  <c r="T191" i="67"/>
  <c r="AG183" i="67"/>
  <c r="AG191" i="67"/>
  <c r="U191" i="67"/>
  <c r="U183" i="67"/>
  <c r="N191" i="67"/>
  <c r="N183" i="67"/>
  <c r="K183" i="67"/>
  <c r="K191" i="67"/>
  <c r="R183" i="67"/>
  <c r="R191" i="67"/>
  <c r="AJ187" i="67"/>
  <c r="G145" i="67"/>
  <c r="G147" i="67" s="1"/>
  <c r="U187" i="67"/>
  <c r="AF191" i="67"/>
  <c r="AF183" i="67"/>
  <c r="W191" i="67"/>
  <c r="W183" i="67"/>
  <c r="T129" i="67"/>
  <c r="AC187" i="67"/>
  <c r="AJ183" i="67"/>
  <c r="AJ191" i="67"/>
  <c r="N187" i="67"/>
  <c r="W187" i="67"/>
  <c r="T187" i="67"/>
  <c r="AE129" i="67"/>
  <c r="AA187" i="67"/>
  <c r="K187" i="67"/>
  <c r="Q187" i="67"/>
  <c r="AB129" i="67"/>
  <c r="AH183" i="67"/>
  <c r="AH191" i="67"/>
  <c r="I187" i="67"/>
  <c r="P129" i="67"/>
  <c r="AD191" i="67"/>
  <c r="AD183" i="67"/>
  <c r="G141" i="67"/>
  <c r="G143" i="67" s="1"/>
  <c r="K129" i="67"/>
  <c r="Z129" i="67"/>
  <c r="AA183" i="67"/>
  <c r="AA191" i="67"/>
  <c r="I129" i="67"/>
  <c r="AH187" i="67"/>
  <c r="AE191" i="67"/>
  <c r="AE183" i="67"/>
  <c r="L183" i="67"/>
  <c r="L191" i="67"/>
  <c r="V191" i="67"/>
  <c r="V183" i="67"/>
  <c r="V129" i="67"/>
  <c r="AB183" i="67"/>
  <c r="AB191" i="67"/>
  <c r="AJ129" i="67"/>
  <c r="O191" i="67"/>
  <c r="O183" i="67"/>
  <c r="Q183" i="67"/>
  <c r="Q191" i="67"/>
  <c r="Q129" i="67"/>
  <c r="H187" i="67"/>
  <c r="G187" i="67"/>
  <c r="S129" i="67"/>
  <c r="J187" i="67"/>
  <c r="I183" i="67"/>
  <c r="I191" i="67"/>
  <c r="AD187" i="67"/>
  <c r="M191" i="67"/>
  <c r="M183" i="67"/>
  <c r="AI129" i="67"/>
  <c r="AH129" i="67"/>
  <c r="K114" i="70" l="1"/>
  <c r="T114" i="70"/>
  <c r="Q114" i="70"/>
  <c r="O114" i="70"/>
  <c r="AB114" i="70"/>
  <c r="I114" i="70"/>
  <c r="AD114" i="70"/>
  <c r="AH114" i="70"/>
  <c r="AF114" i="70"/>
  <c r="V114" i="70"/>
  <c r="L114" i="70"/>
  <c r="Z114" i="70"/>
  <c r="X114" i="70"/>
  <c r="N114" i="70"/>
  <c r="G114" i="70"/>
  <c r="R114" i="70"/>
  <c r="P114" i="70"/>
  <c r="AC114" i="70"/>
  <c r="AI114" i="70"/>
  <c r="J114" i="70"/>
  <c r="H114" i="70"/>
  <c r="U114" i="70"/>
  <c r="AA114" i="70"/>
  <c r="AG114" i="70"/>
  <c r="AE114" i="70"/>
  <c r="M114" i="70"/>
  <c r="S114" i="70"/>
  <c r="Y114" i="70"/>
  <c r="W114" i="70"/>
  <c r="AJ114" i="70"/>
  <c r="AH116" i="70"/>
  <c r="E107" i="70"/>
  <c r="F111" i="70"/>
  <c r="J116" i="70"/>
  <c r="E111" i="70"/>
  <c r="D107" i="70"/>
  <c r="F105" i="70"/>
  <c r="E105" i="70"/>
  <c r="D105" i="70"/>
  <c r="P116" i="70"/>
  <c r="N116" i="70"/>
  <c r="AI116" i="70"/>
  <c r="AG116" i="70"/>
  <c r="F107" i="70"/>
  <c r="F108" i="70"/>
  <c r="D108" i="70"/>
  <c r="E108" i="70"/>
  <c r="E106" i="70"/>
  <c r="D106" i="70"/>
  <c r="F106" i="70"/>
  <c r="H116" i="70"/>
  <c r="AC116" i="70"/>
  <c r="AA116" i="70"/>
  <c r="Y116" i="70"/>
  <c r="F109" i="70"/>
  <c r="D109" i="70"/>
  <c r="E109" i="70"/>
  <c r="G116" i="70"/>
  <c r="U116" i="70"/>
  <c r="S116" i="70"/>
  <c r="Q116" i="70"/>
  <c r="AE116" i="70"/>
  <c r="M116" i="70"/>
  <c r="K116" i="70"/>
  <c r="I116" i="70"/>
  <c r="W116" i="70"/>
  <c r="AJ116" i="70"/>
  <c r="K117" i="70" a="1"/>
  <c r="K117" i="70" s="1"/>
  <c r="R117" i="70" a="1"/>
  <c r="R117" i="70" s="1"/>
  <c r="Z117" i="70" a="1"/>
  <c r="Z117" i="70" s="1"/>
  <c r="AH117" i="70" a="1"/>
  <c r="AH117" i="70" s="1"/>
  <c r="S117" i="70" a="1"/>
  <c r="S117" i="70" s="1"/>
  <c r="AA117" i="70" a="1"/>
  <c r="AA117" i="70" s="1"/>
  <c r="AI117" i="70" a="1"/>
  <c r="AI117" i="70" s="1"/>
  <c r="L117" i="70" a="1"/>
  <c r="L117" i="70" s="1"/>
  <c r="T117" i="70" a="1"/>
  <c r="T117" i="70" s="1"/>
  <c r="AB117" i="70" a="1"/>
  <c r="AB117" i="70" s="1"/>
  <c r="AJ117" i="70" a="1"/>
  <c r="AJ117" i="70" s="1"/>
  <c r="M117" i="70" a="1"/>
  <c r="M117" i="70" s="1"/>
  <c r="U117" i="70" a="1"/>
  <c r="U117" i="70" s="1"/>
  <c r="AC117" i="70" a="1"/>
  <c r="AC117" i="70" s="1"/>
  <c r="H117" i="70" a="1"/>
  <c r="H117" i="70" s="1"/>
  <c r="N117" i="70" a="1"/>
  <c r="N117" i="70" s="1"/>
  <c r="V117" i="70" a="1"/>
  <c r="V117" i="70" s="1"/>
  <c r="AD117" i="70" a="1"/>
  <c r="AD117" i="70" s="1"/>
  <c r="I117" i="70" a="1"/>
  <c r="I117" i="70" s="1"/>
  <c r="O117" i="70" a="1"/>
  <c r="O117" i="70" s="1"/>
  <c r="W117" i="70" a="1"/>
  <c r="W117" i="70" s="1"/>
  <c r="AE117" i="70" a="1"/>
  <c r="AE117" i="70" s="1"/>
  <c r="J117" i="70" a="1"/>
  <c r="J117" i="70" s="1"/>
  <c r="P117" i="70" a="1"/>
  <c r="P117" i="70" s="1"/>
  <c r="X117" i="70" a="1"/>
  <c r="X117" i="70" s="1"/>
  <c r="AF117" i="70" a="1"/>
  <c r="AF117" i="70" s="1"/>
  <c r="Q117" i="70" a="1"/>
  <c r="Q117" i="70" s="1"/>
  <c r="Y117" i="70" a="1"/>
  <c r="Y117" i="70" s="1"/>
  <c r="AG117" i="70" a="1"/>
  <c r="AG117" i="70" s="1"/>
  <c r="G117" i="70" a="1"/>
  <c r="G117" i="70" s="1"/>
  <c r="M118" i="70" a="1"/>
  <c r="M118" i="70" s="1"/>
  <c r="U118" i="70" a="1"/>
  <c r="U118" i="70" s="1"/>
  <c r="AC118" i="70" a="1"/>
  <c r="AC118" i="70" s="1"/>
  <c r="N118" i="70" a="1"/>
  <c r="N118" i="70" s="1"/>
  <c r="V118" i="70" a="1"/>
  <c r="V118" i="70" s="1"/>
  <c r="AD118" i="70" a="1"/>
  <c r="AD118" i="70" s="1"/>
  <c r="O118" i="70" a="1"/>
  <c r="O118" i="70" s="1"/>
  <c r="W118" i="70" a="1"/>
  <c r="W118" i="70" s="1"/>
  <c r="AE118" i="70" a="1"/>
  <c r="AE118" i="70" s="1"/>
  <c r="H118" i="70" a="1"/>
  <c r="H118" i="70" s="1"/>
  <c r="P118" i="70" a="1"/>
  <c r="P118" i="70" s="1"/>
  <c r="X118" i="70" a="1"/>
  <c r="X118" i="70" s="1"/>
  <c r="AF118" i="70" a="1"/>
  <c r="AF118" i="70" s="1"/>
  <c r="I118" i="70" a="1"/>
  <c r="I118" i="70" s="1"/>
  <c r="Q118" i="70" a="1"/>
  <c r="Q118" i="70" s="1"/>
  <c r="Y118" i="70" a="1"/>
  <c r="Y118" i="70" s="1"/>
  <c r="J118" i="70" a="1"/>
  <c r="J118" i="70" s="1"/>
  <c r="R118" i="70" a="1"/>
  <c r="R118" i="70" s="1"/>
  <c r="K118" i="70" a="1"/>
  <c r="K118" i="70" s="1"/>
  <c r="S118" i="70" a="1"/>
  <c r="S118" i="70" s="1"/>
  <c r="AA118" i="70" a="1"/>
  <c r="AA118" i="70" s="1"/>
  <c r="AI118" i="70" a="1"/>
  <c r="AI118" i="70" s="1"/>
  <c r="L118" i="70" a="1"/>
  <c r="L118" i="70" s="1"/>
  <c r="T118" i="70" a="1"/>
  <c r="T118" i="70" s="1"/>
  <c r="AB118" i="70" a="1"/>
  <c r="AB118" i="70" s="1"/>
  <c r="AJ118" i="70" a="1"/>
  <c r="AJ118" i="70" s="1"/>
  <c r="Z118" i="70" a="1"/>
  <c r="Z118" i="70" s="1"/>
  <c r="AG118" i="70" a="1"/>
  <c r="AG118" i="70" s="1"/>
  <c r="G118" i="70" a="1"/>
  <c r="G118" i="70" s="1"/>
  <c r="AH118" i="70" a="1"/>
  <c r="AH118" i="70" s="1"/>
  <c r="H119" i="70"/>
  <c r="P119" i="70"/>
  <c r="X119" i="70"/>
  <c r="AF119" i="70"/>
  <c r="J119" i="70"/>
  <c r="R119" i="70"/>
  <c r="Z119" i="70"/>
  <c r="AH119" i="70"/>
  <c r="K119" i="70"/>
  <c r="S119" i="70"/>
  <c r="AA119" i="70"/>
  <c r="AI119" i="70"/>
  <c r="G119" i="70"/>
  <c r="N119" i="70"/>
  <c r="V119" i="70"/>
  <c r="AD119" i="70"/>
  <c r="O119" i="70"/>
  <c r="W119" i="70"/>
  <c r="AE119" i="70"/>
  <c r="T119" i="70"/>
  <c r="U119" i="70"/>
  <c r="Y119" i="70"/>
  <c r="AB119" i="70"/>
  <c r="I119" i="70"/>
  <c r="AC119" i="70"/>
  <c r="L119" i="70"/>
  <c r="AG119" i="70"/>
  <c r="M119" i="70"/>
  <c r="AJ119" i="70"/>
  <c r="Q119" i="70"/>
  <c r="N115" i="70"/>
  <c r="V115" i="70"/>
  <c r="AD115" i="70"/>
  <c r="O115" i="70"/>
  <c r="W115" i="70"/>
  <c r="AE115" i="70"/>
  <c r="H115" i="70"/>
  <c r="P115" i="70"/>
  <c r="X115" i="70"/>
  <c r="AF115" i="70"/>
  <c r="I115" i="70"/>
  <c r="Q115" i="70"/>
  <c r="Y115" i="70"/>
  <c r="AG115" i="70"/>
  <c r="J115" i="70"/>
  <c r="R115" i="70"/>
  <c r="Z115" i="70"/>
  <c r="AH115" i="70"/>
  <c r="K115" i="70"/>
  <c r="S115" i="70"/>
  <c r="AA115" i="70"/>
  <c r="AI115" i="70"/>
  <c r="L115" i="70"/>
  <c r="T115" i="70"/>
  <c r="AB115" i="70"/>
  <c r="AJ115" i="70"/>
  <c r="M115" i="70"/>
  <c r="U115" i="70"/>
  <c r="AC115" i="70"/>
  <c r="G115" i="70"/>
  <c r="O116" i="70"/>
  <c r="AB116" i="70"/>
  <c r="Z116" i="70"/>
  <c r="D111" i="70"/>
  <c r="AF116" i="70"/>
  <c r="AD116" i="70"/>
  <c r="T116" i="70"/>
  <c r="R116" i="70"/>
  <c r="D110" i="70"/>
  <c r="E110" i="70"/>
  <c r="F110" i="70"/>
  <c r="X116" i="70"/>
  <c r="V116" i="70"/>
  <c r="L116" i="70"/>
  <c r="S22" i="69"/>
  <c r="E68" i="62"/>
  <c r="E69" i="62"/>
  <c r="E65" i="62"/>
  <c r="E67" i="62"/>
  <c r="E101" i="62"/>
  <c r="E92" i="62"/>
  <c r="E99" i="62"/>
  <c r="E91" i="62"/>
  <c r="R137" i="69"/>
  <c r="E66" i="62"/>
  <c r="E64" i="62"/>
  <c r="E77" i="62"/>
  <c r="E100" i="62"/>
  <c r="E96" i="62"/>
  <c r="B14" i="62"/>
  <c r="E5" i="62"/>
  <c r="B9" i="62"/>
  <c r="E8" i="62"/>
  <c r="E10" i="62"/>
  <c r="E9" i="62"/>
  <c r="B8" i="62"/>
  <c r="B6" i="62"/>
  <c r="E6" i="62"/>
  <c r="B10" i="62"/>
  <c r="B5" i="62"/>
  <c r="AA198" i="70"/>
  <c r="AA199" i="70"/>
  <c r="S198" i="70"/>
  <c r="S199" i="70"/>
  <c r="J198" i="70"/>
  <c r="J199" i="70"/>
  <c r="G199" i="70"/>
  <c r="G198" i="70"/>
  <c r="AC199" i="70"/>
  <c r="AC198" i="70"/>
  <c r="U199" i="70"/>
  <c r="U198" i="70"/>
  <c r="N198" i="70"/>
  <c r="N199" i="70"/>
  <c r="M199" i="70"/>
  <c r="M198" i="70"/>
  <c r="AI198" i="70"/>
  <c r="AI199" i="70"/>
  <c r="Q198" i="70"/>
  <c r="Q199" i="70"/>
  <c r="AD198" i="70"/>
  <c r="AD199" i="70"/>
  <c r="O199" i="70"/>
  <c r="O198" i="70"/>
  <c r="AE199" i="70"/>
  <c r="AE198" i="70"/>
  <c r="V198" i="70"/>
  <c r="V199" i="70"/>
  <c r="AF199" i="70"/>
  <c r="AF198" i="70"/>
  <c r="AB199" i="70"/>
  <c r="AB198" i="70"/>
  <c r="L199" i="70"/>
  <c r="L198" i="70"/>
  <c r="AH198" i="70"/>
  <c r="AH199" i="70"/>
  <c r="AJ199" i="70"/>
  <c r="AJ198" i="70"/>
  <c r="AG198" i="70"/>
  <c r="AG199" i="70"/>
  <c r="Y198" i="70"/>
  <c r="Y199" i="70"/>
  <c r="K198" i="70"/>
  <c r="K199" i="70"/>
  <c r="H199" i="70"/>
  <c r="H198" i="70"/>
  <c r="X199" i="70"/>
  <c r="X198" i="70"/>
  <c r="P199" i="70"/>
  <c r="P198" i="70"/>
  <c r="T199" i="70"/>
  <c r="T198" i="70"/>
  <c r="R198" i="70"/>
  <c r="R199" i="70"/>
  <c r="I198" i="70"/>
  <c r="I199" i="70"/>
  <c r="Z198" i="70"/>
  <c r="Z199" i="70"/>
  <c r="W199" i="70"/>
  <c r="W198" i="70"/>
  <c r="AE190" i="67"/>
  <c r="AE189" i="67"/>
  <c r="U190" i="67"/>
  <c r="U189" i="67"/>
  <c r="AB190" i="67"/>
  <c r="AB189" i="67"/>
  <c r="Z189" i="67"/>
  <c r="Z190" i="67"/>
  <c r="L190" i="67"/>
  <c r="L189" i="67"/>
  <c r="N189" i="67"/>
  <c r="N190" i="67"/>
  <c r="T190" i="67"/>
  <c r="T189" i="67"/>
  <c r="H190" i="67"/>
  <c r="H189" i="67"/>
  <c r="AH189" i="67"/>
  <c r="AH190" i="67"/>
  <c r="AJ190" i="67"/>
  <c r="AJ189" i="67"/>
  <c r="P190" i="67"/>
  <c r="P189" i="67"/>
  <c r="S189" i="67"/>
  <c r="S190" i="67"/>
  <c r="W189" i="67"/>
  <c r="W190" i="67"/>
  <c r="AG189" i="67"/>
  <c r="AG190" i="67"/>
  <c r="AF190" i="67"/>
  <c r="AF189" i="67"/>
  <c r="AC190" i="67"/>
  <c r="AC189" i="67"/>
  <c r="G189" i="67"/>
  <c r="G190" i="67"/>
  <c r="X190" i="67"/>
  <c r="X189" i="67"/>
  <c r="J189" i="67"/>
  <c r="J190" i="67"/>
  <c r="V189" i="67"/>
  <c r="V190" i="67"/>
  <c r="R189" i="67"/>
  <c r="R190" i="67"/>
  <c r="M190" i="67"/>
  <c r="M189" i="67"/>
  <c r="I189" i="67"/>
  <c r="I190" i="67"/>
  <c r="Q189" i="67"/>
  <c r="Q190" i="67"/>
  <c r="O189" i="67"/>
  <c r="O190" i="67"/>
  <c r="AA189" i="67"/>
  <c r="AA190" i="67"/>
  <c r="AD189" i="67"/>
  <c r="AD190" i="67"/>
  <c r="K189" i="67"/>
  <c r="K190" i="67"/>
  <c r="AI189" i="67"/>
  <c r="AI190" i="67"/>
  <c r="Y189" i="67"/>
  <c r="Y190" i="67"/>
  <c r="E115" i="62" l="1"/>
  <c r="E104" i="62"/>
  <c r="E105" i="62" s="1"/>
  <c r="E113" i="62"/>
  <c r="E125" i="62"/>
  <c r="E117" i="62"/>
  <c r="E116" i="62"/>
  <c r="E112" i="62"/>
  <c r="E79" i="62"/>
  <c r="E80" i="62" s="1"/>
  <c r="E137" i="62"/>
  <c r="E114" i="62"/>
  <c r="E142" i="62"/>
  <c r="E4" i="62"/>
  <c r="E145" i="62"/>
  <c r="E138" i="62"/>
  <c r="E147" i="62"/>
  <c r="E3" i="62"/>
  <c r="E146" i="62"/>
  <c r="E15" i="62"/>
  <c r="B15" i="62"/>
  <c r="C83" i="56"/>
  <c r="J211" i="56"/>
  <c r="C90" i="56"/>
  <c r="G176" i="78" l="1"/>
  <c r="G177" i="78" s="1"/>
  <c r="B197" i="78" s="1"/>
  <c r="B88" i="78" s="1"/>
  <c r="E127" i="62"/>
  <c r="E128" i="62" s="1"/>
  <c r="E150" i="62"/>
  <c r="E151" i="62" s="1"/>
  <c r="I7" i="56"/>
  <c r="C26" i="56" s="1"/>
  <c r="O211" i="56"/>
  <c r="Y211" i="56"/>
  <c r="X211" i="56"/>
  <c r="W211" i="56"/>
  <c r="Q211" i="56"/>
  <c r="AG211" i="56"/>
  <c r="AF211" i="56"/>
  <c r="AE211" i="56"/>
  <c r="I211" i="56"/>
  <c r="P211" i="56"/>
  <c r="AD211" i="56"/>
  <c r="H211" i="56"/>
  <c r="G211" i="56"/>
  <c r="AJ211" i="56"/>
  <c r="T211" i="56"/>
  <c r="AI211" i="56"/>
  <c r="AA211" i="56"/>
  <c r="S211" i="56"/>
  <c r="K211" i="56"/>
  <c r="V211" i="56"/>
  <c r="N211" i="56"/>
  <c r="AC211" i="56"/>
  <c r="U211" i="56"/>
  <c r="M211" i="56"/>
  <c r="AB211" i="56"/>
  <c r="L211" i="56"/>
  <c r="AH211" i="56"/>
  <c r="Z211" i="56"/>
  <c r="R211" i="56"/>
  <c r="B109" i="56"/>
  <c r="B108" i="56"/>
  <c r="B107" i="56"/>
  <c r="G107" i="56" s="1"/>
  <c r="M242" i="63"/>
  <c r="AI111" i="63" s="1"/>
  <c r="M240" i="63"/>
  <c r="AI109" i="63" s="1"/>
  <c r="M239" i="63"/>
  <c r="AI108" i="63" s="1"/>
  <c r="M237" i="63"/>
  <c r="AI106" i="63" s="1"/>
  <c r="M236" i="63"/>
  <c r="AI105" i="63" s="1"/>
  <c r="M235" i="63"/>
  <c r="AI104" i="63" s="1"/>
  <c r="M234" i="63"/>
  <c r="AI103" i="63" s="1"/>
  <c r="M233" i="63"/>
  <c r="AI102" i="63" s="1"/>
  <c r="M232" i="63"/>
  <c r="AI101" i="63" s="1"/>
  <c r="M231" i="63"/>
  <c r="AI100" i="63" s="1"/>
  <c r="M230" i="63"/>
  <c r="AI99" i="63" s="1"/>
  <c r="M229" i="63"/>
  <c r="AI98" i="63" s="1"/>
  <c r="M228" i="63"/>
  <c r="AI97" i="63" s="1"/>
  <c r="M227" i="63"/>
  <c r="AI96" i="63" s="1"/>
  <c r="M226" i="63"/>
  <c r="AI95" i="63" s="1"/>
  <c r="M225" i="63"/>
  <c r="AI94" i="63" s="1"/>
  <c r="M224" i="63"/>
  <c r="AI93" i="63" s="1"/>
  <c r="M223" i="63"/>
  <c r="AI92" i="63" s="1"/>
  <c r="M222" i="63"/>
  <c r="AI91" i="63" s="1"/>
  <c r="M221" i="63"/>
  <c r="AI90" i="63" s="1"/>
  <c r="M220" i="63"/>
  <c r="AI89" i="63" s="1"/>
  <c r="M219" i="63"/>
  <c r="AI88" i="63" s="1"/>
  <c r="M218" i="63"/>
  <c r="AI87" i="63" s="1"/>
  <c r="M217" i="63"/>
  <c r="AI86" i="63" s="1"/>
  <c r="M215" i="63"/>
  <c r="AI84" i="63" s="1"/>
  <c r="M214" i="63"/>
  <c r="AI83" i="63" s="1"/>
  <c r="M213" i="63"/>
  <c r="AI82" i="63" s="1"/>
  <c r="M212" i="63"/>
  <c r="AI81" i="63" s="1"/>
  <c r="M211" i="63"/>
  <c r="AI80" i="63" s="1"/>
  <c r="M210" i="63"/>
  <c r="AI79" i="63" s="1"/>
  <c r="M209" i="63"/>
  <c r="AI78" i="63" s="1"/>
  <c r="M206" i="63"/>
  <c r="AI75" i="63" s="1"/>
  <c r="M203" i="63"/>
  <c r="AI72" i="63" s="1"/>
  <c r="M202" i="63"/>
  <c r="AI71" i="63" s="1"/>
  <c r="M201" i="63"/>
  <c r="AI70" i="63" s="1"/>
  <c r="M200" i="63"/>
  <c r="AI69" i="63" s="1"/>
  <c r="M199" i="63"/>
  <c r="AI68" i="63" s="1"/>
  <c r="M198" i="63"/>
  <c r="AI67" i="63" s="1"/>
  <c r="M196" i="63"/>
  <c r="AI65" i="63" s="1"/>
  <c r="M193" i="63"/>
  <c r="AI62" i="63" s="1"/>
  <c r="M191" i="63"/>
  <c r="AI60" i="63" s="1"/>
  <c r="M190" i="63"/>
  <c r="AI59" i="63" s="1"/>
  <c r="M189" i="63"/>
  <c r="AI58" i="63" s="1"/>
  <c r="M186" i="63"/>
  <c r="AI55" i="63" s="1"/>
  <c r="M185" i="63"/>
  <c r="AI54" i="63" s="1"/>
  <c r="M184" i="63"/>
  <c r="AI53" i="63" s="1"/>
  <c r="M183" i="63"/>
  <c r="AI52" i="63" s="1"/>
  <c r="M182" i="63"/>
  <c r="AI51" i="63" s="1"/>
  <c r="M180" i="63"/>
  <c r="AI49" i="63" s="1"/>
  <c r="M178" i="63"/>
  <c r="AI47" i="63" s="1"/>
  <c r="M176" i="63"/>
  <c r="AI45" i="63" s="1"/>
  <c r="M175" i="63"/>
  <c r="AI44" i="63" s="1"/>
  <c r="M174" i="63"/>
  <c r="AI43" i="63" s="1"/>
  <c r="M173" i="63"/>
  <c r="AI42" i="63" s="1"/>
  <c r="M172" i="63"/>
  <c r="AI41" i="63" s="1"/>
  <c r="M171" i="63"/>
  <c r="AI40" i="63" s="1"/>
  <c r="M170" i="63"/>
  <c r="AI39" i="63" s="1"/>
  <c r="M169" i="63"/>
  <c r="AI38" i="63" s="1"/>
  <c r="M168" i="63"/>
  <c r="AI37" i="63" s="1"/>
  <c r="M167" i="63"/>
  <c r="AI36" i="63" s="1"/>
  <c r="M166" i="63"/>
  <c r="AI35" i="63" s="1"/>
  <c r="M165" i="63"/>
  <c r="AI34" i="63" s="1"/>
  <c r="M164" i="63"/>
  <c r="AI33" i="63" s="1"/>
  <c r="M163" i="63"/>
  <c r="AI32" i="63" s="1"/>
  <c r="M162" i="63"/>
  <c r="AI31" i="63" s="1"/>
  <c r="M161" i="63"/>
  <c r="AI30" i="63" s="1"/>
  <c r="M160" i="63"/>
  <c r="AI29" i="63" s="1"/>
  <c r="M159" i="63"/>
  <c r="AI28" i="63" s="1"/>
  <c r="M157" i="63"/>
  <c r="AI26" i="63" s="1"/>
  <c r="M156" i="63"/>
  <c r="AI25" i="63" s="1"/>
  <c r="M155" i="63"/>
  <c r="AI24" i="63" s="1"/>
  <c r="M154" i="63"/>
  <c r="AI23" i="63" s="1"/>
  <c r="M153" i="63"/>
  <c r="AI22" i="63" s="1"/>
  <c r="M152" i="63"/>
  <c r="AI21" i="63" s="1"/>
  <c r="M151" i="63"/>
  <c r="AI20" i="63" s="1"/>
  <c r="M150" i="63"/>
  <c r="AI19" i="63" s="1"/>
  <c r="M149" i="63"/>
  <c r="AI18" i="63" s="1"/>
  <c r="M147" i="63"/>
  <c r="AI16" i="63" s="1"/>
  <c r="M146" i="63"/>
  <c r="AI15" i="63" s="1"/>
  <c r="M145" i="63"/>
  <c r="AI14" i="63" s="1"/>
  <c r="M144" i="63"/>
  <c r="AI13" i="63" s="1"/>
  <c r="M143" i="63"/>
  <c r="AI12" i="63" s="1"/>
  <c r="M142" i="63"/>
  <c r="AI11" i="63" s="1"/>
  <c r="M141" i="63"/>
  <c r="AI10" i="63" s="1"/>
  <c r="M140" i="63"/>
  <c r="AI9" i="63" s="1"/>
  <c r="M139" i="63"/>
  <c r="AI8" i="63" s="1"/>
  <c r="M138" i="63"/>
  <c r="AI7" i="63" s="1"/>
  <c r="M137" i="63"/>
  <c r="L129" i="63"/>
  <c r="L127" i="63"/>
  <c r="L126" i="63"/>
  <c r="L124" i="63"/>
  <c r="L123" i="63"/>
  <c r="L122" i="63"/>
  <c r="L121" i="63"/>
  <c r="L120" i="63"/>
  <c r="L119" i="63"/>
  <c r="L118" i="63"/>
  <c r="L117" i="63"/>
  <c r="L116" i="63"/>
  <c r="L115" i="63"/>
  <c r="L114" i="63"/>
  <c r="L113" i="63"/>
  <c r="L112" i="63"/>
  <c r="L111" i="63"/>
  <c r="L110" i="63"/>
  <c r="L109" i="63"/>
  <c r="L108" i="63"/>
  <c r="L107" i="63"/>
  <c r="L106" i="63"/>
  <c r="L105" i="63"/>
  <c r="L104" i="63"/>
  <c r="L102" i="63"/>
  <c r="L101" i="63"/>
  <c r="L100" i="63"/>
  <c r="L99" i="63"/>
  <c r="L98" i="63"/>
  <c r="L97" i="63"/>
  <c r="L96" i="63"/>
  <c r="L93" i="63"/>
  <c r="L90" i="63"/>
  <c r="L89" i="63"/>
  <c r="L88" i="63"/>
  <c r="L87" i="63"/>
  <c r="L86" i="63"/>
  <c r="L85" i="63"/>
  <c r="L83" i="63"/>
  <c r="L80" i="63"/>
  <c r="L78" i="63"/>
  <c r="L77" i="63"/>
  <c r="L76" i="63"/>
  <c r="L73" i="63"/>
  <c r="L72" i="63"/>
  <c r="L71" i="63"/>
  <c r="L70" i="63"/>
  <c r="L69" i="63"/>
  <c r="L67" i="63"/>
  <c r="L65" i="63"/>
  <c r="L63" i="63"/>
  <c r="L62" i="63"/>
  <c r="L61" i="63"/>
  <c r="L60" i="63"/>
  <c r="L59" i="63"/>
  <c r="L58" i="63"/>
  <c r="L57" i="63"/>
  <c r="L56" i="63"/>
  <c r="L55" i="63"/>
  <c r="L54" i="63"/>
  <c r="L53" i="63"/>
  <c r="L52" i="63"/>
  <c r="L51" i="63"/>
  <c r="L50" i="63"/>
  <c r="L49" i="63"/>
  <c r="L48" i="63"/>
  <c r="L47" i="63"/>
  <c r="L46" i="63"/>
  <c r="L44" i="63"/>
  <c r="L43" i="63"/>
  <c r="L42" i="63"/>
  <c r="L41" i="63"/>
  <c r="L40" i="63"/>
  <c r="L39" i="63"/>
  <c r="L38" i="63"/>
  <c r="L37" i="63"/>
  <c r="L36" i="63"/>
  <c r="L34" i="63"/>
  <c r="L33" i="63"/>
  <c r="L32" i="63"/>
  <c r="L31" i="63"/>
  <c r="L30" i="63"/>
  <c r="L29" i="63"/>
  <c r="L28" i="63"/>
  <c r="L27" i="63"/>
  <c r="L26" i="63"/>
  <c r="L25" i="63"/>
  <c r="L24" i="63"/>
  <c r="AI6" i="63" l="1"/>
  <c r="AL6" i="63"/>
  <c r="AK6" i="63"/>
  <c r="AJ6" i="63"/>
  <c r="AA6" i="63"/>
  <c r="W6" i="63"/>
  <c r="Z6" i="63"/>
  <c r="V6" i="63"/>
  <c r="AH6" i="63"/>
  <c r="L107" i="56"/>
  <c r="T107" i="56"/>
  <c r="AB107" i="56"/>
  <c r="AJ107" i="56"/>
  <c r="AE107" i="56"/>
  <c r="X107" i="56"/>
  <c r="Q107" i="56"/>
  <c r="AH107" i="56"/>
  <c r="M107" i="56"/>
  <c r="U107" i="56"/>
  <c r="AC107" i="56"/>
  <c r="W107" i="56"/>
  <c r="AF107" i="56"/>
  <c r="I107" i="56"/>
  <c r="Z107" i="56"/>
  <c r="N107" i="56"/>
  <c r="V107" i="56"/>
  <c r="AD107" i="56"/>
  <c r="O107" i="56"/>
  <c r="P107" i="56"/>
  <c r="AG107" i="56"/>
  <c r="R107" i="56"/>
  <c r="K107" i="56"/>
  <c r="S107" i="56"/>
  <c r="AA107" i="56"/>
  <c r="AI107" i="56"/>
  <c r="H107" i="56"/>
  <c r="Y107" i="56"/>
  <c r="J107" i="56"/>
  <c r="O108" i="56"/>
  <c r="W108" i="56"/>
  <c r="AE108" i="56"/>
  <c r="H108" i="56"/>
  <c r="P108" i="56"/>
  <c r="X108" i="56"/>
  <c r="AF108" i="56"/>
  <c r="L108" i="56"/>
  <c r="T108" i="56"/>
  <c r="AB108" i="56"/>
  <c r="AJ108" i="56"/>
  <c r="I108" i="56"/>
  <c r="Q108" i="56"/>
  <c r="Y108" i="56"/>
  <c r="AG108" i="56"/>
  <c r="N108" i="56"/>
  <c r="V108" i="56"/>
  <c r="AD108" i="56"/>
  <c r="J108" i="56"/>
  <c r="R108" i="56"/>
  <c r="Z108" i="56"/>
  <c r="AH108" i="56"/>
  <c r="K108" i="56"/>
  <c r="S108" i="56"/>
  <c r="AA108" i="56"/>
  <c r="AI108" i="56"/>
  <c r="G108" i="56"/>
  <c r="M108" i="56"/>
  <c r="U108" i="56"/>
  <c r="AC108" i="56"/>
  <c r="J109" i="56"/>
  <c r="R109" i="56"/>
  <c r="Z109" i="56"/>
  <c r="AH109" i="56"/>
  <c r="P109" i="56"/>
  <c r="K109" i="56"/>
  <c r="S109" i="56"/>
  <c r="AA109" i="56"/>
  <c r="AI109" i="56"/>
  <c r="O109" i="56"/>
  <c r="W109" i="56"/>
  <c r="L109" i="56"/>
  <c r="T109" i="56"/>
  <c r="AB109" i="56"/>
  <c r="AJ109" i="56"/>
  <c r="AE109" i="56"/>
  <c r="X109" i="56"/>
  <c r="I109" i="56"/>
  <c r="Q109" i="56"/>
  <c r="Y109" i="56"/>
  <c r="AG109" i="56"/>
  <c r="M109" i="56"/>
  <c r="U109" i="56"/>
  <c r="AC109" i="56"/>
  <c r="G109" i="56"/>
  <c r="N109" i="56"/>
  <c r="V109" i="56"/>
  <c r="AD109" i="56"/>
  <c r="H109" i="56"/>
  <c r="AF109" i="56"/>
  <c r="AK89" i="63"/>
  <c r="AH89" i="63"/>
  <c r="AJ89" i="63"/>
  <c r="AL89" i="63"/>
  <c r="AL68" i="63"/>
  <c r="AJ68" i="63"/>
  <c r="AK68" i="63"/>
  <c r="AH68" i="63"/>
  <c r="AK10" i="63"/>
  <c r="AH10" i="63"/>
  <c r="AJ10" i="63"/>
  <c r="AL10" i="63"/>
  <c r="AK28" i="63"/>
  <c r="AL28" i="63"/>
  <c r="AH28" i="63"/>
  <c r="AJ28" i="63"/>
  <c r="AK44" i="63"/>
  <c r="AL44" i="63"/>
  <c r="AH44" i="63"/>
  <c r="AJ44" i="63"/>
  <c r="AH55" i="63"/>
  <c r="AL55" i="63"/>
  <c r="AK55" i="63"/>
  <c r="AJ55" i="63"/>
  <c r="AH69" i="63"/>
  <c r="AL69" i="63"/>
  <c r="AJ69" i="63"/>
  <c r="AK69" i="63"/>
  <c r="AK81" i="63"/>
  <c r="AH81" i="63"/>
  <c r="AJ81" i="63"/>
  <c r="AL81" i="63"/>
  <c r="AH90" i="63"/>
  <c r="AJ90" i="63"/>
  <c r="AL90" i="63"/>
  <c r="AK90" i="63"/>
  <c r="AH98" i="63"/>
  <c r="AJ98" i="63"/>
  <c r="AK98" i="63"/>
  <c r="AL98" i="63"/>
  <c r="AH106" i="63"/>
  <c r="AJ106" i="63"/>
  <c r="AL106" i="63"/>
  <c r="AK106" i="63"/>
  <c r="AK26" i="63"/>
  <c r="AL26" i="63"/>
  <c r="AH26" i="63"/>
  <c r="AJ26" i="63"/>
  <c r="AK99" i="63"/>
  <c r="AL99" i="63"/>
  <c r="AH99" i="63"/>
  <c r="AJ99" i="63"/>
  <c r="AK18" i="63"/>
  <c r="AH18" i="63"/>
  <c r="AJ18" i="63"/>
  <c r="AL18" i="63"/>
  <c r="AJ80" i="63"/>
  <c r="AK80" i="63"/>
  <c r="AL80" i="63"/>
  <c r="AH80" i="63"/>
  <c r="AH92" i="63"/>
  <c r="AL92" i="63"/>
  <c r="AJ92" i="63"/>
  <c r="AK92" i="63"/>
  <c r="AJ9" i="63"/>
  <c r="AK9" i="63"/>
  <c r="AL9" i="63"/>
  <c r="AH9" i="63"/>
  <c r="AH35" i="63"/>
  <c r="AJ35" i="63"/>
  <c r="AK35" i="63"/>
  <c r="AL35" i="63"/>
  <c r="AH43" i="63"/>
  <c r="AJ43" i="63"/>
  <c r="AL43" i="63"/>
  <c r="AK43" i="63"/>
  <c r="AJ54" i="63"/>
  <c r="AK54" i="63"/>
  <c r="AL54" i="63"/>
  <c r="AH54" i="63"/>
  <c r="AK105" i="63"/>
  <c r="AH105" i="63"/>
  <c r="AJ105" i="63"/>
  <c r="AL105" i="63"/>
  <c r="AH13" i="63"/>
  <c r="AL13" i="63"/>
  <c r="AJ13" i="63"/>
  <c r="AK13" i="63"/>
  <c r="AJ22" i="63"/>
  <c r="AK22" i="63"/>
  <c r="AH22" i="63"/>
  <c r="AL22" i="63"/>
  <c r="AL31" i="63"/>
  <c r="AJ31" i="63"/>
  <c r="AH31" i="63"/>
  <c r="AK31" i="63"/>
  <c r="AL39" i="63"/>
  <c r="AJ39" i="63"/>
  <c r="AH39" i="63"/>
  <c r="AK39" i="63"/>
  <c r="AJ49" i="63"/>
  <c r="AK49" i="63"/>
  <c r="AL49" i="63"/>
  <c r="AH49" i="63"/>
  <c r="AL60" i="63"/>
  <c r="AH60" i="63"/>
  <c r="AJ60" i="63"/>
  <c r="AK60" i="63"/>
  <c r="AH72" i="63"/>
  <c r="AJ72" i="63"/>
  <c r="AK72" i="63"/>
  <c r="AL72" i="63"/>
  <c r="AH84" i="63"/>
  <c r="AL84" i="63"/>
  <c r="AJ84" i="63"/>
  <c r="AK84" i="63"/>
  <c r="AJ93" i="63"/>
  <c r="AK93" i="63"/>
  <c r="AH93" i="63"/>
  <c r="AL93" i="63"/>
  <c r="AJ101" i="63"/>
  <c r="AK101" i="63"/>
  <c r="AL101" i="63"/>
  <c r="AH101" i="63"/>
  <c r="AH111" i="63"/>
  <c r="AJ111" i="63"/>
  <c r="AK111" i="63"/>
  <c r="AL111" i="63"/>
  <c r="AK97" i="63"/>
  <c r="AJ97" i="63"/>
  <c r="AL97" i="63"/>
  <c r="AH97" i="63"/>
  <c r="P137" i="63"/>
  <c r="AJ14" i="63"/>
  <c r="AK14" i="63"/>
  <c r="AH14" i="63"/>
  <c r="AL14" i="63"/>
  <c r="AL23" i="63"/>
  <c r="AJ23" i="63"/>
  <c r="AK23" i="63"/>
  <c r="AH23" i="63"/>
  <c r="AH32" i="63"/>
  <c r="AJ32" i="63"/>
  <c r="AK32" i="63"/>
  <c r="AL32" i="63"/>
  <c r="AH40" i="63"/>
  <c r="AL40" i="63"/>
  <c r="AJ40" i="63"/>
  <c r="AK40" i="63"/>
  <c r="AH51" i="63"/>
  <c r="AJ51" i="63"/>
  <c r="AK51" i="63"/>
  <c r="AL51" i="63"/>
  <c r="AJ62" i="63"/>
  <c r="AL62" i="63"/>
  <c r="AK62" i="63"/>
  <c r="AH62" i="63"/>
  <c r="AK75" i="63"/>
  <c r="AL75" i="63"/>
  <c r="AH75" i="63"/>
  <c r="AJ75" i="63"/>
  <c r="AL86" i="63"/>
  <c r="AJ86" i="63"/>
  <c r="AH86" i="63"/>
  <c r="AK86" i="63"/>
  <c r="AL94" i="63"/>
  <c r="AJ94" i="63"/>
  <c r="AH94" i="63"/>
  <c r="AK94" i="63"/>
  <c r="AL102" i="63"/>
  <c r="AJ102" i="63"/>
  <c r="AH102" i="63"/>
  <c r="AK102" i="63"/>
  <c r="AK91" i="63"/>
  <c r="AL91" i="63"/>
  <c r="AH91" i="63"/>
  <c r="AJ91" i="63"/>
  <c r="AH21" i="63"/>
  <c r="AL21" i="63"/>
  <c r="AJ21" i="63"/>
  <c r="AK21" i="63"/>
  <c r="AJ38" i="63"/>
  <c r="AK38" i="63"/>
  <c r="AL38" i="63"/>
  <c r="AH38" i="63"/>
  <c r="AL47" i="63"/>
  <c r="AJ47" i="63"/>
  <c r="AH47" i="63"/>
  <c r="AK47" i="63"/>
  <c r="AK59" i="63"/>
  <c r="AL59" i="63"/>
  <c r="AH59" i="63"/>
  <c r="AJ59" i="63"/>
  <c r="AK83" i="63"/>
  <c r="AL83" i="63"/>
  <c r="AJ83" i="63"/>
  <c r="AH83" i="63"/>
  <c r="AJ109" i="63"/>
  <c r="AK109" i="63"/>
  <c r="AH109" i="63"/>
  <c r="AL109" i="63"/>
  <c r="AL7" i="63"/>
  <c r="AJ7" i="63"/>
  <c r="AH7" i="63"/>
  <c r="AK7" i="63"/>
  <c r="AL15" i="63"/>
  <c r="AJ15" i="63"/>
  <c r="AK15" i="63"/>
  <c r="AH15" i="63"/>
  <c r="AH24" i="63"/>
  <c r="AJ24" i="63"/>
  <c r="AK24" i="63"/>
  <c r="AL24" i="63"/>
  <c r="AJ33" i="63"/>
  <c r="AK33" i="63"/>
  <c r="AL33" i="63"/>
  <c r="AH33" i="63"/>
  <c r="AJ41" i="63"/>
  <c r="AK41" i="63"/>
  <c r="AL41" i="63"/>
  <c r="AH41" i="63"/>
  <c r="AK52" i="63"/>
  <c r="AL52" i="63"/>
  <c r="AH52" i="63"/>
  <c r="AJ52" i="63"/>
  <c r="AK65" i="63"/>
  <c r="AH65" i="63"/>
  <c r="AJ65" i="63"/>
  <c r="AL65" i="63"/>
  <c r="AL78" i="63"/>
  <c r="AJ78" i="63"/>
  <c r="AH78" i="63"/>
  <c r="AK78" i="63"/>
  <c r="AH87" i="63"/>
  <c r="AK87" i="63"/>
  <c r="AL87" i="63"/>
  <c r="AJ87" i="63"/>
  <c r="AH95" i="63"/>
  <c r="AJ95" i="63"/>
  <c r="AK95" i="63"/>
  <c r="AL95" i="63"/>
  <c r="AH103" i="63"/>
  <c r="AK103" i="63"/>
  <c r="AL103" i="63"/>
  <c r="AJ103" i="63"/>
  <c r="AH19" i="63"/>
  <c r="AJ19" i="63"/>
  <c r="AL19" i="63"/>
  <c r="AK19" i="63"/>
  <c r="AK36" i="63"/>
  <c r="AL36" i="63"/>
  <c r="AH36" i="63"/>
  <c r="AJ36" i="63"/>
  <c r="AH11" i="63"/>
  <c r="AJ11" i="63"/>
  <c r="AL11" i="63"/>
  <c r="AK11" i="63"/>
  <c r="AK20" i="63"/>
  <c r="AL20" i="63"/>
  <c r="AJ20" i="63"/>
  <c r="AH20" i="63"/>
  <c r="AH29" i="63"/>
  <c r="AL29" i="63"/>
  <c r="AJ29" i="63"/>
  <c r="AK29" i="63"/>
  <c r="AH37" i="63"/>
  <c r="AL37" i="63"/>
  <c r="AK37" i="63"/>
  <c r="AJ37" i="63"/>
  <c r="AH45" i="63"/>
  <c r="AL45" i="63"/>
  <c r="AJ45" i="63"/>
  <c r="AK45" i="63"/>
  <c r="AH58" i="63"/>
  <c r="AJ58" i="63"/>
  <c r="AK58" i="63"/>
  <c r="AL58" i="63"/>
  <c r="AJ70" i="63"/>
  <c r="AK70" i="63"/>
  <c r="AL70" i="63"/>
  <c r="AH70" i="63"/>
  <c r="AH82" i="63"/>
  <c r="AJ82" i="63"/>
  <c r="AK82" i="63"/>
  <c r="AL82" i="63"/>
  <c r="AH108" i="63"/>
  <c r="AL108" i="63"/>
  <c r="AK108" i="63"/>
  <c r="AJ108" i="63"/>
  <c r="AK12" i="63"/>
  <c r="AL12" i="63"/>
  <c r="AJ12" i="63"/>
  <c r="AH12" i="63"/>
  <c r="AJ30" i="63"/>
  <c r="AK30" i="63"/>
  <c r="AL30" i="63"/>
  <c r="AH30" i="63"/>
  <c r="AK71" i="63"/>
  <c r="AH71" i="63"/>
  <c r="AJ71" i="63"/>
  <c r="AL71" i="63"/>
  <c r="AH100" i="63"/>
  <c r="AL100" i="63"/>
  <c r="AJ100" i="63"/>
  <c r="AK100" i="63"/>
  <c r="AH8" i="63"/>
  <c r="AK8" i="63"/>
  <c r="AJ8" i="63"/>
  <c r="AL8" i="63"/>
  <c r="AH16" i="63"/>
  <c r="AJ16" i="63"/>
  <c r="AK16" i="63"/>
  <c r="AL16" i="63"/>
  <c r="AJ25" i="63"/>
  <c r="AK25" i="63"/>
  <c r="AL25" i="63"/>
  <c r="AH25" i="63"/>
  <c r="AK34" i="63"/>
  <c r="AJ34" i="63"/>
  <c r="AH34" i="63"/>
  <c r="AL34" i="63"/>
  <c r="AK42" i="63"/>
  <c r="AH42" i="63"/>
  <c r="AJ42" i="63"/>
  <c r="AL42" i="63"/>
  <c r="AH53" i="63"/>
  <c r="AK53" i="63"/>
  <c r="AL53" i="63"/>
  <c r="AJ53" i="63"/>
  <c r="AH67" i="63"/>
  <c r="AJ67" i="63"/>
  <c r="AK67" i="63"/>
  <c r="AL67" i="63"/>
  <c r="AH79" i="63"/>
  <c r="AJ79" i="63"/>
  <c r="AK79" i="63"/>
  <c r="AL79" i="63"/>
  <c r="AJ88" i="63"/>
  <c r="AK88" i="63"/>
  <c r="AL88" i="63"/>
  <c r="AH88" i="63"/>
  <c r="AJ96" i="63"/>
  <c r="AK96" i="63"/>
  <c r="AL96" i="63"/>
  <c r="AH96" i="63"/>
  <c r="AJ104" i="63"/>
  <c r="AK104" i="63"/>
  <c r="AL104" i="63"/>
  <c r="AH104" i="63"/>
  <c r="AA23" i="63"/>
  <c r="V23" i="63"/>
  <c r="Z23" i="63"/>
  <c r="W23" i="63"/>
  <c r="V40" i="63"/>
  <c r="W40" i="63"/>
  <c r="AA40" i="63"/>
  <c r="Z40" i="63"/>
  <c r="Z62" i="63"/>
  <c r="AA62" i="63"/>
  <c r="W62" i="63"/>
  <c r="V62" i="63"/>
  <c r="Z94" i="63"/>
  <c r="AA94" i="63"/>
  <c r="W94" i="63"/>
  <c r="V94" i="63"/>
  <c r="AA31" i="63"/>
  <c r="V31" i="63"/>
  <c r="W31" i="63"/>
  <c r="Z31" i="63"/>
  <c r="V60" i="63"/>
  <c r="W60" i="63"/>
  <c r="AA60" i="63"/>
  <c r="Z60" i="63"/>
  <c r="W93" i="63"/>
  <c r="Z93" i="63"/>
  <c r="AA93" i="63"/>
  <c r="V93" i="63"/>
  <c r="Z14" i="63"/>
  <c r="AA14" i="63"/>
  <c r="W14" i="63"/>
  <c r="V14" i="63"/>
  <c r="V32" i="63"/>
  <c r="W32" i="63"/>
  <c r="AA32" i="63"/>
  <c r="Z32" i="63"/>
  <c r="AA51" i="63"/>
  <c r="V51" i="63"/>
  <c r="Y51" i="63"/>
  <c r="W51" i="63"/>
  <c r="Z51" i="63"/>
  <c r="AA75" i="63"/>
  <c r="V75" i="63"/>
  <c r="W75" i="63"/>
  <c r="Z75" i="63"/>
  <c r="Z86" i="63"/>
  <c r="AA86" i="63"/>
  <c r="W86" i="63"/>
  <c r="V86" i="63"/>
  <c r="Z102" i="63"/>
  <c r="AA102" i="63"/>
  <c r="W102" i="63"/>
  <c r="V102" i="63"/>
  <c r="Z10" i="63"/>
  <c r="AA10" i="63"/>
  <c r="W10" i="63"/>
  <c r="V10" i="63"/>
  <c r="AA19" i="63"/>
  <c r="V19" i="63"/>
  <c r="Z19" i="63"/>
  <c r="W19" i="63"/>
  <c r="V28" i="63"/>
  <c r="W28" i="63"/>
  <c r="AA28" i="63"/>
  <c r="Z28" i="63"/>
  <c r="V36" i="63"/>
  <c r="W36" i="63"/>
  <c r="AA36" i="63"/>
  <c r="Z36" i="63"/>
  <c r="V44" i="63"/>
  <c r="W44" i="63"/>
  <c r="AA44" i="63"/>
  <c r="Z44" i="63"/>
  <c r="AA55" i="63"/>
  <c r="V55" i="63"/>
  <c r="W55" i="63"/>
  <c r="Z55" i="63"/>
  <c r="W69" i="63"/>
  <c r="Z69" i="63"/>
  <c r="V69" i="63"/>
  <c r="AA69" i="63"/>
  <c r="W81" i="63"/>
  <c r="Z81" i="63"/>
  <c r="V81" i="63"/>
  <c r="AA81" i="63"/>
  <c r="Z90" i="63"/>
  <c r="AA90" i="63"/>
  <c r="W90" i="63"/>
  <c r="V90" i="63"/>
  <c r="Z98" i="63"/>
  <c r="AA98" i="63"/>
  <c r="W98" i="63"/>
  <c r="V98" i="63"/>
  <c r="Z106" i="63"/>
  <c r="AA106" i="63"/>
  <c r="W106" i="63"/>
  <c r="V106" i="63"/>
  <c r="V108" i="63"/>
  <c r="W108" i="63"/>
  <c r="AA108" i="63"/>
  <c r="Z108" i="63"/>
  <c r="AA11" i="63"/>
  <c r="V11" i="63"/>
  <c r="Y11" i="63"/>
  <c r="Z11" i="63"/>
  <c r="W11" i="63"/>
  <c r="V20" i="63"/>
  <c r="W20" i="63"/>
  <c r="AA20" i="63"/>
  <c r="Z20" i="63"/>
  <c r="W29" i="63"/>
  <c r="Z29" i="63"/>
  <c r="V29" i="63"/>
  <c r="AA29" i="63"/>
  <c r="W37" i="63"/>
  <c r="Z37" i="63"/>
  <c r="V37" i="63"/>
  <c r="AA37" i="63"/>
  <c r="W45" i="63"/>
  <c r="Z45" i="63"/>
  <c r="AA45" i="63"/>
  <c r="V45" i="63"/>
  <c r="Z58" i="63"/>
  <c r="AA58" i="63"/>
  <c r="W58" i="63"/>
  <c r="V58" i="63"/>
  <c r="Z70" i="63"/>
  <c r="AA70" i="63"/>
  <c r="W70" i="63"/>
  <c r="V70" i="63"/>
  <c r="Z82" i="63"/>
  <c r="AA82" i="63"/>
  <c r="W82" i="63"/>
  <c r="V82" i="63"/>
  <c r="AA91" i="63"/>
  <c r="Y91" i="63"/>
  <c r="V91" i="63"/>
  <c r="W91" i="63"/>
  <c r="Z91" i="63"/>
  <c r="AA99" i="63"/>
  <c r="V99" i="63"/>
  <c r="W99" i="63"/>
  <c r="Z99" i="63"/>
  <c r="V12" i="63"/>
  <c r="W12" i="63"/>
  <c r="AA12" i="63"/>
  <c r="Z12" i="63"/>
  <c r="W21" i="63"/>
  <c r="Z21" i="63"/>
  <c r="V21" i="63"/>
  <c r="AA21" i="63"/>
  <c r="Z30" i="63"/>
  <c r="AA30" i="63"/>
  <c r="W30" i="63"/>
  <c r="V30" i="63"/>
  <c r="Z38" i="63"/>
  <c r="AA38" i="63"/>
  <c r="W38" i="63"/>
  <c r="V38" i="63"/>
  <c r="AA47" i="63"/>
  <c r="V47" i="63"/>
  <c r="Z47" i="63"/>
  <c r="W47" i="63"/>
  <c r="AA59" i="63"/>
  <c r="V59" i="63"/>
  <c r="Z59" i="63"/>
  <c r="W59" i="63"/>
  <c r="AA71" i="63"/>
  <c r="V71" i="63"/>
  <c r="W71" i="63"/>
  <c r="Z71" i="63"/>
  <c r="AA83" i="63"/>
  <c r="V83" i="63"/>
  <c r="Z83" i="63"/>
  <c r="W83" i="63"/>
  <c r="V92" i="63"/>
  <c r="W92" i="63"/>
  <c r="AA92" i="63"/>
  <c r="Z92" i="63"/>
  <c r="V100" i="63"/>
  <c r="W100" i="63"/>
  <c r="AA100" i="63"/>
  <c r="Z100" i="63"/>
  <c r="W109" i="63"/>
  <c r="V109" i="63"/>
  <c r="Z109" i="63"/>
  <c r="AA109" i="63"/>
  <c r="Z22" i="63"/>
  <c r="AA22" i="63"/>
  <c r="W22" i="63"/>
  <c r="V22" i="63"/>
  <c r="AA39" i="63"/>
  <c r="V39" i="63"/>
  <c r="W39" i="63"/>
  <c r="Z39" i="63"/>
  <c r="W49" i="63"/>
  <c r="Z49" i="63"/>
  <c r="V49" i="63"/>
  <c r="AA49" i="63"/>
  <c r="V72" i="63"/>
  <c r="W72" i="63"/>
  <c r="AA72" i="63"/>
  <c r="Z72" i="63"/>
  <c r="V84" i="63"/>
  <c r="W84" i="63"/>
  <c r="AA84" i="63"/>
  <c r="Z84" i="63"/>
  <c r="W101" i="63"/>
  <c r="Z101" i="63"/>
  <c r="AA101" i="63"/>
  <c r="V101" i="63"/>
  <c r="AA111" i="63"/>
  <c r="Y111" i="63"/>
  <c r="W111" i="63"/>
  <c r="V111" i="63"/>
  <c r="Z111" i="63"/>
  <c r="V24" i="63"/>
  <c r="W24" i="63"/>
  <c r="AA24" i="63"/>
  <c r="Z24" i="63"/>
  <c r="V52" i="63"/>
  <c r="W52" i="63"/>
  <c r="AA52" i="63"/>
  <c r="Z52" i="63"/>
  <c r="AA87" i="63"/>
  <c r="Z87" i="63"/>
  <c r="V87" i="63"/>
  <c r="W87" i="63"/>
  <c r="AA103" i="63"/>
  <c r="V103" i="63"/>
  <c r="Z103" i="63"/>
  <c r="W103" i="63"/>
  <c r="W13" i="63"/>
  <c r="Z13" i="63"/>
  <c r="V13" i="63"/>
  <c r="AA13" i="63"/>
  <c r="AA15" i="63"/>
  <c r="V15" i="63"/>
  <c r="Z15" i="63"/>
  <c r="W15" i="63"/>
  <c r="W41" i="63"/>
  <c r="Z41" i="63"/>
  <c r="V41" i="63"/>
  <c r="AA41" i="63"/>
  <c r="Z78" i="63"/>
  <c r="AA78" i="63"/>
  <c r="W78" i="63"/>
  <c r="V78" i="63"/>
  <c r="W53" i="63"/>
  <c r="Z53" i="63"/>
  <c r="V53" i="63"/>
  <c r="AA53" i="63"/>
  <c r="V104" i="63"/>
  <c r="W104" i="63"/>
  <c r="AA104" i="63"/>
  <c r="Z104" i="63"/>
  <c r="AA7" i="63"/>
  <c r="V7" i="63"/>
  <c r="Z7" i="63"/>
  <c r="W7" i="63"/>
  <c r="W33" i="63"/>
  <c r="Z33" i="63"/>
  <c r="V33" i="63"/>
  <c r="AA33" i="63"/>
  <c r="W65" i="63"/>
  <c r="Z65" i="63"/>
  <c r="V65" i="63"/>
  <c r="AA65" i="63"/>
  <c r="AA95" i="63"/>
  <c r="Z95" i="63"/>
  <c r="V95" i="63"/>
  <c r="W95" i="63"/>
  <c r="V8" i="63"/>
  <c r="W8" i="63"/>
  <c r="AA8" i="63"/>
  <c r="Z8" i="63"/>
  <c r="V16" i="63"/>
  <c r="W16" i="63"/>
  <c r="AA16" i="63"/>
  <c r="Z16" i="63"/>
  <c r="W25" i="63"/>
  <c r="Z25" i="63"/>
  <c r="V25" i="63"/>
  <c r="AA25" i="63"/>
  <c r="Z34" i="63"/>
  <c r="AA34" i="63"/>
  <c r="W34" i="63"/>
  <c r="V34" i="63"/>
  <c r="Z42" i="63"/>
  <c r="AA42" i="63"/>
  <c r="W42" i="63"/>
  <c r="V42" i="63"/>
  <c r="AA67" i="63"/>
  <c r="V67" i="63"/>
  <c r="W67" i="63"/>
  <c r="Z67" i="63"/>
  <c r="AA79" i="63"/>
  <c r="V79" i="63"/>
  <c r="Z79" i="63"/>
  <c r="W79" i="63"/>
  <c r="V88" i="63"/>
  <c r="W88" i="63"/>
  <c r="AA88" i="63"/>
  <c r="Z88" i="63"/>
  <c r="V96" i="63"/>
  <c r="W96" i="63"/>
  <c r="AA96" i="63"/>
  <c r="Z96" i="63"/>
  <c r="W9" i="63"/>
  <c r="Z9" i="63"/>
  <c r="V9" i="63"/>
  <c r="AA9" i="63"/>
  <c r="Z18" i="63"/>
  <c r="AA18" i="63"/>
  <c r="W18" i="63"/>
  <c r="V18" i="63"/>
  <c r="Z26" i="63"/>
  <c r="AA26" i="63"/>
  <c r="W26" i="63"/>
  <c r="V26" i="63"/>
  <c r="AA35" i="63"/>
  <c r="V35" i="63"/>
  <c r="W35" i="63"/>
  <c r="Z35" i="63"/>
  <c r="AA43" i="63"/>
  <c r="V43" i="63"/>
  <c r="Z43" i="63"/>
  <c r="W43" i="63"/>
  <c r="Z54" i="63"/>
  <c r="AA54" i="63"/>
  <c r="W54" i="63"/>
  <c r="V54" i="63"/>
  <c r="V68" i="63"/>
  <c r="W68" i="63"/>
  <c r="AA68" i="63"/>
  <c r="Z68" i="63"/>
  <c r="V80" i="63"/>
  <c r="W80" i="63"/>
  <c r="AA80" i="63"/>
  <c r="Y80" i="63"/>
  <c r="Z80" i="63"/>
  <c r="W89" i="63"/>
  <c r="Z89" i="63"/>
  <c r="V89" i="63"/>
  <c r="AA89" i="63"/>
  <c r="W97" i="63"/>
  <c r="V97" i="63"/>
  <c r="Z97" i="63"/>
  <c r="AA97" i="63"/>
  <c r="W105" i="63"/>
  <c r="V105" i="63"/>
  <c r="Z105" i="63"/>
  <c r="AA105" i="63"/>
  <c r="M151" i="56"/>
  <c r="U151" i="56"/>
  <c r="AC151" i="56"/>
  <c r="N151" i="56"/>
  <c r="V151" i="56"/>
  <c r="AD151" i="56"/>
  <c r="O151" i="56"/>
  <c r="W151" i="56"/>
  <c r="AE151" i="56"/>
  <c r="K151" i="56"/>
  <c r="S151" i="56"/>
  <c r="AA151" i="56"/>
  <c r="AI151" i="56"/>
  <c r="L151" i="56"/>
  <c r="T151" i="56"/>
  <c r="AB151" i="56"/>
  <c r="AJ151" i="56"/>
  <c r="R151" i="56"/>
  <c r="H151" i="56"/>
  <c r="AF151" i="56"/>
  <c r="X151" i="56"/>
  <c r="Z151" i="56"/>
  <c r="I151" i="56"/>
  <c r="Y151" i="56"/>
  <c r="J151" i="56"/>
  <c r="P151" i="56"/>
  <c r="AH151" i="56"/>
  <c r="Q151" i="56"/>
  <c r="AG151" i="56"/>
  <c r="G151" i="56"/>
  <c r="P138" i="63"/>
  <c r="P139" i="63"/>
  <c r="P140" i="63"/>
  <c r="P141" i="63"/>
  <c r="P142" i="63"/>
  <c r="P143" i="63"/>
  <c r="P144" i="63"/>
  <c r="P145" i="63"/>
  <c r="P146" i="63"/>
  <c r="P147" i="63"/>
  <c r="P148" i="63"/>
  <c r="P149" i="63"/>
  <c r="P150" i="63"/>
  <c r="P151" i="63"/>
  <c r="P152" i="63"/>
  <c r="P153" i="63"/>
  <c r="P154" i="63"/>
  <c r="P155" i="63"/>
  <c r="P156" i="63"/>
  <c r="P157" i="63"/>
  <c r="P158" i="63"/>
  <c r="P159" i="63"/>
  <c r="P160" i="63"/>
  <c r="P161" i="63"/>
  <c r="P162" i="63"/>
  <c r="P163" i="63"/>
  <c r="P164" i="63"/>
  <c r="P165" i="63"/>
  <c r="P166" i="63"/>
  <c r="P167" i="63"/>
  <c r="P168" i="63"/>
  <c r="P169" i="63"/>
  <c r="P170" i="63"/>
  <c r="P171" i="63"/>
  <c r="P172" i="63"/>
  <c r="P173" i="63"/>
  <c r="P174" i="63"/>
  <c r="P175" i="63"/>
  <c r="P176" i="63"/>
  <c r="P177" i="63"/>
  <c r="P178" i="63"/>
  <c r="P179" i="63"/>
  <c r="P180" i="63"/>
  <c r="P181" i="63"/>
  <c r="P182" i="63"/>
  <c r="P183" i="63"/>
  <c r="P184" i="63"/>
  <c r="P185" i="63"/>
  <c r="P186" i="63"/>
  <c r="P187" i="63"/>
  <c r="P188" i="63"/>
  <c r="P189" i="63"/>
  <c r="P190" i="63"/>
  <c r="P191" i="63"/>
  <c r="P192" i="63"/>
  <c r="P193" i="63"/>
  <c r="P194" i="63"/>
  <c r="P195" i="63"/>
  <c r="P196" i="63"/>
  <c r="P197" i="63"/>
  <c r="P198" i="63"/>
  <c r="P199" i="63"/>
  <c r="P200" i="63"/>
  <c r="P201" i="63"/>
  <c r="P202" i="63"/>
  <c r="P203" i="63"/>
  <c r="P204" i="63"/>
  <c r="P205" i="63"/>
  <c r="P206" i="63"/>
  <c r="P207" i="63"/>
  <c r="P208" i="63"/>
  <c r="P209" i="63"/>
  <c r="P210" i="63"/>
  <c r="P211" i="63"/>
  <c r="P212" i="63"/>
  <c r="P213" i="63"/>
  <c r="P214" i="63"/>
  <c r="P215" i="63"/>
  <c r="P216" i="63"/>
  <c r="P217" i="63"/>
  <c r="P218" i="63"/>
  <c r="P219" i="63"/>
  <c r="P220" i="63"/>
  <c r="P221" i="63"/>
  <c r="P222" i="63"/>
  <c r="P223" i="63"/>
  <c r="P224" i="63"/>
  <c r="P225" i="63"/>
  <c r="P226" i="63"/>
  <c r="P227" i="63"/>
  <c r="P228" i="63"/>
  <c r="P229" i="63"/>
  <c r="P230" i="63"/>
  <c r="P231" i="63"/>
  <c r="P232" i="63"/>
  <c r="P233" i="63"/>
  <c r="P234" i="63"/>
  <c r="P235" i="63"/>
  <c r="P236" i="63"/>
  <c r="P237" i="63"/>
  <c r="P238" i="63"/>
  <c r="P239" i="63"/>
  <c r="P240" i="63"/>
  <c r="P241" i="63"/>
  <c r="P242" i="63"/>
  <c r="B43" i="63"/>
  <c r="X102" i="63" s="1"/>
  <c r="B42" i="63"/>
  <c r="Y62" i="63" s="1"/>
  <c r="G116" i="67" l="1" a="1"/>
  <c r="G116" i="67" s="1"/>
  <c r="F107" i="67"/>
  <c r="D107" i="67"/>
  <c r="E107" i="67"/>
  <c r="F111" i="67" a="1"/>
  <c r="F111" i="67" s="1"/>
  <c r="E111" i="67" a="1"/>
  <c r="E111" i="67" s="1"/>
  <c r="D111" i="67" a="1"/>
  <c r="D111" i="67" s="1"/>
  <c r="F108" i="67"/>
  <c r="E108" i="67"/>
  <c r="D108" i="67"/>
  <c r="F112" i="67" a="1"/>
  <c r="F112" i="67" s="1"/>
  <c r="E112" i="67" a="1"/>
  <c r="E112" i="67" s="1"/>
  <c r="D112" i="67" a="1"/>
  <c r="D112" i="67" s="1"/>
  <c r="O118" i="67" a="1"/>
  <c r="O118" i="67" s="1"/>
  <c r="W118" i="67" a="1"/>
  <c r="W118" i="67" s="1"/>
  <c r="AE118" i="67" a="1"/>
  <c r="AE118" i="67" s="1"/>
  <c r="I118" i="67" a="1"/>
  <c r="I118" i="67" s="1"/>
  <c r="Q118" i="67" a="1"/>
  <c r="Q118" i="67" s="1"/>
  <c r="Y118" i="67" a="1"/>
  <c r="Y118" i="67" s="1"/>
  <c r="AG118" i="67" a="1"/>
  <c r="AG118" i="67" s="1"/>
  <c r="G118" i="67" a="1"/>
  <c r="G118" i="67" s="1"/>
  <c r="M118" i="67" a="1"/>
  <c r="M118" i="67" s="1"/>
  <c r="U118" i="67" a="1"/>
  <c r="U118" i="67" s="1"/>
  <c r="AC118" i="67" a="1"/>
  <c r="AC118" i="67" s="1"/>
  <c r="N118" i="67" a="1"/>
  <c r="N118" i="67" s="1"/>
  <c r="V118" i="67" a="1"/>
  <c r="V118" i="67" s="1"/>
  <c r="AD118" i="67" a="1"/>
  <c r="AD118" i="67" s="1"/>
  <c r="H118" i="67" a="1"/>
  <c r="H118" i="67" s="1"/>
  <c r="X118" i="67" a="1"/>
  <c r="X118" i="67" s="1"/>
  <c r="Z118" i="67" a="1"/>
  <c r="Z118" i="67" s="1"/>
  <c r="AB118" i="67" a="1"/>
  <c r="AB118" i="67" s="1"/>
  <c r="K118" i="67" a="1"/>
  <c r="K118" i="67" s="1"/>
  <c r="AA118" i="67" a="1"/>
  <c r="AA118" i="67" s="1"/>
  <c r="P118" i="67" a="1"/>
  <c r="P118" i="67" s="1"/>
  <c r="AF118" i="67" a="1"/>
  <c r="AF118" i="67" s="1"/>
  <c r="R118" i="67" a="1"/>
  <c r="R118" i="67" s="1"/>
  <c r="S118" i="67" a="1"/>
  <c r="S118" i="67" s="1"/>
  <c r="AI118" i="67" a="1"/>
  <c r="AI118" i="67" s="1"/>
  <c r="AH118" i="67" a="1"/>
  <c r="AH118" i="67" s="1"/>
  <c r="T118" i="67" a="1"/>
  <c r="T118" i="67" s="1"/>
  <c r="AJ118" i="67" a="1"/>
  <c r="AJ118" i="67" s="1"/>
  <c r="J118" i="67" a="1"/>
  <c r="J118" i="67" s="1"/>
  <c r="L118" i="67" a="1"/>
  <c r="L118" i="67" s="1"/>
  <c r="J119" i="67"/>
  <c r="R119" i="67"/>
  <c r="Z119" i="67"/>
  <c r="AH119" i="67"/>
  <c r="L119" i="67"/>
  <c r="T119" i="67"/>
  <c r="AB119" i="67"/>
  <c r="AJ119" i="67"/>
  <c r="H119" i="67"/>
  <c r="P119" i="67"/>
  <c r="X119" i="67"/>
  <c r="AF119" i="67"/>
  <c r="I119" i="67"/>
  <c r="Q119" i="67"/>
  <c r="Y119" i="67"/>
  <c r="AG119" i="67"/>
  <c r="K119" i="67"/>
  <c r="AA119" i="67"/>
  <c r="N119" i="67"/>
  <c r="AD119" i="67"/>
  <c r="O119" i="67"/>
  <c r="S119" i="67"/>
  <c r="AI119" i="67"/>
  <c r="G119" i="67"/>
  <c r="U119" i="67"/>
  <c r="V119" i="67"/>
  <c r="W119" i="67"/>
  <c r="M119" i="67"/>
  <c r="AC119" i="67"/>
  <c r="AE119" i="67"/>
  <c r="M120" i="67"/>
  <c r="U120" i="67"/>
  <c r="AC120" i="67"/>
  <c r="G120" i="67"/>
  <c r="O120" i="67"/>
  <c r="W120" i="67"/>
  <c r="AE120" i="67"/>
  <c r="K120" i="67"/>
  <c r="S120" i="67"/>
  <c r="AA120" i="67"/>
  <c r="AI120" i="67"/>
  <c r="L120" i="67"/>
  <c r="T120" i="67"/>
  <c r="AB120" i="67"/>
  <c r="AJ120" i="67"/>
  <c r="N120" i="67"/>
  <c r="AD120" i="67"/>
  <c r="P120" i="67"/>
  <c r="Q120" i="67"/>
  <c r="AG120" i="67"/>
  <c r="R120" i="67"/>
  <c r="H120" i="67"/>
  <c r="V120" i="67"/>
  <c r="X120" i="67"/>
  <c r="I120" i="67"/>
  <c r="Y120" i="67"/>
  <c r="J120" i="67"/>
  <c r="Z120" i="67"/>
  <c r="AF120" i="67"/>
  <c r="AH120" i="67"/>
  <c r="J116" i="67" a="1"/>
  <c r="J116" i="67" s="1"/>
  <c r="Q116" i="67" a="1"/>
  <c r="Q116" i="67" s="1"/>
  <c r="Y116" i="67" a="1"/>
  <c r="Y116" i="67" s="1"/>
  <c r="AG116" i="67" a="1"/>
  <c r="AG116" i="67" s="1"/>
  <c r="L116" i="67" a="1"/>
  <c r="L116" i="67" s="1"/>
  <c r="S116" i="67" a="1"/>
  <c r="S116" i="67" s="1"/>
  <c r="AA116" i="67" a="1"/>
  <c r="AA116" i="67" s="1"/>
  <c r="AI116" i="67" a="1"/>
  <c r="AI116" i="67" s="1"/>
  <c r="I116" i="67" a="1"/>
  <c r="I116" i="67" s="1"/>
  <c r="O116" i="67" a="1"/>
  <c r="O116" i="67" s="1"/>
  <c r="W116" i="67" a="1"/>
  <c r="W116" i="67" s="1"/>
  <c r="AE116" i="67" a="1"/>
  <c r="AE116" i="67" s="1"/>
  <c r="P116" i="67" a="1"/>
  <c r="P116" i="67" s="1"/>
  <c r="X116" i="67" a="1"/>
  <c r="X116" i="67" s="1"/>
  <c r="AF116" i="67" a="1"/>
  <c r="AF116" i="67" s="1"/>
  <c r="R116" i="67" a="1"/>
  <c r="R116" i="67" s="1"/>
  <c r="AH116" i="67" a="1"/>
  <c r="AH116" i="67" s="1"/>
  <c r="AJ116" i="67" a="1"/>
  <c r="AJ116" i="67" s="1"/>
  <c r="T116" i="67" a="1"/>
  <c r="T116" i="67" s="1"/>
  <c r="U116" i="67" a="1"/>
  <c r="U116" i="67" s="1"/>
  <c r="V116" i="67" a="1"/>
  <c r="V116" i="67" s="1"/>
  <c r="Z116" i="67" a="1"/>
  <c r="Z116" i="67" s="1"/>
  <c r="M116" i="67" a="1"/>
  <c r="M116" i="67" s="1"/>
  <c r="AB116" i="67" a="1"/>
  <c r="AB116" i="67" s="1"/>
  <c r="AC116" i="67" a="1"/>
  <c r="AC116" i="67" s="1"/>
  <c r="K116" i="67" a="1"/>
  <c r="K116" i="67" s="1"/>
  <c r="N116" i="67" a="1"/>
  <c r="N116" i="67" s="1"/>
  <c r="AD116" i="67" a="1"/>
  <c r="AD116" i="67" s="1"/>
  <c r="H116" i="67" a="1"/>
  <c r="H116" i="67" s="1"/>
  <c r="L117" i="67" a="1"/>
  <c r="L117" i="67" s="1"/>
  <c r="T117" i="67" a="1"/>
  <c r="T117" i="67" s="1"/>
  <c r="AB117" i="67" a="1"/>
  <c r="AB117" i="67" s="1"/>
  <c r="AJ117" i="67" a="1"/>
  <c r="AJ117" i="67" s="1"/>
  <c r="N117" i="67" a="1"/>
  <c r="N117" i="67" s="1"/>
  <c r="V117" i="67" a="1"/>
  <c r="V117" i="67" s="1"/>
  <c r="AD117" i="67" a="1"/>
  <c r="AD117" i="67" s="1"/>
  <c r="J117" i="67" a="1"/>
  <c r="J117" i="67" s="1"/>
  <c r="R117" i="67" a="1"/>
  <c r="R117" i="67" s="1"/>
  <c r="Z117" i="67" a="1"/>
  <c r="Z117" i="67" s="1"/>
  <c r="AH117" i="67" a="1"/>
  <c r="AH117" i="67" s="1"/>
  <c r="K117" i="67" a="1"/>
  <c r="K117" i="67" s="1"/>
  <c r="S117" i="67" a="1"/>
  <c r="S117" i="67" s="1"/>
  <c r="AA117" i="67" a="1"/>
  <c r="AA117" i="67" s="1"/>
  <c r="AI117" i="67" a="1"/>
  <c r="AI117" i="67" s="1"/>
  <c r="U117" i="67" a="1"/>
  <c r="U117" i="67" s="1"/>
  <c r="W117" i="67" a="1"/>
  <c r="W117" i="67" s="1"/>
  <c r="I117" i="67" a="1"/>
  <c r="I117" i="67" s="1"/>
  <c r="AC117" i="67" a="1"/>
  <c r="AC117" i="67" s="1"/>
  <c r="H117" i="67" a="1"/>
  <c r="H117" i="67" s="1"/>
  <c r="X117" i="67" a="1"/>
  <c r="X117" i="67" s="1"/>
  <c r="Y117" i="67" a="1"/>
  <c r="Y117" i="67" s="1"/>
  <c r="G117" i="67" a="1"/>
  <c r="G117" i="67" s="1"/>
  <c r="AE117" i="67" a="1"/>
  <c r="AE117" i="67" s="1"/>
  <c r="O117" i="67" a="1"/>
  <c r="O117" i="67" s="1"/>
  <c r="P117" i="67" a="1"/>
  <c r="P117" i="67" s="1"/>
  <c r="AF117" i="67" a="1"/>
  <c r="AF117" i="67" s="1"/>
  <c r="Q117" i="67" a="1"/>
  <c r="Q117" i="67" s="1"/>
  <c r="AG117" i="67" a="1"/>
  <c r="AG117" i="67" s="1"/>
  <c r="M117" i="67" a="1"/>
  <c r="M117" i="67" s="1"/>
  <c r="Y102" i="63"/>
  <c r="Y53" i="63"/>
  <c r="Y13" i="63"/>
  <c r="X34" i="63"/>
  <c r="X97" i="63"/>
  <c r="Y104" i="63"/>
  <c r="Y105" i="63"/>
  <c r="Y8" i="63"/>
  <c r="O95" i="63"/>
  <c r="O92" i="63"/>
  <c r="X26" i="63"/>
  <c r="Y18" i="63"/>
  <c r="Y15" i="63"/>
  <c r="Y71" i="63"/>
  <c r="Y82" i="63"/>
  <c r="Y78" i="63"/>
  <c r="Y84" i="63"/>
  <c r="X49" i="63"/>
  <c r="X15" i="63"/>
  <c r="X22" i="63"/>
  <c r="X109" i="63"/>
  <c r="X106" i="63"/>
  <c r="O103" i="63"/>
  <c r="Y97" i="63"/>
  <c r="Y96" i="63"/>
  <c r="Y25" i="63"/>
  <c r="X87" i="63"/>
  <c r="X52" i="63"/>
  <c r="X70" i="63"/>
  <c r="Y20" i="63"/>
  <c r="X36" i="63"/>
  <c r="X60" i="63"/>
  <c r="X25" i="63"/>
  <c r="X13" i="63"/>
  <c r="X39" i="63"/>
  <c r="X99" i="63"/>
  <c r="X75" i="63"/>
  <c r="X21" i="63"/>
  <c r="X40" i="63"/>
  <c r="X33" i="63"/>
  <c r="X53" i="63"/>
  <c r="X35" i="63"/>
  <c r="Y79" i="63"/>
  <c r="Y65" i="63"/>
  <c r="X104" i="63"/>
  <c r="X84" i="63"/>
  <c r="X83" i="63"/>
  <c r="X98" i="63"/>
  <c r="Y68" i="63"/>
  <c r="X9" i="63"/>
  <c r="Y88" i="63"/>
  <c r="X95" i="63"/>
  <c r="X65" i="63"/>
  <c r="X7" i="63"/>
  <c r="Y83" i="63"/>
  <c r="Y12" i="63"/>
  <c r="X58" i="63"/>
  <c r="Y45" i="63"/>
  <c r="X55" i="63"/>
  <c r="O84" i="63"/>
  <c r="X42" i="63"/>
  <c r="X72" i="63"/>
  <c r="X62" i="63"/>
  <c r="X89" i="63"/>
  <c r="Y54" i="63"/>
  <c r="X88" i="63"/>
  <c r="X16" i="63"/>
  <c r="Y103" i="63"/>
  <c r="Y52" i="63"/>
  <c r="X24" i="63"/>
  <c r="Y109" i="63"/>
  <c r="Y92" i="63"/>
  <c r="X38" i="63"/>
  <c r="Y30" i="63"/>
  <c r="X45" i="63"/>
  <c r="X19" i="63"/>
  <c r="Y89" i="63"/>
  <c r="X54" i="63"/>
  <c r="Y43" i="63"/>
  <c r="X18" i="63"/>
  <c r="Y9" i="63"/>
  <c r="X79" i="63"/>
  <c r="Y67" i="63"/>
  <c r="Y42" i="63"/>
  <c r="X8" i="63"/>
  <c r="Y24" i="63"/>
  <c r="X111" i="63"/>
  <c r="X71" i="63"/>
  <c r="Y59" i="63"/>
  <c r="Y21" i="63"/>
  <c r="Y70" i="63"/>
  <c r="X37" i="63"/>
  <c r="X11" i="63"/>
  <c r="Y106" i="63"/>
  <c r="X81" i="63"/>
  <c r="Y44" i="63"/>
  <c r="X28" i="63"/>
  <c r="X10" i="63"/>
  <c r="Y86" i="63"/>
  <c r="X51" i="63"/>
  <c r="X32" i="63"/>
  <c r="Y14" i="63"/>
  <c r="Y60" i="63"/>
  <c r="Y31" i="63"/>
  <c r="Y94" i="63"/>
  <c r="Y40" i="63"/>
  <c r="Y23" i="63"/>
  <c r="X44" i="63"/>
  <c r="Y28" i="63"/>
  <c r="X94" i="63"/>
  <c r="O24" i="63"/>
  <c r="Y90" i="63"/>
  <c r="Y55" i="63"/>
  <c r="Y19" i="63"/>
  <c r="Y10" i="63"/>
  <c r="X86" i="63"/>
  <c r="Y75" i="63"/>
  <c r="X14" i="63"/>
  <c r="Y93" i="63"/>
  <c r="B89" i="62"/>
  <c r="B64" i="62"/>
  <c r="X105" i="63"/>
  <c r="X68" i="63"/>
  <c r="X96" i="63"/>
  <c r="Y16" i="63"/>
  <c r="Y95" i="63"/>
  <c r="X78" i="63"/>
  <c r="Y41" i="63"/>
  <c r="X103" i="63"/>
  <c r="X92" i="63"/>
  <c r="X47" i="63"/>
  <c r="Y99" i="63"/>
  <c r="X82" i="63"/>
  <c r="Y108" i="63"/>
  <c r="Y69" i="63"/>
  <c r="Y36" i="63"/>
  <c r="Y32" i="63"/>
  <c r="X93" i="63"/>
  <c r="X23" i="63"/>
  <c r="B68" i="62"/>
  <c r="Y35" i="63"/>
  <c r="Y26" i="63"/>
  <c r="X67" i="63"/>
  <c r="Y34" i="63"/>
  <c r="Y7" i="63"/>
  <c r="X41" i="63"/>
  <c r="Y101" i="63"/>
  <c r="Y39" i="63"/>
  <c r="Y22" i="63"/>
  <c r="Y100" i="63"/>
  <c r="Y47" i="63"/>
  <c r="Y38" i="63"/>
  <c r="X12" i="63"/>
  <c r="Y58" i="63"/>
  <c r="Y29" i="63"/>
  <c r="X20" i="63"/>
  <c r="X108" i="63"/>
  <c r="Y98" i="63"/>
  <c r="X69" i="63"/>
  <c r="B65" i="62"/>
  <c r="AC9" i="63"/>
  <c r="Y6" i="63"/>
  <c r="Y77" i="63"/>
  <c r="Y48" i="63"/>
  <c r="Y61" i="63"/>
  <c r="Y73" i="63"/>
  <c r="Y85" i="63"/>
  <c r="Y46" i="63"/>
  <c r="Y27" i="63"/>
  <c r="Y116" i="63"/>
  <c r="Y76" i="63"/>
  <c r="Y56" i="63"/>
  <c r="Y17" i="63"/>
  <c r="Y50" i="63"/>
  <c r="Y63" i="63"/>
  <c r="Y74" i="63"/>
  <c r="Y107" i="63"/>
  <c r="Y57" i="63"/>
  <c r="Y66" i="63"/>
  <c r="Y64" i="63"/>
  <c r="Y110" i="63"/>
  <c r="O45" i="63"/>
  <c r="AC8" i="63"/>
  <c r="X6" i="63"/>
  <c r="X48" i="63"/>
  <c r="X61" i="63"/>
  <c r="X73" i="63"/>
  <c r="X85" i="63"/>
  <c r="X27" i="63"/>
  <c r="X50" i="63"/>
  <c r="X116" i="63"/>
  <c r="X76" i="63"/>
  <c r="X46" i="63"/>
  <c r="X57" i="63"/>
  <c r="X66" i="63"/>
  <c r="X77" i="63"/>
  <c r="X56" i="63"/>
  <c r="X74" i="63"/>
  <c r="X64" i="63"/>
  <c r="X63" i="63"/>
  <c r="X110" i="63"/>
  <c r="X17" i="63"/>
  <c r="X107" i="63"/>
  <c r="X80" i="63"/>
  <c r="X43" i="63"/>
  <c r="Y33" i="63"/>
  <c r="Y87" i="63"/>
  <c r="X101" i="63"/>
  <c r="Y72" i="63"/>
  <c r="Y49" i="63"/>
  <c r="X100" i="63"/>
  <c r="X59" i="63"/>
  <c r="X30" i="63"/>
  <c r="X91" i="63"/>
  <c r="Y37" i="63"/>
  <c r="X29" i="63"/>
  <c r="X90" i="63"/>
  <c r="Y81" i="63"/>
  <c r="X31" i="63"/>
  <c r="B69" i="62"/>
  <c r="B95" i="62"/>
  <c r="B96" i="62"/>
  <c r="B92" i="62"/>
  <c r="B94" i="62"/>
  <c r="R137" i="63"/>
  <c r="O94" i="63"/>
  <c r="O79" i="63"/>
  <c r="O68" i="63"/>
  <c r="O125" i="63"/>
  <c r="O91" i="63"/>
  <c r="O75" i="63"/>
  <c r="O35" i="63"/>
  <c r="O82" i="63"/>
  <c r="O74" i="63"/>
  <c r="O66" i="63"/>
  <c r="O81" i="63"/>
  <c r="O128" i="63"/>
  <c r="O64" i="63"/>
  <c r="F109" i="67" l="1" a="1"/>
  <c r="F109" i="67" s="1"/>
  <c r="E109" i="67" a="1"/>
  <c r="E109" i="67" s="1"/>
  <c r="D109" i="67" a="1"/>
  <c r="D109" i="67" s="1"/>
  <c r="E110" i="67"/>
  <c r="F110" i="67"/>
  <c r="D110" i="67"/>
  <c r="B113" i="62"/>
  <c r="B116" i="62"/>
  <c r="B4" i="62"/>
  <c r="B141" i="62"/>
  <c r="B117" i="62"/>
  <c r="B135" i="62"/>
  <c r="B112" i="62"/>
  <c r="B138" i="62"/>
  <c r="B140" i="62"/>
  <c r="B142" i="62"/>
  <c r="B67" i="62"/>
  <c r="B66" i="62"/>
  <c r="B104" i="62"/>
  <c r="B105" i="62" s="1"/>
  <c r="O85" i="63"/>
  <c r="O71" i="63"/>
  <c r="O52" i="63"/>
  <c r="O34" i="63"/>
  <c r="O33" i="63"/>
  <c r="O111" i="63"/>
  <c r="O118" i="63"/>
  <c r="O101" i="63"/>
  <c r="O65" i="63"/>
  <c r="O100" i="63"/>
  <c r="O63" i="63"/>
  <c r="O38" i="63"/>
  <c r="O62" i="63"/>
  <c r="O121" i="63"/>
  <c r="O70" i="63"/>
  <c r="O42" i="63"/>
  <c r="O112" i="63"/>
  <c r="O80" i="63"/>
  <c r="O69" i="63"/>
  <c r="O58" i="63"/>
  <c r="O41" i="63"/>
  <c r="O119" i="63"/>
  <c r="O67" i="63"/>
  <c r="O40" i="63"/>
  <c r="O88" i="63"/>
  <c r="O55" i="63"/>
  <c r="O29" i="63"/>
  <c r="O99" i="63"/>
  <c r="O28" i="63"/>
  <c r="O86" i="63"/>
  <c r="O53" i="63"/>
  <c r="O44" i="63"/>
  <c r="O108" i="63"/>
  <c r="O87" i="63"/>
  <c r="O122" i="63"/>
  <c r="O114" i="63"/>
  <c r="O106" i="63"/>
  <c r="O97" i="63"/>
  <c r="O60" i="63"/>
  <c r="O26" i="63"/>
  <c r="O96" i="63"/>
  <c r="O51" i="63"/>
  <c r="O57" i="63"/>
  <c r="O39" i="63"/>
  <c r="O117" i="63"/>
  <c r="O116" i="63"/>
  <c r="O113" i="63"/>
  <c r="O105" i="63"/>
  <c r="O83" i="63"/>
  <c r="O59" i="63"/>
  <c r="O25" i="63"/>
  <c r="O102" i="63"/>
  <c r="O78" i="63"/>
  <c r="O49" i="63"/>
  <c r="O77" i="63"/>
  <c r="O48" i="63"/>
  <c r="O126" i="63"/>
  <c r="O76" i="63"/>
  <c r="O47" i="63"/>
  <c r="O37" i="63"/>
  <c r="O120" i="63"/>
  <c r="O104" i="63"/>
  <c r="O93" i="63"/>
  <c r="O50" i="63"/>
  <c r="O32" i="63"/>
  <c r="O129" i="63"/>
  <c r="O90" i="63"/>
  <c r="O31" i="63"/>
  <c r="O127" i="63"/>
  <c r="O89" i="63"/>
  <c r="O56" i="63"/>
  <c r="O30" i="63"/>
  <c r="O109" i="63"/>
  <c r="O73" i="63"/>
  <c r="O46" i="63"/>
  <c r="O115" i="63"/>
  <c r="O98" i="63"/>
  <c r="O72" i="63"/>
  <c r="O61" i="63"/>
  <c r="O27" i="63"/>
  <c r="O54" i="63"/>
  <c r="O43" i="63"/>
  <c r="O110" i="63"/>
  <c r="O124" i="63"/>
  <c r="O123" i="63"/>
  <c r="O107" i="63"/>
  <c r="O36" i="63"/>
  <c r="B115" i="62" l="1"/>
  <c r="B79" i="62"/>
  <c r="B80" i="62" s="1"/>
  <c r="B150" i="62"/>
  <c r="B151" i="62" s="1"/>
  <c r="B114" i="62"/>
  <c r="B3" i="62"/>
  <c r="B16" i="62" s="1"/>
  <c r="Q24" i="63"/>
  <c r="B127" i="62" l="1"/>
  <c r="B128" i="62" s="1"/>
  <c r="AJ105" i="56"/>
  <c r="S105" i="56"/>
  <c r="T105" i="56"/>
  <c r="U105" i="56"/>
  <c r="V105" i="56"/>
  <c r="W105" i="56"/>
  <c r="X105" i="56"/>
  <c r="Y105" i="56"/>
  <c r="Z105" i="56"/>
  <c r="AA105" i="56"/>
  <c r="AB105" i="56"/>
  <c r="AC105" i="56"/>
  <c r="AD105" i="56"/>
  <c r="AE105" i="56"/>
  <c r="AF105" i="56"/>
  <c r="AG105" i="56"/>
  <c r="AH105" i="56"/>
  <c r="AI105" i="56"/>
  <c r="H105" i="56"/>
  <c r="I105" i="56"/>
  <c r="J105" i="56"/>
  <c r="K105" i="56"/>
  <c r="L105" i="56"/>
  <c r="M105" i="56"/>
  <c r="N105" i="56"/>
  <c r="O105" i="56"/>
  <c r="P105" i="56"/>
  <c r="Q105" i="56"/>
  <c r="R105" i="56"/>
  <c r="E105" i="56"/>
  <c r="F105" i="56"/>
  <c r="G105" i="56"/>
  <c r="D105" i="56"/>
  <c r="AC139" i="56"/>
  <c r="AD139" i="56"/>
  <c r="AE139" i="56"/>
  <c r="AF139" i="56"/>
  <c r="AG139" i="56"/>
  <c r="AH139" i="56"/>
  <c r="AI139" i="56"/>
  <c r="AJ139" i="56"/>
  <c r="AB139" i="56"/>
  <c r="N139" i="56"/>
  <c r="O139" i="56"/>
  <c r="P139" i="56"/>
  <c r="Q139" i="56"/>
  <c r="R139" i="56"/>
  <c r="S139" i="56"/>
  <c r="T139" i="56"/>
  <c r="U139" i="56"/>
  <c r="V139" i="56"/>
  <c r="W139" i="56"/>
  <c r="X139" i="56"/>
  <c r="Y139" i="56"/>
  <c r="Z139" i="56"/>
  <c r="AA139" i="56"/>
  <c r="M139" i="56"/>
  <c r="E102" i="56"/>
  <c r="F102" i="56"/>
  <c r="G102" i="56"/>
  <c r="G132" i="56" s="1"/>
  <c r="H102" i="56"/>
  <c r="H219" i="56" s="1"/>
  <c r="I102" i="56"/>
  <c r="J102" i="56"/>
  <c r="K102" i="56"/>
  <c r="L102" i="56"/>
  <c r="M102" i="56"/>
  <c r="N102" i="56"/>
  <c r="O102" i="56"/>
  <c r="P102" i="56"/>
  <c r="Q102" i="56"/>
  <c r="R102" i="56"/>
  <c r="S102" i="56"/>
  <c r="T102" i="56"/>
  <c r="U102" i="56"/>
  <c r="V102" i="56"/>
  <c r="W102" i="56"/>
  <c r="X102" i="56"/>
  <c r="Y102" i="56"/>
  <c r="Z102" i="56"/>
  <c r="AA102" i="56"/>
  <c r="AB102" i="56"/>
  <c r="AC102" i="56"/>
  <c r="AD102" i="56"/>
  <c r="AE102" i="56"/>
  <c r="AF102" i="56"/>
  <c r="AG102" i="56"/>
  <c r="AH102" i="56"/>
  <c r="AI102" i="56"/>
  <c r="AJ102" i="56"/>
  <c r="D102" i="56"/>
  <c r="J139" i="56"/>
  <c r="H2502" i="55"/>
  <c r="H2500" i="55"/>
  <c r="H2499" i="55"/>
  <c r="H2497" i="55"/>
  <c r="H2496" i="55"/>
  <c r="H2495" i="55"/>
  <c r="H2494" i="55"/>
  <c r="H2493" i="55"/>
  <c r="H2492" i="55"/>
  <c r="H2491" i="55"/>
  <c r="H2490" i="55"/>
  <c r="H2489" i="55"/>
  <c r="H2488" i="55"/>
  <c r="H2487" i="55"/>
  <c r="H2486" i="55"/>
  <c r="H2485" i="55"/>
  <c r="H2484" i="55"/>
  <c r="H2483" i="55"/>
  <c r="H2482" i="55"/>
  <c r="H2481" i="55"/>
  <c r="H2480" i="55"/>
  <c r="H2479" i="55"/>
  <c r="H2478" i="55"/>
  <c r="H2477" i="55"/>
  <c r="H2475" i="55"/>
  <c r="H2474" i="55"/>
  <c r="H2473" i="55"/>
  <c r="H2472" i="55"/>
  <c r="H2471" i="55"/>
  <c r="H2470" i="55"/>
  <c r="H2469" i="55"/>
  <c r="H2466" i="55"/>
  <c r="H2463" i="55"/>
  <c r="H2462" i="55"/>
  <c r="H2461" i="55"/>
  <c r="H2460" i="55"/>
  <c r="H2459" i="55"/>
  <c r="H2458" i="55"/>
  <c r="H2456" i="55"/>
  <c r="H2453" i="55"/>
  <c r="H2451" i="55"/>
  <c r="H2450" i="55"/>
  <c r="H2449" i="55"/>
  <c r="H2446" i="55"/>
  <c r="H2445" i="55"/>
  <c r="H2444" i="55"/>
  <c r="H2443" i="55"/>
  <c r="H2442" i="55"/>
  <c r="H2440" i="55"/>
  <c r="H2438" i="55"/>
  <c r="H2436" i="55"/>
  <c r="H2435" i="55"/>
  <c r="H2434" i="55"/>
  <c r="H2433" i="55"/>
  <c r="H2432" i="55"/>
  <c r="H2431" i="55"/>
  <c r="H2430" i="55"/>
  <c r="H2429" i="55"/>
  <c r="H2428" i="55"/>
  <c r="H2427" i="55"/>
  <c r="H2426" i="55"/>
  <c r="H2425" i="55"/>
  <c r="H2424" i="55"/>
  <c r="H2423" i="55"/>
  <c r="H2422" i="55"/>
  <c r="H2421" i="55"/>
  <c r="H2420" i="55"/>
  <c r="H2419" i="55"/>
  <c r="H2417" i="55"/>
  <c r="H2416" i="55"/>
  <c r="H2415" i="55"/>
  <c r="H2414" i="55"/>
  <c r="H2413" i="55"/>
  <c r="H2412" i="55"/>
  <c r="H2411" i="55"/>
  <c r="H2410" i="55"/>
  <c r="H2409" i="55"/>
  <c r="H2407" i="55"/>
  <c r="H2406" i="55"/>
  <c r="H2405" i="55"/>
  <c r="H2404" i="55"/>
  <c r="H2403" i="55"/>
  <c r="H2402" i="55"/>
  <c r="H2401" i="55"/>
  <c r="H2400" i="55"/>
  <c r="H2399" i="55"/>
  <c r="H2398" i="55"/>
  <c r="H2397" i="55"/>
  <c r="G2388" i="55"/>
  <c r="AK111" i="55" s="1"/>
  <c r="G2386" i="55"/>
  <c r="AK109" i="55" s="1"/>
  <c r="G2385" i="55"/>
  <c r="AK108" i="55" s="1"/>
  <c r="G2383" i="55"/>
  <c r="AK106" i="55" s="1"/>
  <c r="G2382" i="55"/>
  <c r="AK105" i="55" s="1"/>
  <c r="G2381" i="55"/>
  <c r="AK104" i="55" s="1"/>
  <c r="G2380" i="55"/>
  <c r="AK103" i="55" s="1"/>
  <c r="G2379" i="55"/>
  <c r="AK102" i="55" s="1"/>
  <c r="G2378" i="55"/>
  <c r="AK101" i="55" s="1"/>
  <c r="G2377" i="55"/>
  <c r="AK100" i="55" s="1"/>
  <c r="G2376" i="55"/>
  <c r="AK99" i="55" s="1"/>
  <c r="G2375" i="55"/>
  <c r="AK98" i="55" s="1"/>
  <c r="G2374" i="55"/>
  <c r="AK97" i="55" s="1"/>
  <c r="G2373" i="55"/>
  <c r="AK96" i="55" s="1"/>
  <c r="G2372" i="55"/>
  <c r="AK95" i="55" s="1"/>
  <c r="G2371" i="55"/>
  <c r="AK94" i="55" s="1"/>
  <c r="G2370" i="55"/>
  <c r="AK93" i="55" s="1"/>
  <c r="G2369" i="55"/>
  <c r="AK92" i="55" s="1"/>
  <c r="G2368" i="55"/>
  <c r="AK91" i="55" s="1"/>
  <c r="G2367" i="55"/>
  <c r="AK90" i="55" s="1"/>
  <c r="G2366" i="55"/>
  <c r="AK89" i="55" s="1"/>
  <c r="G2365" i="55"/>
  <c r="AK88" i="55" s="1"/>
  <c r="G2364" i="55"/>
  <c r="AK87" i="55" s="1"/>
  <c r="G2363" i="55"/>
  <c r="AK86" i="55" s="1"/>
  <c r="G2361" i="55"/>
  <c r="AK84" i="55" s="1"/>
  <c r="G2360" i="55"/>
  <c r="AK83" i="55" s="1"/>
  <c r="G2359" i="55"/>
  <c r="AK82" i="55" s="1"/>
  <c r="G2358" i="55"/>
  <c r="AK81" i="55" s="1"/>
  <c r="G2357" i="55"/>
  <c r="AK80" i="55" s="1"/>
  <c r="G2356" i="55"/>
  <c r="AK79" i="55" s="1"/>
  <c r="G2355" i="55"/>
  <c r="AK78" i="55" s="1"/>
  <c r="G2352" i="55"/>
  <c r="AK75" i="55" s="1"/>
  <c r="G2349" i="55"/>
  <c r="AK72" i="55" s="1"/>
  <c r="G2348" i="55"/>
  <c r="AK71" i="55" s="1"/>
  <c r="G2347" i="55"/>
  <c r="AK70" i="55" s="1"/>
  <c r="G2346" i="55"/>
  <c r="AK69" i="55" s="1"/>
  <c r="G2345" i="55"/>
  <c r="AK68" i="55" s="1"/>
  <c r="G2344" i="55"/>
  <c r="AK67" i="55" s="1"/>
  <c r="G2342" i="55"/>
  <c r="AK65" i="55" s="1"/>
  <c r="G2339" i="55"/>
  <c r="AK62" i="55" s="1"/>
  <c r="G2337" i="55"/>
  <c r="AK60" i="55" s="1"/>
  <c r="G2336" i="55"/>
  <c r="AK59" i="55" s="1"/>
  <c r="G2335" i="55"/>
  <c r="AK58" i="55" s="1"/>
  <c r="G2332" i="55"/>
  <c r="AK55" i="55" s="1"/>
  <c r="G2331" i="55"/>
  <c r="AK54" i="55" s="1"/>
  <c r="G2330" i="55"/>
  <c r="AK53" i="55" s="1"/>
  <c r="G2329" i="55"/>
  <c r="AK52" i="55" s="1"/>
  <c r="G2328" i="55"/>
  <c r="AK51" i="55" s="1"/>
  <c r="G2326" i="55"/>
  <c r="AK49" i="55" s="1"/>
  <c r="G2324" i="55"/>
  <c r="AK47" i="55" s="1"/>
  <c r="G2322" i="55"/>
  <c r="AK45" i="55" s="1"/>
  <c r="G2321" i="55"/>
  <c r="AK44" i="55" s="1"/>
  <c r="G2320" i="55"/>
  <c r="AK43" i="55" s="1"/>
  <c r="G2319" i="55"/>
  <c r="AK42" i="55" s="1"/>
  <c r="G2318" i="55"/>
  <c r="AK41" i="55" s="1"/>
  <c r="G2317" i="55"/>
  <c r="AK40" i="55" s="1"/>
  <c r="G2316" i="55"/>
  <c r="AK39" i="55" s="1"/>
  <c r="G2315" i="55"/>
  <c r="AK38" i="55" s="1"/>
  <c r="G2314" i="55"/>
  <c r="AK37" i="55" s="1"/>
  <c r="G2313" i="55"/>
  <c r="AK36" i="55" s="1"/>
  <c r="G2312" i="55"/>
  <c r="AK35" i="55" s="1"/>
  <c r="G2311" i="55"/>
  <c r="AK34" i="55" s="1"/>
  <c r="G2310" i="55"/>
  <c r="AK33" i="55" s="1"/>
  <c r="G2309" i="55"/>
  <c r="AK32" i="55" s="1"/>
  <c r="G2308" i="55"/>
  <c r="AK31" i="55" s="1"/>
  <c r="G2307" i="55"/>
  <c r="AK30" i="55" s="1"/>
  <c r="G2306" i="55"/>
  <c r="AK29" i="55" s="1"/>
  <c r="G2305" i="55"/>
  <c r="AK28" i="55" s="1"/>
  <c r="G2303" i="55"/>
  <c r="AK26" i="55" s="1"/>
  <c r="G2302" i="55"/>
  <c r="AK25" i="55" s="1"/>
  <c r="G2301" i="55"/>
  <c r="AK24" i="55" s="1"/>
  <c r="G2300" i="55"/>
  <c r="AK23" i="55" s="1"/>
  <c r="G2299" i="55"/>
  <c r="AK22" i="55" s="1"/>
  <c r="G2298" i="55"/>
  <c r="AK21" i="55" s="1"/>
  <c r="G2297" i="55"/>
  <c r="AK20" i="55" s="1"/>
  <c r="G2296" i="55"/>
  <c r="AK19" i="55" s="1"/>
  <c r="G2295" i="55"/>
  <c r="AK18" i="55" s="1"/>
  <c r="G2293" i="55"/>
  <c r="AK16" i="55" s="1"/>
  <c r="G2292" i="55"/>
  <c r="AK15" i="55" s="1"/>
  <c r="G2291" i="55"/>
  <c r="AK14" i="55" s="1"/>
  <c r="G2290" i="55"/>
  <c r="AK13" i="55" s="1"/>
  <c r="G2289" i="55"/>
  <c r="AK12" i="55" s="1"/>
  <c r="G2288" i="55"/>
  <c r="AK11" i="55" s="1"/>
  <c r="G2287" i="55"/>
  <c r="AK10" i="55" s="1"/>
  <c r="G2286" i="55"/>
  <c r="AK9" i="55" s="1"/>
  <c r="G2285" i="55"/>
  <c r="AK8" i="55" s="1"/>
  <c r="G2284" i="55"/>
  <c r="AK7" i="55" s="1"/>
  <c r="G2283" i="55"/>
  <c r="AK6" i="55" s="1"/>
  <c r="F2275" i="55"/>
  <c r="F2273" i="55"/>
  <c r="F2272" i="55"/>
  <c r="F2270" i="55"/>
  <c r="F2269" i="55"/>
  <c r="F2268" i="55"/>
  <c r="F2267" i="55"/>
  <c r="F2266" i="55"/>
  <c r="F2265" i="55"/>
  <c r="F2264" i="55"/>
  <c r="F2263" i="55"/>
  <c r="F2262" i="55"/>
  <c r="F2261" i="55"/>
  <c r="F2260" i="55"/>
  <c r="F2259" i="55"/>
  <c r="F2258" i="55"/>
  <c r="F2257" i="55"/>
  <c r="F2256" i="55"/>
  <c r="F2255" i="55"/>
  <c r="F2254" i="55"/>
  <c r="F2253" i="55"/>
  <c r="F2252" i="55"/>
  <c r="F2251" i="55"/>
  <c r="F2250" i="55"/>
  <c r="F2248" i="55"/>
  <c r="F2247" i="55"/>
  <c r="F2246" i="55"/>
  <c r="F2245" i="55"/>
  <c r="F2244" i="55"/>
  <c r="F2243" i="55"/>
  <c r="F2242" i="55"/>
  <c r="F2239" i="55"/>
  <c r="F2236" i="55"/>
  <c r="F2235" i="55"/>
  <c r="F2234" i="55"/>
  <c r="F2233" i="55"/>
  <c r="F2232" i="55"/>
  <c r="F2231" i="55"/>
  <c r="F2229" i="55"/>
  <c r="F2226" i="55"/>
  <c r="F2224" i="55"/>
  <c r="F2223" i="55"/>
  <c r="F2222" i="55"/>
  <c r="F2219" i="55"/>
  <c r="F2218" i="55"/>
  <c r="F2217" i="55"/>
  <c r="F2216" i="55"/>
  <c r="F2215" i="55"/>
  <c r="F2213" i="55"/>
  <c r="F2211" i="55"/>
  <c r="F2209" i="55"/>
  <c r="F2208" i="55"/>
  <c r="F2207" i="55"/>
  <c r="F2206" i="55"/>
  <c r="F2205" i="55"/>
  <c r="F2204" i="55"/>
  <c r="F2203" i="55"/>
  <c r="F2202" i="55"/>
  <c r="F2201" i="55"/>
  <c r="F2200" i="55"/>
  <c r="F2199" i="55"/>
  <c r="F2198" i="55"/>
  <c r="F2197" i="55"/>
  <c r="F2196" i="55"/>
  <c r="F2195" i="55"/>
  <c r="F2194" i="55"/>
  <c r="F2193" i="55"/>
  <c r="F2192" i="55"/>
  <c r="F2190" i="55"/>
  <c r="F2189" i="55"/>
  <c r="F2188" i="55"/>
  <c r="F2187" i="55"/>
  <c r="F2186" i="55"/>
  <c r="F2185" i="55"/>
  <c r="F2184" i="55"/>
  <c r="F2183" i="55"/>
  <c r="F2182" i="55"/>
  <c r="F2180" i="55"/>
  <c r="F2179" i="55"/>
  <c r="F2178" i="55"/>
  <c r="F2177" i="55"/>
  <c r="F2176" i="55"/>
  <c r="F2175" i="55"/>
  <c r="F2174" i="55"/>
  <c r="F2173" i="55"/>
  <c r="F2172" i="55"/>
  <c r="F2171" i="55"/>
  <c r="F2170" i="55"/>
  <c r="G2162" i="55"/>
  <c r="G2160" i="55"/>
  <c r="G2159" i="55"/>
  <c r="G2157" i="55"/>
  <c r="G2156" i="55"/>
  <c r="G2155" i="55"/>
  <c r="G2154" i="55"/>
  <c r="G2153" i="55"/>
  <c r="G2152" i="55"/>
  <c r="G2151" i="55"/>
  <c r="G2150" i="55"/>
  <c r="G2149" i="55"/>
  <c r="G2148" i="55"/>
  <c r="G2147" i="55"/>
  <c r="G2146" i="55"/>
  <c r="G2145" i="55"/>
  <c r="G2144" i="55"/>
  <c r="G2143" i="55"/>
  <c r="G2142" i="55"/>
  <c r="G2141" i="55"/>
  <c r="G2140" i="55"/>
  <c r="G2139" i="55"/>
  <c r="G2138" i="55"/>
  <c r="G2137" i="55"/>
  <c r="G2135" i="55"/>
  <c r="G2134" i="55"/>
  <c r="G2133" i="55"/>
  <c r="G2132" i="55"/>
  <c r="G2131" i="55"/>
  <c r="G2130" i="55"/>
  <c r="G2129" i="55"/>
  <c r="G2126" i="55"/>
  <c r="G2123" i="55"/>
  <c r="G2122" i="55"/>
  <c r="G2121" i="55"/>
  <c r="G2120" i="55"/>
  <c r="G2119" i="55"/>
  <c r="G2118" i="55"/>
  <c r="G2116" i="55"/>
  <c r="G2113" i="55"/>
  <c r="G2111" i="55"/>
  <c r="G2110" i="55"/>
  <c r="G2109" i="55"/>
  <c r="G2106" i="55"/>
  <c r="G2105" i="55"/>
  <c r="G2104" i="55"/>
  <c r="G2103" i="55"/>
  <c r="G2102" i="55"/>
  <c r="G2100" i="55"/>
  <c r="G2098" i="55"/>
  <c r="G2096" i="55"/>
  <c r="G2095" i="55"/>
  <c r="G2094" i="55"/>
  <c r="G2093" i="55"/>
  <c r="G2092" i="55"/>
  <c r="G2091" i="55"/>
  <c r="G2090" i="55"/>
  <c r="G2089" i="55"/>
  <c r="G2088" i="55"/>
  <c r="G2087" i="55"/>
  <c r="G2086" i="55"/>
  <c r="G2085" i="55"/>
  <c r="G2084" i="55"/>
  <c r="G2083" i="55"/>
  <c r="G2082" i="55"/>
  <c r="G2081" i="55"/>
  <c r="G2080" i="55"/>
  <c r="G2079" i="55"/>
  <c r="G2077" i="55"/>
  <c r="G2076" i="55"/>
  <c r="G2075" i="55"/>
  <c r="G2074" i="55"/>
  <c r="G2073" i="55"/>
  <c r="G2072" i="55"/>
  <c r="G2071" i="55"/>
  <c r="G2070" i="55"/>
  <c r="G2069" i="55"/>
  <c r="G2067" i="55"/>
  <c r="G2066" i="55"/>
  <c r="G2065" i="55"/>
  <c r="G2064" i="55"/>
  <c r="G2063" i="55"/>
  <c r="G2062" i="55"/>
  <c r="G2061" i="55"/>
  <c r="G2060" i="55"/>
  <c r="G2059" i="55"/>
  <c r="G2058" i="55"/>
  <c r="G2057" i="55"/>
  <c r="F2049" i="55"/>
  <c r="F2047" i="55"/>
  <c r="F2046" i="55"/>
  <c r="F2044" i="55"/>
  <c r="F2043" i="55"/>
  <c r="F2042" i="55"/>
  <c r="F2041" i="55"/>
  <c r="F2040" i="55"/>
  <c r="F2039" i="55"/>
  <c r="F2038" i="55"/>
  <c r="F2037" i="55"/>
  <c r="F2036" i="55"/>
  <c r="F2035" i="55"/>
  <c r="F2034" i="55"/>
  <c r="F2033" i="55"/>
  <c r="F2032" i="55"/>
  <c r="F2031" i="55"/>
  <c r="F2030" i="55"/>
  <c r="F2029" i="55"/>
  <c r="F2028" i="55"/>
  <c r="F2027" i="55"/>
  <c r="F2026" i="55"/>
  <c r="F2025" i="55"/>
  <c r="F2024" i="55"/>
  <c r="F2022" i="55"/>
  <c r="F2021" i="55"/>
  <c r="F2020" i="55"/>
  <c r="F2019" i="55"/>
  <c r="F2018" i="55"/>
  <c r="F2017" i="55"/>
  <c r="F2016" i="55"/>
  <c r="F2013" i="55"/>
  <c r="F2010" i="55"/>
  <c r="F2009" i="55"/>
  <c r="F2008" i="55"/>
  <c r="F2007" i="55"/>
  <c r="F2006" i="55"/>
  <c r="F2005" i="55"/>
  <c r="F2003" i="55"/>
  <c r="F2000" i="55"/>
  <c r="F1998" i="55"/>
  <c r="F1997" i="55"/>
  <c r="F1996" i="55"/>
  <c r="F1993" i="55"/>
  <c r="F1992" i="55"/>
  <c r="F1991" i="55"/>
  <c r="F1990" i="55"/>
  <c r="F1989" i="55"/>
  <c r="F1987" i="55"/>
  <c r="F1985" i="55"/>
  <c r="F1983" i="55"/>
  <c r="F1982" i="55"/>
  <c r="F1981" i="55"/>
  <c r="F1980" i="55"/>
  <c r="F1979" i="55"/>
  <c r="F1978" i="55"/>
  <c r="F1977" i="55"/>
  <c r="F1976" i="55"/>
  <c r="F1975" i="55"/>
  <c r="F1974" i="55"/>
  <c r="F1973" i="55"/>
  <c r="F1972" i="55"/>
  <c r="F1971" i="55"/>
  <c r="F1970" i="55"/>
  <c r="F1969" i="55"/>
  <c r="F1968" i="55"/>
  <c r="F1967" i="55"/>
  <c r="F1966" i="55"/>
  <c r="F1964" i="55"/>
  <c r="F1963" i="55"/>
  <c r="F1962" i="55"/>
  <c r="F1961" i="55"/>
  <c r="F1960" i="55"/>
  <c r="F1959" i="55"/>
  <c r="F1958" i="55"/>
  <c r="F1957" i="55"/>
  <c r="F1956" i="55"/>
  <c r="F1954" i="55"/>
  <c r="F1953" i="55"/>
  <c r="F1952" i="55"/>
  <c r="F1951" i="55"/>
  <c r="F1950" i="55"/>
  <c r="F1949" i="55"/>
  <c r="F1948" i="55"/>
  <c r="F1947" i="55"/>
  <c r="F1946" i="55"/>
  <c r="F1945" i="55"/>
  <c r="F1944" i="55"/>
  <c r="F1937" i="55"/>
  <c r="AH111" i="55" s="1"/>
  <c r="F1935" i="55"/>
  <c r="AH109" i="55" s="1"/>
  <c r="F1934" i="55"/>
  <c r="AH108" i="55" s="1"/>
  <c r="F1932" i="55"/>
  <c r="AH106" i="55" s="1"/>
  <c r="F1931" i="55"/>
  <c r="AH105" i="55" s="1"/>
  <c r="F1930" i="55"/>
  <c r="AH104" i="55" s="1"/>
  <c r="F1929" i="55"/>
  <c r="AH103" i="55" s="1"/>
  <c r="F1928" i="55"/>
  <c r="AH102" i="55" s="1"/>
  <c r="F1927" i="55"/>
  <c r="AH101" i="55" s="1"/>
  <c r="F1926" i="55"/>
  <c r="AH100" i="55" s="1"/>
  <c r="F1925" i="55"/>
  <c r="AH99" i="55" s="1"/>
  <c r="F1924" i="55"/>
  <c r="AH98" i="55" s="1"/>
  <c r="F1923" i="55"/>
  <c r="AH97" i="55" s="1"/>
  <c r="F1922" i="55"/>
  <c r="AH96" i="55" s="1"/>
  <c r="F1921" i="55"/>
  <c r="AH95" i="55" s="1"/>
  <c r="F1920" i="55"/>
  <c r="AH94" i="55" s="1"/>
  <c r="F1919" i="55"/>
  <c r="AH93" i="55" s="1"/>
  <c r="F1918" i="55"/>
  <c r="AH92" i="55" s="1"/>
  <c r="F1917" i="55"/>
  <c r="AH91" i="55" s="1"/>
  <c r="F1916" i="55"/>
  <c r="AH90" i="55" s="1"/>
  <c r="F1915" i="55"/>
  <c r="AH89" i="55" s="1"/>
  <c r="F1914" i="55"/>
  <c r="AH88" i="55" s="1"/>
  <c r="F1913" i="55"/>
  <c r="AH87" i="55" s="1"/>
  <c r="F1912" i="55"/>
  <c r="AH86" i="55" s="1"/>
  <c r="F1910" i="55"/>
  <c r="AH84" i="55" s="1"/>
  <c r="F1909" i="55"/>
  <c r="AH83" i="55" s="1"/>
  <c r="F1908" i="55"/>
  <c r="AH82" i="55" s="1"/>
  <c r="F1907" i="55"/>
  <c r="AH81" i="55" s="1"/>
  <c r="F1906" i="55"/>
  <c r="AH80" i="55" s="1"/>
  <c r="F1905" i="55"/>
  <c r="AH79" i="55" s="1"/>
  <c r="F1904" i="55"/>
  <c r="AH78" i="55" s="1"/>
  <c r="F1901" i="55"/>
  <c r="AH75" i="55" s="1"/>
  <c r="F1898" i="55"/>
  <c r="AH72" i="55" s="1"/>
  <c r="F1897" i="55"/>
  <c r="AH71" i="55" s="1"/>
  <c r="F1896" i="55"/>
  <c r="AH70" i="55" s="1"/>
  <c r="F1895" i="55"/>
  <c r="AH69" i="55" s="1"/>
  <c r="F1894" i="55"/>
  <c r="AH68" i="55" s="1"/>
  <c r="F1893" i="55"/>
  <c r="AH67" i="55" s="1"/>
  <c r="F1891" i="55"/>
  <c r="AH65" i="55" s="1"/>
  <c r="F1888" i="55"/>
  <c r="AH62" i="55" s="1"/>
  <c r="F1886" i="55"/>
  <c r="AH60" i="55" s="1"/>
  <c r="F1885" i="55"/>
  <c r="AH59" i="55" s="1"/>
  <c r="F1884" i="55"/>
  <c r="AH58" i="55" s="1"/>
  <c r="F1881" i="55"/>
  <c r="AH55" i="55" s="1"/>
  <c r="F1880" i="55"/>
  <c r="AH54" i="55" s="1"/>
  <c r="F1879" i="55"/>
  <c r="AH53" i="55" s="1"/>
  <c r="F1878" i="55"/>
  <c r="AH52" i="55" s="1"/>
  <c r="F1877" i="55"/>
  <c r="AH51" i="55" s="1"/>
  <c r="F1875" i="55"/>
  <c r="AH49" i="55" s="1"/>
  <c r="F1873" i="55"/>
  <c r="AH47" i="55" s="1"/>
  <c r="F1871" i="55"/>
  <c r="AH45" i="55" s="1"/>
  <c r="F1870" i="55"/>
  <c r="AH44" i="55" s="1"/>
  <c r="F1869" i="55"/>
  <c r="AH43" i="55" s="1"/>
  <c r="F1868" i="55"/>
  <c r="AH42" i="55" s="1"/>
  <c r="F1867" i="55"/>
  <c r="AH41" i="55" s="1"/>
  <c r="F1866" i="55"/>
  <c r="AH40" i="55" s="1"/>
  <c r="F1865" i="55"/>
  <c r="AH39" i="55" s="1"/>
  <c r="F1864" i="55"/>
  <c r="AH38" i="55" s="1"/>
  <c r="F1863" i="55"/>
  <c r="AH37" i="55" s="1"/>
  <c r="F1862" i="55"/>
  <c r="AH36" i="55" s="1"/>
  <c r="F1861" i="55"/>
  <c r="AH35" i="55" s="1"/>
  <c r="F1860" i="55"/>
  <c r="AH34" i="55" s="1"/>
  <c r="F1859" i="55"/>
  <c r="AH33" i="55" s="1"/>
  <c r="F1858" i="55"/>
  <c r="AH32" i="55" s="1"/>
  <c r="F1857" i="55"/>
  <c r="AH31" i="55" s="1"/>
  <c r="F1856" i="55"/>
  <c r="AH30" i="55" s="1"/>
  <c r="F1855" i="55"/>
  <c r="AH29" i="55" s="1"/>
  <c r="F1854" i="55"/>
  <c r="AH28" i="55" s="1"/>
  <c r="F1852" i="55"/>
  <c r="AH26" i="55" s="1"/>
  <c r="F1851" i="55"/>
  <c r="AH25" i="55" s="1"/>
  <c r="F1850" i="55"/>
  <c r="AH24" i="55" s="1"/>
  <c r="F1849" i="55"/>
  <c r="AH23" i="55" s="1"/>
  <c r="F1848" i="55"/>
  <c r="AH22" i="55" s="1"/>
  <c r="F1847" i="55"/>
  <c r="AH21" i="55" s="1"/>
  <c r="F1846" i="55"/>
  <c r="AH20" i="55" s="1"/>
  <c r="F1845" i="55"/>
  <c r="AH19" i="55" s="1"/>
  <c r="F1844" i="55"/>
  <c r="AH18" i="55" s="1"/>
  <c r="F1842" i="55"/>
  <c r="AH16" i="55" s="1"/>
  <c r="F1841" i="55"/>
  <c r="AH15" i="55" s="1"/>
  <c r="F1840" i="55"/>
  <c r="AH14" i="55" s="1"/>
  <c r="F1839" i="55"/>
  <c r="AH13" i="55" s="1"/>
  <c r="F1838" i="55"/>
  <c r="AH12" i="55" s="1"/>
  <c r="F1837" i="55"/>
  <c r="AH11" i="55" s="1"/>
  <c r="F1836" i="55"/>
  <c r="AH10" i="55" s="1"/>
  <c r="F1835" i="55"/>
  <c r="AH9" i="55" s="1"/>
  <c r="F1834" i="55"/>
  <c r="AH8" i="55" s="1"/>
  <c r="F1833" i="55"/>
  <c r="AH7" i="55" s="1"/>
  <c r="F1832" i="55"/>
  <c r="AH6" i="55" s="1"/>
  <c r="I1821" i="55"/>
  <c r="I1819" i="55"/>
  <c r="I1818" i="55"/>
  <c r="I1816" i="55"/>
  <c r="I1815" i="55"/>
  <c r="I1814" i="55"/>
  <c r="I1813" i="55"/>
  <c r="I1812" i="55"/>
  <c r="I1811" i="55"/>
  <c r="I1810" i="55"/>
  <c r="I1809" i="55"/>
  <c r="I1808" i="55"/>
  <c r="I1807" i="55"/>
  <c r="I1806" i="55"/>
  <c r="I1805" i="55"/>
  <c r="I1804" i="55"/>
  <c r="I1803" i="55"/>
  <c r="I1802" i="55"/>
  <c r="I1801" i="55"/>
  <c r="I1800" i="55"/>
  <c r="I1799" i="55"/>
  <c r="I1798" i="55"/>
  <c r="I1797" i="55"/>
  <c r="I1796" i="55"/>
  <c r="I1794" i="55"/>
  <c r="I1793" i="55"/>
  <c r="I1792" i="55"/>
  <c r="I1791" i="55"/>
  <c r="I1790" i="55"/>
  <c r="I1789" i="55"/>
  <c r="I1788" i="55"/>
  <c r="I1785" i="55"/>
  <c r="I1782" i="55"/>
  <c r="I1781" i="55"/>
  <c r="I1780" i="55"/>
  <c r="I1779" i="55"/>
  <c r="I1778" i="55"/>
  <c r="I1777" i="55"/>
  <c r="I1775" i="55"/>
  <c r="I1772" i="55"/>
  <c r="I1770" i="55"/>
  <c r="I1769" i="55"/>
  <c r="I1768" i="55"/>
  <c r="I1765" i="55"/>
  <c r="I1764" i="55"/>
  <c r="I1763" i="55"/>
  <c r="I1762" i="55"/>
  <c r="I1761" i="55"/>
  <c r="I1759" i="55"/>
  <c r="I1757" i="55"/>
  <c r="I1755" i="55"/>
  <c r="I1754" i="55"/>
  <c r="I1753" i="55"/>
  <c r="I1752" i="55"/>
  <c r="I1751" i="55"/>
  <c r="I1750" i="55"/>
  <c r="I1749" i="55"/>
  <c r="I1748" i="55"/>
  <c r="I1747" i="55"/>
  <c r="I1746" i="55"/>
  <c r="I1745" i="55"/>
  <c r="I1744" i="55"/>
  <c r="I1743" i="55"/>
  <c r="I1742" i="55"/>
  <c r="I1741" i="55"/>
  <c r="I1740" i="55"/>
  <c r="I1739" i="55"/>
  <c r="I1738" i="55"/>
  <c r="I1736" i="55"/>
  <c r="I1735" i="55"/>
  <c r="I1734" i="55"/>
  <c r="I1733" i="55"/>
  <c r="I1732" i="55"/>
  <c r="I1731" i="55"/>
  <c r="I1730" i="55"/>
  <c r="I1729" i="55"/>
  <c r="I1728" i="55"/>
  <c r="I1726" i="55"/>
  <c r="I1725" i="55"/>
  <c r="I1724" i="55"/>
  <c r="I1723" i="55"/>
  <c r="I1722" i="55"/>
  <c r="I1721" i="55"/>
  <c r="I1720" i="55"/>
  <c r="I1719" i="55"/>
  <c r="I1718" i="55"/>
  <c r="I1717" i="55"/>
  <c r="I1716" i="55"/>
  <c r="I1708" i="55"/>
  <c r="I1706" i="55"/>
  <c r="I1705" i="55"/>
  <c r="I1703" i="55"/>
  <c r="I1702" i="55"/>
  <c r="I1701" i="55"/>
  <c r="I1700" i="55"/>
  <c r="I1699" i="55"/>
  <c r="I1698" i="55"/>
  <c r="I1697" i="55"/>
  <c r="I1696" i="55"/>
  <c r="I1695" i="55"/>
  <c r="I1694" i="55"/>
  <c r="I1693" i="55"/>
  <c r="I1692" i="55"/>
  <c r="I1691" i="55"/>
  <c r="I1690" i="55"/>
  <c r="I1689" i="55"/>
  <c r="I1688" i="55"/>
  <c r="I1687" i="55"/>
  <c r="I1686" i="55"/>
  <c r="I1685" i="55"/>
  <c r="I1684" i="55"/>
  <c r="I1683" i="55"/>
  <c r="I1681" i="55"/>
  <c r="I1680" i="55"/>
  <c r="I1679" i="55"/>
  <c r="I1678" i="55"/>
  <c r="I1677" i="55"/>
  <c r="I1676" i="55"/>
  <c r="I1675" i="55"/>
  <c r="I1672" i="55"/>
  <c r="I1669" i="55"/>
  <c r="I1668" i="55"/>
  <c r="I1667" i="55"/>
  <c r="I1666" i="55"/>
  <c r="I1665" i="55"/>
  <c r="I1664" i="55"/>
  <c r="I1662" i="55"/>
  <c r="I1659" i="55"/>
  <c r="I1657" i="55"/>
  <c r="I1656" i="55"/>
  <c r="I1655" i="55"/>
  <c r="I1652" i="55"/>
  <c r="I1651" i="55"/>
  <c r="I1650" i="55"/>
  <c r="I1649" i="55"/>
  <c r="I1648" i="55"/>
  <c r="I1646" i="55"/>
  <c r="I1644" i="55"/>
  <c r="I1642" i="55"/>
  <c r="I1641" i="55"/>
  <c r="I1640" i="55"/>
  <c r="I1639" i="55"/>
  <c r="I1638" i="55"/>
  <c r="I1637" i="55"/>
  <c r="I1636" i="55"/>
  <c r="I1635" i="55"/>
  <c r="I1634" i="55"/>
  <c r="I1633" i="55"/>
  <c r="I1632" i="55"/>
  <c r="I1631" i="55"/>
  <c r="I1630" i="55"/>
  <c r="I1629" i="55"/>
  <c r="I1628" i="55"/>
  <c r="I1627" i="55"/>
  <c r="I1626" i="55"/>
  <c r="I1625" i="55"/>
  <c r="I1623" i="55"/>
  <c r="I1622" i="55"/>
  <c r="I1621" i="55"/>
  <c r="I1620" i="55"/>
  <c r="I1619" i="55"/>
  <c r="I1618" i="55"/>
  <c r="I1617" i="55"/>
  <c r="I1616" i="55"/>
  <c r="I1615" i="55"/>
  <c r="I1613" i="55"/>
  <c r="I1612" i="55"/>
  <c r="I1611" i="55"/>
  <c r="I1610" i="55"/>
  <c r="I1609" i="55"/>
  <c r="I1608" i="55"/>
  <c r="I1607" i="55"/>
  <c r="I1606" i="55"/>
  <c r="I1605" i="55"/>
  <c r="I1604" i="55"/>
  <c r="I1603" i="55"/>
  <c r="I1595" i="55"/>
  <c r="Z111" i="55" s="1"/>
  <c r="I1593" i="55"/>
  <c r="Z109" i="55" s="1"/>
  <c r="I1592" i="55"/>
  <c r="Z108" i="55" s="1"/>
  <c r="I1590" i="55"/>
  <c r="Z106" i="55" s="1"/>
  <c r="I1589" i="55"/>
  <c r="Z105" i="55" s="1"/>
  <c r="I1588" i="55"/>
  <c r="Z104" i="55" s="1"/>
  <c r="I1587" i="55"/>
  <c r="Z103" i="55" s="1"/>
  <c r="I1586" i="55"/>
  <c r="Z102" i="55" s="1"/>
  <c r="I1585" i="55"/>
  <c r="Z101" i="55" s="1"/>
  <c r="I1584" i="55"/>
  <c r="Z100" i="55" s="1"/>
  <c r="I1583" i="55"/>
  <c r="Z99" i="55" s="1"/>
  <c r="I1582" i="55"/>
  <c r="Z98" i="55" s="1"/>
  <c r="I1581" i="55"/>
  <c r="Z97" i="55" s="1"/>
  <c r="I1580" i="55"/>
  <c r="Z96" i="55" s="1"/>
  <c r="I1579" i="55"/>
  <c r="Z95" i="55" s="1"/>
  <c r="I1578" i="55"/>
  <c r="Z94" i="55" s="1"/>
  <c r="I1577" i="55"/>
  <c r="Z93" i="55" s="1"/>
  <c r="I1576" i="55"/>
  <c r="Z92" i="55" s="1"/>
  <c r="I1575" i="55"/>
  <c r="Z91" i="55" s="1"/>
  <c r="I1574" i="55"/>
  <c r="Z90" i="55" s="1"/>
  <c r="I1573" i="55"/>
  <c r="Z89" i="55" s="1"/>
  <c r="I1572" i="55"/>
  <c r="Z88" i="55" s="1"/>
  <c r="I1571" i="55"/>
  <c r="Z87" i="55" s="1"/>
  <c r="I1570" i="55"/>
  <c r="Z86" i="55" s="1"/>
  <c r="I1568" i="55"/>
  <c r="Z84" i="55" s="1"/>
  <c r="I1567" i="55"/>
  <c r="Z83" i="55" s="1"/>
  <c r="I1566" i="55"/>
  <c r="Z82" i="55" s="1"/>
  <c r="I1565" i="55"/>
  <c r="Z81" i="55" s="1"/>
  <c r="I1564" i="55"/>
  <c r="Z80" i="55" s="1"/>
  <c r="I1563" i="55"/>
  <c r="Z79" i="55" s="1"/>
  <c r="I1562" i="55"/>
  <c r="Z78" i="55" s="1"/>
  <c r="I1559" i="55"/>
  <c r="Z75" i="55" s="1"/>
  <c r="I1556" i="55"/>
  <c r="Z72" i="55" s="1"/>
  <c r="I1555" i="55"/>
  <c r="Z71" i="55" s="1"/>
  <c r="I1554" i="55"/>
  <c r="Z70" i="55" s="1"/>
  <c r="I1553" i="55"/>
  <c r="Z69" i="55" s="1"/>
  <c r="I1552" i="55"/>
  <c r="Z68" i="55" s="1"/>
  <c r="I1551" i="55"/>
  <c r="Z67" i="55" s="1"/>
  <c r="I1549" i="55"/>
  <c r="Z65" i="55" s="1"/>
  <c r="I1546" i="55"/>
  <c r="Z62" i="55" s="1"/>
  <c r="I1544" i="55"/>
  <c r="Z60" i="55" s="1"/>
  <c r="I1543" i="55"/>
  <c r="Z59" i="55" s="1"/>
  <c r="I1542" i="55"/>
  <c r="Z58" i="55" s="1"/>
  <c r="I1539" i="55"/>
  <c r="Z55" i="55" s="1"/>
  <c r="I1538" i="55"/>
  <c r="Z54" i="55" s="1"/>
  <c r="I1537" i="55"/>
  <c r="Z53" i="55" s="1"/>
  <c r="I1536" i="55"/>
  <c r="Z52" i="55" s="1"/>
  <c r="I1535" i="55"/>
  <c r="Z51" i="55" s="1"/>
  <c r="I1533" i="55"/>
  <c r="Z49" i="55" s="1"/>
  <c r="I1531" i="55"/>
  <c r="Z47" i="55" s="1"/>
  <c r="I1529" i="55"/>
  <c r="Z45" i="55" s="1"/>
  <c r="I1528" i="55"/>
  <c r="Z44" i="55" s="1"/>
  <c r="I1527" i="55"/>
  <c r="Z43" i="55" s="1"/>
  <c r="I1526" i="55"/>
  <c r="Z42" i="55" s="1"/>
  <c r="I1525" i="55"/>
  <c r="Z41" i="55" s="1"/>
  <c r="I1524" i="55"/>
  <c r="Z40" i="55" s="1"/>
  <c r="I1523" i="55"/>
  <c r="Z39" i="55" s="1"/>
  <c r="I1522" i="55"/>
  <c r="Z38" i="55" s="1"/>
  <c r="I1521" i="55"/>
  <c r="Z37" i="55" s="1"/>
  <c r="I1520" i="55"/>
  <c r="Z36" i="55" s="1"/>
  <c r="I1519" i="55"/>
  <c r="Z35" i="55" s="1"/>
  <c r="I1518" i="55"/>
  <c r="Z34" i="55" s="1"/>
  <c r="I1517" i="55"/>
  <c r="Z33" i="55" s="1"/>
  <c r="I1516" i="55"/>
  <c r="Z32" i="55" s="1"/>
  <c r="I1515" i="55"/>
  <c r="Z31" i="55" s="1"/>
  <c r="I1514" i="55"/>
  <c r="Z30" i="55" s="1"/>
  <c r="I1513" i="55"/>
  <c r="Z29" i="55" s="1"/>
  <c r="I1512" i="55"/>
  <c r="Z28" i="55" s="1"/>
  <c r="I1510" i="55"/>
  <c r="Z26" i="55" s="1"/>
  <c r="I1509" i="55"/>
  <c r="Z25" i="55" s="1"/>
  <c r="I1508" i="55"/>
  <c r="Z24" i="55" s="1"/>
  <c r="I1507" i="55"/>
  <c r="Z23" i="55" s="1"/>
  <c r="I1506" i="55"/>
  <c r="Z22" i="55" s="1"/>
  <c r="I1505" i="55"/>
  <c r="Z21" i="55" s="1"/>
  <c r="I1504" i="55"/>
  <c r="Z20" i="55" s="1"/>
  <c r="I1503" i="55"/>
  <c r="Z19" i="55" s="1"/>
  <c r="I1502" i="55"/>
  <c r="Z18" i="55" s="1"/>
  <c r="I1500" i="55"/>
  <c r="Z16" i="55" s="1"/>
  <c r="I1499" i="55"/>
  <c r="Z15" i="55" s="1"/>
  <c r="I1498" i="55"/>
  <c r="Z14" i="55" s="1"/>
  <c r="I1497" i="55"/>
  <c r="Z13" i="55" s="1"/>
  <c r="I1496" i="55"/>
  <c r="Z12" i="55" s="1"/>
  <c r="I1495" i="55"/>
  <c r="Z11" i="55" s="1"/>
  <c r="I1494" i="55"/>
  <c r="Z10" i="55" s="1"/>
  <c r="I1493" i="55"/>
  <c r="Z9" i="55" s="1"/>
  <c r="I1492" i="55"/>
  <c r="Z8" i="55" s="1"/>
  <c r="I1491" i="55"/>
  <c r="Z7" i="55" s="1"/>
  <c r="I1490" i="55"/>
  <c r="Z6" i="55" s="1"/>
  <c r="H1482" i="55"/>
  <c r="H1480" i="55"/>
  <c r="H1479" i="55"/>
  <c r="H1477" i="55"/>
  <c r="H1476" i="55"/>
  <c r="H1475" i="55"/>
  <c r="H1474" i="55"/>
  <c r="H1473" i="55"/>
  <c r="H1472" i="55"/>
  <c r="H1471" i="55"/>
  <c r="H1470" i="55"/>
  <c r="H1469" i="55"/>
  <c r="H1468" i="55"/>
  <c r="H1467" i="55"/>
  <c r="H1466" i="55"/>
  <c r="H1465" i="55"/>
  <c r="H1464" i="55"/>
  <c r="H1463" i="55"/>
  <c r="H1462" i="55"/>
  <c r="H1461" i="55"/>
  <c r="H1460" i="55"/>
  <c r="H1459" i="55"/>
  <c r="H1458" i="55"/>
  <c r="H1457" i="55"/>
  <c r="H1455" i="55"/>
  <c r="H1454" i="55"/>
  <c r="H1453" i="55"/>
  <c r="H1452" i="55"/>
  <c r="H1451" i="55"/>
  <c r="H1450" i="55"/>
  <c r="H1449" i="55"/>
  <c r="H1446" i="55"/>
  <c r="H1443" i="55"/>
  <c r="H1442" i="55"/>
  <c r="H1441" i="55"/>
  <c r="H1440" i="55"/>
  <c r="H1439" i="55"/>
  <c r="H1438" i="55"/>
  <c r="H1436" i="55"/>
  <c r="H1433" i="55"/>
  <c r="H1431" i="55"/>
  <c r="H1430" i="55"/>
  <c r="H1429" i="55"/>
  <c r="H1426" i="55"/>
  <c r="H1425" i="55"/>
  <c r="H1424" i="55"/>
  <c r="H1423" i="55"/>
  <c r="H1422" i="55"/>
  <c r="H1420" i="55"/>
  <c r="H1418" i="55"/>
  <c r="H1416" i="55"/>
  <c r="H1415" i="55"/>
  <c r="H1414" i="55"/>
  <c r="H1413" i="55"/>
  <c r="H1412" i="55"/>
  <c r="H1411" i="55"/>
  <c r="H1410" i="55"/>
  <c r="H1409" i="55"/>
  <c r="H1408" i="55"/>
  <c r="H1407" i="55"/>
  <c r="H1406" i="55"/>
  <c r="H1405" i="55"/>
  <c r="H1404" i="55"/>
  <c r="H1403" i="55"/>
  <c r="H1402" i="55"/>
  <c r="H1401" i="55"/>
  <c r="H1400" i="55"/>
  <c r="H1399" i="55"/>
  <c r="H1397" i="55"/>
  <c r="H1396" i="55"/>
  <c r="H1395" i="55"/>
  <c r="H1394" i="55"/>
  <c r="H1393" i="55"/>
  <c r="H1392" i="55"/>
  <c r="H1391" i="55"/>
  <c r="H1390" i="55"/>
  <c r="H1389" i="55"/>
  <c r="H1387" i="55"/>
  <c r="H1386" i="55"/>
  <c r="H1385" i="55"/>
  <c r="H1384" i="55"/>
  <c r="H1383" i="55"/>
  <c r="H1382" i="55"/>
  <c r="H1381" i="55"/>
  <c r="H1380" i="55"/>
  <c r="H1379" i="55"/>
  <c r="H1378" i="55"/>
  <c r="H1377" i="55"/>
  <c r="I1369" i="55"/>
  <c r="I1367" i="55"/>
  <c r="I1366" i="55"/>
  <c r="I1364" i="55"/>
  <c r="I1363" i="55"/>
  <c r="I1362" i="55"/>
  <c r="I1361" i="55"/>
  <c r="I1360" i="55"/>
  <c r="I1359" i="55"/>
  <c r="I1358" i="55"/>
  <c r="I1357" i="55"/>
  <c r="I1356" i="55"/>
  <c r="I1355" i="55"/>
  <c r="I1354" i="55"/>
  <c r="I1353" i="55"/>
  <c r="I1352" i="55"/>
  <c r="I1351" i="55"/>
  <c r="I1350" i="55"/>
  <c r="I1349" i="55"/>
  <c r="I1348" i="55"/>
  <c r="I1347" i="55"/>
  <c r="I1346" i="55"/>
  <c r="I1345" i="55"/>
  <c r="I1344" i="55"/>
  <c r="I1342" i="55"/>
  <c r="I1341" i="55"/>
  <c r="I1340" i="55"/>
  <c r="I1339" i="55"/>
  <c r="I1338" i="55"/>
  <c r="I1337" i="55"/>
  <c r="I1336" i="55"/>
  <c r="I1333" i="55"/>
  <c r="I1330" i="55"/>
  <c r="I1329" i="55"/>
  <c r="I1328" i="55"/>
  <c r="I1327" i="55"/>
  <c r="I1326" i="55"/>
  <c r="I1325" i="55"/>
  <c r="I1323" i="55"/>
  <c r="I1320" i="55"/>
  <c r="I1318" i="55"/>
  <c r="I1317" i="55"/>
  <c r="I1316" i="55"/>
  <c r="I1313" i="55"/>
  <c r="I1312" i="55"/>
  <c r="I1311" i="55"/>
  <c r="I1310" i="55"/>
  <c r="I1309" i="55"/>
  <c r="I1307" i="55"/>
  <c r="I1305" i="55"/>
  <c r="I1303" i="55"/>
  <c r="I1302" i="55"/>
  <c r="I1301" i="55"/>
  <c r="I1300" i="55"/>
  <c r="I1299" i="55"/>
  <c r="I1298" i="55"/>
  <c r="I1297" i="55"/>
  <c r="I1296" i="55"/>
  <c r="I1295" i="55"/>
  <c r="I1294" i="55"/>
  <c r="I1293" i="55"/>
  <c r="I1292" i="55"/>
  <c r="I1291" i="55"/>
  <c r="I1290" i="55"/>
  <c r="I1289" i="55"/>
  <c r="I1288" i="55"/>
  <c r="I1287" i="55"/>
  <c r="I1286" i="55"/>
  <c r="I1284" i="55"/>
  <c r="I1283" i="55"/>
  <c r="I1282" i="55"/>
  <c r="I1281" i="55"/>
  <c r="I1280" i="55"/>
  <c r="I1279" i="55"/>
  <c r="I1278" i="55"/>
  <c r="I1277" i="55"/>
  <c r="I1276" i="55"/>
  <c r="I1274" i="55"/>
  <c r="I1273" i="55"/>
  <c r="I1272" i="55"/>
  <c r="I1271" i="55"/>
  <c r="I1270" i="55"/>
  <c r="I1269" i="55"/>
  <c r="I1268" i="55"/>
  <c r="I1267" i="55"/>
  <c r="I1266" i="55"/>
  <c r="I1265" i="55"/>
  <c r="I1264" i="55"/>
  <c r="H1255" i="55"/>
  <c r="H1253" i="55"/>
  <c r="H1252" i="55"/>
  <c r="H1250" i="55"/>
  <c r="H1249" i="55"/>
  <c r="H1248" i="55"/>
  <c r="H1247" i="55"/>
  <c r="H1246" i="55"/>
  <c r="H1245" i="55"/>
  <c r="H1244" i="55"/>
  <c r="H1243" i="55"/>
  <c r="H1242" i="55"/>
  <c r="H1241" i="55"/>
  <c r="H1240" i="55"/>
  <c r="H1239" i="55"/>
  <c r="H1238" i="55"/>
  <c r="H1237" i="55"/>
  <c r="H1236" i="55"/>
  <c r="H1235" i="55"/>
  <c r="H1234" i="55"/>
  <c r="H1233" i="55"/>
  <c r="H1232" i="55"/>
  <c r="H1231" i="55"/>
  <c r="H1230" i="55"/>
  <c r="H1228" i="55"/>
  <c r="H1227" i="55"/>
  <c r="H1226" i="55"/>
  <c r="H1225" i="55"/>
  <c r="H1224" i="55"/>
  <c r="H1223" i="55"/>
  <c r="H1222" i="55"/>
  <c r="H1219" i="55"/>
  <c r="H1216" i="55"/>
  <c r="H1215" i="55"/>
  <c r="H1214" i="55"/>
  <c r="H1213" i="55"/>
  <c r="H1212" i="55"/>
  <c r="H1211" i="55"/>
  <c r="H1209" i="55"/>
  <c r="H1206" i="55"/>
  <c r="H1204" i="55"/>
  <c r="H1203" i="55"/>
  <c r="H1202" i="55"/>
  <c r="H1199" i="55"/>
  <c r="H1198" i="55"/>
  <c r="H1197" i="55"/>
  <c r="H1196" i="55"/>
  <c r="H1195" i="55"/>
  <c r="H1193" i="55"/>
  <c r="H1191" i="55"/>
  <c r="H1189" i="55"/>
  <c r="H1188" i="55"/>
  <c r="H1187" i="55"/>
  <c r="H1186" i="55"/>
  <c r="H1185" i="55"/>
  <c r="H1184" i="55"/>
  <c r="H1183" i="55"/>
  <c r="H1182" i="55"/>
  <c r="H1181" i="55"/>
  <c r="H1180" i="55"/>
  <c r="H1179" i="55"/>
  <c r="H1178" i="55"/>
  <c r="H1177" i="55"/>
  <c r="H1176" i="55"/>
  <c r="H1175" i="55"/>
  <c r="H1174" i="55"/>
  <c r="H1173" i="55"/>
  <c r="H1172" i="55"/>
  <c r="H1170" i="55"/>
  <c r="H1169" i="55"/>
  <c r="H1168" i="55"/>
  <c r="H1167" i="55"/>
  <c r="H1166" i="55"/>
  <c r="H1165" i="55"/>
  <c r="H1164" i="55"/>
  <c r="H1163" i="55"/>
  <c r="H1162" i="55"/>
  <c r="H1160" i="55"/>
  <c r="H1159" i="55"/>
  <c r="H1158" i="55"/>
  <c r="H1157" i="55"/>
  <c r="H1156" i="55"/>
  <c r="H1155" i="55"/>
  <c r="H1154" i="55"/>
  <c r="H1153" i="55"/>
  <c r="H1152" i="55"/>
  <c r="H1151" i="55"/>
  <c r="H1150" i="55"/>
  <c r="J1142" i="55"/>
  <c r="AA111" i="55" s="1"/>
  <c r="J1140" i="55"/>
  <c r="AA109" i="55" s="1"/>
  <c r="J1139" i="55"/>
  <c r="AA108" i="55" s="1"/>
  <c r="J1137" i="55"/>
  <c r="AA106" i="55" s="1"/>
  <c r="J1136" i="55"/>
  <c r="AA105" i="55" s="1"/>
  <c r="J1135" i="55"/>
  <c r="AA104" i="55" s="1"/>
  <c r="J1134" i="55"/>
  <c r="AA103" i="55" s="1"/>
  <c r="J1133" i="55"/>
  <c r="AA102" i="55" s="1"/>
  <c r="J1132" i="55"/>
  <c r="AA101" i="55" s="1"/>
  <c r="J1131" i="55"/>
  <c r="AA100" i="55" s="1"/>
  <c r="J1130" i="55"/>
  <c r="AA99" i="55" s="1"/>
  <c r="J1129" i="55"/>
  <c r="AA98" i="55" s="1"/>
  <c r="J1128" i="55"/>
  <c r="AA97" i="55" s="1"/>
  <c r="J1127" i="55"/>
  <c r="AA96" i="55" s="1"/>
  <c r="J1126" i="55"/>
  <c r="AA95" i="55" s="1"/>
  <c r="J1125" i="55"/>
  <c r="AA94" i="55" s="1"/>
  <c r="J1124" i="55"/>
  <c r="AA93" i="55" s="1"/>
  <c r="J1123" i="55"/>
  <c r="AA92" i="55" s="1"/>
  <c r="J1122" i="55"/>
  <c r="AA91" i="55" s="1"/>
  <c r="J1121" i="55"/>
  <c r="AA90" i="55" s="1"/>
  <c r="J1120" i="55"/>
  <c r="AA89" i="55" s="1"/>
  <c r="J1119" i="55"/>
  <c r="AA88" i="55" s="1"/>
  <c r="J1118" i="55"/>
  <c r="AA87" i="55" s="1"/>
  <c r="J1117" i="55"/>
  <c r="AA86" i="55" s="1"/>
  <c r="J1115" i="55"/>
  <c r="AA84" i="55" s="1"/>
  <c r="J1114" i="55"/>
  <c r="AA83" i="55" s="1"/>
  <c r="J1113" i="55"/>
  <c r="AA82" i="55" s="1"/>
  <c r="J1112" i="55"/>
  <c r="AA81" i="55" s="1"/>
  <c r="J1111" i="55"/>
  <c r="AA80" i="55" s="1"/>
  <c r="J1110" i="55"/>
  <c r="AA79" i="55" s="1"/>
  <c r="J1109" i="55"/>
  <c r="AA78" i="55" s="1"/>
  <c r="J1106" i="55"/>
  <c r="AA75" i="55" s="1"/>
  <c r="J1103" i="55"/>
  <c r="AA72" i="55" s="1"/>
  <c r="J1102" i="55"/>
  <c r="AA71" i="55" s="1"/>
  <c r="J1101" i="55"/>
  <c r="AA70" i="55" s="1"/>
  <c r="J1100" i="55"/>
  <c r="AA69" i="55" s="1"/>
  <c r="J1099" i="55"/>
  <c r="AA68" i="55" s="1"/>
  <c r="J1098" i="55"/>
  <c r="AA67" i="55" s="1"/>
  <c r="J1096" i="55"/>
  <c r="AA65" i="55" s="1"/>
  <c r="J1093" i="55"/>
  <c r="AA62" i="55" s="1"/>
  <c r="J1091" i="55"/>
  <c r="AA60" i="55" s="1"/>
  <c r="J1090" i="55"/>
  <c r="AA59" i="55" s="1"/>
  <c r="J1089" i="55"/>
  <c r="AA58" i="55" s="1"/>
  <c r="J1086" i="55"/>
  <c r="AA55" i="55" s="1"/>
  <c r="J1085" i="55"/>
  <c r="AA54" i="55" s="1"/>
  <c r="J1084" i="55"/>
  <c r="AA53" i="55" s="1"/>
  <c r="J1083" i="55"/>
  <c r="AA52" i="55" s="1"/>
  <c r="J1082" i="55"/>
  <c r="AA51" i="55" s="1"/>
  <c r="J1080" i="55"/>
  <c r="AA49" i="55" s="1"/>
  <c r="J1078" i="55"/>
  <c r="AA47" i="55" s="1"/>
  <c r="J1076" i="55"/>
  <c r="AA45" i="55" s="1"/>
  <c r="J1075" i="55"/>
  <c r="AA44" i="55" s="1"/>
  <c r="J1074" i="55"/>
  <c r="AA43" i="55" s="1"/>
  <c r="J1073" i="55"/>
  <c r="AA42" i="55" s="1"/>
  <c r="J1072" i="55"/>
  <c r="AA41" i="55" s="1"/>
  <c r="J1071" i="55"/>
  <c r="AA40" i="55" s="1"/>
  <c r="J1070" i="55"/>
  <c r="AA39" i="55" s="1"/>
  <c r="J1069" i="55"/>
  <c r="AA38" i="55" s="1"/>
  <c r="J1068" i="55"/>
  <c r="AA37" i="55" s="1"/>
  <c r="J1067" i="55"/>
  <c r="AA36" i="55" s="1"/>
  <c r="J1066" i="55"/>
  <c r="AA35" i="55" s="1"/>
  <c r="J1065" i="55"/>
  <c r="AA34" i="55" s="1"/>
  <c r="J1064" i="55"/>
  <c r="AA33" i="55" s="1"/>
  <c r="J1063" i="55"/>
  <c r="AA32" i="55" s="1"/>
  <c r="J1062" i="55"/>
  <c r="AA31" i="55" s="1"/>
  <c r="J1061" i="55"/>
  <c r="AA30" i="55" s="1"/>
  <c r="J1060" i="55"/>
  <c r="AA29" i="55" s="1"/>
  <c r="J1059" i="55"/>
  <c r="AA28" i="55" s="1"/>
  <c r="J1057" i="55"/>
  <c r="AA26" i="55" s="1"/>
  <c r="J1056" i="55"/>
  <c r="AA25" i="55" s="1"/>
  <c r="J1055" i="55"/>
  <c r="AA24" i="55" s="1"/>
  <c r="J1054" i="55"/>
  <c r="AA23" i="55" s="1"/>
  <c r="J1053" i="55"/>
  <c r="AA22" i="55" s="1"/>
  <c r="J1052" i="55"/>
  <c r="AA21" i="55" s="1"/>
  <c r="J1051" i="55"/>
  <c r="AA20" i="55" s="1"/>
  <c r="J1050" i="55"/>
  <c r="AA19" i="55" s="1"/>
  <c r="J1049" i="55"/>
  <c r="AA18" i="55" s="1"/>
  <c r="J1047" i="55"/>
  <c r="AA16" i="55" s="1"/>
  <c r="J1046" i="55"/>
  <c r="AA15" i="55" s="1"/>
  <c r="J1045" i="55"/>
  <c r="AA14" i="55" s="1"/>
  <c r="J1044" i="55"/>
  <c r="AA13" i="55" s="1"/>
  <c r="J1043" i="55"/>
  <c r="AA12" i="55" s="1"/>
  <c r="J1042" i="55"/>
  <c r="AA11" i="55" s="1"/>
  <c r="J1041" i="55"/>
  <c r="AA10" i="55" s="1"/>
  <c r="J1040" i="55"/>
  <c r="AA9" i="55" s="1"/>
  <c r="J1039" i="55"/>
  <c r="AA8" i="55" s="1"/>
  <c r="J1038" i="55"/>
  <c r="AA7" i="55" s="1"/>
  <c r="J1037" i="55"/>
  <c r="AA6" i="55" s="1"/>
  <c r="H1029" i="55"/>
  <c r="H1027" i="55"/>
  <c r="H1026" i="55"/>
  <c r="H1024" i="55"/>
  <c r="H1023" i="55"/>
  <c r="H1022" i="55"/>
  <c r="H1021" i="55"/>
  <c r="H1020" i="55"/>
  <c r="H1019" i="55"/>
  <c r="H1018" i="55"/>
  <c r="H1017" i="55"/>
  <c r="H1016" i="55"/>
  <c r="H1015" i="55"/>
  <c r="H1014" i="55"/>
  <c r="H1013" i="55"/>
  <c r="H1012" i="55"/>
  <c r="H1011" i="55"/>
  <c r="H1010" i="55"/>
  <c r="H1009" i="55"/>
  <c r="H1008" i="55"/>
  <c r="H1007" i="55"/>
  <c r="H1006" i="55"/>
  <c r="H1005" i="55"/>
  <c r="H1004" i="55"/>
  <c r="H1002" i="55"/>
  <c r="H1001" i="55"/>
  <c r="H1000" i="55"/>
  <c r="H999" i="55"/>
  <c r="H998" i="55"/>
  <c r="H997" i="55"/>
  <c r="H996" i="55"/>
  <c r="H993" i="55"/>
  <c r="H990" i="55"/>
  <c r="H989" i="55"/>
  <c r="H988" i="55"/>
  <c r="H987" i="55"/>
  <c r="H986" i="55"/>
  <c r="H985" i="55"/>
  <c r="H983" i="55"/>
  <c r="H980" i="55"/>
  <c r="H978" i="55"/>
  <c r="H977" i="55"/>
  <c r="H976" i="55"/>
  <c r="H973" i="55"/>
  <c r="H972" i="55"/>
  <c r="H971" i="55"/>
  <c r="H970" i="55"/>
  <c r="H969" i="55"/>
  <c r="H967" i="55"/>
  <c r="H965" i="55"/>
  <c r="H963" i="55"/>
  <c r="H962" i="55"/>
  <c r="H961" i="55"/>
  <c r="H960" i="55"/>
  <c r="H959" i="55"/>
  <c r="H958" i="55"/>
  <c r="H957" i="55"/>
  <c r="H956" i="55"/>
  <c r="H955" i="55"/>
  <c r="H954" i="55"/>
  <c r="H953" i="55"/>
  <c r="H952" i="55"/>
  <c r="H951" i="55"/>
  <c r="H950" i="55"/>
  <c r="H949" i="55"/>
  <c r="H948" i="55"/>
  <c r="H947" i="55"/>
  <c r="H946" i="55"/>
  <c r="H944" i="55"/>
  <c r="H943" i="55"/>
  <c r="H942" i="55"/>
  <c r="H941" i="55"/>
  <c r="H940" i="55"/>
  <c r="H939" i="55"/>
  <c r="H938" i="55"/>
  <c r="H937" i="55"/>
  <c r="H936" i="55"/>
  <c r="H934" i="55"/>
  <c r="H933" i="55"/>
  <c r="H932" i="55"/>
  <c r="H931" i="55"/>
  <c r="H930" i="55"/>
  <c r="H929" i="55"/>
  <c r="H928" i="55"/>
  <c r="H927" i="55"/>
  <c r="H926" i="55"/>
  <c r="H925" i="55"/>
  <c r="H924" i="55"/>
  <c r="H917" i="55"/>
  <c r="H915" i="55"/>
  <c r="H914" i="55"/>
  <c r="H912" i="55"/>
  <c r="H911" i="55"/>
  <c r="H910" i="55"/>
  <c r="H909" i="55"/>
  <c r="H908" i="55"/>
  <c r="H907" i="55"/>
  <c r="H906" i="55"/>
  <c r="H905" i="55"/>
  <c r="H904" i="55"/>
  <c r="H903" i="55"/>
  <c r="H902" i="55"/>
  <c r="H901" i="55"/>
  <c r="H900" i="55"/>
  <c r="H899" i="55"/>
  <c r="H898" i="55"/>
  <c r="H897" i="55"/>
  <c r="H896" i="55"/>
  <c r="H895" i="55"/>
  <c r="H894" i="55"/>
  <c r="H893" i="55"/>
  <c r="H892" i="55"/>
  <c r="H890" i="55"/>
  <c r="H889" i="55"/>
  <c r="H888" i="55"/>
  <c r="H887" i="55"/>
  <c r="H886" i="55"/>
  <c r="H885" i="55"/>
  <c r="H884" i="55"/>
  <c r="H881" i="55"/>
  <c r="H878" i="55"/>
  <c r="H877" i="55"/>
  <c r="H876" i="55"/>
  <c r="H875" i="55"/>
  <c r="H874" i="55"/>
  <c r="H873" i="55"/>
  <c r="H871" i="55"/>
  <c r="H868" i="55"/>
  <c r="H866" i="55"/>
  <c r="H865" i="55"/>
  <c r="H864" i="55"/>
  <c r="H861" i="55"/>
  <c r="H860" i="55"/>
  <c r="H859" i="55"/>
  <c r="H858" i="55"/>
  <c r="H857" i="55"/>
  <c r="H855" i="55"/>
  <c r="H853" i="55"/>
  <c r="H851" i="55"/>
  <c r="H850" i="55"/>
  <c r="H849" i="55"/>
  <c r="H848" i="55"/>
  <c r="H847" i="55"/>
  <c r="H846" i="55"/>
  <c r="H845" i="55"/>
  <c r="H844" i="55"/>
  <c r="H843" i="55"/>
  <c r="H842" i="55"/>
  <c r="H841" i="55"/>
  <c r="H840" i="55"/>
  <c r="H839" i="55"/>
  <c r="H838" i="55"/>
  <c r="H837" i="55"/>
  <c r="H836" i="55"/>
  <c r="H835" i="55"/>
  <c r="H834" i="55"/>
  <c r="H832" i="55"/>
  <c r="H831" i="55"/>
  <c r="H830" i="55"/>
  <c r="H829" i="55"/>
  <c r="H828" i="55"/>
  <c r="H827" i="55"/>
  <c r="H826" i="55"/>
  <c r="H825" i="55"/>
  <c r="H824" i="55"/>
  <c r="H822" i="55"/>
  <c r="H821" i="55"/>
  <c r="H820" i="55"/>
  <c r="H819" i="55"/>
  <c r="H818" i="55"/>
  <c r="H817" i="55"/>
  <c r="H816" i="55"/>
  <c r="H815" i="55"/>
  <c r="H814" i="55"/>
  <c r="H813" i="55"/>
  <c r="H812" i="55"/>
  <c r="J804" i="55"/>
  <c r="J802" i="55"/>
  <c r="J801" i="55"/>
  <c r="J799" i="55"/>
  <c r="J798" i="55"/>
  <c r="J797" i="55"/>
  <c r="J796" i="55"/>
  <c r="J795" i="55"/>
  <c r="J794" i="55"/>
  <c r="J793" i="55"/>
  <c r="J792" i="55"/>
  <c r="J791" i="55"/>
  <c r="J790" i="55"/>
  <c r="J789" i="55"/>
  <c r="J788" i="55"/>
  <c r="J787" i="55"/>
  <c r="J786" i="55"/>
  <c r="J785" i="55"/>
  <c r="J784" i="55"/>
  <c r="J783" i="55"/>
  <c r="J782" i="55"/>
  <c r="J781" i="55"/>
  <c r="J780" i="55"/>
  <c r="J779" i="55"/>
  <c r="J777" i="55"/>
  <c r="J776" i="55"/>
  <c r="J775" i="55"/>
  <c r="J774" i="55"/>
  <c r="J773" i="55"/>
  <c r="J772" i="55"/>
  <c r="J771" i="55"/>
  <c r="J768" i="55"/>
  <c r="J765" i="55"/>
  <c r="J764" i="55"/>
  <c r="J763" i="55"/>
  <c r="J762" i="55"/>
  <c r="J761" i="55"/>
  <c r="J760" i="55"/>
  <c r="J758" i="55"/>
  <c r="J755" i="55"/>
  <c r="J753" i="55"/>
  <c r="J752" i="55"/>
  <c r="J751" i="55"/>
  <c r="J748" i="55"/>
  <c r="J747" i="55"/>
  <c r="J746" i="55"/>
  <c r="J745" i="55"/>
  <c r="J744" i="55"/>
  <c r="J742" i="55"/>
  <c r="J740" i="55"/>
  <c r="J738" i="55"/>
  <c r="J737" i="55"/>
  <c r="J736" i="55"/>
  <c r="J735" i="55"/>
  <c r="J734" i="55"/>
  <c r="J733" i="55"/>
  <c r="J732" i="55"/>
  <c r="J731" i="55"/>
  <c r="J730" i="55"/>
  <c r="J729" i="55"/>
  <c r="J728" i="55"/>
  <c r="J727" i="55"/>
  <c r="J726" i="55"/>
  <c r="J725" i="55"/>
  <c r="J724" i="55"/>
  <c r="J723" i="55"/>
  <c r="J722" i="55"/>
  <c r="J721" i="55"/>
  <c r="J719" i="55"/>
  <c r="J718" i="55"/>
  <c r="J717" i="55"/>
  <c r="J716" i="55"/>
  <c r="J715" i="55"/>
  <c r="J714" i="55"/>
  <c r="J713" i="55"/>
  <c r="J712" i="55"/>
  <c r="J711" i="55"/>
  <c r="J709" i="55"/>
  <c r="J708" i="55"/>
  <c r="J707" i="55"/>
  <c r="J706" i="55"/>
  <c r="J705" i="55"/>
  <c r="J704" i="55"/>
  <c r="J703" i="55"/>
  <c r="J702" i="55"/>
  <c r="J701" i="55"/>
  <c r="J700" i="55"/>
  <c r="J699" i="55"/>
  <c r="J585" i="55"/>
  <c r="J586" i="55"/>
  <c r="J587" i="55"/>
  <c r="J588" i="55"/>
  <c r="J589" i="55"/>
  <c r="J590" i="55"/>
  <c r="J591" i="55"/>
  <c r="J592" i="55"/>
  <c r="J593" i="55"/>
  <c r="J594" i="55"/>
  <c r="J595" i="55"/>
  <c r="J597" i="55"/>
  <c r="J598" i="55"/>
  <c r="J599" i="55"/>
  <c r="J600" i="55"/>
  <c r="J601" i="55"/>
  <c r="J602" i="55"/>
  <c r="J603" i="55"/>
  <c r="J604" i="55"/>
  <c r="J605" i="55"/>
  <c r="J607" i="55"/>
  <c r="J608" i="55"/>
  <c r="J609" i="55"/>
  <c r="J610" i="55"/>
  <c r="J611" i="55"/>
  <c r="J612" i="55"/>
  <c r="J613" i="55"/>
  <c r="J614" i="55"/>
  <c r="J615" i="55"/>
  <c r="J616" i="55"/>
  <c r="J617" i="55"/>
  <c r="J618" i="55"/>
  <c r="J619" i="55"/>
  <c r="J620" i="55"/>
  <c r="J621" i="55"/>
  <c r="J622" i="55"/>
  <c r="J623" i="55"/>
  <c r="J624" i="55"/>
  <c r="J626" i="55"/>
  <c r="J628" i="55"/>
  <c r="J630" i="55"/>
  <c r="J631" i="55"/>
  <c r="J632" i="55"/>
  <c r="J633" i="55"/>
  <c r="J634" i="55"/>
  <c r="J637" i="55"/>
  <c r="J638" i="55"/>
  <c r="J639" i="55"/>
  <c r="J641" i="55"/>
  <c r="J644" i="55"/>
  <c r="J646" i="55"/>
  <c r="J647" i="55"/>
  <c r="J648" i="55"/>
  <c r="J649" i="55"/>
  <c r="J650" i="55"/>
  <c r="J651" i="55"/>
  <c r="J654" i="55"/>
  <c r="J657" i="55"/>
  <c r="J658" i="55"/>
  <c r="J659" i="55"/>
  <c r="J660" i="55"/>
  <c r="J661" i="55"/>
  <c r="J662" i="55"/>
  <c r="J663" i="55"/>
  <c r="J665" i="55"/>
  <c r="J666" i="55"/>
  <c r="J667" i="55"/>
  <c r="J668" i="55"/>
  <c r="J669" i="55"/>
  <c r="J670" i="55"/>
  <c r="J671" i="55"/>
  <c r="J672" i="55"/>
  <c r="J673" i="55"/>
  <c r="J674" i="55"/>
  <c r="J675" i="55"/>
  <c r="J676" i="55"/>
  <c r="J677" i="55"/>
  <c r="J678" i="55"/>
  <c r="J679" i="55"/>
  <c r="J680" i="55"/>
  <c r="J681" i="55"/>
  <c r="J682" i="55"/>
  <c r="J683" i="55"/>
  <c r="J684" i="55"/>
  <c r="J685" i="55"/>
  <c r="J687" i="55"/>
  <c r="J688" i="55"/>
  <c r="J690" i="55"/>
  <c r="I577" i="55"/>
  <c r="I575" i="55"/>
  <c r="I574" i="55"/>
  <c r="I572" i="55"/>
  <c r="I571" i="55"/>
  <c r="I570" i="55"/>
  <c r="I569" i="55"/>
  <c r="I568" i="55"/>
  <c r="I567" i="55"/>
  <c r="I566" i="55"/>
  <c r="I565" i="55"/>
  <c r="I564" i="55"/>
  <c r="I563" i="55"/>
  <c r="I562" i="55"/>
  <c r="I561" i="55"/>
  <c r="I560" i="55"/>
  <c r="I559" i="55"/>
  <c r="I558" i="55"/>
  <c r="I557" i="55"/>
  <c r="I556" i="55"/>
  <c r="I555" i="55"/>
  <c r="I554" i="55"/>
  <c r="I553" i="55"/>
  <c r="I552" i="55"/>
  <c r="I550" i="55"/>
  <c r="I549" i="55"/>
  <c r="I548" i="55"/>
  <c r="I547" i="55"/>
  <c r="I546" i="55"/>
  <c r="I545" i="55"/>
  <c r="I544" i="55"/>
  <c r="I541" i="55"/>
  <c r="I538" i="55"/>
  <c r="I537" i="55"/>
  <c r="I536" i="55"/>
  <c r="I535" i="55"/>
  <c r="I534" i="55"/>
  <c r="I533" i="55"/>
  <c r="I531" i="55"/>
  <c r="I528" i="55"/>
  <c r="I526" i="55"/>
  <c r="I525" i="55"/>
  <c r="I524" i="55"/>
  <c r="I521" i="55"/>
  <c r="I520" i="55"/>
  <c r="I519" i="55"/>
  <c r="I518" i="55"/>
  <c r="I517" i="55"/>
  <c r="I515" i="55"/>
  <c r="I513" i="55"/>
  <c r="I511" i="55"/>
  <c r="I510" i="55"/>
  <c r="I509" i="55"/>
  <c r="I508" i="55"/>
  <c r="I507" i="55"/>
  <c r="I506" i="55"/>
  <c r="I505" i="55"/>
  <c r="I504" i="55"/>
  <c r="I503" i="55"/>
  <c r="I502" i="55"/>
  <c r="I501" i="55"/>
  <c r="I500" i="55"/>
  <c r="I499" i="55"/>
  <c r="I498" i="55"/>
  <c r="I497" i="55"/>
  <c r="I496" i="55"/>
  <c r="I495" i="55"/>
  <c r="I494" i="55"/>
  <c r="I492" i="55"/>
  <c r="I491" i="55"/>
  <c r="I490" i="55"/>
  <c r="I489" i="55"/>
  <c r="I488" i="55"/>
  <c r="I487" i="55"/>
  <c r="I486" i="55"/>
  <c r="I485" i="55"/>
  <c r="I484" i="55"/>
  <c r="I482" i="55"/>
  <c r="I481" i="55"/>
  <c r="I480" i="55"/>
  <c r="I479" i="55"/>
  <c r="I478" i="55"/>
  <c r="I477" i="55"/>
  <c r="I476" i="55"/>
  <c r="I475" i="55"/>
  <c r="I474" i="55"/>
  <c r="I473" i="55"/>
  <c r="I472" i="55"/>
  <c r="I464" i="55"/>
  <c r="I462" i="55"/>
  <c r="I461" i="55"/>
  <c r="I459" i="55"/>
  <c r="I458" i="55"/>
  <c r="I457" i="55"/>
  <c r="I456" i="55"/>
  <c r="I455" i="55"/>
  <c r="I454" i="55"/>
  <c r="I453" i="55"/>
  <c r="I452" i="55"/>
  <c r="I451" i="55"/>
  <c r="I450" i="55"/>
  <c r="I449" i="55"/>
  <c r="I448" i="55"/>
  <c r="I447" i="55"/>
  <c r="I446" i="55"/>
  <c r="I445" i="55"/>
  <c r="I444" i="55"/>
  <c r="I443" i="55"/>
  <c r="I442" i="55"/>
  <c r="I441" i="55"/>
  <c r="I440" i="55"/>
  <c r="I439" i="55"/>
  <c r="I437" i="55"/>
  <c r="I436" i="55"/>
  <c r="I435" i="55"/>
  <c r="I434" i="55"/>
  <c r="I433" i="55"/>
  <c r="I432" i="55"/>
  <c r="I431" i="55"/>
  <c r="I428" i="55"/>
  <c r="I425" i="55"/>
  <c r="I424" i="55"/>
  <c r="I423" i="55"/>
  <c r="I422" i="55"/>
  <c r="I421" i="55"/>
  <c r="I420" i="55"/>
  <c r="I418" i="55"/>
  <c r="I415" i="55"/>
  <c r="I413" i="55"/>
  <c r="I412" i="55"/>
  <c r="I411" i="55"/>
  <c r="I408" i="55"/>
  <c r="I407" i="55"/>
  <c r="I406" i="55"/>
  <c r="I405" i="55"/>
  <c r="I404" i="55"/>
  <c r="I402" i="55"/>
  <c r="I400" i="55"/>
  <c r="I398" i="55"/>
  <c r="I397" i="55"/>
  <c r="I396" i="55"/>
  <c r="I395" i="55"/>
  <c r="I394" i="55"/>
  <c r="I393" i="55"/>
  <c r="I392" i="55"/>
  <c r="I391" i="55"/>
  <c r="I390" i="55"/>
  <c r="I389" i="55"/>
  <c r="I388" i="55"/>
  <c r="I387" i="55"/>
  <c r="I386" i="55"/>
  <c r="I385" i="55"/>
  <c r="I384" i="55"/>
  <c r="I383" i="55"/>
  <c r="I382" i="55"/>
  <c r="I381" i="55"/>
  <c r="I379" i="55"/>
  <c r="I378" i="55"/>
  <c r="I377" i="55"/>
  <c r="I376" i="55"/>
  <c r="I375" i="55"/>
  <c r="I374" i="55"/>
  <c r="I373" i="55"/>
  <c r="I372" i="55"/>
  <c r="I371" i="55"/>
  <c r="I369" i="55"/>
  <c r="I368" i="55"/>
  <c r="I367" i="55"/>
  <c r="I366" i="55"/>
  <c r="I365" i="55"/>
  <c r="I364" i="55"/>
  <c r="I363" i="55"/>
  <c r="I362" i="55"/>
  <c r="I361" i="55"/>
  <c r="I360" i="55"/>
  <c r="I359" i="55"/>
  <c r="J352" i="55"/>
  <c r="J350" i="55"/>
  <c r="J349" i="55"/>
  <c r="J347" i="55"/>
  <c r="J346" i="55"/>
  <c r="J345" i="55"/>
  <c r="J344" i="55"/>
  <c r="J343" i="55"/>
  <c r="J342" i="55"/>
  <c r="J341" i="55"/>
  <c r="J340" i="55"/>
  <c r="J339" i="55"/>
  <c r="J338" i="55"/>
  <c r="J337" i="55"/>
  <c r="J336" i="55"/>
  <c r="J335" i="55"/>
  <c r="J334" i="55"/>
  <c r="J333" i="55"/>
  <c r="J332" i="55"/>
  <c r="J331" i="55"/>
  <c r="J330" i="55"/>
  <c r="J329" i="55"/>
  <c r="J328" i="55"/>
  <c r="J327" i="55"/>
  <c r="J325" i="55"/>
  <c r="J324" i="55"/>
  <c r="J323" i="55"/>
  <c r="J322" i="55"/>
  <c r="J321" i="55"/>
  <c r="J320" i="55"/>
  <c r="J319" i="55"/>
  <c r="J316" i="55"/>
  <c r="J313" i="55"/>
  <c r="J312" i="55"/>
  <c r="J311" i="55"/>
  <c r="J310" i="55"/>
  <c r="J309" i="55"/>
  <c r="J308" i="55"/>
  <c r="J306" i="55"/>
  <c r="J303" i="55"/>
  <c r="J301" i="55"/>
  <c r="J300" i="55"/>
  <c r="J299" i="55"/>
  <c r="J296" i="55"/>
  <c r="J295" i="55"/>
  <c r="J294" i="55"/>
  <c r="J293" i="55"/>
  <c r="J292" i="55"/>
  <c r="J290" i="55"/>
  <c r="J288" i="55"/>
  <c r="J286" i="55"/>
  <c r="J285" i="55"/>
  <c r="J284" i="55"/>
  <c r="J283" i="55"/>
  <c r="J282" i="55"/>
  <c r="J281" i="55"/>
  <c r="J280" i="55"/>
  <c r="J279" i="55"/>
  <c r="J278" i="55"/>
  <c r="J277" i="55"/>
  <c r="J276" i="55"/>
  <c r="J275" i="55"/>
  <c r="J274" i="55"/>
  <c r="J273" i="55"/>
  <c r="J272" i="55"/>
  <c r="J271" i="55"/>
  <c r="J270" i="55"/>
  <c r="J269" i="55"/>
  <c r="J267" i="55"/>
  <c r="J266" i="55"/>
  <c r="J265" i="55"/>
  <c r="J264" i="55"/>
  <c r="J263" i="55"/>
  <c r="J262" i="55"/>
  <c r="J261" i="55"/>
  <c r="J260" i="55"/>
  <c r="J259" i="55"/>
  <c r="J257" i="55"/>
  <c r="J256" i="55"/>
  <c r="J255" i="55"/>
  <c r="J254" i="55"/>
  <c r="J253" i="55"/>
  <c r="J252" i="55"/>
  <c r="J251" i="55"/>
  <c r="J250" i="55"/>
  <c r="J249" i="55"/>
  <c r="J248" i="55"/>
  <c r="J247" i="55"/>
  <c r="K239" i="55"/>
  <c r="K237" i="55"/>
  <c r="K236" i="55"/>
  <c r="K234" i="55"/>
  <c r="K233" i="55"/>
  <c r="K232" i="55"/>
  <c r="K231" i="55"/>
  <c r="K230" i="55"/>
  <c r="K229" i="55"/>
  <c r="K228" i="55"/>
  <c r="K227" i="55"/>
  <c r="K226" i="55"/>
  <c r="K225" i="55"/>
  <c r="K224" i="55"/>
  <c r="K223" i="55"/>
  <c r="K222" i="55"/>
  <c r="K221" i="55"/>
  <c r="K220" i="55"/>
  <c r="K219" i="55"/>
  <c r="K218" i="55"/>
  <c r="K217" i="55"/>
  <c r="K216" i="55"/>
  <c r="K215" i="55"/>
  <c r="K214" i="55"/>
  <c r="K212" i="55"/>
  <c r="K211" i="55"/>
  <c r="K210" i="55"/>
  <c r="K209" i="55"/>
  <c r="K208" i="55"/>
  <c r="K207" i="55"/>
  <c r="K206" i="55"/>
  <c r="K203" i="55"/>
  <c r="K200" i="55"/>
  <c r="K199" i="55"/>
  <c r="K198" i="55"/>
  <c r="K197" i="55"/>
  <c r="K196" i="55"/>
  <c r="K195" i="55"/>
  <c r="K193" i="55"/>
  <c r="K190" i="55"/>
  <c r="K188" i="55"/>
  <c r="K187" i="55"/>
  <c r="K186" i="55"/>
  <c r="K183" i="55"/>
  <c r="K182" i="55"/>
  <c r="K181" i="55"/>
  <c r="K180" i="55"/>
  <c r="K179" i="55"/>
  <c r="K177" i="55"/>
  <c r="K175" i="55"/>
  <c r="K173" i="55"/>
  <c r="K172" i="55"/>
  <c r="K171" i="55"/>
  <c r="K170" i="55"/>
  <c r="K169" i="55"/>
  <c r="K168" i="55"/>
  <c r="K167" i="55"/>
  <c r="K166" i="55"/>
  <c r="K165" i="55"/>
  <c r="K164" i="55"/>
  <c r="K163" i="55"/>
  <c r="K162" i="55"/>
  <c r="K161" i="55"/>
  <c r="K160" i="55"/>
  <c r="K159" i="55"/>
  <c r="K158" i="55"/>
  <c r="K157" i="55"/>
  <c r="K156" i="55"/>
  <c r="K154" i="55"/>
  <c r="K153" i="55"/>
  <c r="K152" i="55"/>
  <c r="K151" i="55"/>
  <c r="K150" i="55"/>
  <c r="K149" i="55"/>
  <c r="K148" i="55"/>
  <c r="K147" i="55"/>
  <c r="K146" i="55"/>
  <c r="K144" i="55"/>
  <c r="K143" i="55"/>
  <c r="K142" i="55"/>
  <c r="K141" i="55"/>
  <c r="K140" i="55"/>
  <c r="K139" i="55"/>
  <c r="K138" i="55"/>
  <c r="K137" i="55"/>
  <c r="K136" i="55"/>
  <c r="K135" i="55"/>
  <c r="K134" i="55"/>
  <c r="I34" i="55"/>
  <c r="I121" i="55"/>
  <c r="I120" i="55"/>
  <c r="I107" i="55"/>
  <c r="I104" i="55"/>
  <c r="I40" i="55"/>
  <c r="I33" i="55"/>
  <c r="I24" i="55"/>
  <c r="I126" i="55"/>
  <c r="I124" i="55"/>
  <c r="I123" i="55"/>
  <c r="I119" i="55"/>
  <c r="I117" i="55"/>
  <c r="I114" i="55"/>
  <c r="I113" i="55"/>
  <c r="I112" i="55"/>
  <c r="I111" i="55"/>
  <c r="I110" i="55"/>
  <c r="I106" i="55"/>
  <c r="I103" i="55"/>
  <c r="I102" i="55"/>
  <c r="I101" i="55"/>
  <c r="I99" i="55"/>
  <c r="I95" i="55"/>
  <c r="I94" i="55"/>
  <c r="I93" i="55"/>
  <c r="I90" i="55"/>
  <c r="I87" i="55"/>
  <c r="I86" i="55"/>
  <c r="I80" i="55"/>
  <c r="I75" i="55"/>
  <c r="I74" i="55"/>
  <c r="I73" i="55"/>
  <c r="I70" i="55"/>
  <c r="I69" i="55"/>
  <c r="I58" i="55"/>
  <c r="I57" i="55"/>
  <c r="I56" i="55"/>
  <c r="I54" i="55"/>
  <c r="I53" i="55"/>
  <c r="I51" i="55"/>
  <c r="I48" i="55"/>
  <c r="I47" i="55"/>
  <c r="I46" i="55"/>
  <c r="I45" i="55"/>
  <c r="I44" i="55"/>
  <c r="I43" i="55"/>
  <c r="I36" i="55"/>
  <c r="I29" i="55"/>
  <c r="I28" i="55"/>
  <c r="I27" i="55"/>
  <c r="I23" i="55"/>
  <c r="I22" i="55"/>
  <c r="I118" i="55"/>
  <c r="I116" i="55"/>
  <c r="I115" i="55"/>
  <c r="I109" i="55"/>
  <c r="I108" i="55"/>
  <c r="I105" i="55"/>
  <c r="I98" i="55"/>
  <c r="I97" i="55"/>
  <c r="I96" i="55"/>
  <c r="I85" i="55"/>
  <c r="I84" i="55"/>
  <c r="I83" i="55"/>
  <c r="I82" i="55"/>
  <c r="I77" i="55"/>
  <c r="I68" i="55"/>
  <c r="I67" i="55"/>
  <c r="I66" i="55"/>
  <c r="I64" i="55"/>
  <c r="I62" i="55"/>
  <c r="I60" i="55"/>
  <c r="I59" i="55"/>
  <c r="I55" i="55"/>
  <c r="I52" i="55"/>
  <c r="I50" i="55"/>
  <c r="I49" i="55"/>
  <c r="I41" i="55"/>
  <c r="I39" i="55"/>
  <c r="I38" i="55"/>
  <c r="I37" i="55"/>
  <c r="I35" i="55"/>
  <c r="I31" i="55"/>
  <c r="I30" i="55"/>
  <c r="I26" i="55"/>
  <c r="I25" i="55"/>
  <c r="I21" i="55"/>
  <c r="F121" i="56" l="1"/>
  <c r="E121" i="56"/>
  <c r="D121" i="56"/>
  <c r="F120" i="56"/>
  <c r="E120" i="56"/>
  <c r="D120" i="56"/>
  <c r="J124" i="56"/>
  <c r="R124" i="56"/>
  <c r="Z124" i="56"/>
  <c r="AH124" i="56"/>
  <c r="L124" i="56"/>
  <c r="T124" i="56"/>
  <c r="AB124" i="56"/>
  <c r="AJ124" i="56"/>
  <c r="M124" i="56"/>
  <c r="H124" i="56"/>
  <c r="P124" i="56"/>
  <c r="X124" i="56"/>
  <c r="AF124" i="56"/>
  <c r="I124" i="56"/>
  <c r="Q124" i="56"/>
  <c r="Y124" i="56"/>
  <c r="AG124" i="56"/>
  <c r="S124" i="56"/>
  <c r="AI124" i="56"/>
  <c r="AA124" i="56"/>
  <c r="U124" i="56"/>
  <c r="V124" i="56"/>
  <c r="W124" i="56"/>
  <c r="K124" i="56"/>
  <c r="AC124" i="56"/>
  <c r="N124" i="56"/>
  <c r="AD124" i="56"/>
  <c r="O124" i="56"/>
  <c r="AE124" i="56"/>
  <c r="G124" i="56"/>
  <c r="K127" i="56"/>
  <c r="S127" i="56"/>
  <c r="AA127" i="56"/>
  <c r="AI127" i="56"/>
  <c r="M127" i="56"/>
  <c r="U127" i="56"/>
  <c r="AC127" i="56"/>
  <c r="I127" i="56"/>
  <c r="Q127" i="56"/>
  <c r="Y127" i="56"/>
  <c r="AG127" i="56"/>
  <c r="G127" i="56"/>
  <c r="J127" i="56"/>
  <c r="R127" i="56"/>
  <c r="Z127" i="56"/>
  <c r="AH127" i="56"/>
  <c r="L127" i="56"/>
  <c r="AB127" i="56"/>
  <c r="AJ127" i="56"/>
  <c r="N127" i="56"/>
  <c r="AD127" i="56"/>
  <c r="T127" i="56"/>
  <c r="O127" i="56"/>
  <c r="AE127" i="56"/>
  <c r="P127" i="56"/>
  <c r="AF127" i="56"/>
  <c r="V127" i="56"/>
  <c r="W127" i="56"/>
  <c r="H127" i="56"/>
  <c r="X127" i="56"/>
  <c r="T6" i="55"/>
  <c r="S6" i="55"/>
  <c r="X6" i="55"/>
  <c r="W6" i="55"/>
  <c r="Y6" i="55"/>
  <c r="U6" i="55"/>
  <c r="V6" i="55"/>
  <c r="AJ6" i="55"/>
  <c r="AM6" i="55"/>
  <c r="AL6" i="55"/>
  <c r="T53" i="55"/>
  <c r="S53" i="55"/>
  <c r="S72" i="55"/>
  <c r="T72" i="55"/>
  <c r="T67" i="55"/>
  <c r="S67" i="55"/>
  <c r="S94" i="55"/>
  <c r="T94" i="55"/>
  <c r="S96" i="55"/>
  <c r="T96" i="55"/>
  <c r="T15" i="55"/>
  <c r="S15" i="55"/>
  <c r="T35" i="55"/>
  <c r="S35" i="55"/>
  <c r="S52" i="55"/>
  <c r="T52" i="55"/>
  <c r="S82" i="55"/>
  <c r="T82" i="55"/>
  <c r="T7" i="55"/>
  <c r="S7" i="55"/>
  <c r="S30" i="55"/>
  <c r="T30" i="55"/>
  <c r="S42" i="55"/>
  <c r="T42" i="55"/>
  <c r="T71" i="55"/>
  <c r="S71" i="55"/>
  <c r="T87" i="55"/>
  <c r="S87" i="55"/>
  <c r="T102" i="55"/>
  <c r="S102" i="55"/>
  <c r="S89" i="55"/>
  <c r="T89" i="55"/>
  <c r="X9" i="55"/>
  <c r="W9" i="55"/>
  <c r="W18" i="55"/>
  <c r="X18" i="55"/>
  <c r="X26" i="55"/>
  <c r="W26" i="55"/>
  <c r="W35" i="55"/>
  <c r="X35" i="55"/>
  <c r="W43" i="55"/>
  <c r="X43" i="55"/>
  <c r="X54" i="55"/>
  <c r="W54" i="55"/>
  <c r="X68" i="55"/>
  <c r="W68" i="55"/>
  <c r="X80" i="55"/>
  <c r="W80" i="55"/>
  <c r="X89" i="55"/>
  <c r="W89" i="55"/>
  <c r="X97" i="55"/>
  <c r="W97" i="55"/>
  <c r="X105" i="55"/>
  <c r="W105" i="55"/>
  <c r="Y9" i="55"/>
  <c r="U9" i="55"/>
  <c r="V9" i="55"/>
  <c r="U18" i="55"/>
  <c r="V18" i="55"/>
  <c r="Y18" i="55"/>
  <c r="U26" i="55"/>
  <c r="Y26" i="55"/>
  <c r="V26" i="55"/>
  <c r="Y35" i="55"/>
  <c r="U35" i="55"/>
  <c r="V35" i="55"/>
  <c r="Y43" i="55"/>
  <c r="U43" i="55"/>
  <c r="V43" i="55"/>
  <c r="Y54" i="55"/>
  <c r="V54" i="55"/>
  <c r="U54" i="55"/>
  <c r="V68" i="55"/>
  <c r="U68" i="55"/>
  <c r="Y68" i="55"/>
  <c r="Y80" i="55"/>
  <c r="U80" i="55"/>
  <c r="V80" i="55"/>
  <c r="Y89" i="55"/>
  <c r="U89" i="55"/>
  <c r="V89" i="55"/>
  <c r="Y97" i="55"/>
  <c r="U97" i="55"/>
  <c r="V97" i="55"/>
  <c r="Y105" i="55"/>
  <c r="U105" i="55"/>
  <c r="V105" i="55"/>
  <c r="AJ9" i="55"/>
  <c r="AJ18" i="55"/>
  <c r="AJ26" i="55"/>
  <c r="AJ35" i="55"/>
  <c r="AJ43" i="55"/>
  <c r="AJ54" i="55"/>
  <c r="AJ68" i="55"/>
  <c r="AJ80" i="55"/>
  <c r="AJ89" i="55"/>
  <c r="AJ97" i="55"/>
  <c r="AJ105" i="55"/>
  <c r="AL9" i="55"/>
  <c r="AM9" i="55"/>
  <c r="AL18" i="55"/>
  <c r="AM18" i="55"/>
  <c r="AL26" i="55"/>
  <c r="AM26" i="55"/>
  <c r="AL35" i="55"/>
  <c r="AM35" i="55"/>
  <c r="AL43" i="55"/>
  <c r="AM43" i="55"/>
  <c r="AL54" i="55"/>
  <c r="AM54" i="55"/>
  <c r="AL68" i="55"/>
  <c r="AM68" i="55"/>
  <c r="AL80" i="55"/>
  <c r="AM80" i="55"/>
  <c r="AL89" i="55"/>
  <c r="AM89" i="55"/>
  <c r="AL97" i="55"/>
  <c r="AM97" i="55"/>
  <c r="AL105" i="55"/>
  <c r="AM105" i="55"/>
  <c r="W10" i="55"/>
  <c r="X10" i="55"/>
  <c r="W19" i="55"/>
  <c r="X19" i="55"/>
  <c r="X28" i="55"/>
  <c r="W28" i="55"/>
  <c r="X36" i="55"/>
  <c r="W36" i="55"/>
  <c r="X44" i="55"/>
  <c r="W44" i="55"/>
  <c r="X55" i="55"/>
  <c r="W55" i="55"/>
  <c r="X69" i="55"/>
  <c r="W69" i="55"/>
  <c r="X81" i="55"/>
  <c r="W81" i="55"/>
  <c r="X90" i="55"/>
  <c r="W90" i="55"/>
  <c r="X98" i="55"/>
  <c r="W98" i="55"/>
  <c r="W106" i="55"/>
  <c r="X106" i="55"/>
  <c r="U10" i="55"/>
  <c r="Y10" i="55"/>
  <c r="V10" i="55"/>
  <c r="Y19" i="55"/>
  <c r="U19" i="55"/>
  <c r="V19" i="55"/>
  <c r="V28" i="55"/>
  <c r="U28" i="55"/>
  <c r="Y28" i="55"/>
  <c r="V36" i="55"/>
  <c r="Y36" i="55"/>
  <c r="U36" i="55"/>
  <c r="V44" i="55"/>
  <c r="U44" i="55"/>
  <c r="Y44" i="55"/>
  <c r="Y55" i="55"/>
  <c r="V55" i="55"/>
  <c r="U55" i="55"/>
  <c r="V69" i="55"/>
  <c r="U69" i="55"/>
  <c r="Y69" i="55"/>
  <c r="Y81" i="55"/>
  <c r="U81" i="55"/>
  <c r="V81" i="55"/>
  <c r="U90" i="55"/>
  <c r="Y90" i="55"/>
  <c r="V90" i="55"/>
  <c r="U98" i="55"/>
  <c r="V98" i="55"/>
  <c r="Y98" i="55"/>
  <c r="U106" i="55"/>
  <c r="Y106" i="55"/>
  <c r="V106" i="55"/>
  <c r="AJ10" i="55"/>
  <c r="AJ19" i="55"/>
  <c r="AJ28" i="55"/>
  <c r="AJ36" i="55"/>
  <c r="AJ44" i="55"/>
  <c r="AJ55" i="55"/>
  <c r="AJ69" i="55"/>
  <c r="AJ81" i="55"/>
  <c r="AJ90" i="55"/>
  <c r="AJ98" i="55"/>
  <c r="AJ106" i="55"/>
  <c r="AL10" i="55"/>
  <c r="AM10" i="55"/>
  <c r="AL19" i="55"/>
  <c r="AM19" i="55"/>
  <c r="AL28" i="55"/>
  <c r="AM28" i="55"/>
  <c r="AL36" i="55"/>
  <c r="AM36" i="55"/>
  <c r="AL44" i="55"/>
  <c r="AM44" i="55"/>
  <c r="AL55" i="55"/>
  <c r="AM55" i="55"/>
  <c r="AL69" i="55"/>
  <c r="AM69" i="55"/>
  <c r="AL81" i="55"/>
  <c r="AM81" i="55"/>
  <c r="AL90" i="55"/>
  <c r="AM90" i="55"/>
  <c r="AL98" i="55"/>
  <c r="AM98" i="55"/>
  <c r="AL106" i="55"/>
  <c r="AM106" i="55"/>
  <c r="W11" i="55"/>
  <c r="X11" i="55"/>
  <c r="X20" i="55"/>
  <c r="W20" i="55"/>
  <c r="X29" i="55"/>
  <c r="W29" i="55"/>
  <c r="X37" i="55"/>
  <c r="W37" i="55"/>
  <c r="X45" i="55"/>
  <c r="W45" i="55"/>
  <c r="X58" i="55"/>
  <c r="W58" i="55"/>
  <c r="X70" i="55"/>
  <c r="W70" i="55"/>
  <c r="X82" i="55"/>
  <c r="W82" i="55"/>
  <c r="X91" i="55"/>
  <c r="W91" i="55"/>
  <c r="X99" i="55"/>
  <c r="W99" i="55"/>
  <c r="X108" i="55"/>
  <c r="W108" i="55"/>
  <c r="Y11" i="55"/>
  <c r="U11" i="55"/>
  <c r="V11" i="55"/>
  <c r="Y20" i="55"/>
  <c r="V20" i="55"/>
  <c r="U20" i="55"/>
  <c r="V29" i="55"/>
  <c r="Y29" i="55"/>
  <c r="U29" i="55"/>
  <c r="V37" i="55"/>
  <c r="Y37" i="55"/>
  <c r="U37" i="55"/>
  <c r="V45" i="55"/>
  <c r="Y45" i="55"/>
  <c r="U45" i="55"/>
  <c r="U58" i="55"/>
  <c r="V58" i="55"/>
  <c r="Y58" i="55"/>
  <c r="Y70" i="55"/>
  <c r="V70" i="55"/>
  <c r="U70" i="55"/>
  <c r="U82" i="55"/>
  <c r="V82" i="55"/>
  <c r="Y82" i="55"/>
  <c r="Y91" i="55"/>
  <c r="U91" i="55"/>
  <c r="V91" i="55"/>
  <c r="Y99" i="55"/>
  <c r="U99" i="55"/>
  <c r="V99" i="55"/>
  <c r="V108" i="55"/>
  <c r="U108" i="55"/>
  <c r="Y108" i="55"/>
  <c r="AJ11" i="55"/>
  <c r="AJ20" i="55"/>
  <c r="AJ29" i="55"/>
  <c r="AJ37" i="55"/>
  <c r="AJ45" i="55"/>
  <c r="AJ58" i="55"/>
  <c r="AJ70" i="55"/>
  <c r="AJ82" i="55"/>
  <c r="AJ91" i="55"/>
  <c r="AJ99" i="55"/>
  <c r="AJ108" i="55"/>
  <c r="AL11" i="55"/>
  <c r="AM11" i="55"/>
  <c r="AL20" i="55"/>
  <c r="AM20" i="55"/>
  <c r="AL29" i="55"/>
  <c r="AM29" i="55"/>
  <c r="AL37" i="55"/>
  <c r="AM37" i="55"/>
  <c r="AL45" i="55"/>
  <c r="AM45" i="55"/>
  <c r="AM58" i="55"/>
  <c r="AL58" i="55"/>
  <c r="AM70" i="55"/>
  <c r="AL70" i="55"/>
  <c r="AL82" i="55"/>
  <c r="AM82" i="55"/>
  <c r="AL91" i="55"/>
  <c r="AM91" i="55"/>
  <c r="AL99" i="55"/>
  <c r="AM99" i="55"/>
  <c r="AL108" i="55"/>
  <c r="AM108" i="55"/>
  <c r="S93" i="55"/>
  <c r="T93" i="55"/>
  <c r="X12" i="55"/>
  <c r="W12" i="55"/>
  <c r="X21" i="55"/>
  <c r="W21" i="55"/>
  <c r="X30" i="55"/>
  <c r="W30" i="55"/>
  <c r="X38" i="55"/>
  <c r="W38" i="55"/>
  <c r="W47" i="55"/>
  <c r="X47" i="55"/>
  <c r="W59" i="55"/>
  <c r="X59" i="55"/>
  <c r="W71" i="55"/>
  <c r="X71" i="55"/>
  <c r="X83" i="55"/>
  <c r="W83" i="55"/>
  <c r="X92" i="55"/>
  <c r="W92" i="55"/>
  <c r="X100" i="55"/>
  <c r="W100" i="55"/>
  <c r="X109" i="55"/>
  <c r="W109" i="55"/>
  <c r="V12" i="55"/>
  <c r="U12" i="55"/>
  <c r="Y12" i="55"/>
  <c r="Y21" i="55"/>
  <c r="V21" i="55"/>
  <c r="U21" i="55"/>
  <c r="Y30" i="55"/>
  <c r="V30" i="55"/>
  <c r="U30" i="55"/>
  <c r="Y38" i="55"/>
  <c r="V38" i="55"/>
  <c r="U38" i="55"/>
  <c r="Y47" i="55"/>
  <c r="U47" i="55"/>
  <c r="V47" i="55"/>
  <c r="Y59" i="55"/>
  <c r="U59" i="55"/>
  <c r="V59" i="55"/>
  <c r="Y71" i="55"/>
  <c r="V71" i="55"/>
  <c r="U71" i="55"/>
  <c r="Y83" i="55"/>
  <c r="U83" i="55"/>
  <c r="V83" i="55"/>
  <c r="V92" i="55"/>
  <c r="Y92" i="55"/>
  <c r="U92" i="55"/>
  <c r="V100" i="55"/>
  <c r="U100" i="55"/>
  <c r="Y100" i="55"/>
  <c r="V109" i="55"/>
  <c r="Y109" i="55"/>
  <c r="U109" i="55"/>
  <c r="AJ12" i="55"/>
  <c r="AJ21" i="55"/>
  <c r="AJ30" i="55"/>
  <c r="AJ38" i="55"/>
  <c r="AJ47" i="55"/>
  <c r="AJ59" i="55"/>
  <c r="AJ71" i="55"/>
  <c r="AJ83" i="55"/>
  <c r="AJ92" i="55"/>
  <c r="AJ100" i="55"/>
  <c r="AJ109" i="55"/>
  <c r="AL12" i="55"/>
  <c r="AM12" i="55"/>
  <c r="AL21" i="55"/>
  <c r="AM21" i="55"/>
  <c r="AL30" i="55"/>
  <c r="AM30" i="55"/>
  <c r="AL38" i="55"/>
  <c r="AM38" i="55"/>
  <c r="AL47" i="55"/>
  <c r="AM47" i="55"/>
  <c r="AL59" i="55"/>
  <c r="AM59" i="55"/>
  <c r="AL71" i="55"/>
  <c r="AM71" i="55"/>
  <c r="AL83" i="55"/>
  <c r="AM83" i="55"/>
  <c r="AL92" i="55"/>
  <c r="AM92" i="55"/>
  <c r="AL100" i="55"/>
  <c r="AM100" i="55"/>
  <c r="AL109" i="55"/>
  <c r="AM109" i="55"/>
  <c r="T13" i="55"/>
  <c r="S13" i="55"/>
  <c r="V13" i="55"/>
  <c r="Y13" i="55"/>
  <c r="U13" i="55"/>
  <c r="Y22" i="55"/>
  <c r="V22" i="55"/>
  <c r="U22" i="55"/>
  <c r="Y31" i="55"/>
  <c r="V31" i="55"/>
  <c r="U31" i="55"/>
  <c r="Y39" i="55"/>
  <c r="U39" i="55"/>
  <c r="V39" i="55"/>
  <c r="Y49" i="55"/>
  <c r="U49" i="55"/>
  <c r="V49" i="55"/>
  <c r="Y72" i="55"/>
  <c r="U72" i="55"/>
  <c r="V72" i="55"/>
  <c r="V101" i="55"/>
  <c r="Y101" i="55"/>
  <c r="U101" i="55"/>
  <c r="Y111" i="55"/>
  <c r="U111" i="55"/>
  <c r="V111" i="55"/>
  <c r="AJ13" i="55"/>
  <c r="AJ22" i="55"/>
  <c r="AJ31" i="55"/>
  <c r="AJ39" i="55"/>
  <c r="AJ49" i="55"/>
  <c r="AJ60" i="55"/>
  <c r="AJ72" i="55"/>
  <c r="AJ84" i="55"/>
  <c r="AJ93" i="55"/>
  <c r="AJ101" i="55"/>
  <c r="AJ111" i="55"/>
  <c r="AL13" i="55"/>
  <c r="AM13" i="55"/>
  <c r="AL22" i="55"/>
  <c r="AM22" i="55"/>
  <c r="AL31" i="55"/>
  <c r="AM31" i="55"/>
  <c r="AL39" i="55"/>
  <c r="AM39" i="55"/>
  <c r="AL49" i="55"/>
  <c r="AM49" i="55"/>
  <c r="AL60" i="55"/>
  <c r="AM60" i="55"/>
  <c r="AL72" i="55"/>
  <c r="AM72" i="55"/>
  <c r="AL84" i="55"/>
  <c r="AM84" i="55"/>
  <c r="AL93" i="55"/>
  <c r="AM93" i="55"/>
  <c r="AL101" i="55"/>
  <c r="AM101" i="55"/>
  <c r="AL111" i="55"/>
  <c r="AM111" i="55"/>
  <c r="S37" i="55"/>
  <c r="T37" i="55"/>
  <c r="T43" i="55"/>
  <c r="S43" i="55"/>
  <c r="S104" i="55"/>
  <c r="T104" i="55"/>
  <c r="S40" i="55"/>
  <c r="T40" i="55"/>
  <c r="S90" i="55"/>
  <c r="T90" i="55"/>
  <c r="S54" i="55"/>
  <c r="T54" i="55"/>
  <c r="S108" i="55"/>
  <c r="T108" i="55"/>
  <c r="S44" i="55"/>
  <c r="T44" i="55"/>
  <c r="T55" i="55"/>
  <c r="S55" i="55"/>
  <c r="T95" i="55"/>
  <c r="S95" i="55"/>
  <c r="T23" i="55"/>
  <c r="S23" i="55"/>
  <c r="S36" i="55"/>
  <c r="T36" i="55"/>
  <c r="T19" i="55"/>
  <c r="S19" i="55"/>
  <c r="X13" i="55"/>
  <c r="W13" i="55"/>
  <c r="X31" i="55"/>
  <c r="W31" i="55"/>
  <c r="X60" i="55"/>
  <c r="W60" i="55"/>
  <c r="X101" i="55"/>
  <c r="W101" i="55"/>
  <c r="Y60" i="55"/>
  <c r="V60" i="55"/>
  <c r="U60" i="55"/>
  <c r="S69" i="55"/>
  <c r="T69" i="55"/>
  <c r="S9" i="55"/>
  <c r="T9" i="55"/>
  <c r="C74" i="62"/>
  <c r="X14" i="55"/>
  <c r="W14" i="55"/>
  <c r="W23" i="55"/>
  <c r="X23" i="55"/>
  <c r="X32" i="55"/>
  <c r="W32" i="55"/>
  <c r="X40" i="55"/>
  <c r="W40" i="55"/>
  <c r="W51" i="55"/>
  <c r="X51" i="55"/>
  <c r="X62" i="55"/>
  <c r="W62" i="55"/>
  <c r="X75" i="55"/>
  <c r="W75" i="55"/>
  <c r="W86" i="55"/>
  <c r="X86" i="55"/>
  <c r="W94" i="55"/>
  <c r="X94" i="55"/>
  <c r="X102" i="55"/>
  <c r="W102" i="55"/>
  <c r="C69" i="62"/>
  <c r="Y14" i="55"/>
  <c r="V14" i="55"/>
  <c r="U14" i="55"/>
  <c r="Y23" i="55"/>
  <c r="U23" i="55"/>
  <c r="V23" i="55"/>
  <c r="Y32" i="55"/>
  <c r="U32" i="55"/>
  <c r="V32" i="55"/>
  <c r="Y40" i="55"/>
  <c r="U40" i="55"/>
  <c r="V40" i="55"/>
  <c r="Y51" i="55"/>
  <c r="U51" i="55"/>
  <c r="V51" i="55"/>
  <c r="Y62" i="55"/>
  <c r="V62" i="55"/>
  <c r="U62" i="55"/>
  <c r="Y75" i="55"/>
  <c r="U75" i="55"/>
  <c r="V75" i="55"/>
  <c r="Y86" i="55"/>
  <c r="V86" i="55"/>
  <c r="U86" i="55"/>
  <c r="Y94" i="55"/>
  <c r="V94" i="55"/>
  <c r="U94" i="55"/>
  <c r="Y102" i="55"/>
  <c r="V102" i="55"/>
  <c r="U102" i="55"/>
  <c r="C88" i="62"/>
  <c r="AJ14" i="55"/>
  <c r="AJ23" i="55"/>
  <c r="AJ32" i="55"/>
  <c r="AJ40" i="55"/>
  <c r="AJ51" i="55"/>
  <c r="AJ62" i="55"/>
  <c r="AJ75" i="55"/>
  <c r="AJ86" i="55"/>
  <c r="AJ94" i="55"/>
  <c r="AJ102" i="55"/>
  <c r="C91" i="62"/>
  <c r="AM14" i="55"/>
  <c r="AL14" i="55"/>
  <c r="AL23" i="55"/>
  <c r="AM23" i="55"/>
  <c r="AL32" i="55"/>
  <c r="AM32" i="55"/>
  <c r="AL40" i="55"/>
  <c r="AM40" i="55"/>
  <c r="AL51" i="55"/>
  <c r="AM51" i="55"/>
  <c r="AL62" i="55"/>
  <c r="AM62" i="55"/>
  <c r="AL75" i="55"/>
  <c r="AM75" i="55"/>
  <c r="AL86" i="55"/>
  <c r="AM86" i="55"/>
  <c r="AL94" i="55"/>
  <c r="AM94" i="55"/>
  <c r="AM102" i="55"/>
  <c r="AL102" i="55"/>
  <c r="S16" i="55"/>
  <c r="T16" i="55"/>
  <c r="S8" i="55"/>
  <c r="T8" i="55"/>
  <c r="S92" i="55"/>
  <c r="T92" i="55"/>
  <c r="S62" i="55"/>
  <c r="T62" i="55"/>
  <c r="S12" i="55"/>
  <c r="T12" i="55"/>
  <c r="S32" i="55"/>
  <c r="T32" i="55"/>
  <c r="T91" i="55"/>
  <c r="S91" i="55"/>
  <c r="T105" i="55"/>
  <c r="S105" i="55"/>
  <c r="T109" i="55"/>
  <c r="S109" i="55"/>
  <c r="S45" i="55"/>
  <c r="T45" i="55"/>
  <c r="T14" i="55"/>
  <c r="S14" i="55"/>
  <c r="S58" i="55"/>
  <c r="T58" i="55"/>
  <c r="T111" i="55"/>
  <c r="S111" i="55"/>
  <c r="V93" i="55"/>
  <c r="Y93" i="55"/>
  <c r="U93" i="55"/>
  <c r="L21" i="55"/>
  <c r="T47" i="55"/>
  <c r="S47" i="55"/>
  <c r="S100" i="55"/>
  <c r="T100" i="55"/>
  <c r="T38" i="55"/>
  <c r="S38" i="55"/>
  <c r="T59" i="55"/>
  <c r="S59" i="55"/>
  <c r="T97" i="55"/>
  <c r="S97" i="55"/>
  <c r="S28" i="55"/>
  <c r="T28" i="55"/>
  <c r="W7" i="55"/>
  <c r="X7" i="55"/>
  <c r="X15" i="55"/>
  <c r="W15" i="55"/>
  <c r="X24" i="55"/>
  <c r="W24" i="55"/>
  <c r="X33" i="55"/>
  <c r="W33" i="55"/>
  <c r="X41" i="55"/>
  <c r="W41" i="55"/>
  <c r="X52" i="55"/>
  <c r="W52" i="55"/>
  <c r="X65" i="55"/>
  <c r="W65" i="55"/>
  <c r="X78" i="55"/>
  <c r="W78" i="55"/>
  <c r="W87" i="55"/>
  <c r="X87" i="55"/>
  <c r="W95" i="55"/>
  <c r="X95" i="55"/>
  <c r="X103" i="55"/>
  <c r="W103" i="55"/>
  <c r="Y7" i="55"/>
  <c r="U7" i="55"/>
  <c r="V7" i="55"/>
  <c r="Y15" i="55"/>
  <c r="V15" i="55"/>
  <c r="U15" i="55"/>
  <c r="Y24" i="55"/>
  <c r="U24" i="55"/>
  <c r="V24" i="55"/>
  <c r="Y33" i="55"/>
  <c r="U33" i="55"/>
  <c r="V33" i="55"/>
  <c r="Y41" i="55"/>
  <c r="U41" i="55"/>
  <c r="V41" i="55"/>
  <c r="V52" i="55"/>
  <c r="U52" i="55"/>
  <c r="Y52" i="55"/>
  <c r="Y65" i="55"/>
  <c r="U65" i="55"/>
  <c r="V65" i="55"/>
  <c r="Y78" i="55"/>
  <c r="V78" i="55"/>
  <c r="U78" i="55"/>
  <c r="Y87" i="55"/>
  <c r="U87" i="55"/>
  <c r="V87" i="55"/>
  <c r="Y95" i="55"/>
  <c r="V95" i="55"/>
  <c r="U95" i="55"/>
  <c r="Y103" i="55"/>
  <c r="U103" i="55"/>
  <c r="V103" i="55"/>
  <c r="AJ7" i="55"/>
  <c r="AJ15" i="55"/>
  <c r="AJ24" i="55"/>
  <c r="AJ33" i="55"/>
  <c r="AJ41" i="55"/>
  <c r="AJ52" i="55"/>
  <c r="AJ65" i="55"/>
  <c r="AJ78" i="55"/>
  <c r="AJ87" i="55"/>
  <c r="AJ95" i="55"/>
  <c r="AJ103" i="55"/>
  <c r="AL7" i="55"/>
  <c r="AM7" i="55"/>
  <c r="AL15" i="55"/>
  <c r="AM15" i="55"/>
  <c r="AL24" i="55"/>
  <c r="AM24" i="55"/>
  <c r="AL33" i="55"/>
  <c r="AM33" i="55"/>
  <c r="AL41" i="55"/>
  <c r="AM41" i="55"/>
  <c r="AL52" i="55"/>
  <c r="AM52" i="55"/>
  <c r="AL65" i="55"/>
  <c r="AM65" i="55"/>
  <c r="AL78" i="55"/>
  <c r="AM78" i="55"/>
  <c r="AL87" i="55"/>
  <c r="AM87" i="55"/>
  <c r="AL95" i="55"/>
  <c r="AM95" i="55"/>
  <c r="AL103" i="55"/>
  <c r="AM103" i="55"/>
  <c r="T83" i="55"/>
  <c r="S83" i="55"/>
  <c r="T31" i="55"/>
  <c r="S31" i="55"/>
  <c r="S88" i="55"/>
  <c r="T88" i="55"/>
  <c r="S20" i="55"/>
  <c r="T20" i="55"/>
  <c r="T75" i="55"/>
  <c r="S75" i="55"/>
  <c r="T22" i="55"/>
  <c r="S22" i="55"/>
  <c r="S33" i="55"/>
  <c r="T33" i="55"/>
  <c r="T78" i="55"/>
  <c r="S78" i="55"/>
  <c r="T106" i="55"/>
  <c r="S106" i="55"/>
  <c r="S68" i="55"/>
  <c r="T68" i="55"/>
  <c r="T79" i="55"/>
  <c r="S79" i="55"/>
  <c r="X22" i="55"/>
  <c r="W22" i="55"/>
  <c r="X39" i="55"/>
  <c r="W39" i="55"/>
  <c r="X49" i="55"/>
  <c r="W49" i="55"/>
  <c r="W72" i="55"/>
  <c r="X72" i="55"/>
  <c r="X84" i="55"/>
  <c r="W84" i="55"/>
  <c r="X93" i="55"/>
  <c r="W93" i="55"/>
  <c r="W111" i="55"/>
  <c r="X111" i="55"/>
  <c r="V84" i="55"/>
  <c r="U84" i="55"/>
  <c r="Y84" i="55"/>
  <c r="S24" i="55"/>
  <c r="T24" i="55"/>
  <c r="S21" i="55"/>
  <c r="T21" i="55"/>
  <c r="S80" i="55"/>
  <c r="T80" i="55"/>
  <c r="T10" i="55"/>
  <c r="S10" i="55"/>
  <c r="T26" i="55"/>
  <c r="S26" i="55"/>
  <c r="S49" i="55"/>
  <c r="T49" i="55"/>
  <c r="T70" i="55"/>
  <c r="S70" i="55"/>
  <c r="S101" i="55"/>
  <c r="T101" i="55"/>
  <c r="T39" i="55"/>
  <c r="S39" i="55"/>
  <c r="S60" i="55"/>
  <c r="T60" i="55"/>
  <c r="S84" i="55"/>
  <c r="T84" i="55"/>
  <c r="S98" i="55"/>
  <c r="T98" i="55"/>
  <c r="T18" i="55"/>
  <c r="S18" i="55"/>
  <c r="T11" i="55"/>
  <c r="S11" i="55"/>
  <c r="T34" i="55"/>
  <c r="S34" i="55"/>
  <c r="T51" i="55"/>
  <c r="S51" i="55"/>
  <c r="S81" i="55"/>
  <c r="T81" i="55"/>
  <c r="T103" i="55"/>
  <c r="S103" i="55"/>
  <c r="T29" i="55"/>
  <c r="S29" i="55"/>
  <c r="S41" i="55"/>
  <c r="T41" i="55"/>
  <c r="S65" i="55"/>
  <c r="T65" i="55"/>
  <c r="S86" i="55"/>
  <c r="T86" i="55"/>
  <c r="T99" i="55"/>
  <c r="S99" i="55"/>
  <c r="S25" i="55"/>
  <c r="T25" i="55"/>
  <c r="W8" i="55"/>
  <c r="X8" i="55"/>
  <c r="W16" i="55"/>
  <c r="X16" i="55"/>
  <c r="X25" i="55"/>
  <c r="W25" i="55"/>
  <c r="W34" i="55"/>
  <c r="X34" i="55"/>
  <c r="W42" i="55"/>
  <c r="X42" i="55"/>
  <c r="X53" i="55"/>
  <c r="W53" i="55"/>
  <c r="W67" i="55"/>
  <c r="X67" i="55"/>
  <c r="X79" i="55"/>
  <c r="W79" i="55"/>
  <c r="X88" i="55"/>
  <c r="W88" i="55"/>
  <c r="W96" i="55"/>
  <c r="X96" i="55"/>
  <c r="X104" i="55"/>
  <c r="W104" i="55"/>
  <c r="Y8" i="55"/>
  <c r="U8" i="55"/>
  <c r="V8" i="55"/>
  <c r="Y16" i="55"/>
  <c r="U16" i="55"/>
  <c r="V16" i="55"/>
  <c r="Y25" i="55"/>
  <c r="U25" i="55"/>
  <c r="V25" i="55"/>
  <c r="Y34" i="55"/>
  <c r="U34" i="55"/>
  <c r="V34" i="55"/>
  <c r="U42" i="55"/>
  <c r="Y42" i="55"/>
  <c r="V42" i="55"/>
  <c r="V53" i="55"/>
  <c r="Y53" i="55"/>
  <c r="U53" i="55"/>
  <c r="Y67" i="55"/>
  <c r="U67" i="55"/>
  <c r="V67" i="55"/>
  <c r="Y79" i="55"/>
  <c r="U79" i="55"/>
  <c r="V79" i="55"/>
  <c r="Y88" i="55"/>
  <c r="U88" i="55"/>
  <c r="V88" i="55"/>
  <c r="Y96" i="55"/>
  <c r="U96" i="55"/>
  <c r="V96" i="55"/>
  <c r="Y104" i="55"/>
  <c r="U104" i="55"/>
  <c r="V104" i="55"/>
  <c r="AJ8" i="55"/>
  <c r="AJ16" i="55"/>
  <c r="AJ25" i="55"/>
  <c r="AJ34" i="55"/>
  <c r="AJ42" i="55"/>
  <c r="AJ53" i="55"/>
  <c r="AJ67" i="55"/>
  <c r="AJ79" i="55"/>
  <c r="AJ88" i="55"/>
  <c r="AJ96" i="55"/>
  <c r="AJ104" i="55"/>
  <c r="AL8" i="55"/>
  <c r="AM8" i="55"/>
  <c r="AL16" i="55"/>
  <c r="AM16" i="55"/>
  <c r="AL25" i="55"/>
  <c r="AM25" i="55"/>
  <c r="AL34" i="55"/>
  <c r="AM34" i="55"/>
  <c r="AL42" i="55"/>
  <c r="AM42" i="55"/>
  <c r="AL53" i="55"/>
  <c r="AM53" i="55"/>
  <c r="AL67" i="55"/>
  <c r="AM67" i="55"/>
  <c r="AL79" i="55"/>
  <c r="AM79" i="55"/>
  <c r="AL88" i="55"/>
  <c r="AM88" i="55"/>
  <c r="AL96" i="55"/>
  <c r="AM96" i="55"/>
  <c r="AL104" i="55"/>
  <c r="AM104" i="55"/>
  <c r="B201" i="67"/>
  <c r="Q220" i="56"/>
  <c r="Q134" i="56"/>
  <c r="R220" i="56"/>
  <c r="R134" i="56"/>
  <c r="J220" i="56"/>
  <c r="J134" i="56"/>
  <c r="AD220" i="56"/>
  <c r="AD134" i="56"/>
  <c r="V220" i="56"/>
  <c r="V134" i="56"/>
  <c r="I220" i="56"/>
  <c r="I134" i="56"/>
  <c r="T220" i="56"/>
  <c r="T134" i="56"/>
  <c r="O220" i="56"/>
  <c r="O134" i="56"/>
  <c r="AI220" i="56"/>
  <c r="AI134" i="56"/>
  <c r="AA220" i="56"/>
  <c r="AA134" i="56"/>
  <c r="S220" i="56"/>
  <c r="S134" i="56"/>
  <c r="AB220" i="56"/>
  <c r="AB134" i="56"/>
  <c r="N220" i="56"/>
  <c r="N134" i="56"/>
  <c r="AH220" i="56"/>
  <c r="AH134" i="56"/>
  <c r="Z220" i="56"/>
  <c r="Z134" i="56"/>
  <c r="AJ220" i="56"/>
  <c r="AJ134" i="56"/>
  <c r="AC220" i="56"/>
  <c r="AC134" i="56"/>
  <c r="P220" i="56"/>
  <c r="P134" i="56"/>
  <c r="G190" i="56"/>
  <c r="G196" i="56"/>
  <c r="G134" i="56"/>
  <c r="M220" i="56"/>
  <c r="M134" i="56"/>
  <c r="AG220" i="56"/>
  <c r="AG134" i="56"/>
  <c r="Y220" i="56"/>
  <c r="Y134" i="56"/>
  <c r="U220" i="56"/>
  <c r="U134" i="56"/>
  <c r="H220" i="56"/>
  <c r="H134" i="56"/>
  <c r="L220" i="56"/>
  <c r="L134" i="56"/>
  <c r="AF220" i="56"/>
  <c r="AF134" i="56"/>
  <c r="X220" i="56"/>
  <c r="X134" i="56"/>
  <c r="K220" i="56"/>
  <c r="K134" i="56"/>
  <c r="AE220" i="56"/>
  <c r="AE134" i="56"/>
  <c r="W220" i="56"/>
  <c r="W134" i="56"/>
  <c r="H155" i="56"/>
  <c r="P155" i="56"/>
  <c r="X155" i="56"/>
  <c r="AF155" i="56"/>
  <c r="K159" i="56"/>
  <c r="S159" i="56"/>
  <c r="AA159" i="56"/>
  <c r="AI159" i="56"/>
  <c r="I164" i="56"/>
  <c r="Q164" i="56"/>
  <c r="Y164" i="56"/>
  <c r="AG164" i="56"/>
  <c r="O168" i="56"/>
  <c r="W168" i="56"/>
  <c r="AE168" i="56"/>
  <c r="H172" i="56"/>
  <c r="P172" i="56"/>
  <c r="X172" i="56"/>
  <c r="AF172" i="56"/>
  <c r="N176" i="56"/>
  <c r="V176" i="56"/>
  <c r="AD176" i="56"/>
  <c r="L181" i="56"/>
  <c r="T181" i="56"/>
  <c r="AB181" i="56"/>
  <c r="AJ181" i="56"/>
  <c r="J185" i="56"/>
  <c r="R185" i="56"/>
  <c r="Z185" i="56"/>
  <c r="AH185" i="56"/>
  <c r="G168" i="56"/>
  <c r="I155" i="56"/>
  <c r="Q155" i="56"/>
  <c r="Y155" i="56"/>
  <c r="AG155" i="56"/>
  <c r="L159" i="56"/>
  <c r="T159" i="56"/>
  <c r="AB159" i="56"/>
  <c r="AJ159" i="56"/>
  <c r="J164" i="56"/>
  <c r="R164" i="56"/>
  <c r="Z164" i="56"/>
  <c r="AH164" i="56"/>
  <c r="H168" i="56"/>
  <c r="P168" i="56"/>
  <c r="X168" i="56"/>
  <c r="AF168" i="56"/>
  <c r="I172" i="56"/>
  <c r="Q172" i="56"/>
  <c r="Y172" i="56"/>
  <c r="AG172" i="56"/>
  <c r="O176" i="56"/>
  <c r="W176" i="56"/>
  <c r="AE176" i="56"/>
  <c r="M181" i="56"/>
  <c r="U181" i="56"/>
  <c r="AC181" i="56"/>
  <c r="K185" i="56"/>
  <c r="S185" i="56"/>
  <c r="AA185" i="56"/>
  <c r="AI185" i="56"/>
  <c r="G164" i="56"/>
  <c r="N181" i="56"/>
  <c r="AD181" i="56"/>
  <c r="T185" i="56"/>
  <c r="AB185" i="56"/>
  <c r="G159" i="56"/>
  <c r="J155" i="56"/>
  <c r="R155" i="56"/>
  <c r="Z155" i="56"/>
  <c r="AH155" i="56"/>
  <c r="M159" i="56"/>
  <c r="U159" i="56"/>
  <c r="AC159" i="56"/>
  <c r="K164" i="56"/>
  <c r="S164" i="56"/>
  <c r="AA164" i="56"/>
  <c r="AI164" i="56"/>
  <c r="I168" i="56"/>
  <c r="Q168" i="56"/>
  <c r="Y168" i="56"/>
  <c r="AG168" i="56"/>
  <c r="J172" i="56"/>
  <c r="R172" i="56"/>
  <c r="Z172" i="56"/>
  <c r="AH172" i="56"/>
  <c r="H176" i="56"/>
  <c r="P176" i="56"/>
  <c r="X176" i="56"/>
  <c r="AF176" i="56"/>
  <c r="V181" i="56"/>
  <c r="L185" i="56"/>
  <c r="AJ185" i="56"/>
  <c r="N155" i="56"/>
  <c r="V155" i="56"/>
  <c r="AD155" i="56"/>
  <c r="I159" i="56"/>
  <c r="Q159" i="56"/>
  <c r="Y159" i="56"/>
  <c r="AG159" i="56"/>
  <c r="O164" i="56"/>
  <c r="W164" i="56"/>
  <c r="AE164" i="56"/>
  <c r="M168" i="56"/>
  <c r="U168" i="56"/>
  <c r="AC168" i="56"/>
  <c r="N172" i="56"/>
  <c r="V172" i="56"/>
  <c r="AD172" i="56"/>
  <c r="L176" i="56"/>
  <c r="T176" i="56"/>
  <c r="AB176" i="56"/>
  <c r="AJ176" i="56"/>
  <c r="J181" i="56"/>
  <c r="R181" i="56"/>
  <c r="Z181" i="56"/>
  <c r="AH181" i="56"/>
  <c r="H185" i="56"/>
  <c r="P185" i="56"/>
  <c r="X185" i="56"/>
  <c r="AF185" i="56"/>
  <c r="G176" i="56"/>
  <c r="L155" i="56"/>
  <c r="AB155" i="56"/>
  <c r="O159" i="56"/>
  <c r="AE159" i="56"/>
  <c r="U164" i="56"/>
  <c r="K168" i="56"/>
  <c r="AA168" i="56"/>
  <c r="T172" i="56"/>
  <c r="AJ172" i="56"/>
  <c r="J176" i="56"/>
  <c r="Z176" i="56"/>
  <c r="P181" i="56"/>
  <c r="AF181" i="56"/>
  <c r="V185" i="56"/>
  <c r="G185" i="56"/>
  <c r="U172" i="56"/>
  <c r="AA176" i="56"/>
  <c r="Q181" i="56"/>
  <c r="AG181" i="56"/>
  <c r="G181" i="56"/>
  <c r="Y185" i="56"/>
  <c r="G172" i="56"/>
  <c r="AI155" i="56"/>
  <c r="AH168" i="56"/>
  <c r="K172" i="56"/>
  <c r="AG176" i="56"/>
  <c r="W181" i="56"/>
  <c r="M185" i="56"/>
  <c r="H159" i="56"/>
  <c r="AD164" i="56"/>
  <c r="Y181" i="56"/>
  <c r="AE185" i="56"/>
  <c r="M155" i="56"/>
  <c r="AC155" i="56"/>
  <c r="P159" i="56"/>
  <c r="AF159" i="56"/>
  <c r="V164" i="56"/>
  <c r="L168" i="56"/>
  <c r="AB168" i="56"/>
  <c r="K176" i="56"/>
  <c r="W185" i="56"/>
  <c r="V159" i="56"/>
  <c r="L164" i="56"/>
  <c r="Q176" i="56"/>
  <c r="G155" i="56"/>
  <c r="W159" i="56"/>
  <c r="AC164" i="56"/>
  <c r="S168" i="56"/>
  <c r="L172" i="56"/>
  <c r="R176" i="56"/>
  <c r="H181" i="56"/>
  <c r="N185" i="56"/>
  <c r="U155" i="56"/>
  <c r="O155" i="56"/>
  <c r="AE155" i="56"/>
  <c r="R159" i="56"/>
  <c r="AH159" i="56"/>
  <c r="H164" i="56"/>
  <c r="X164" i="56"/>
  <c r="N168" i="56"/>
  <c r="AD168" i="56"/>
  <c r="W172" i="56"/>
  <c r="M176" i="56"/>
  <c r="AC176" i="56"/>
  <c r="S181" i="56"/>
  <c r="AI181" i="56"/>
  <c r="I185" i="56"/>
  <c r="S155" i="56"/>
  <c r="AB164" i="56"/>
  <c r="R168" i="56"/>
  <c r="AA172" i="56"/>
  <c r="AC185" i="56"/>
  <c r="T155" i="56"/>
  <c r="X181" i="56"/>
  <c r="AD185" i="56"/>
  <c r="X159" i="56"/>
  <c r="N164" i="56"/>
  <c r="T168" i="56"/>
  <c r="M172" i="56"/>
  <c r="S176" i="56"/>
  <c r="I181" i="56"/>
  <c r="O185" i="56"/>
  <c r="W155" i="56"/>
  <c r="J159" i="56"/>
  <c r="Z159" i="56"/>
  <c r="P164" i="56"/>
  <c r="AF164" i="56"/>
  <c r="V168" i="56"/>
  <c r="O172" i="56"/>
  <c r="AE172" i="56"/>
  <c r="U176" i="56"/>
  <c r="K181" i="56"/>
  <c r="AA181" i="56"/>
  <c r="Q185" i="56"/>
  <c r="AG185" i="56"/>
  <c r="K155" i="56"/>
  <c r="AA155" i="56"/>
  <c r="N159" i="56"/>
  <c r="AD159" i="56"/>
  <c r="T164" i="56"/>
  <c r="AJ164" i="56"/>
  <c r="J168" i="56"/>
  <c r="Z168" i="56"/>
  <c r="S172" i="56"/>
  <c r="AI172" i="56"/>
  <c r="I176" i="56"/>
  <c r="Y176" i="56"/>
  <c r="O181" i="56"/>
  <c r="AE181" i="56"/>
  <c r="U185" i="56"/>
  <c r="AJ155" i="56"/>
  <c r="M164" i="56"/>
  <c r="AI168" i="56"/>
  <c r="AB172" i="56"/>
  <c r="AH176" i="56"/>
  <c r="AJ168" i="56"/>
  <c r="AC172" i="56"/>
  <c r="AI176" i="56"/>
  <c r="G195" i="56"/>
  <c r="G220" i="56"/>
  <c r="AF132" i="56"/>
  <c r="AF219" i="56"/>
  <c r="X132" i="56"/>
  <c r="X219" i="56"/>
  <c r="P132" i="56"/>
  <c r="P219" i="56"/>
  <c r="AE132" i="56"/>
  <c r="AE219" i="56"/>
  <c r="W132" i="56"/>
  <c r="W219" i="56"/>
  <c r="O132" i="56"/>
  <c r="O219" i="56"/>
  <c r="G219" i="56"/>
  <c r="G206" i="56"/>
  <c r="AD132" i="56"/>
  <c r="AD219" i="56"/>
  <c r="V132" i="56"/>
  <c r="V219" i="56"/>
  <c r="N132" i="56"/>
  <c r="N219" i="56"/>
  <c r="U132" i="56"/>
  <c r="U219" i="56"/>
  <c r="M132" i="56"/>
  <c r="M219" i="56"/>
  <c r="AJ132" i="56"/>
  <c r="AJ219" i="56"/>
  <c r="AB132" i="56"/>
  <c r="AB219" i="56"/>
  <c r="T132" i="56"/>
  <c r="T219" i="56"/>
  <c r="L132" i="56"/>
  <c r="L219" i="56"/>
  <c r="AI132" i="56"/>
  <c r="AI219" i="56"/>
  <c r="AA132" i="56"/>
  <c r="AA219" i="56"/>
  <c r="S132" i="56"/>
  <c r="S219" i="56"/>
  <c r="K132" i="56"/>
  <c r="K219" i="56"/>
  <c r="AH132" i="56"/>
  <c r="AH219" i="56"/>
  <c r="Z132" i="56"/>
  <c r="Z219" i="56"/>
  <c r="R132" i="56"/>
  <c r="R219" i="56"/>
  <c r="J132" i="56"/>
  <c r="J219" i="56"/>
  <c r="AC132" i="56"/>
  <c r="AC219" i="56"/>
  <c r="AG132" i="56"/>
  <c r="AG219" i="56"/>
  <c r="Y132" i="56"/>
  <c r="Y219" i="56"/>
  <c r="Q132" i="56"/>
  <c r="Q219" i="56"/>
  <c r="I132" i="56"/>
  <c r="I219" i="56"/>
  <c r="K210" i="56"/>
  <c r="K212" i="56" s="1"/>
  <c r="K195" i="56"/>
  <c r="AH210" i="56"/>
  <c r="AH212" i="56" s="1"/>
  <c r="AH195" i="56"/>
  <c r="Z210" i="56"/>
  <c r="Z212" i="56" s="1"/>
  <c r="Z195" i="56"/>
  <c r="R210" i="56"/>
  <c r="R212" i="56" s="1"/>
  <c r="R195" i="56"/>
  <c r="J210" i="56"/>
  <c r="J212" i="56" s="1"/>
  <c r="J195" i="56"/>
  <c r="L190" i="56"/>
  <c r="L196" i="56"/>
  <c r="AF196" i="56"/>
  <c r="AF190" i="56"/>
  <c r="X190" i="56"/>
  <c r="X196" i="56"/>
  <c r="AG210" i="56"/>
  <c r="AG212" i="56" s="1"/>
  <c r="AG195" i="56"/>
  <c r="Q210" i="56"/>
  <c r="Q212" i="56" s="1"/>
  <c r="Q195" i="56"/>
  <c r="I210" i="56"/>
  <c r="I212" i="56" s="1"/>
  <c r="I195" i="56"/>
  <c r="K190" i="56"/>
  <c r="K196" i="56"/>
  <c r="AE190" i="56"/>
  <c r="AE196" i="56"/>
  <c r="W190" i="56"/>
  <c r="W196" i="56"/>
  <c r="Y210" i="56"/>
  <c r="Y212" i="56" s="1"/>
  <c r="Y195" i="56"/>
  <c r="AF210" i="56"/>
  <c r="AF212" i="56" s="1"/>
  <c r="AF195" i="56"/>
  <c r="X210" i="56"/>
  <c r="X212" i="56" s="1"/>
  <c r="X195" i="56"/>
  <c r="P210" i="56"/>
  <c r="P212" i="56" s="1"/>
  <c r="P195" i="56"/>
  <c r="H210" i="56"/>
  <c r="H212" i="56" s="1"/>
  <c r="H195" i="56"/>
  <c r="R196" i="56"/>
  <c r="R190" i="56"/>
  <c r="J196" i="56"/>
  <c r="J190" i="56"/>
  <c r="AD190" i="56"/>
  <c r="AD196" i="56"/>
  <c r="V190" i="56"/>
  <c r="V196" i="56"/>
  <c r="AA210" i="56"/>
  <c r="AA212" i="56" s="1"/>
  <c r="AA195" i="56"/>
  <c r="S210" i="56"/>
  <c r="S212" i="56" s="1"/>
  <c r="S195" i="56"/>
  <c r="AE210" i="56"/>
  <c r="AE212" i="56" s="1"/>
  <c r="AE195" i="56"/>
  <c r="W210" i="56"/>
  <c r="W212" i="56" s="1"/>
  <c r="W195" i="56"/>
  <c r="O210" i="56"/>
  <c r="O212" i="56" s="1"/>
  <c r="O195" i="56"/>
  <c r="G210" i="56"/>
  <c r="G212" i="56" s="1"/>
  <c r="Q196" i="56"/>
  <c r="Q190" i="56"/>
  <c r="I196" i="56"/>
  <c r="I190" i="56"/>
  <c r="AC190" i="56"/>
  <c r="AC196" i="56"/>
  <c r="U196" i="56"/>
  <c r="U190" i="56"/>
  <c r="Y196" i="56"/>
  <c r="Y190" i="56"/>
  <c r="AD210" i="56"/>
  <c r="AD212" i="56" s="1"/>
  <c r="AD195" i="56"/>
  <c r="V210" i="56"/>
  <c r="V212" i="56" s="1"/>
  <c r="V195" i="56"/>
  <c r="N210" i="56"/>
  <c r="N212" i="56" s="1"/>
  <c r="N195" i="56"/>
  <c r="P190" i="56"/>
  <c r="P196" i="56"/>
  <c r="H190" i="56"/>
  <c r="H196" i="56"/>
  <c r="AB196" i="56"/>
  <c r="AB190" i="56"/>
  <c r="T190" i="56"/>
  <c r="T196" i="56"/>
  <c r="M196" i="56"/>
  <c r="M190" i="56"/>
  <c r="AC210" i="56"/>
  <c r="AC212" i="56" s="1"/>
  <c r="AC195" i="56"/>
  <c r="U210" i="56"/>
  <c r="U212" i="56" s="1"/>
  <c r="U195" i="56"/>
  <c r="M210" i="56"/>
  <c r="M212" i="56" s="1"/>
  <c r="M195" i="56"/>
  <c r="O196" i="56"/>
  <c r="O190" i="56"/>
  <c r="AI190" i="56"/>
  <c r="AI196" i="56"/>
  <c r="AA190" i="56"/>
  <c r="AA196" i="56"/>
  <c r="S190" i="56"/>
  <c r="S196" i="56"/>
  <c r="AI210" i="56"/>
  <c r="AI212" i="56" s="1"/>
  <c r="AI195" i="56"/>
  <c r="AG196" i="56"/>
  <c r="AG190" i="56"/>
  <c r="AJ210" i="56"/>
  <c r="AJ212" i="56" s="1"/>
  <c r="AJ195" i="56"/>
  <c r="AB210" i="56"/>
  <c r="AB212" i="56" s="1"/>
  <c r="AB195" i="56"/>
  <c r="T210" i="56"/>
  <c r="T212" i="56" s="1"/>
  <c r="T195" i="56"/>
  <c r="L210" i="56"/>
  <c r="L212" i="56" s="1"/>
  <c r="L195" i="56"/>
  <c r="N196" i="56"/>
  <c r="N190" i="56"/>
  <c r="AH196" i="56"/>
  <c r="AH190" i="56"/>
  <c r="Z196" i="56"/>
  <c r="Z190" i="56"/>
  <c r="AJ190" i="56"/>
  <c r="AJ196" i="56"/>
  <c r="AI206" i="56"/>
  <c r="AI143" i="56"/>
  <c r="AA206" i="56"/>
  <c r="AA143" i="56"/>
  <c r="S206" i="56"/>
  <c r="S143" i="56"/>
  <c r="K206" i="56"/>
  <c r="K143" i="56"/>
  <c r="G133" i="56"/>
  <c r="G144" i="56"/>
  <c r="G146" i="56" s="1"/>
  <c r="M133" i="56"/>
  <c r="M144" i="56"/>
  <c r="M146" i="56" s="1"/>
  <c r="AG133" i="56"/>
  <c r="AG144" i="56"/>
  <c r="AG146" i="56" s="1"/>
  <c r="Y133" i="56"/>
  <c r="Y144" i="56"/>
  <c r="Y146" i="56" s="1"/>
  <c r="AH206" i="56"/>
  <c r="AH143" i="56"/>
  <c r="Z206" i="56"/>
  <c r="Z143" i="56"/>
  <c r="R206" i="56"/>
  <c r="R143" i="56"/>
  <c r="J206" i="56"/>
  <c r="J143" i="56"/>
  <c r="L133" i="56"/>
  <c r="L144" i="56"/>
  <c r="L146" i="56" s="1"/>
  <c r="AF133" i="56"/>
  <c r="AF144" i="56"/>
  <c r="AF146" i="56" s="1"/>
  <c r="X133" i="56"/>
  <c r="X144" i="56"/>
  <c r="X146" i="56" s="1"/>
  <c r="AG206" i="56"/>
  <c r="AG143" i="56"/>
  <c r="Y206" i="56"/>
  <c r="Y143" i="56"/>
  <c r="Q206" i="56"/>
  <c r="Q143" i="56"/>
  <c r="I206" i="56"/>
  <c r="I143" i="56"/>
  <c r="K133" i="56"/>
  <c r="K144" i="56"/>
  <c r="K146" i="56" s="1"/>
  <c r="AE133" i="56"/>
  <c r="AE144" i="56"/>
  <c r="AE146" i="56" s="1"/>
  <c r="W133" i="56"/>
  <c r="W144" i="56"/>
  <c r="W146" i="56" s="1"/>
  <c r="AF206" i="56"/>
  <c r="AF143" i="56"/>
  <c r="X206" i="56"/>
  <c r="X143" i="56"/>
  <c r="P206" i="56"/>
  <c r="P143" i="56"/>
  <c r="H206" i="56"/>
  <c r="H143" i="56"/>
  <c r="R133" i="56"/>
  <c r="R144" i="56"/>
  <c r="R146" i="56" s="1"/>
  <c r="J133" i="56"/>
  <c r="J144" i="56"/>
  <c r="J146" i="56" s="1"/>
  <c r="AD133" i="56"/>
  <c r="AD144" i="56"/>
  <c r="AD146" i="56" s="1"/>
  <c r="V133" i="56"/>
  <c r="V144" i="56"/>
  <c r="V146" i="56" s="1"/>
  <c r="AE206" i="56"/>
  <c r="AE143" i="56"/>
  <c r="W206" i="56"/>
  <c r="W143" i="56"/>
  <c r="O206" i="56"/>
  <c r="O143" i="56"/>
  <c r="G143" i="56"/>
  <c r="Q133" i="56"/>
  <c r="Q144" i="56"/>
  <c r="Q146" i="56" s="1"/>
  <c r="I133" i="56"/>
  <c r="I144" i="56"/>
  <c r="I146" i="56" s="1"/>
  <c r="AC133" i="56"/>
  <c r="AC144" i="56"/>
  <c r="AC146" i="56" s="1"/>
  <c r="U133" i="56"/>
  <c r="U144" i="56"/>
  <c r="U146" i="56" s="1"/>
  <c r="AD206" i="56"/>
  <c r="AD143" i="56"/>
  <c r="V206" i="56"/>
  <c r="V143" i="56"/>
  <c r="N206" i="56"/>
  <c r="N143" i="56"/>
  <c r="P133" i="56"/>
  <c r="P144" i="56"/>
  <c r="P146" i="56" s="1"/>
  <c r="H133" i="56"/>
  <c r="H144" i="56"/>
  <c r="H146" i="56" s="1"/>
  <c r="AB133" i="56"/>
  <c r="AB144" i="56"/>
  <c r="AB146" i="56" s="1"/>
  <c r="T133" i="56"/>
  <c r="T144" i="56"/>
  <c r="T146" i="56" s="1"/>
  <c r="AC206" i="56"/>
  <c r="AC143" i="56"/>
  <c r="U206" i="56"/>
  <c r="U143" i="56"/>
  <c r="M206" i="56"/>
  <c r="M143" i="56"/>
  <c r="O133" i="56"/>
  <c r="O144" i="56"/>
  <c r="O146" i="56" s="1"/>
  <c r="AI133" i="56"/>
  <c r="AI144" i="56"/>
  <c r="AI146" i="56" s="1"/>
  <c r="AA133" i="56"/>
  <c r="AA144" i="56"/>
  <c r="AA146" i="56" s="1"/>
  <c r="S133" i="56"/>
  <c r="S144" i="56"/>
  <c r="S146" i="56" s="1"/>
  <c r="AJ206" i="56"/>
  <c r="AJ143" i="56"/>
  <c r="AB206" i="56"/>
  <c r="AB143" i="56"/>
  <c r="T206" i="56"/>
  <c r="T143" i="56"/>
  <c r="L206" i="56"/>
  <c r="L143" i="56"/>
  <c r="N133" i="56"/>
  <c r="N144" i="56"/>
  <c r="N146" i="56" s="1"/>
  <c r="AH133" i="56"/>
  <c r="AH144" i="56"/>
  <c r="AH146" i="56" s="1"/>
  <c r="Z133" i="56"/>
  <c r="Z144" i="56"/>
  <c r="Z146" i="56" s="1"/>
  <c r="AJ133" i="56"/>
  <c r="AJ144" i="56"/>
  <c r="AJ146" i="56" s="1"/>
  <c r="I139" i="56"/>
  <c r="G139" i="56"/>
  <c r="H139" i="56"/>
  <c r="L139" i="56"/>
  <c r="K139" i="56"/>
  <c r="I1833" i="55"/>
  <c r="I1936" i="55"/>
  <c r="I1928" i="55"/>
  <c r="I1920" i="55"/>
  <c r="I1912" i="55"/>
  <c r="I1904" i="55"/>
  <c r="I1896" i="55"/>
  <c r="I1888" i="55"/>
  <c r="I1880" i="55"/>
  <c r="I1872" i="55"/>
  <c r="I1864" i="55"/>
  <c r="I1856" i="55"/>
  <c r="I1848" i="55"/>
  <c r="I1840" i="55"/>
  <c r="I1935" i="55"/>
  <c r="I1927" i="55"/>
  <c r="I1919" i="55"/>
  <c r="I1911" i="55"/>
  <c r="I1903" i="55"/>
  <c r="I1895" i="55"/>
  <c r="I1887" i="55"/>
  <c r="I1879" i="55"/>
  <c r="I1871" i="55"/>
  <c r="I1863" i="55"/>
  <c r="I1855" i="55"/>
  <c r="I1847" i="55"/>
  <c r="I1839" i="55"/>
  <c r="I1934" i="55"/>
  <c r="I1926" i="55"/>
  <c r="I1918" i="55"/>
  <c r="I1910" i="55"/>
  <c r="I1902" i="55"/>
  <c r="I1894" i="55"/>
  <c r="I1886" i="55"/>
  <c r="I1878" i="55"/>
  <c r="I1870" i="55"/>
  <c r="I1862" i="55"/>
  <c r="I1854" i="55"/>
  <c r="I1846" i="55"/>
  <c r="I1838" i="55"/>
  <c r="I1933" i="55"/>
  <c r="I1925" i="55"/>
  <c r="I1917" i="55"/>
  <c r="I1909" i="55"/>
  <c r="I1901" i="55"/>
  <c r="I1893" i="55"/>
  <c r="I1885" i="55"/>
  <c r="I1877" i="55"/>
  <c r="I1869" i="55"/>
  <c r="I1861" i="55"/>
  <c r="I1853" i="55"/>
  <c r="I1845" i="55"/>
  <c r="I1837" i="55"/>
  <c r="I1932" i="55"/>
  <c r="I1924" i="55"/>
  <c r="I1916" i="55"/>
  <c r="I1908" i="55"/>
  <c r="I1900" i="55"/>
  <c r="I1892" i="55"/>
  <c r="I1884" i="55"/>
  <c r="I1876" i="55"/>
  <c r="I1868" i="55"/>
  <c r="I1860" i="55"/>
  <c r="I1852" i="55"/>
  <c r="I1844" i="55"/>
  <c r="I1836" i="55"/>
  <c r="I1931" i="55"/>
  <c r="I1923" i="55"/>
  <c r="I1915" i="55"/>
  <c r="I1907" i="55"/>
  <c r="I1899" i="55"/>
  <c r="I1891" i="55"/>
  <c r="I1883" i="55"/>
  <c r="I1875" i="55"/>
  <c r="I1867" i="55"/>
  <c r="I1859" i="55"/>
  <c r="I1851" i="55"/>
  <c r="I1843" i="55"/>
  <c r="I1835" i="55"/>
  <c r="I1832" i="55"/>
  <c r="I1930" i="55"/>
  <c r="I1922" i="55"/>
  <c r="I1914" i="55"/>
  <c r="I1906" i="55"/>
  <c r="I1898" i="55"/>
  <c r="I1890" i="55"/>
  <c r="I1882" i="55"/>
  <c r="I1874" i="55"/>
  <c r="I1866" i="55"/>
  <c r="I1858" i="55"/>
  <c r="I1850" i="55"/>
  <c r="I1842" i="55"/>
  <c r="I1834" i="55"/>
  <c r="I1937" i="55"/>
  <c r="I1929" i="55"/>
  <c r="I1921" i="55"/>
  <c r="I1913" i="55"/>
  <c r="I1905" i="55"/>
  <c r="I1897" i="55"/>
  <c r="I1889" i="55"/>
  <c r="I1881" i="55"/>
  <c r="I1873" i="55"/>
  <c r="I1865" i="55"/>
  <c r="I1857" i="55"/>
  <c r="I1849" i="55"/>
  <c r="I1841" i="55"/>
  <c r="M699" i="55"/>
  <c r="M784" i="55"/>
  <c r="M788" i="55"/>
  <c r="M776" i="55"/>
  <c r="M705" i="55"/>
  <c r="M711" i="55"/>
  <c r="M717" i="55"/>
  <c r="M734" i="55"/>
  <c r="M740" i="55"/>
  <c r="M746" i="55"/>
  <c r="M753" i="55"/>
  <c r="M760" i="55"/>
  <c r="M766" i="55"/>
  <c r="M773" i="55"/>
  <c r="M779" i="55"/>
  <c r="M785" i="55"/>
  <c r="M798" i="55"/>
  <c r="M700" i="55"/>
  <c r="M706" i="55"/>
  <c r="M718" i="55"/>
  <c r="M724" i="55"/>
  <c r="M729" i="55"/>
  <c r="M735" i="55"/>
  <c r="M741" i="55"/>
  <c r="M747" i="55"/>
  <c r="M754" i="55"/>
  <c r="M767" i="55"/>
  <c r="M774" i="55"/>
  <c r="M786" i="55"/>
  <c r="M792" i="55"/>
  <c r="M799" i="55"/>
  <c r="M701" i="55"/>
  <c r="M712" i="55"/>
  <c r="M719" i="55"/>
  <c r="M730" i="55"/>
  <c r="M748" i="55"/>
  <c r="M761" i="55"/>
  <c r="M768" i="55"/>
  <c r="M780" i="55"/>
  <c r="M787" i="55"/>
  <c r="M793" i="55"/>
  <c r="M800" i="55"/>
  <c r="M702" i="55"/>
  <c r="M707" i="55"/>
  <c r="M713" i="55"/>
  <c r="M720" i="55"/>
  <c r="M725" i="55"/>
  <c r="M731" i="55"/>
  <c r="M736" i="55"/>
  <c r="M742" i="55"/>
  <c r="M749" i="55"/>
  <c r="M755" i="55"/>
  <c r="M762" i="55"/>
  <c r="M769" i="55"/>
  <c r="M775" i="55"/>
  <c r="M781" i="55"/>
  <c r="M794" i="55"/>
  <c r="M801" i="55"/>
  <c r="M743" i="55"/>
  <c r="M750" i="55"/>
  <c r="M756" i="55"/>
  <c r="M763" i="55"/>
  <c r="M770" i="55"/>
  <c r="M802" i="55"/>
  <c r="M714" i="55"/>
  <c r="M782" i="55"/>
  <c r="M703" i="55"/>
  <c r="M708" i="55"/>
  <c r="M715" i="55"/>
  <c r="M721" i="55"/>
  <c r="M727" i="55"/>
  <c r="M732" i="55"/>
  <c r="M737" i="55"/>
  <c r="M744" i="55"/>
  <c r="M757" i="55"/>
  <c r="M764" i="55"/>
  <c r="M777" i="55"/>
  <c r="M783" i="55"/>
  <c r="M789" i="55"/>
  <c r="M803" i="55"/>
  <c r="M709" i="55"/>
  <c r="M722" i="55"/>
  <c r="M738" i="55"/>
  <c r="M745" i="55"/>
  <c r="M751" i="55"/>
  <c r="M758" i="55"/>
  <c r="M771" i="55"/>
  <c r="M778" i="55"/>
  <c r="M790" i="55"/>
  <c r="M796" i="55"/>
  <c r="M804" i="55"/>
  <c r="M726" i="55"/>
  <c r="M795" i="55"/>
  <c r="M704" i="55"/>
  <c r="M710" i="55"/>
  <c r="M716" i="55"/>
  <c r="M723" i="55"/>
  <c r="M728" i="55"/>
  <c r="M733" i="55"/>
  <c r="M739" i="55"/>
  <c r="M752" i="55"/>
  <c r="M759" i="55"/>
  <c r="M765" i="55"/>
  <c r="M772" i="55"/>
  <c r="M791" i="55"/>
  <c r="M797" i="55"/>
  <c r="M586" i="55"/>
  <c r="M613" i="55"/>
  <c r="M689" i="55"/>
  <c r="M681" i="55"/>
  <c r="M673" i="55"/>
  <c r="M665" i="55"/>
  <c r="M657" i="55"/>
  <c r="M649" i="55"/>
  <c r="M641" i="55"/>
  <c r="M633" i="55"/>
  <c r="M625" i="55"/>
  <c r="M617" i="55"/>
  <c r="M609" i="55"/>
  <c r="M601" i="55"/>
  <c r="M593" i="55"/>
  <c r="M656" i="55"/>
  <c r="M600" i="55"/>
  <c r="M688" i="55"/>
  <c r="M680" i="55"/>
  <c r="M672" i="55"/>
  <c r="M664" i="55"/>
  <c r="M648" i="55"/>
  <c r="M640" i="55"/>
  <c r="M632" i="55"/>
  <c r="M624" i="55"/>
  <c r="M616" i="55"/>
  <c r="M608" i="55"/>
  <c r="M592" i="55"/>
  <c r="M687" i="55"/>
  <c r="M679" i="55"/>
  <c r="M671" i="55"/>
  <c r="M663" i="55"/>
  <c r="M655" i="55"/>
  <c r="M647" i="55"/>
  <c r="M639" i="55"/>
  <c r="M631" i="55"/>
  <c r="M623" i="55"/>
  <c r="M615" i="55"/>
  <c r="M607" i="55"/>
  <c r="M599" i="55"/>
  <c r="M591" i="55"/>
  <c r="M686" i="55"/>
  <c r="M678" i="55"/>
  <c r="M670" i="55"/>
  <c r="M662" i="55"/>
  <c r="M654" i="55"/>
  <c r="M646" i="55"/>
  <c r="M638" i="55"/>
  <c r="M630" i="55"/>
  <c r="M622" i="55"/>
  <c r="M614" i="55"/>
  <c r="M606" i="55"/>
  <c r="M598" i="55"/>
  <c r="M590" i="55"/>
  <c r="M685" i="55"/>
  <c r="M677" i="55"/>
  <c r="M669" i="55"/>
  <c r="M661" i="55"/>
  <c r="M653" i="55"/>
  <c r="M645" i="55"/>
  <c r="M637" i="55"/>
  <c r="M629" i="55"/>
  <c r="M621" i="55"/>
  <c r="M605" i="55"/>
  <c r="M597" i="55"/>
  <c r="M589" i="55"/>
  <c r="M684" i="55"/>
  <c r="M676" i="55"/>
  <c r="M668" i="55"/>
  <c r="M660" i="55"/>
  <c r="M652" i="55"/>
  <c r="M644" i="55"/>
  <c r="M636" i="55"/>
  <c r="M628" i="55"/>
  <c r="M620" i="55"/>
  <c r="M612" i="55"/>
  <c r="M604" i="55"/>
  <c r="M596" i="55"/>
  <c r="M588" i="55"/>
  <c r="M585" i="55"/>
  <c r="M683" i="55"/>
  <c r="M675" i="55"/>
  <c r="M667" i="55"/>
  <c r="M659" i="55"/>
  <c r="M651" i="55"/>
  <c r="M643" i="55"/>
  <c r="M635" i="55"/>
  <c r="M627" i="55"/>
  <c r="M619" i="55"/>
  <c r="M611" i="55"/>
  <c r="M603" i="55"/>
  <c r="M595" i="55"/>
  <c r="M587" i="55"/>
  <c r="M690" i="55"/>
  <c r="M682" i="55"/>
  <c r="M674" i="55"/>
  <c r="M666" i="55"/>
  <c r="M658" i="55"/>
  <c r="M650" i="55"/>
  <c r="M642" i="55"/>
  <c r="M634" i="55"/>
  <c r="M626" i="55"/>
  <c r="M618" i="55"/>
  <c r="M610" i="55"/>
  <c r="M602" i="55"/>
  <c r="M594" i="55"/>
  <c r="L548" i="55"/>
  <c r="L473" i="55"/>
  <c r="L576" i="55"/>
  <c r="L568" i="55"/>
  <c r="L560" i="55"/>
  <c r="L552" i="55"/>
  <c r="L544" i="55"/>
  <c r="L536" i="55"/>
  <c r="L528" i="55"/>
  <c r="L520" i="55"/>
  <c r="L512" i="55"/>
  <c r="L504" i="55"/>
  <c r="L496" i="55"/>
  <c r="L488" i="55"/>
  <c r="L480" i="55"/>
  <c r="L575" i="55"/>
  <c r="L567" i="55"/>
  <c r="L559" i="55"/>
  <c r="L551" i="55"/>
  <c r="L543" i="55"/>
  <c r="L535" i="55"/>
  <c r="L527" i="55"/>
  <c r="L519" i="55"/>
  <c r="L511" i="55"/>
  <c r="L503" i="55"/>
  <c r="L495" i="55"/>
  <c r="L487" i="55"/>
  <c r="L479" i="55"/>
  <c r="L574" i="55"/>
  <c r="L566" i="55"/>
  <c r="L558" i="55"/>
  <c r="L550" i="55"/>
  <c r="L542" i="55"/>
  <c r="L534" i="55"/>
  <c r="L526" i="55"/>
  <c r="L518" i="55"/>
  <c r="L510" i="55"/>
  <c r="L502" i="55"/>
  <c r="L494" i="55"/>
  <c r="L486" i="55"/>
  <c r="L478" i="55"/>
  <c r="L573" i="55"/>
  <c r="L565" i="55"/>
  <c r="L557" i="55"/>
  <c r="L549" i="55"/>
  <c r="L541" i="55"/>
  <c r="L533" i="55"/>
  <c r="L525" i="55"/>
  <c r="L517" i="55"/>
  <c r="L509" i="55"/>
  <c r="L501" i="55"/>
  <c r="L493" i="55"/>
  <c r="L485" i="55"/>
  <c r="L477" i="55"/>
  <c r="L572" i="55"/>
  <c r="L564" i="55"/>
  <c r="L556" i="55"/>
  <c r="L540" i="55"/>
  <c r="L532" i="55"/>
  <c r="L524" i="55"/>
  <c r="L516" i="55"/>
  <c r="L508" i="55"/>
  <c r="L500" i="55"/>
  <c r="L492" i="55"/>
  <c r="L484" i="55"/>
  <c r="L476" i="55"/>
  <c r="L571" i="55"/>
  <c r="L563" i="55"/>
  <c r="L555" i="55"/>
  <c r="L547" i="55"/>
  <c r="L539" i="55"/>
  <c r="L531" i="55"/>
  <c r="L523" i="55"/>
  <c r="L515" i="55"/>
  <c r="L507" i="55"/>
  <c r="L499" i="55"/>
  <c r="L491" i="55"/>
  <c r="L483" i="55"/>
  <c r="L475" i="55"/>
  <c r="L472" i="55"/>
  <c r="L570" i="55"/>
  <c r="L562" i="55"/>
  <c r="L554" i="55"/>
  <c r="L546" i="55"/>
  <c r="L538" i="55"/>
  <c r="L530" i="55"/>
  <c r="L522" i="55"/>
  <c r="L514" i="55"/>
  <c r="L506" i="55"/>
  <c r="L498" i="55"/>
  <c r="L490" i="55"/>
  <c r="L482" i="55"/>
  <c r="L474" i="55"/>
  <c r="L577" i="55"/>
  <c r="L569" i="55"/>
  <c r="L561" i="55"/>
  <c r="L553" i="55"/>
  <c r="L545" i="55"/>
  <c r="L537" i="55"/>
  <c r="L529" i="55"/>
  <c r="L521" i="55"/>
  <c r="L513" i="55"/>
  <c r="L505" i="55"/>
  <c r="L497" i="55"/>
  <c r="L489" i="55"/>
  <c r="L481" i="55"/>
  <c r="L375" i="55"/>
  <c r="L458" i="55"/>
  <c r="L373" i="55"/>
  <c r="L365" i="55"/>
  <c r="L462" i="55"/>
  <c r="L454" i="55"/>
  <c r="L446" i="55"/>
  <c r="L438" i="55"/>
  <c r="L430" i="55"/>
  <c r="L422" i="55"/>
  <c r="L414" i="55"/>
  <c r="L406" i="55"/>
  <c r="L398" i="55"/>
  <c r="L390" i="55"/>
  <c r="L382" i="55"/>
  <c r="L372" i="55"/>
  <c r="L364" i="55"/>
  <c r="L461" i="55"/>
  <c r="L453" i="55"/>
  <c r="L445" i="55"/>
  <c r="L437" i="55"/>
  <c r="L429" i="55"/>
  <c r="L421" i="55"/>
  <c r="L413" i="55"/>
  <c r="L405" i="55"/>
  <c r="L397" i="55"/>
  <c r="L389" i="55"/>
  <c r="L381" i="55"/>
  <c r="L371" i="55"/>
  <c r="L363" i="55"/>
  <c r="L460" i="55"/>
  <c r="L452" i="55"/>
  <c r="L444" i="55"/>
  <c r="L436" i="55"/>
  <c r="L428" i="55"/>
  <c r="L420" i="55"/>
  <c r="L412" i="55"/>
  <c r="L404" i="55"/>
  <c r="L396" i="55"/>
  <c r="L388" i="55"/>
  <c r="L380" i="55"/>
  <c r="L370" i="55"/>
  <c r="L362" i="55"/>
  <c r="L459" i="55"/>
  <c r="L451" i="55"/>
  <c r="L443" i="55"/>
  <c r="L435" i="55"/>
  <c r="L427" i="55"/>
  <c r="L419" i="55"/>
  <c r="L411" i="55"/>
  <c r="L403" i="55"/>
  <c r="L395" i="55"/>
  <c r="L387" i="55"/>
  <c r="L379" i="55"/>
  <c r="L369" i="55"/>
  <c r="L361" i="55"/>
  <c r="L450" i="55"/>
  <c r="L442" i="55"/>
  <c r="L434" i="55"/>
  <c r="L426" i="55"/>
  <c r="L418" i="55"/>
  <c r="L410" i="55"/>
  <c r="L402" i="55"/>
  <c r="L394" i="55"/>
  <c r="L386" i="55"/>
  <c r="L378" i="55"/>
  <c r="L368" i="55"/>
  <c r="L360" i="55"/>
  <c r="L457" i="55"/>
  <c r="L449" i="55"/>
  <c r="L441" i="55"/>
  <c r="L433" i="55"/>
  <c r="L425" i="55"/>
  <c r="L417" i="55"/>
  <c r="L409" i="55"/>
  <c r="L401" i="55"/>
  <c r="L393" i="55"/>
  <c r="L385" i="55"/>
  <c r="L377" i="55"/>
  <c r="L359" i="55"/>
  <c r="L367" i="55"/>
  <c r="L464" i="55"/>
  <c r="L456" i="55"/>
  <c r="L448" i="55"/>
  <c r="L440" i="55"/>
  <c r="L432" i="55"/>
  <c r="L424" i="55"/>
  <c r="L416" i="55"/>
  <c r="L408" i="55"/>
  <c r="L400" i="55"/>
  <c r="L392" i="55"/>
  <c r="L384" i="55"/>
  <c r="L376" i="55"/>
  <c r="L374" i="55"/>
  <c r="L366" i="55"/>
  <c r="L463" i="55"/>
  <c r="L455" i="55"/>
  <c r="L447" i="55"/>
  <c r="L439" i="55"/>
  <c r="L431" i="55"/>
  <c r="L423" i="55"/>
  <c r="L415" i="55"/>
  <c r="L407" i="55"/>
  <c r="L399" i="55"/>
  <c r="L391" i="55"/>
  <c r="L383" i="55"/>
  <c r="N147" i="56" l="1"/>
  <c r="R147" i="56"/>
  <c r="N197" i="56"/>
  <c r="N198" i="56" s="1"/>
  <c r="N199" i="56" s="1"/>
  <c r="AH147" i="56"/>
  <c r="AI147" i="56"/>
  <c r="I129" i="56"/>
  <c r="Q129" i="56"/>
  <c r="Y129" i="56"/>
  <c r="AG129" i="56"/>
  <c r="K129" i="56"/>
  <c r="S129" i="56"/>
  <c r="AA129" i="56"/>
  <c r="AI129" i="56"/>
  <c r="O129" i="56"/>
  <c r="W129" i="56"/>
  <c r="AE129" i="56"/>
  <c r="H129" i="56"/>
  <c r="P129" i="56"/>
  <c r="X129" i="56"/>
  <c r="AF129" i="56"/>
  <c r="R129" i="56"/>
  <c r="AH129" i="56"/>
  <c r="J129" i="56"/>
  <c r="T129" i="56"/>
  <c r="AJ129" i="56"/>
  <c r="U129" i="56"/>
  <c r="G129" i="56"/>
  <c r="V129" i="56"/>
  <c r="Z129" i="56"/>
  <c r="L129" i="56"/>
  <c r="AB129" i="56"/>
  <c r="M129" i="56"/>
  <c r="AC129" i="56"/>
  <c r="N129" i="56"/>
  <c r="AD129" i="56"/>
  <c r="F113" i="56"/>
  <c r="D113" i="56"/>
  <c r="E113" i="56"/>
  <c r="H126" i="56"/>
  <c r="P126" i="56"/>
  <c r="X126" i="56"/>
  <c r="AF126" i="56"/>
  <c r="J126" i="56"/>
  <c r="R126" i="56"/>
  <c r="Z126" i="56"/>
  <c r="AH126" i="56"/>
  <c r="N126" i="56"/>
  <c r="V126" i="56"/>
  <c r="AD126" i="56"/>
  <c r="O126" i="56"/>
  <c r="W126" i="56"/>
  <c r="AE126" i="56"/>
  <c r="G126" i="56"/>
  <c r="I126" i="56"/>
  <c r="Y126" i="56"/>
  <c r="AG126" i="56"/>
  <c r="K126" i="56"/>
  <c r="AA126" i="56"/>
  <c r="L126" i="56"/>
  <c r="AB126" i="56"/>
  <c r="M126" i="56"/>
  <c r="AC126" i="56"/>
  <c r="S126" i="56"/>
  <c r="AI126" i="56"/>
  <c r="T126" i="56"/>
  <c r="AJ126" i="56"/>
  <c r="U126" i="56"/>
  <c r="Q126" i="56"/>
  <c r="F114" i="56"/>
  <c r="E114" i="56"/>
  <c r="D114" i="56"/>
  <c r="E115" i="56"/>
  <c r="D115" i="56"/>
  <c r="D116" i="56"/>
  <c r="E116" i="56"/>
  <c r="F116" i="56"/>
  <c r="F117" i="56"/>
  <c r="F119" i="56"/>
  <c r="D119" i="56"/>
  <c r="E119" i="56"/>
  <c r="D117" i="56"/>
  <c r="F115" i="56"/>
  <c r="N128" i="56"/>
  <c r="V128" i="56"/>
  <c r="AD128" i="56"/>
  <c r="H128" i="56"/>
  <c r="P128" i="56"/>
  <c r="X128" i="56"/>
  <c r="AF128" i="56"/>
  <c r="L128" i="56"/>
  <c r="T128" i="56"/>
  <c r="AB128" i="56"/>
  <c r="AJ128" i="56"/>
  <c r="M128" i="56"/>
  <c r="U128" i="56"/>
  <c r="AC128" i="56"/>
  <c r="O128" i="56"/>
  <c r="AE128" i="56"/>
  <c r="Q128" i="56"/>
  <c r="AG128" i="56"/>
  <c r="R128" i="56"/>
  <c r="AH128" i="56"/>
  <c r="S128" i="56"/>
  <c r="AI128" i="56"/>
  <c r="G128" i="56"/>
  <c r="I128" i="56"/>
  <c r="Y128" i="56"/>
  <c r="J128" i="56"/>
  <c r="Z128" i="56"/>
  <c r="K128" i="56"/>
  <c r="AA128" i="56"/>
  <c r="W128" i="56"/>
  <c r="F118" i="56"/>
  <c r="D118" i="56"/>
  <c r="E118" i="56"/>
  <c r="E117" i="56"/>
  <c r="AD197" i="56"/>
  <c r="AD198" i="56" s="1"/>
  <c r="AD199" i="56" s="1"/>
  <c r="AC221" i="56"/>
  <c r="AC222" i="56" s="1"/>
  <c r="AC223" i="56" s="1"/>
  <c r="AI221" i="56"/>
  <c r="AI222" i="56" s="1"/>
  <c r="AI223" i="56" s="1"/>
  <c r="V221" i="56"/>
  <c r="V222" i="56" s="1"/>
  <c r="V223" i="56" s="1"/>
  <c r="C137" i="62"/>
  <c r="D124" i="62"/>
  <c r="C117" i="62"/>
  <c r="C134" i="62"/>
  <c r="C122" i="62"/>
  <c r="G135" i="56"/>
  <c r="Z147" i="56"/>
  <c r="AA147" i="56"/>
  <c r="H147" i="56"/>
  <c r="AG197" i="56"/>
  <c r="AG198" i="56" s="1"/>
  <c r="AG199" i="56" s="1"/>
  <c r="AG221" i="56"/>
  <c r="AG222" i="56" s="1"/>
  <c r="AG223" i="56" s="1"/>
  <c r="AA221" i="56"/>
  <c r="AA222" i="56" s="1"/>
  <c r="AA223" i="56" s="1"/>
  <c r="N221" i="56"/>
  <c r="N222" i="56" s="1"/>
  <c r="N223" i="56" s="1"/>
  <c r="AB147" i="56"/>
  <c r="J147" i="56"/>
  <c r="AJ147" i="56"/>
  <c r="S147" i="56"/>
  <c r="I147" i="56"/>
  <c r="I221" i="56"/>
  <c r="I222" i="56" s="1"/>
  <c r="I223" i="56" s="1"/>
  <c r="AH221" i="56"/>
  <c r="AH222" i="56" s="1"/>
  <c r="AH223" i="56" s="1"/>
  <c r="G147" i="56"/>
  <c r="K147" i="56"/>
  <c r="Q147" i="56"/>
  <c r="O221" i="56"/>
  <c r="O222" i="56" s="1"/>
  <c r="O223" i="56" s="1"/>
  <c r="O147" i="56"/>
  <c r="AC147" i="56"/>
  <c r="X147" i="56"/>
  <c r="AG147" i="56"/>
  <c r="AB197" i="56"/>
  <c r="AB198" i="56" s="1"/>
  <c r="AB199" i="56" s="1"/>
  <c r="AB221" i="56"/>
  <c r="AB222" i="56" s="1"/>
  <c r="AB223" i="56" s="1"/>
  <c r="AJ221" i="56"/>
  <c r="AJ222" i="56" s="1"/>
  <c r="AJ223" i="56" s="1"/>
  <c r="AJ197" i="56"/>
  <c r="AJ198" i="56" s="1"/>
  <c r="AJ199" i="56" s="1"/>
  <c r="T147" i="56"/>
  <c r="Y147" i="56"/>
  <c r="X221" i="56"/>
  <c r="X222" i="56" s="1"/>
  <c r="X223" i="56" s="1"/>
  <c r="V147" i="56"/>
  <c r="W147" i="56"/>
  <c r="AF147" i="56"/>
  <c r="M147" i="56"/>
  <c r="Z221" i="56"/>
  <c r="Z222" i="56" s="1"/>
  <c r="Z223" i="56" s="1"/>
  <c r="P147" i="56"/>
  <c r="U147" i="56"/>
  <c r="X197" i="56"/>
  <c r="X198" i="56" s="1"/>
  <c r="X199" i="56" s="1"/>
  <c r="AD147" i="56"/>
  <c r="AE147" i="56"/>
  <c r="L147" i="56"/>
  <c r="C93" i="62"/>
  <c r="C66" i="62"/>
  <c r="C72" i="62"/>
  <c r="C92" i="62"/>
  <c r="C68" i="62"/>
  <c r="C73" i="62"/>
  <c r="C65" i="62"/>
  <c r="C71" i="62"/>
  <c r="V197" i="56"/>
  <c r="V198" i="56" s="1"/>
  <c r="V199" i="56" s="1"/>
  <c r="C70" i="62"/>
  <c r="C90" i="62"/>
  <c r="AC197" i="56"/>
  <c r="AC198" i="56" s="1"/>
  <c r="AC199" i="56" s="1"/>
  <c r="AI197" i="56"/>
  <c r="AI198" i="56" s="1"/>
  <c r="AI199" i="56" s="1"/>
  <c r="J197" i="56"/>
  <c r="J198" i="56" s="1"/>
  <c r="J199" i="56" s="1"/>
  <c r="K197" i="56"/>
  <c r="K198" i="56" s="1"/>
  <c r="K199" i="56" s="1"/>
  <c r="D79" i="62"/>
  <c r="D80" i="62" s="1"/>
  <c r="M197" i="56"/>
  <c r="M198" i="56" s="1"/>
  <c r="M199" i="56" s="1"/>
  <c r="D104" i="62"/>
  <c r="D105" i="62" s="1"/>
  <c r="AE197" i="56"/>
  <c r="AE198" i="56" s="1"/>
  <c r="AE199" i="56" s="1"/>
  <c r="Q197" i="56"/>
  <c r="Q198" i="56" s="1"/>
  <c r="Q199" i="56" s="1"/>
  <c r="P197" i="56"/>
  <c r="P198" i="56" s="1"/>
  <c r="P199" i="56" s="1"/>
  <c r="AH197" i="56"/>
  <c r="AH198" i="56" s="1"/>
  <c r="AH199" i="56" s="1"/>
  <c r="Y221" i="56"/>
  <c r="Y222" i="56" s="1"/>
  <c r="Y223" i="56" s="1"/>
  <c r="R221" i="56"/>
  <c r="R222" i="56" s="1"/>
  <c r="R223" i="56" s="1"/>
  <c r="S221" i="56"/>
  <c r="S222" i="56" s="1"/>
  <c r="S223" i="56" s="1"/>
  <c r="T221" i="56"/>
  <c r="T222" i="56" s="1"/>
  <c r="T223" i="56" s="1"/>
  <c r="P221" i="56"/>
  <c r="P222" i="56" s="1"/>
  <c r="P223" i="56" s="1"/>
  <c r="AF197" i="56"/>
  <c r="AF198" i="56" s="1"/>
  <c r="AF199" i="56" s="1"/>
  <c r="AF221" i="56"/>
  <c r="AF222" i="56" s="1"/>
  <c r="AF223" i="56" s="1"/>
  <c r="W197" i="56"/>
  <c r="W198" i="56" s="1"/>
  <c r="W199" i="56" s="1"/>
  <c r="Y197" i="56"/>
  <c r="Y198" i="56" s="1"/>
  <c r="Y199" i="56" s="1"/>
  <c r="I197" i="56"/>
  <c r="I198" i="56" s="1"/>
  <c r="I199" i="56" s="1"/>
  <c r="Q221" i="56"/>
  <c r="Q222" i="56" s="1"/>
  <c r="Q223" i="56" s="1"/>
  <c r="J221" i="56"/>
  <c r="J222" i="56" s="1"/>
  <c r="J223" i="56" s="1"/>
  <c r="K221" i="56"/>
  <c r="K222" i="56" s="1"/>
  <c r="K223" i="56" s="1"/>
  <c r="L221" i="56"/>
  <c r="L222" i="56" s="1"/>
  <c r="L223" i="56" s="1"/>
  <c r="M221" i="56"/>
  <c r="M222" i="56" s="1"/>
  <c r="M223" i="56" s="1"/>
  <c r="AD221" i="56"/>
  <c r="AD222" i="56" s="1"/>
  <c r="AD223" i="56" s="1"/>
  <c r="AE221" i="56"/>
  <c r="AE222" i="56" s="1"/>
  <c r="AE223" i="56" s="1"/>
  <c r="S197" i="56"/>
  <c r="S198" i="56" s="1"/>
  <c r="S199" i="56" s="1"/>
  <c r="R197" i="56"/>
  <c r="R198" i="56" s="1"/>
  <c r="R199" i="56" s="1"/>
  <c r="W221" i="56"/>
  <c r="W222" i="56" s="1"/>
  <c r="W223" i="56" s="1"/>
  <c r="G197" i="56"/>
  <c r="G198" i="56" s="1"/>
  <c r="G199" i="56" s="1"/>
  <c r="O197" i="56"/>
  <c r="O198" i="56" s="1"/>
  <c r="O199" i="56" s="1"/>
  <c r="AA197" i="56"/>
  <c r="AA198" i="56" s="1"/>
  <c r="AA199" i="56" s="1"/>
  <c r="U197" i="56"/>
  <c r="U198" i="56" s="1"/>
  <c r="U199" i="56" s="1"/>
  <c r="Z197" i="56"/>
  <c r="Z198" i="56" s="1"/>
  <c r="Z199" i="56" s="1"/>
  <c r="L197" i="56"/>
  <c r="L198" i="56" s="1"/>
  <c r="L199" i="56" s="1"/>
  <c r="U221" i="56"/>
  <c r="U222" i="56" s="1"/>
  <c r="U223" i="56" s="1"/>
  <c r="T197" i="56"/>
  <c r="T198" i="56" s="1"/>
  <c r="T199" i="56" s="1"/>
  <c r="G221" i="56"/>
  <c r="G222" i="56" s="1"/>
  <c r="G223" i="56" s="1"/>
  <c r="W216" i="56"/>
  <c r="W208" i="56"/>
  <c r="AG216" i="56"/>
  <c r="AG208" i="56"/>
  <c r="T216" i="56"/>
  <c r="T208" i="56"/>
  <c r="U216" i="56"/>
  <c r="U208" i="56"/>
  <c r="AD216" i="56"/>
  <c r="AD208" i="56"/>
  <c r="AE216" i="56"/>
  <c r="AE208" i="56"/>
  <c r="AF216" i="56"/>
  <c r="AF208" i="56"/>
  <c r="I216" i="56"/>
  <c r="I208" i="56"/>
  <c r="R216" i="56"/>
  <c r="R208" i="56"/>
  <c r="S216" i="56"/>
  <c r="S208" i="56"/>
  <c r="L216" i="56"/>
  <c r="L208" i="56"/>
  <c r="J216" i="56"/>
  <c r="J208" i="56"/>
  <c r="AB216" i="56"/>
  <c r="AB208" i="56"/>
  <c r="AC216" i="56"/>
  <c r="AC208" i="56"/>
  <c r="G208" i="56"/>
  <c r="G216" i="56"/>
  <c r="H208" i="56"/>
  <c r="H216" i="56"/>
  <c r="Q216" i="56"/>
  <c r="Q208" i="56"/>
  <c r="Z216" i="56"/>
  <c r="Z208" i="56"/>
  <c r="AA216" i="56"/>
  <c r="AA208" i="56"/>
  <c r="V216" i="56"/>
  <c r="V208" i="56"/>
  <c r="X216" i="56"/>
  <c r="X208" i="56"/>
  <c r="K216" i="56"/>
  <c r="K208" i="56"/>
  <c r="M216" i="56"/>
  <c r="M208" i="56"/>
  <c r="AJ216" i="56"/>
  <c r="AJ208" i="56"/>
  <c r="N216" i="56"/>
  <c r="N208" i="56"/>
  <c r="O216" i="56"/>
  <c r="O208" i="56"/>
  <c r="P216" i="56"/>
  <c r="P208" i="56"/>
  <c r="Y216" i="56"/>
  <c r="Y208" i="56"/>
  <c r="AH216" i="56"/>
  <c r="AH208" i="56"/>
  <c r="AI216" i="56"/>
  <c r="AI208" i="56"/>
  <c r="K1832" i="55"/>
  <c r="N359" i="55"/>
  <c r="N472" i="55"/>
  <c r="O585" i="55"/>
  <c r="O699" i="55"/>
  <c r="D150" i="62" l="1"/>
  <c r="D151" i="62" s="1"/>
  <c r="C120" i="62"/>
  <c r="C116" i="62"/>
  <c r="C119" i="62"/>
  <c r="C114" i="62"/>
  <c r="D127" i="62"/>
  <c r="D128" i="62" s="1"/>
  <c r="C121" i="62"/>
  <c r="C118" i="62"/>
  <c r="C138" i="62"/>
  <c r="C113" i="62"/>
  <c r="C139" i="62"/>
  <c r="C3" i="62"/>
  <c r="C136" i="62"/>
  <c r="C79" i="62"/>
  <c r="C80" i="62" s="1"/>
  <c r="C7" i="62"/>
  <c r="M214" i="56"/>
  <c r="M215" i="56"/>
  <c r="AF215" i="56"/>
  <c r="AF214" i="56"/>
  <c r="G215" i="56"/>
  <c r="G214" i="56"/>
  <c r="T215" i="56"/>
  <c r="T214" i="56"/>
  <c r="O214" i="56"/>
  <c r="O215" i="56"/>
  <c r="AC214" i="56"/>
  <c r="AC215" i="56"/>
  <c r="AG215" i="56"/>
  <c r="AG214" i="56"/>
  <c r="N215" i="56"/>
  <c r="N214" i="56"/>
  <c r="Q215" i="56"/>
  <c r="Q214" i="56"/>
  <c r="R215" i="56"/>
  <c r="R214" i="56"/>
  <c r="W214" i="56"/>
  <c r="W215" i="56"/>
  <c r="AA215" i="56"/>
  <c r="AA214" i="56"/>
  <c r="AI214" i="56"/>
  <c r="AI215" i="56"/>
  <c r="Z214" i="56"/>
  <c r="Z215" i="56"/>
  <c r="S215" i="56"/>
  <c r="S214" i="56"/>
  <c r="AH215" i="56"/>
  <c r="AH214" i="56"/>
  <c r="X215" i="56"/>
  <c r="X214" i="56"/>
  <c r="AB215" i="56"/>
  <c r="AB214" i="56"/>
  <c r="AD214" i="56"/>
  <c r="AD215" i="56"/>
  <c r="H215" i="56"/>
  <c r="H214" i="56"/>
  <c r="P215" i="56"/>
  <c r="P214" i="56"/>
  <c r="L214" i="56"/>
  <c r="L215" i="56"/>
  <c r="K215" i="56"/>
  <c r="K214" i="56"/>
  <c r="AE214" i="56"/>
  <c r="AE215" i="56"/>
  <c r="Y214" i="56"/>
  <c r="Y215" i="56"/>
  <c r="AJ215" i="56"/>
  <c r="AJ214" i="56"/>
  <c r="V214" i="56"/>
  <c r="V215" i="56"/>
  <c r="J214" i="56"/>
  <c r="J215" i="56"/>
  <c r="I214" i="56"/>
  <c r="I215" i="56"/>
  <c r="U214" i="56"/>
  <c r="U215" i="56"/>
  <c r="C127" i="62" l="1"/>
  <c r="C128" i="62" s="1"/>
  <c r="C15" i="62"/>
  <c r="Q135" i="56"/>
  <c r="I9" i="56"/>
  <c r="C39" i="56" s="1"/>
  <c r="I3" i="56"/>
  <c r="C59" i="56" s="1"/>
  <c r="I4" i="56"/>
  <c r="C49" i="56" s="1"/>
  <c r="I5" i="56"/>
  <c r="C50" i="56" s="1"/>
  <c r="I6" i="56"/>
  <c r="C51" i="56" s="1"/>
  <c r="I8" i="56"/>
  <c r="C60" i="56" s="1"/>
  <c r="I10" i="56"/>
  <c r="C40" i="56" s="1"/>
  <c r="I11" i="56"/>
  <c r="C41" i="56" s="1"/>
  <c r="I2" i="56"/>
  <c r="C48" i="56" s="1"/>
  <c r="O135" i="56"/>
  <c r="P135" i="56"/>
  <c r="AF135" i="56"/>
  <c r="AE135" i="56"/>
  <c r="AG135" i="56"/>
  <c r="J135" i="56"/>
  <c r="R135" i="56"/>
  <c r="Z135" i="56"/>
  <c r="AH135" i="56"/>
  <c r="K135" i="56"/>
  <c r="S135" i="56"/>
  <c r="AA135" i="56"/>
  <c r="AI135" i="56"/>
  <c r="L135" i="56"/>
  <c r="T135" i="56"/>
  <c r="AB135" i="56"/>
  <c r="AJ135" i="56"/>
  <c r="M135" i="56"/>
  <c r="U135" i="56"/>
  <c r="AC135" i="56"/>
  <c r="Y135" i="56"/>
  <c r="I135" i="56"/>
  <c r="X135" i="56"/>
  <c r="H132" i="56"/>
  <c r="AD135" i="56"/>
  <c r="N135" i="56"/>
  <c r="W135" i="56"/>
  <c r="V135" i="56"/>
  <c r="H221" i="56" l="1"/>
  <c r="H222" i="56" s="1"/>
  <c r="H223" i="56" s="1"/>
  <c r="C12" i="62" s="1"/>
  <c r="H197" i="56"/>
  <c r="H198" i="56" s="1"/>
  <c r="H199" i="56" s="1"/>
  <c r="H135" i="56"/>
  <c r="C5" i="62" s="1"/>
  <c r="K175" i="56"/>
  <c r="K177" i="56" s="1"/>
  <c r="S175" i="56"/>
  <c r="S177" i="56" s="1"/>
  <c r="AA175" i="56"/>
  <c r="AA177" i="56" s="1"/>
  <c r="AI175" i="56"/>
  <c r="AI177" i="56" s="1"/>
  <c r="L175" i="56"/>
  <c r="L177" i="56" s="1"/>
  <c r="T175" i="56"/>
  <c r="T177" i="56" s="1"/>
  <c r="AB175" i="56"/>
  <c r="AB177" i="56" s="1"/>
  <c r="AJ175" i="56"/>
  <c r="AJ177" i="56" s="1"/>
  <c r="M175" i="56"/>
  <c r="M177" i="56" s="1"/>
  <c r="U175" i="56"/>
  <c r="U177" i="56" s="1"/>
  <c r="AC175" i="56"/>
  <c r="AC177" i="56" s="1"/>
  <c r="G175" i="56"/>
  <c r="G177" i="56" s="1"/>
  <c r="I175" i="56"/>
  <c r="I177" i="56" s="1"/>
  <c r="Q175" i="56"/>
  <c r="Q177" i="56" s="1"/>
  <c r="Y175" i="56"/>
  <c r="Y177" i="56" s="1"/>
  <c r="AG175" i="56"/>
  <c r="AG177" i="56" s="1"/>
  <c r="W175" i="56"/>
  <c r="W177" i="56" s="1"/>
  <c r="X175" i="56"/>
  <c r="X177" i="56" s="1"/>
  <c r="AD175" i="56"/>
  <c r="AD177" i="56" s="1"/>
  <c r="O175" i="56"/>
  <c r="O177" i="56" s="1"/>
  <c r="AF175" i="56"/>
  <c r="AF177" i="56" s="1"/>
  <c r="H175" i="56"/>
  <c r="H177" i="56" s="1"/>
  <c r="N175" i="56"/>
  <c r="N177" i="56" s="1"/>
  <c r="P175" i="56"/>
  <c r="P177" i="56" s="1"/>
  <c r="J175" i="56"/>
  <c r="J177" i="56" s="1"/>
  <c r="Z175" i="56"/>
  <c r="Z177" i="56" s="1"/>
  <c r="AE175" i="56"/>
  <c r="AE177" i="56" s="1"/>
  <c r="R175" i="56"/>
  <c r="R177" i="56" s="1"/>
  <c r="AH175" i="56"/>
  <c r="AH177" i="56" s="1"/>
  <c r="V175" i="56"/>
  <c r="V177" i="56" s="1"/>
  <c r="M171" i="56"/>
  <c r="M173" i="56" s="1"/>
  <c r="U171" i="56"/>
  <c r="U173" i="56" s="1"/>
  <c r="AC171" i="56"/>
  <c r="AC173" i="56" s="1"/>
  <c r="N171" i="56"/>
  <c r="N173" i="56" s="1"/>
  <c r="V171" i="56"/>
  <c r="V173" i="56" s="1"/>
  <c r="AD171" i="56"/>
  <c r="AD173" i="56" s="1"/>
  <c r="O171" i="56"/>
  <c r="O173" i="56" s="1"/>
  <c r="W171" i="56"/>
  <c r="W173" i="56" s="1"/>
  <c r="AE171" i="56"/>
  <c r="AE173" i="56" s="1"/>
  <c r="K171" i="56"/>
  <c r="K173" i="56" s="1"/>
  <c r="S171" i="56"/>
  <c r="S173" i="56" s="1"/>
  <c r="AA171" i="56"/>
  <c r="AA173" i="56" s="1"/>
  <c r="AI171" i="56"/>
  <c r="AI173" i="56" s="1"/>
  <c r="G171" i="56"/>
  <c r="G173" i="56" s="1"/>
  <c r="Q171" i="56"/>
  <c r="Q173" i="56" s="1"/>
  <c r="AG171" i="56"/>
  <c r="AG173" i="56" s="1"/>
  <c r="I171" i="56"/>
  <c r="I173" i="56" s="1"/>
  <c r="J171" i="56"/>
  <c r="J173" i="56" s="1"/>
  <c r="R171" i="56"/>
  <c r="R173" i="56" s="1"/>
  <c r="AH171" i="56"/>
  <c r="AH173" i="56" s="1"/>
  <c r="H171" i="56"/>
  <c r="H173" i="56" s="1"/>
  <c r="X171" i="56"/>
  <c r="X173" i="56" s="1"/>
  <c r="Z171" i="56"/>
  <c r="Z173" i="56" s="1"/>
  <c r="T171" i="56"/>
  <c r="T173" i="56" s="1"/>
  <c r="AJ171" i="56"/>
  <c r="AJ173" i="56" s="1"/>
  <c r="Y171" i="56"/>
  <c r="Y173" i="56" s="1"/>
  <c r="L171" i="56"/>
  <c r="L173" i="56" s="1"/>
  <c r="AB171" i="56"/>
  <c r="AB173" i="56" s="1"/>
  <c r="P171" i="56"/>
  <c r="P173" i="56" s="1"/>
  <c r="AF171" i="56"/>
  <c r="AF173" i="56" s="1"/>
  <c r="J154" i="56"/>
  <c r="J156" i="56" s="1"/>
  <c r="R154" i="56"/>
  <c r="R156" i="56" s="1"/>
  <c r="Z154" i="56"/>
  <c r="Z156" i="56" s="1"/>
  <c r="AH154" i="56"/>
  <c r="AH156" i="56" s="1"/>
  <c r="M154" i="56"/>
  <c r="M156" i="56" s="1"/>
  <c r="H154" i="56"/>
  <c r="H156" i="56" s="1"/>
  <c r="K154" i="56"/>
  <c r="K156" i="56" s="1"/>
  <c r="S154" i="56"/>
  <c r="S156" i="56" s="1"/>
  <c r="AA154" i="56"/>
  <c r="AA156" i="56" s="1"/>
  <c r="AI154" i="56"/>
  <c r="AI156" i="56" s="1"/>
  <c r="U154" i="56"/>
  <c r="U156" i="56" s="1"/>
  <c r="L154" i="56"/>
  <c r="L156" i="56" s="1"/>
  <c r="T154" i="56"/>
  <c r="T156" i="56" s="1"/>
  <c r="AB154" i="56"/>
  <c r="AB156" i="56" s="1"/>
  <c r="AJ154" i="56"/>
  <c r="AJ156" i="56" s="1"/>
  <c r="AC154" i="56"/>
  <c r="AC156" i="56" s="1"/>
  <c r="P154" i="56"/>
  <c r="P156" i="56" s="1"/>
  <c r="X154" i="56"/>
  <c r="X156" i="56" s="1"/>
  <c r="AF154" i="56"/>
  <c r="AF156" i="56" s="1"/>
  <c r="I154" i="56"/>
  <c r="I156" i="56" s="1"/>
  <c r="Q154" i="56"/>
  <c r="Q156" i="56" s="1"/>
  <c r="Y154" i="56"/>
  <c r="Y156" i="56" s="1"/>
  <c r="AG154" i="56"/>
  <c r="AG156" i="56" s="1"/>
  <c r="AD154" i="56"/>
  <c r="AD156" i="56" s="1"/>
  <c r="AE154" i="56"/>
  <c r="AE156" i="56" s="1"/>
  <c r="O154" i="56"/>
  <c r="O156" i="56" s="1"/>
  <c r="N154" i="56"/>
  <c r="N156" i="56" s="1"/>
  <c r="V154" i="56"/>
  <c r="V156" i="56" s="1"/>
  <c r="W154" i="56"/>
  <c r="W156" i="56" s="1"/>
  <c r="O184" i="56"/>
  <c r="O186" i="56" s="1"/>
  <c r="W184" i="56"/>
  <c r="W186" i="56" s="1"/>
  <c r="AE184" i="56"/>
  <c r="AE186" i="56" s="1"/>
  <c r="H184" i="56"/>
  <c r="H186" i="56" s="1"/>
  <c r="P184" i="56"/>
  <c r="P186" i="56" s="1"/>
  <c r="X184" i="56"/>
  <c r="X186" i="56" s="1"/>
  <c r="AF184" i="56"/>
  <c r="AF186" i="56" s="1"/>
  <c r="I184" i="56"/>
  <c r="I186" i="56" s="1"/>
  <c r="Y184" i="56"/>
  <c r="Y186" i="56" s="1"/>
  <c r="AG184" i="56"/>
  <c r="AG186" i="56" s="1"/>
  <c r="Q184" i="56"/>
  <c r="Q186" i="56" s="1"/>
  <c r="M184" i="56"/>
  <c r="M186" i="56" s="1"/>
  <c r="U184" i="56"/>
  <c r="U186" i="56" s="1"/>
  <c r="AC184" i="56"/>
  <c r="AC186" i="56" s="1"/>
  <c r="S184" i="56"/>
  <c r="S186" i="56" s="1"/>
  <c r="AI184" i="56"/>
  <c r="AI186" i="56" s="1"/>
  <c r="T184" i="56"/>
  <c r="T186" i="56" s="1"/>
  <c r="AJ184" i="56"/>
  <c r="AJ186" i="56" s="1"/>
  <c r="V184" i="56"/>
  <c r="V186" i="56" s="1"/>
  <c r="AA184" i="56"/>
  <c r="AA186" i="56" s="1"/>
  <c r="Z184" i="56"/>
  <c r="Z186" i="56" s="1"/>
  <c r="AB184" i="56"/>
  <c r="AB186" i="56" s="1"/>
  <c r="G184" i="56"/>
  <c r="G186" i="56" s="1"/>
  <c r="J184" i="56"/>
  <c r="J186" i="56" s="1"/>
  <c r="N184" i="56"/>
  <c r="N186" i="56" s="1"/>
  <c r="AD184" i="56"/>
  <c r="AD186" i="56" s="1"/>
  <c r="R184" i="56"/>
  <c r="R186" i="56" s="1"/>
  <c r="AH184" i="56"/>
  <c r="AH186" i="56" s="1"/>
  <c r="K184" i="56"/>
  <c r="K186" i="56" s="1"/>
  <c r="L184" i="56"/>
  <c r="L186" i="56" s="1"/>
  <c r="G167" i="56"/>
  <c r="G169" i="56" s="1"/>
  <c r="L167" i="56"/>
  <c r="L169" i="56" s="1"/>
  <c r="T167" i="56"/>
  <c r="T169" i="56" s="1"/>
  <c r="AB167" i="56"/>
  <c r="AB169" i="56" s="1"/>
  <c r="AJ167" i="56"/>
  <c r="AJ169" i="56" s="1"/>
  <c r="M167" i="56"/>
  <c r="M169" i="56" s="1"/>
  <c r="U167" i="56"/>
  <c r="U169" i="56" s="1"/>
  <c r="AC167" i="56"/>
  <c r="AC169" i="56" s="1"/>
  <c r="N167" i="56"/>
  <c r="N169" i="56" s="1"/>
  <c r="V167" i="56"/>
  <c r="V169" i="56" s="1"/>
  <c r="AD167" i="56"/>
  <c r="AD169" i="56" s="1"/>
  <c r="J167" i="56"/>
  <c r="J169" i="56" s="1"/>
  <c r="R167" i="56"/>
  <c r="R169" i="56" s="1"/>
  <c r="Z167" i="56"/>
  <c r="Z169" i="56" s="1"/>
  <c r="AH167" i="56"/>
  <c r="AH169" i="56" s="1"/>
  <c r="H167" i="56"/>
  <c r="H169" i="56" s="1"/>
  <c r="X167" i="56"/>
  <c r="X169" i="56" s="1"/>
  <c r="O167" i="56"/>
  <c r="O169" i="56" s="1"/>
  <c r="P167" i="56"/>
  <c r="P169" i="56" s="1"/>
  <c r="I167" i="56"/>
  <c r="I169" i="56" s="1"/>
  <c r="Y167" i="56"/>
  <c r="Y169" i="56" s="1"/>
  <c r="AE167" i="56"/>
  <c r="AE169" i="56" s="1"/>
  <c r="AG167" i="56"/>
  <c r="AG169" i="56" s="1"/>
  <c r="K167" i="56"/>
  <c r="K169" i="56" s="1"/>
  <c r="AA167" i="56"/>
  <c r="AA169" i="56" s="1"/>
  <c r="AF167" i="56"/>
  <c r="AF169" i="56" s="1"/>
  <c r="S167" i="56"/>
  <c r="S169" i="56" s="1"/>
  <c r="AI167" i="56"/>
  <c r="AI169" i="56" s="1"/>
  <c r="W167" i="56"/>
  <c r="W169" i="56" s="1"/>
  <c r="Q167" i="56"/>
  <c r="Q169" i="56" s="1"/>
  <c r="N163" i="56"/>
  <c r="N165" i="56" s="1"/>
  <c r="V163" i="56"/>
  <c r="V165" i="56" s="1"/>
  <c r="AD163" i="56"/>
  <c r="AD165" i="56" s="1"/>
  <c r="G163" i="56"/>
  <c r="G165" i="56" s="1"/>
  <c r="O163" i="56"/>
  <c r="O165" i="56" s="1"/>
  <c r="W163" i="56"/>
  <c r="W165" i="56" s="1"/>
  <c r="AE163" i="56"/>
  <c r="AE165" i="56" s="1"/>
  <c r="H163" i="56"/>
  <c r="H165" i="56" s="1"/>
  <c r="P163" i="56"/>
  <c r="P165" i="56" s="1"/>
  <c r="X163" i="56"/>
  <c r="X165" i="56" s="1"/>
  <c r="AF163" i="56"/>
  <c r="AF165" i="56" s="1"/>
  <c r="L163" i="56"/>
  <c r="L165" i="56" s="1"/>
  <c r="T163" i="56"/>
  <c r="T165" i="56" s="1"/>
  <c r="AB163" i="56"/>
  <c r="AB165" i="56" s="1"/>
  <c r="AJ163" i="56"/>
  <c r="AJ165" i="56" s="1"/>
  <c r="R163" i="56"/>
  <c r="R165" i="56" s="1"/>
  <c r="AH163" i="56"/>
  <c r="AH165" i="56" s="1"/>
  <c r="Y163" i="56"/>
  <c r="Y165" i="56" s="1"/>
  <c r="J163" i="56"/>
  <c r="J165" i="56" s="1"/>
  <c r="S163" i="56"/>
  <c r="S165" i="56" s="1"/>
  <c r="AI163" i="56"/>
  <c r="AI165" i="56" s="1"/>
  <c r="AA163" i="56"/>
  <c r="AA165" i="56" s="1"/>
  <c r="U163" i="56"/>
  <c r="U165" i="56" s="1"/>
  <c r="I163" i="56"/>
  <c r="I165" i="56" s="1"/>
  <c r="Z163" i="56"/>
  <c r="Z165" i="56" s="1"/>
  <c r="M163" i="56"/>
  <c r="M165" i="56" s="1"/>
  <c r="AC163" i="56"/>
  <c r="AC165" i="56" s="1"/>
  <c r="Q163" i="56"/>
  <c r="Q165" i="56" s="1"/>
  <c r="AG163" i="56"/>
  <c r="AG165" i="56" s="1"/>
  <c r="K163" i="56"/>
  <c r="K165" i="56" s="1"/>
  <c r="G150" i="56"/>
  <c r="G152" i="56" s="1"/>
  <c r="M150" i="56"/>
  <c r="M152" i="56" s="1"/>
  <c r="U150" i="56"/>
  <c r="U152" i="56" s="1"/>
  <c r="AC150" i="56"/>
  <c r="AC152" i="56" s="1"/>
  <c r="H150" i="56"/>
  <c r="H152" i="56" s="1"/>
  <c r="AF150" i="56"/>
  <c r="AF152" i="56" s="1"/>
  <c r="N150" i="56"/>
  <c r="N152" i="56" s="1"/>
  <c r="V150" i="56"/>
  <c r="V152" i="56" s="1"/>
  <c r="AD150" i="56"/>
  <c r="AD152" i="56" s="1"/>
  <c r="P150" i="56"/>
  <c r="P152" i="56" s="1"/>
  <c r="O150" i="56"/>
  <c r="O152" i="56" s="1"/>
  <c r="W150" i="56"/>
  <c r="W152" i="56" s="1"/>
  <c r="AE150" i="56"/>
  <c r="AE152" i="56" s="1"/>
  <c r="X150" i="56"/>
  <c r="X152" i="56" s="1"/>
  <c r="K150" i="56"/>
  <c r="K152" i="56" s="1"/>
  <c r="S150" i="56"/>
  <c r="S152" i="56" s="1"/>
  <c r="AA150" i="56"/>
  <c r="AA152" i="56" s="1"/>
  <c r="AI150" i="56"/>
  <c r="AI152" i="56" s="1"/>
  <c r="L150" i="56"/>
  <c r="L152" i="56" s="1"/>
  <c r="T150" i="56"/>
  <c r="T152" i="56" s="1"/>
  <c r="AB150" i="56"/>
  <c r="AB152" i="56" s="1"/>
  <c r="AJ150" i="56"/>
  <c r="AJ152" i="56" s="1"/>
  <c r="AG150" i="56"/>
  <c r="AG152" i="56" s="1"/>
  <c r="AH150" i="56"/>
  <c r="AH152" i="56" s="1"/>
  <c r="J150" i="56"/>
  <c r="J152" i="56" s="1"/>
  <c r="Q150" i="56"/>
  <c r="Q152" i="56" s="1"/>
  <c r="I150" i="56"/>
  <c r="I152" i="56" s="1"/>
  <c r="Y150" i="56"/>
  <c r="Y152" i="56" s="1"/>
  <c r="Z150" i="56"/>
  <c r="Z152" i="56" s="1"/>
  <c r="R150" i="56"/>
  <c r="R152" i="56" s="1"/>
  <c r="I180" i="56"/>
  <c r="I182" i="56" s="1"/>
  <c r="Q180" i="56"/>
  <c r="Q182" i="56" s="1"/>
  <c r="Y180" i="56"/>
  <c r="Y182" i="56" s="1"/>
  <c r="AG180" i="56"/>
  <c r="AG182" i="56" s="1"/>
  <c r="J180" i="56"/>
  <c r="J182" i="56" s="1"/>
  <c r="R180" i="56"/>
  <c r="R182" i="56" s="1"/>
  <c r="Z180" i="56"/>
  <c r="Z182" i="56" s="1"/>
  <c r="AH180" i="56"/>
  <c r="AH182" i="56" s="1"/>
  <c r="K180" i="56"/>
  <c r="K182" i="56" s="1"/>
  <c r="S180" i="56"/>
  <c r="S182" i="56" s="1"/>
  <c r="AA180" i="56"/>
  <c r="AA182" i="56" s="1"/>
  <c r="AI180" i="56"/>
  <c r="AI182" i="56" s="1"/>
  <c r="O180" i="56"/>
  <c r="O182" i="56" s="1"/>
  <c r="W180" i="56"/>
  <c r="W182" i="56" s="1"/>
  <c r="AE180" i="56"/>
  <c r="AE182" i="56" s="1"/>
  <c r="M180" i="56"/>
  <c r="M182" i="56" s="1"/>
  <c r="AC180" i="56"/>
  <c r="AC182" i="56" s="1"/>
  <c r="N180" i="56"/>
  <c r="N182" i="56" s="1"/>
  <c r="U180" i="56"/>
  <c r="U182" i="56" s="1"/>
  <c r="AD180" i="56"/>
  <c r="AD182" i="56" s="1"/>
  <c r="AJ180" i="56"/>
  <c r="AJ182" i="56" s="1"/>
  <c r="V180" i="56"/>
  <c r="V182" i="56" s="1"/>
  <c r="P180" i="56"/>
  <c r="P182" i="56" s="1"/>
  <c r="AF180" i="56"/>
  <c r="AF182" i="56" s="1"/>
  <c r="G180" i="56"/>
  <c r="G182" i="56" s="1"/>
  <c r="T180" i="56"/>
  <c r="T182" i="56" s="1"/>
  <c r="H180" i="56"/>
  <c r="H182" i="56" s="1"/>
  <c r="X180" i="56"/>
  <c r="X182" i="56" s="1"/>
  <c r="L180" i="56"/>
  <c r="L182" i="56" s="1"/>
  <c r="AB180" i="56"/>
  <c r="AB182" i="56" s="1"/>
  <c r="O158" i="56"/>
  <c r="O160" i="56" s="1"/>
  <c r="W158" i="56"/>
  <c r="W160" i="56" s="1"/>
  <c r="AE158" i="56"/>
  <c r="AE160" i="56" s="1"/>
  <c r="R158" i="56"/>
  <c r="R160" i="56" s="1"/>
  <c r="P158" i="56"/>
  <c r="P160" i="56" s="1"/>
  <c r="X158" i="56"/>
  <c r="X160" i="56" s="1"/>
  <c r="AF158" i="56"/>
  <c r="AF160" i="56" s="1"/>
  <c r="J158" i="56"/>
  <c r="J160" i="56" s="1"/>
  <c r="Z158" i="56"/>
  <c r="Z160" i="56" s="1"/>
  <c r="I158" i="56"/>
  <c r="I160" i="56" s="1"/>
  <c r="Q158" i="56"/>
  <c r="Q160" i="56" s="1"/>
  <c r="Y158" i="56"/>
  <c r="Y160" i="56" s="1"/>
  <c r="AG158" i="56"/>
  <c r="AG160" i="56" s="1"/>
  <c r="AH158" i="56"/>
  <c r="AH160" i="56" s="1"/>
  <c r="M158" i="56"/>
  <c r="M160" i="56" s="1"/>
  <c r="U158" i="56"/>
  <c r="U160" i="56" s="1"/>
  <c r="AC158" i="56"/>
  <c r="AC160" i="56" s="1"/>
  <c r="H158" i="56"/>
  <c r="H160" i="56" s="1"/>
  <c r="N158" i="56"/>
  <c r="N160" i="56" s="1"/>
  <c r="V158" i="56"/>
  <c r="V160" i="56" s="1"/>
  <c r="AD158" i="56"/>
  <c r="AD160" i="56" s="1"/>
  <c r="AA158" i="56"/>
  <c r="AA160" i="56" s="1"/>
  <c r="AJ158" i="56"/>
  <c r="AJ160" i="56" s="1"/>
  <c r="K158" i="56"/>
  <c r="K160" i="56" s="1"/>
  <c r="L158" i="56"/>
  <c r="L160" i="56" s="1"/>
  <c r="AB158" i="56"/>
  <c r="AB160" i="56" s="1"/>
  <c r="AI158" i="56"/>
  <c r="AI160" i="56" s="1"/>
  <c r="S158" i="56"/>
  <c r="S160" i="56" s="1"/>
  <c r="T158" i="56"/>
  <c r="T160" i="56" s="1"/>
  <c r="G158" i="56"/>
  <c r="G160" i="56" s="1"/>
  <c r="G154" i="56"/>
  <c r="G156" i="56" s="1"/>
  <c r="C10" i="62" l="1"/>
  <c r="C8" i="62"/>
  <c r="C9" i="62"/>
  <c r="N138" i="56"/>
  <c r="N140" i="56" s="1"/>
  <c r="V138" i="56"/>
  <c r="V140" i="56" s="1"/>
  <c r="AD138" i="56"/>
  <c r="AD140" i="56" s="1"/>
  <c r="G138" i="56"/>
  <c r="G140" i="56" s="1"/>
  <c r="O138" i="56"/>
  <c r="O140" i="56" s="1"/>
  <c r="W138" i="56"/>
  <c r="W140" i="56" s="1"/>
  <c r="AE138" i="56"/>
  <c r="AE140" i="56" s="1"/>
  <c r="H138" i="56"/>
  <c r="H140" i="56" s="1"/>
  <c r="P138" i="56"/>
  <c r="P140" i="56" s="1"/>
  <c r="X138" i="56"/>
  <c r="X140" i="56" s="1"/>
  <c r="AF138" i="56"/>
  <c r="AF140" i="56" s="1"/>
  <c r="I138" i="56"/>
  <c r="I140" i="56" s="1"/>
  <c r="Q138" i="56"/>
  <c r="Q140" i="56" s="1"/>
  <c r="Y138" i="56"/>
  <c r="Y140" i="56" s="1"/>
  <c r="AG138" i="56"/>
  <c r="AG140" i="56" s="1"/>
  <c r="J138" i="56"/>
  <c r="J140" i="56" s="1"/>
  <c r="Z138" i="56"/>
  <c r="Z140" i="56" s="1"/>
  <c r="K138" i="56"/>
  <c r="K140" i="56" s="1"/>
  <c r="AA138" i="56"/>
  <c r="AA140" i="56" s="1"/>
  <c r="R138" i="56"/>
  <c r="R140" i="56" s="1"/>
  <c r="AH138" i="56"/>
  <c r="AH140" i="56" s="1"/>
  <c r="L138" i="56"/>
  <c r="L140" i="56" s="1"/>
  <c r="AB138" i="56"/>
  <c r="AB140" i="56" s="1"/>
  <c r="M138" i="56"/>
  <c r="M140" i="56" s="1"/>
  <c r="AC138" i="56"/>
  <c r="AC140" i="56" s="1"/>
  <c r="U138" i="56"/>
  <c r="U140" i="56" s="1"/>
  <c r="AI138" i="56"/>
  <c r="AI140" i="56" s="1"/>
  <c r="AJ138" i="56"/>
  <c r="AJ140" i="56" s="1"/>
  <c r="S138" i="56"/>
  <c r="S140" i="56" s="1"/>
  <c r="T138" i="56"/>
  <c r="T140" i="56" s="1"/>
  <c r="C6" i="62" l="1"/>
  <c r="D16" i="62" l="1"/>
  <c r="L22" i="55"/>
  <c r="L23" i="55"/>
  <c r="L24" i="55"/>
  <c r="L25" i="55"/>
  <c r="L26" i="55"/>
  <c r="L27" i="55"/>
  <c r="L28" i="55"/>
  <c r="L29" i="55"/>
  <c r="L30" i="55"/>
  <c r="L31" i="55"/>
  <c r="L32" i="55"/>
  <c r="L33" i="55"/>
  <c r="L34" i="55"/>
  <c r="L35" i="55"/>
  <c r="L36" i="55"/>
  <c r="L37" i="55"/>
  <c r="L38" i="55"/>
  <c r="L39" i="55"/>
  <c r="L40" i="55"/>
  <c r="L41" i="55"/>
  <c r="L42" i="55"/>
  <c r="L43" i="55"/>
  <c r="L44" i="55"/>
  <c r="L45" i="55"/>
  <c r="L46" i="55"/>
  <c r="L47" i="55"/>
  <c r="L48" i="55"/>
  <c r="L49" i="55"/>
  <c r="L50" i="55"/>
  <c r="L51" i="55"/>
  <c r="L52" i="55"/>
  <c r="L53" i="55"/>
  <c r="L54" i="55"/>
  <c r="L55" i="55"/>
  <c r="L56" i="55"/>
  <c r="L57" i="55"/>
  <c r="L58" i="55"/>
  <c r="L59" i="55"/>
  <c r="L60" i="55"/>
  <c r="L61" i="55"/>
  <c r="L62" i="55"/>
  <c r="L63" i="55"/>
  <c r="L64" i="55"/>
  <c r="L65" i="55"/>
  <c r="L66" i="55"/>
  <c r="L67" i="55"/>
  <c r="L68" i="55"/>
  <c r="L69" i="55"/>
  <c r="L70" i="55"/>
  <c r="L71" i="55"/>
  <c r="L72" i="55"/>
  <c r="L73" i="55"/>
  <c r="L74" i="55"/>
  <c r="L75" i="55"/>
  <c r="L76" i="55"/>
  <c r="L77" i="55"/>
  <c r="L78" i="55"/>
  <c r="L79" i="55"/>
  <c r="L80" i="55"/>
  <c r="L81" i="55"/>
  <c r="L82" i="55"/>
  <c r="L83" i="55"/>
  <c r="L84" i="55"/>
  <c r="L85" i="55"/>
  <c r="L86" i="55"/>
  <c r="L87" i="55"/>
  <c r="L88" i="55"/>
  <c r="L89" i="55"/>
  <c r="L90" i="55"/>
  <c r="L91" i="55"/>
  <c r="L92" i="55"/>
  <c r="L93" i="55"/>
  <c r="L94" i="55"/>
  <c r="L95" i="55"/>
  <c r="L96" i="55"/>
  <c r="L97" i="55"/>
  <c r="L98" i="55"/>
  <c r="L99" i="55"/>
  <c r="L100" i="55"/>
  <c r="L101" i="55"/>
  <c r="L102" i="55"/>
  <c r="L103" i="55"/>
  <c r="L104" i="55"/>
  <c r="L105" i="55"/>
  <c r="L106" i="55"/>
  <c r="L107" i="55"/>
  <c r="L108" i="55"/>
  <c r="L109" i="55"/>
  <c r="L110" i="55"/>
  <c r="L111" i="55"/>
  <c r="L112" i="55"/>
  <c r="L113" i="55"/>
  <c r="L114" i="55"/>
  <c r="L115" i="55"/>
  <c r="L116" i="55"/>
  <c r="L117" i="55"/>
  <c r="L118" i="55"/>
  <c r="L119" i="55"/>
  <c r="L120" i="55"/>
  <c r="L121" i="55"/>
  <c r="L122" i="55"/>
  <c r="L123" i="55"/>
  <c r="L124" i="55"/>
  <c r="L125" i="55"/>
  <c r="L126" i="55"/>
  <c r="N21" i="55" l="1"/>
  <c r="N134" i="55"/>
  <c r="N135" i="55"/>
  <c r="N136" i="55"/>
  <c r="N137" i="55"/>
  <c r="N138" i="55"/>
  <c r="N139" i="55"/>
  <c r="N140" i="55"/>
  <c r="N141" i="55"/>
  <c r="N142" i="55"/>
  <c r="N143" i="55"/>
  <c r="N144" i="55"/>
  <c r="N145" i="55"/>
  <c r="N146" i="55"/>
  <c r="N147" i="55"/>
  <c r="N148" i="55"/>
  <c r="N149" i="55"/>
  <c r="N150" i="55"/>
  <c r="N151" i="55"/>
  <c r="N152" i="55"/>
  <c r="N153" i="55"/>
  <c r="N154" i="55"/>
  <c r="N155" i="55"/>
  <c r="N156" i="55"/>
  <c r="N157" i="55"/>
  <c r="N158" i="55"/>
  <c r="N159" i="55"/>
  <c r="N160" i="55"/>
  <c r="N161" i="55"/>
  <c r="N162" i="55"/>
  <c r="N163" i="55"/>
  <c r="N164" i="55"/>
  <c r="N165" i="55"/>
  <c r="N166" i="55"/>
  <c r="N167" i="55"/>
  <c r="N168" i="55"/>
  <c r="N169" i="55"/>
  <c r="N170" i="55"/>
  <c r="N171" i="55"/>
  <c r="N172" i="55"/>
  <c r="N173" i="55"/>
  <c r="N174" i="55"/>
  <c r="N175" i="55"/>
  <c r="N176" i="55"/>
  <c r="N177" i="55"/>
  <c r="N178" i="55"/>
  <c r="N179" i="55"/>
  <c r="N180" i="55"/>
  <c r="N181" i="55"/>
  <c r="N182" i="55"/>
  <c r="N183" i="55"/>
  <c r="N184" i="55"/>
  <c r="N185" i="55"/>
  <c r="N186" i="55"/>
  <c r="N187" i="55"/>
  <c r="N188" i="55"/>
  <c r="N189" i="55"/>
  <c r="N190" i="55"/>
  <c r="N191" i="55"/>
  <c r="N192" i="55"/>
  <c r="N193" i="55"/>
  <c r="N194" i="55"/>
  <c r="N195" i="55"/>
  <c r="N196" i="55"/>
  <c r="N197" i="55"/>
  <c r="N198" i="55"/>
  <c r="N199" i="55"/>
  <c r="N200" i="55"/>
  <c r="N201" i="55"/>
  <c r="N202" i="55"/>
  <c r="N203" i="55"/>
  <c r="N204" i="55"/>
  <c r="N205" i="55"/>
  <c r="N206" i="55"/>
  <c r="N207" i="55"/>
  <c r="N208" i="55"/>
  <c r="N209" i="55"/>
  <c r="N210" i="55"/>
  <c r="N211" i="55"/>
  <c r="N212" i="55"/>
  <c r="N213" i="55"/>
  <c r="N214" i="55"/>
  <c r="N215" i="55"/>
  <c r="N216" i="55"/>
  <c r="N217" i="55"/>
  <c r="N218" i="55"/>
  <c r="N219" i="55"/>
  <c r="N220" i="55"/>
  <c r="N221" i="55"/>
  <c r="N222" i="55"/>
  <c r="N223" i="55"/>
  <c r="N224" i="55"/>
  <c r="N225" i="55"/>
  <c r="N226" i="55"/>
  <c r="N227" i="55"/>
  <c r="N228" i="55"/>
  <c r="N229" i="55"/>
  <c r="N230" i="55"/>
  <c r="N231" i="55"/>
  <c r="N232" i="55"/>
  <c r="N233" i="55"/>
  <c r="N234" i="55"/>
  <c r="N235" i="55"/>
  <c r="N236" i="55"/>
  <c r="N237" i="55"/>
  <c r="N238" i="55"/>
  <c r="N239" i="55"/>
  <c r="M247" i="55"/>
  <c r="M248" i="55"/>
  <c r="M249" i="55"/>
  <c r="M250" i="55"/>
  <c r="M251" i="55"/>
  <c r="M252" i="55"/>
  <c r="M253" i="55"/>
  <c r="M254" i="55"/>
  <c r="M255" i="55"/>
  <c r="M256" i="55"/>
  <c r="M257" i="55"/>
  <c r="M258" i="55"/>
  <c r="M259" i="55"/>
  <c r="M260" i="55"/>
  <c r="M261" i="55"/>
  <c r="M262" i="55"/>
  <c r="M263" i="55"/>
  <c r="M264" i="55"/>
  <c r="M265" i="55"/>
  <c r="M266" i="55"/>
  <c r="M267" i="55"/>
  <c r="M268" i="55"/>
  <c r="M269" i="55"/>
  <c r="M270" i="55"/>
  <c r="M271" i="55"/>
  <c r="M272" i="55"/>
  <c r="M273" i="55"/>
  <c r="M274" i="55"/>
  <c r="M275" i="55"/>
  <c r="M276" i="55"/>
  <c r="M277" i="55"/>
  <c r="M278" i="55"/>
  <c r="M279" i="55"/>
  <c r="M280" i="55"/>
  <c r="M281" i="55"/>
  <c r="M282" i="55"/>
  <c r="M283" i="55"/>
  <c r="M284" i="55"/>
  <c r="M285" i="55"/>
  <c r="M286" i="55"/>
  <c r="M287" i="55"/>
  <c r="M288" i="55"/>
  <c r="M289" i="55"/>
  <c r="M290" i="55"/>
  <c r="M291" i="55"/>
  <c r="M292" i="55"/>
  <c r="M293" i="55"/>
  <c r="M294" i="55"/>
  <c r="M295" i="55"/>
  <c r="M296" i="55"/>
  <c r="M297" i="55"/>
  <c r="M298" i="55"/>
  <c r="M299" i="55"/>
  <c r="M300" i="55"/>
  <c r="M301" i="55"/>
  <c r="M302" i="55"/>
  <c r="M303" i="55"/>
  <c r="M304" i="55"/>
  <c r="M305" i="55"/>
  <c r="M306" i="55"/>
  <c r="M307" i="55"/>
  <c r="M308" i="55"/>
  <c r="M309" i="55"/>
  <c r="M310" i="55"/>
  <c r="M311" i="55"/>
  <c r="M312" i="55"/>
  <c r="M313" i="55"/>
  <c r="M314" i="55"/>
  <c r="M315" i="55"/>
  <c r="M316" i="55"/>
  <c r="M317" i="55"/>
  <c r="M318" i="55"/>
  <c r="M319" i="55"/>
  <c r="M320" i="55"/>
  <c r="M321" i="55"/>
  <c r="M322" i="55"/>
  <c r="M323" i="55"/>
  <c r="M324" i="55"/>
  <c r="M325" i="55"/>
  <c r="M326" i="55"/>
  <c r="M327" i="55"/>
  <c r="M328" i="55"/>
  <c r="M329" i="55"/>
  <c r="M330" i="55"/>
  <c r="M331" i="55"/>
  <c r="M332" i="55"/>
  <c r="M333" i="55"/>
  <c r="M334" i="55"/>
  <c r="M335" i="55"/>
  <c r="M336" i="55"/>
  <c r="M337" i="55"/>
  <c r="M338" i="55"/>
  <c r="M339" i="55"/>
  <c r="M340" i="55"/>
  <c r="M341" i="55"/>
  <c r="M342" i="55"/>
  <c r="M343" i="55"/>
  <c r="M344" i="55"/>
  <c r="M345" i="55"/>
  <c r="M346" i="55"/>
  <c r="M347" i="55"/>
  <c r="M348" i="55"/>
  <c r="M349" i="55"/>
  <c r="M350" i="55"/>
  <c r="M351" i="55"/>
  <c r="M352" i="55"/>
  <c r="P134" i="55" l="1"/>
  <c r="O247" i="55"/>
  <c r="K812" i="55"/>
  <c r="K813" i="55"/>
  <c r="K814" i="55"/>
  <c r="K815" i="55"/>
  <c r="K816" i="55"/>
  <c r="K817" i="55"/>
  <c r="K818" i="55"/>
  <c r="K819" i="55"/>
  <c r="K820" i="55"/>
  <c r="K821" i="55"/>
  <c r="K822" i="55"/>
  <c r="K823" i="55"/>
  <c r="K824" i="55"/>
  <c r="K825" i="55"/>
  <c r="K826" i="55"/>
  <c r="K827" i="55"/>
  <c r="K828" i="55"/>
  <c r="K829" i="55"/>
  <c r="K830" i="55"/>
  <c r="K831" i="55"/>
  <c r="K832" i="55"/>
  <c r="K833" i="55"/>
  <c r="K834" i="55"/>
  <c r="K835" i="55"/>
  <c r="K836" i="55"/>
  <c r="K837" i="55"/>
  <c r="K838" i="55"/>
  <c r="K839" i="55"/>
  <c r="K840" i="55"/>
  <c r="K841" i="55"/>
  <c r="K842" i="55"/>
  <c r="K843" i="55"/>
  <c r="K844" i="55"/>
  <c r="K845" i="55"/>
  <c r="K846" i="55"/>
  <c r="K847" i="55"/>
  <c r="K848" i="55"/>
  <c r="K849" i="55"/>
  <c r="K850" i="55"/>
  <c r="K851" i="55"/>
  <c r="K852" i="55"/>
  <c r="K853" i="55"/>
  <c r="K854" i="55"/>
  <c r="K855" i="55"/>
  <c r="K856" i="55"/>
  <c r="K857" i="55"/>
  <c r="K858" i="55"/>
  <c r="K859" i="55"/>
  <c r="K860" i="55"/>
  <c r="K861" i="55"/>
  <c r="K862" i="55"/>
  <c r="K863" i="55"/>
  <c r="K864" i="55"/>
  <c r="K865" i="55"/>
  <c r="K866" i="55"/>
  <c r="K867" i="55"/>
  <c r="K868" i="55"/>
  <c r="K869" i="55"/>
  <c r="K870" i="55"/>
  <c r="K871" i="55"/>
  <c r="K872" i="55"/>
  <c r="K873" i="55"/>
  <c r="K874" i="55"/>
  <c r="K875" i="55"/>
  <c r="K876" i="55"/>
  <c r="K877" i="55"/>
  <c r="K878" i="55"/>
  <c r="K879" i="55"/>
  <c r="K880" i="55"/>
  <c r="K881" i="55"/>
  <c r="K882" i="55"/>
  <c r="K883" i="55"/>
  <c r="K884" i="55"/>
  <c r="K885" i="55"/>
  <c r="K886" i="55"/>
  <c r="K887" i="55"/>
  <c r="K888" i="55"/>
  <c r="K889" i="55"/>
  <c r="K890" i="55"/>
  <c r="K891" i="55"/>
  <c r="K892" i="55"/>
  <c r="K893" i="55"/>
  <c r="K894" i="55"/>
  <c r="K895" i="55"/>
  <c r="K896" i="55"/>
  <c r="K897" i="55"/>
  <c r="K898" i="55"/>
  <c r="K899" i="55"/>
  <c r="K900" i="55"/>
  <c r="K901" i="55"/>
  <c r="K902" i="55"/>
  <c r="K903" i="55"/>
  <c r="K904" i="55"/>
  <c r="K905" i="55"/>
  <c r="K906" i="55"/>
  <c r="K907" i="55"/>
  <c r="K908" i="55"/>
  <c r="K909" i="55"/>
  <c r="K910" i="55"/>
  <c r="K911" i="55"/>
  <c r="K912" i="55"/>
  <c r="K913" i="55"/>
  <c r="K914" i="55"/>
  <c r="K915" i="55"/>
  <c r="K916" i="55"/>
  <c r="K917" i="55"/>
  <c r="M812" i="55" l="1"/>
  <c r="K924" i="55"/>
  <c r="K925" i="55"/>
  <c r="K926" i="55"/>
  <c r="K927" i="55"/>
  <c r="K928" i="55"/>
  <c r="K929" i="55"/>
  <c r="K930" i="55"/>
  <c r="K931" i="55"/>
  <c r="K932" i="55"/>
  <c r="K933" i="55"/>
  <c r="K934" i="55"/>
  <c r="K935" i="55"/>
  <c r="K936" i="55"/>
  <c r="K937" i="55"/>
  <c r="K938" i="55"/>
  <c r="K939" i="55"/>
  <c r="K940" i="55"/>
  <c r="K941" i="55"/>
  <c r="K942" i="55"/>
  <c r="K943" i="55"/>
  <c r="K944" i="55"/>
  <c r="K945" i="55"/>
  <c r="K946" i="55"/>
  <c r="K947" i="55"/>
  <c r="K948" i="55"/>
  <c r="K949" i="55"/>
  <c r="K950" i="55"/>
  <c r="K951" i="55"/>
  <c r="K952" i="55"/>
  <c r="K953" i="55"/>
  <c r="K954" i="55"/>
  <c r="K955" i="55"/>
  <c r="K956" i="55"/>
  <c r="K957" i="55"/>
  <c r="K958" i="55"/>
  <c r="K959" i="55"/>
  <c r="K960" i="55"/>
  <c r="K961" i="55"/>
  <c r="K962" i="55"/>
  <c r="K963" i="55"/>
  <c r="K964" i="55"/>
  <c r="K965" i="55"/>
  <c r="K966" i="55"/>
  <c r="K967" i="55"/>
  <c r="K968" i="55"/>
  <c r="K969" i="55"/>
  <c r="K970" i="55"/>
  <c r="K971" i="55"/>
  <c r="K972" i="55"/>
  <c r="K973" i="55"/>
  <c r="K974" i="55"/>
  <c r="K975" i="55"/>
  <c r="K976" i="55"/>
  <c r="K977" i="55"/>
  <c r="K978" i="55"/>
  <c r="K979" i="55"/>
  <c r="K980" i="55"/>
  <c r="K981" i="55"/>
  <c r="K982" i="55"/>
  <c r="K983" i="55"/>
  <c r="K984" i="55"/>
  <c r="K985" i="55"/>
  <c r="K986" i="55"/>
  <c r="K987" i="55"/>
  <c r="K988" i="55"/>
  <c r="K989" i="55"/>
  <c r="K990" i="55"/>
  <c r="K991" i="55"/>
  <c r="K992" i="55"/>
  <c r="K993" i="55"/>
  <c r="K994" i="55"/>
  <c r="K995" i="55"/>
  <c r="K996" i="55"/>
  <c r="K997" i="55"/>
  <c r="K998" i="55"/>
  <c r="K999" i="55"/>
  <c r="K1000" i="55"/>
  <c r="K1001" i="55"/>
  <c r="K1002" i="55"/>
  <c r="K1003" i="55"/>
  <c r="K1004" i="55"/>
  <c r="K1005" i="55"/>
  <c r="K1006" i="55"/>
  <c r="K1007" i="55"/>
  <c r="K1008" i="55"/>
  <c r="K1009" i="55"/>
  <c r="K1010" i="55"/>
  <c r="K1011" i="55"/>
  <c r="K1012" i="55"/>
  <c r="K1013" i="55"/>
  <c r="K1014" i="55"/>
  <c r="K1015" i="55"/>
  <c r="K1016" i="55"/>
  <c r="K1017" i="55"/>
  <c r="K1018" i="55"/>
  <c r="K1019" i="55"/>
  <c r="K1020" i="55"/>
  <c r="K1021" i="55"/>
  <c r="K1022" i="55"/>
  <c r="K1023" i="55"/>
  <c r="K1024" i="55"/>
  <c r="K1025" i="55"/>
  <c r="K1026" i="55"/>
  <c r="K1027" i="55"/>
  <c r="K1028" i="55"/>
  <c r="K1029" i="55"/>
  <c r="M924" i="55" l="1"/>
  <c r="M1037" i="55"/>
  <c r="M1038" i="55"/>
  <c r="M1039" i="55"/>
  <c r="M1040" i="55"/>
  <c r="M1041" i="55"/>
  <c r="M1042" i="55"/>
  <c r="M1043" i="55"/>
  <c r="M1044" i="55"/>
  <c r="M1045" i="55"/>
  <c r="M1046" i="55"/>
  <c r="M1047" i="55"/>
  <c r="M1048" i="55"/>
  <c r="M1049" i="55"/>
  <c r="M1050" i="55"/>
  <c r="M1051" i="55"/>
  <c r="M1052" i="55"/>
  <c r="M1053" i="55"/>
  <c r="M1054" i="55"/>
  <c r="M1055" i="55"/>
  <c r="M1056" i="55"/>
  <c r="M1057" i="55"/>
  <c r="M1058" i="55"/>
  <c r="M1059" i="55"/>
  <c r="M1060" i="55"/>
  <c r="M1061" i="55"/>
  <c r="M1062" i="55"/>
  <c r="M1063" i="55"/>
  <c r="M1064" i="55"/>
  <c r="M1065" i="55"/>
  <c r="M1066" i="55"/>
  <c r="M1067" i="55"/>
  <c r="M1068" i="55"/>
  <c r="M1069" i="55"/>
  <c r="M1070" i="55"/>
  <c r="M1071" i="55"/>
  <c r="M1072" i="55"/>
  <c r="M1073" i="55"/>
  <c r="M1074" i="55"/>
  <c r="M1075" i="55"/>
  <c r="M1076" i="55"/>
  <c r="M1077" i="55"/>
  <c r="M1078" i="55"/>
  <c r="M1079" i="55"/>
  <c r="M1080" i="55"/>
  <c r="M1081" i="55"/>
  <c r="M1082" i="55"/>
  <c r="M1083" i="55"/>
  <c r="M1084" i="55"/>
  <c r="M1085" i="55"/>
  <c r="M1086" i="55"/>
  <c r="M1087" i="55"/>
  <c r="M1088" i="55"/>
  <c r="M1089" i="55"/>
  <c r="M1090" i="55"/>
  <c r="M1091" i="55"/>
  <c r="M1092" i="55"/>
  <c r="M1093" i="55"/>
  <c r="M1094" i="55"/>
  <c r="M1095" i="55"/>
  <c r="M1096" i="55"/>
  <c r="M1097" i="55"/>
  <c r="M1098" i="55"/>
  <c r="M1099" i="55"/>
  <c r="M1100" i="55"/>
  <c r="M1101" i="55"/>
  <c r="M1102" i="55"/>
  <c r="M1103" i="55"/>
  <c r="M1104" i="55"/>
  <c r="M1105" i="55"/>
  <c r="M1106" i="55"/>
  <c r="M1107" i="55"/>
  <c r="M1108" i="55"/>
  <c r="M1109" i="55"/>
  <c r="M1110" i="55"/>
  <c r="M1111" i="55"/>
  <c r="M1112" i="55"/>
  <c r="M1113" i="55"/>
  <c r="M1114" i="55"/>
  <c r="M1115" i="55"/>
  <c r="M1116" i="55"/>
  <c r="M1117" i="55"/>
  <c r="M1118" i="55"/>
  <c r="M1119" i="55"/>
  <c r="M1120" i="55"/>
  <c r="M1121" i="55"/>
  <c r="M1122" i="55"/>
  <c r="M1123" i="55"/>
  <c r="M1124" i="55"/>
  <c r="M1125" i="55"/>
  <c r="M1126" i="55"/>
  <c r="M1127" i="55"/>
  <c r="M1128" i="55"/>
  <c r="M1129" i="55"/>
  <c r="M1130" i="55"/>
  <c r="M1131" i="55"/>
  <c r="M1132" i="55"/>
  <c r="M1133" i="55"/>
  <c r="M1134" i="55"/>
  <c r="M1135" i="55"/>
  <c r="M1136" i="55"/>
  <c r="M1137" i="55"/>
  <c r="M1138" i="55"/>
  <c r="M1139" i="55"/>
  <c r="M1140" i="55"/>
  <c r="M1141" i="55"/>
  <c r="M1142" i="55"/>
  <c r="K1150" i="55"/>
  <c r="K1151" i="55"/>
  <c r="K1152" i="55"/>
  <c r="K1153" i="55"/>
  <c r="K1154" i="55"/>
  <c r="K1155" i="55"/>
  <c r="K1156" i="55"/>
  <c r="K1157" i="55"/>
  <c r="K1158" i="55"/>
  <c r="K1159" i="55"/>
  <c r="K1160" i="55"/>
  <c r="K1161" i="55"/>
  <c r="K1162" i="55"/>
  <c r="K1163" i="55"/>
  <c r="K1164" i="55"/>
  <c r="K1165" i="55"/>
  <c r="K1166" i="55"/>
  <c r="K1167" i="55"/>
  <c r="K1168" i="55"/>
  <c r="K1169" i="55"/>
  <c r="K1170" i="55"/>
  <c r="K1171" i="55"/>
  <c r="K1172" i="55"/>
  <c r="K1173" i="55"/>
  <c r="K1174" i="55"/>
  <c r="K1175" i="55"/>
  <c r="K1176" i="55"/>
  <c r="K1177" i="55"/>
  <c r="K1178" i="55"/>
  <c r="K1179" i="55"/>
  <c r="K1180" i="55"/>
  <c r="K1181" i="55"/>
  <c r="K1182" i="55"/>
  <c r="K1183" i="55"/>
  <c r="K1184" i="55"/>
  <c r="K1185" i="55"/>
  <c r="K1186" i="55"/>
  <c r="K1187" i="55"/>
  <c r="K1188" i="55"/>
  <c r="K1189" i="55"/>
  <c r="K1190" i="55"/>
  <c r="K1191" i="55"/>
  <c r="K1192" i="55"/>
  <c r="K1193" i="55"/>
  <c r="K1194" i="55"/>
  <c r="K1195" i="55"/>
  <c r="K1196" i="55"/>
  <c r="K1197" i="55"/>
  <c r="K1198" i="55"/>
  <c r="K1199" i="55"/>
  <c r="K1200" i="55"/>
  <c r="K1201" i="55"/>
  <c r="K1202" i="55"/>
  <c r="K1203" i="55"/>
  <c r="K1204" i="55"/>
  <c r="K1205" i="55"/>
  <c r="K1206" i="55"/>
  <c r="K1207" i="55"/>
  <c r="K1208" i="55"/>
  <c r="K1209" i="55"/>
  <c r="K1210" i="55"/>
  <c r="K1211" i="55"/>
  <c r="K1212" i="55"/>
  <c r="K1213" i="55"/>
  <c r="K1214" i="55"/>
  <c r="K1215" i="55"/>
  <c r="K1216" i="55"/>
  <c r="K1217" i="55"/>
  <c r="K1218" i="55"/>
  <c r="K1219" i="55"/>
  <c r="K1220" i="55"/>
  <c r="K1221" i="55"/>
  <c r="K1222" i="55"/>
  <c r="K1223" i="55"/>
  <c r="K1224" i="55"/>
  <c r="K1225" i="55"/>
  <c r="K1226" i="55"/>
  <c r="K1227" i="55"/>
  <c r="K1228" i="55"/>
  <c r="K1229" i="55"/>
  <c r="K1230" i="55"/>
  <c r="K1231" i="55"/>
  <c r="K1232" i="55"/>
  <c r="K1233" i="55"/>
  <c r="K1234" i="55"/>
  <c r="K1235" i="55"/>
  <c r="K1236" i="55"/>
  <c r="K1237" i="55"/>
  <c r="K1238" i="55"/>
  <c r="K1239" i="55"/>
  <c r="K1240" i="55"/>
  <c r="K1241" i="55"/>
  <c r="K1242" i="55"/>
  <c r="K1243" i="55"/>
  <c r="K1244" i="55"/>
  <c r="K1245" i="55"/>
  <c r="K1246" i="55"/>
  <c r="K1247" i="55"/>
  <c r="K1248" i="55"/>
  <c r="K1249" i="55"/>
  <c r="K1250" i="55"/>
  <c r="K1251" i="55"/>
  <c r="K1252" i="55"/>
  <c r="K1253" i="55"/>
  <c r="K1254" i="55"/>
  <c r="K1255" i="55"/>
  <c r="L1264" i="55"/>
  <c r="L1265" i="55"/>
  <c r="L1266" i="55"/>
  <c r="L1267" i="55"/>
  <c r="L1268" i="55"/>
  <c r="L1269" i="55"/>
  <c r="L1270" i="55"/>
  <c r="L1271" i="55"/>
  <c r="L1272" i="55"/>
  <c r="L1273" i="55"/>
  <c r="L1274" i="55"/>
  <c r="L1275" i="55"/>
  <c r="L1276" i="55"/>
  <c r="L1277" i="55"/>
  <c r="L1278" i="55"/>
  <c r="L1279" i="55"/>
  <c r="L1280" i="55"/>
  <c r="L1281" i="55"/>
  <c r="L1282" i="55"/>
  <c r="L1283" i="55"/>
  <c r="L1284" i="55"/>
  <c r="L1285" i="55"/>
  <c r="L1286" i="55"/>
  <c r="L1287" i="55"/>
  <c r="L1288" i="55"/>
  <c r="L1289" i="55"/>
  <c r="L1290" i="55"/>
  <c r="L1291" i="55"/>
  <c r="L1292" i="55"/>
  <c r="L1293" i="55"/>
  <c r="L1294" i="55"/>
  <c r="L1295" i="55"/>
  <c r="L1296" i="55"/>
  <c r="L1297" i="55"/>
  <c r="L1298" i="55"/>
  <c r="L1299" i="55"/>
  <c r="L1300" i="55"/>
  <c r="L1301" i="55"/>
  <c r="L1302" i="55"/>
  <c r="L1303" i="55"/>
  <c r="L1304" i="55"/>
  <c r="L1305" i="55"/>
  <c r="L1306" i="55"/>
  <c r="L1307" i="55"/>
  <c r="L1308" i="55"/>
  <c r="L1309" i="55"/>
  <c r="L1310" i="55"/>
  <c r="L1311" i="55"/>
  <c r="L1312" i="55"/>
  <c r="L1313" i="55"/>
  <c r="L1314" i="55"/>
  <c r="L1315" i="55"/>
  <c r="L1316" i="55"/>
  <c r="L1317" i="55"/>
  <c r="L1318" i="55"/>
  <c r="L1319" i="55"/>
  <c r="L1320" i="55"/>
  <c r="L1321" i="55"/>
  <c r="L1322" i="55"/>
  <c r="L1323" i="55"/>
  <c r="L1324" i="55"/>
  <c r="L1325" i="55"/>
  <c r="L1326" i="55"/>
  <c r="L1327" i="55"/>
  <c r="L1328" i="55"/>
  <c r="L1329" i="55"/>
  <c r="L1330" i="55"/>
  <c r="L1331" i="55"/>
  <c r="L1332" i="55"/>
  <c r="L1333" i="55"/>
  <c r="L1334" i="55"/>
  <c r="L1335" i="55"/>
  <c r="L1336" i="55"/>
  <c r="L1337" i="55"/>
  <c r="L1338" i="55"/>
  <c r="L1339" i="55"/>
  <c r="L1340" i="55"/>
  <c r="L1341" i="55"/>
  <c r="L1342" i="55"/>
  <c r="L1343" i="55"/>
  <c r="L1344" i="55"/>
  <c r="L1345" i="55"/>
  <c r="L1346" i="55"/>
  <c r="L1347" i="55"/>
  <c r="L1348" i="55"/>
  <c r="L1349" i="55"/>
  <c r="L1350" i="55"/>
  <c r="L1351" i="55"/>
  <c r="L1352" i="55"/>
  <c r="L1353" i="55"/>
  <c r="L1354" i="55"/>
  <c r="L1355" i="55"/>
  <c r="L1356" i="55"/>
  <c r="L1357" i="55"/>
  <c r="L1358" i="55"/>
  <c r="L1359" i="55"/>
  <c r="L1360" i="55"/>
  <c r="L1361" i="55"/>
  <c r="L1362" i="55"/>
  <c r="L1363" i="55"/>
  <c r="L1364" i="55"/>
  <c r="L1365" i="55"/>
  <c r="L1366" i="55"/>
  <c r="L1367" i="55"/>
  <c r="L1368" i="55"/>
  <c r="L1369" i="55"/>
  <c r="M1150" i="55" l="1"/>
  <c r="O1037" i="55"/>
  <c r="N1264" i="55"/>
  <c r="K1377" i="55"/>
  <c r="K1378" i="55"/>
  <c r="K1379" i="55"/>
  <c r="K1380" i="55"/>
  <c r="K1381" i="55"/>
  <c r="K1382" i="55"/>
  <c r="K1383" i="55"/>
  <c r="K1384" i="55"/>
  <c r="K1385" i="55"/>
  <c r="K1386" i="55"/>
  <c r="K1387" i="55"/>
  <c r="K1388" i="55"/>
  <c r="K1389" i="55"/>
  <c r="K1390" i="55"/>
  <c r="K1391" i="55"/>
  <c r="K1392" i="55"/>
  <c r="K1393" i="55"/>
  <c r="K1394" i="55"/>
  <c r="K1395" i="55"/>
  <c r="K1396" i="55"/>
  <c r="K1397" i="55"/>
  <c r="K1398" i="55"/>
  <c r="K1399" i="55"/>
  <c r="K1400" i="55"/>
  <c r="K1401" i="55"/>
  <c r="K1402" i="55"/>
  <c r="K1403" i="55"/>
  <c r="K1404" i="55"/>
  <c r="K1405" i="55"/>
  <c r="K1406" i="55"/>
  <c r="K1407" i="55"/>
  <c r="K1408" i="55"/>
  <c r="K1409" i="55"/>
  <c r="K1410" i="55"/>
  <c r="K1411" i="55"/>
  <c r="K1412" i="55"/>
  <c r="K1413" i="55"/>
  <c r="K1414" i="55"/>
  <c r="K1415" i="55"/>
  <c r="K1416" i="55"/>
  <c r="K1417" i="55"/>
  <c r="K1418" i="55"/>
  <c r="K1419" i="55"/>
  <c r="K1420" i="55"/>
  <c r="K1421" i="55"/>
  <c r="K1422" i="55"/>
  <c r="K1423" i="55"/>
  <c r="K1424" i="55"/>
  <c r="K1425" i="55"/>
  <c r="K1426" i="55"/>
  <c r="K1427" i="55"/>
  <c r="K1428" i="55"/>
  <c r="K1429" i="55"/>
  <c r="K1430" i="55"/>
  <c r="K1431" i="55"/>
  <c r="K1432" i="55"/>
  <c r="K1433" i="55"/>
  <c r="K1434" i="55"/>
  <c r="K1435" i="55"/>
  <c r="K1436" i="55"/>
  <c r="K1437" i="55"/>
  <c r="K1438" i="55"/>
  <c r="K1439" i="55"/>
  <c r="K1440" i="55"/>
  <c r="K1441" i="55"/>
  <c r="K1442" i="55"/>
  <c r="K1443" i="55"/>
  <c r="K1444" i="55"/>
  <c r="K1445" i="55"/>
  <c r="K1446" i="55"/>
  <c r="K1447" i="55"/>
  <c r="K1448" i="55"/>
  <c r="K1449" i="55"/>
  <c r="K1450" i="55"/>
  <c r="K1451" i="55"/>
  <c r="K1452" i="55"/>
  <c r="K1453" i="55"/>
  <c r="K1454" i="55"/>
  <c r="K1455" i="55"/>
  <c r="K1456" i="55"/>
  <c r="K1457" i="55"/>
  <c r="K1458" i="55"/>
  <c r="K1459" i="55"/>
  <c r="K1460" i="55"/>
  <c r="K1461" i="55"/>
  <c r="K1462" i="55"/>
  <c r="K1463" i="55"/>
  <c r="K1464" i="55"/>
  <c r="K1465" i="55"/>
  <c r="K1466" i="55"/>
  <c r="K1467" i="55"/>
  <c r="K1468" i="55"/>
  <c r="K1469" i="55"/>
  <c r="K1470" i="55"/>
  <c r="K1471" i="55"/>
  <c r="K1472" i="55"/>
  <c r="K1473" i="55"/>
  <c r="K1474" i="55"/>
  <c r="K1475" i="55"/>
  <c r="K1476" i="55"/>
  <c r="K1477" i="55"/>
  <c r="K1478" i="55"/>
  <c r="K1479" i="55"/>
  <c r="K1480" i="55"/>
  <c r="K1481" i="55"/>
  <c r="K1482" i="55"/>
  <c r="L1490" i="55"/>
  <c r="L1491" i="55"/>
  <c r="L1492" i="55"/>
  <c r="L1493" i="55"/>
  <c r="L1494" i="55"/>
  <c r="L1495" i="55"/>
  <c r="L1496" i="55"/>
  <c r="L1497" i="55"/>
  <c r="L1498" i="55"/>
  <c r="L1499" i="55"/>
  <c r="L1500" i="55"/>
  <c r="L1501" i="55"/>
  <c r="L1502" i="55"/>
  <c r="L1503" i="55"/>
  <c r="L1504" i="55"/>
  <c r="L1505" i="55"/>
  <c r="L1506" i="55"/>
  <c r="L1507" i="55"/>
  <c r="L1508" i="55"/>
  <c r="L1509" i="55"/>
  <c r="L1510" i="55"/>
  <c r="L1511" i="55"/>
  <c r="L1512" i="55"/>
  <c r="L1513" i="55"/>
  <c r="L1514" i="55"/>
  <c r="L1515" i="55"/>
  <c r="L1516" i="55"/>
  <c r="L1517" i="55"/>
  <c r="L1518" i="55"/>
  <c r="L1519" i="55"/>
  <c r="L1520" i="55"/>
  <c r="L1521" i="55"/>
  <c r="L1522" i="55"/>
  <c r="L1523" i="55"/>
  <c r="L1524" i="55"/>
  <c r="L1525" i="55"/>
  <c r="L1526" i="55"/>
  <c r="L1527" i="55"/>
  <c r="L1528" i="55"/>
  <c r="L1529" i="55"/>
  <c r="L1530" i="55"/>
  <c r="L1531" i="55"/>
  <c r="L1532" i="55"/>
  <c r="L1533" i="55"/>
  <c r="L1534" i="55"/>
  <c r="L1535" i="55"/>
  <c r="L1536" i="55"/>
  <c r="L1537" i="55"/>
  <c r="L1538" i="55"/>
  <c r="L1539" i="55"/>
  <c r="L1540" i="55"/>
  <c r="L1541" i="55"/>
  <c r="L1542" i="55"/>
  <c r="L1543" i="55"/>
  <c r="L1544" i="55"/>
  <c r="L1545" i="55"/>
  <c r="L1546" i="55"/>
  <c r="L1547" i="55"/>
  <c r="L1548" i="55"/>
  <c r="L1549" i="55"/>
  <c r="L1550" i="55"/>
  <c r="L1551" i="55"/>
  <c r="L1552" i="55"/>
  <c r="L1553" i="55"/>
  <c r="L1554" i="55"/>
  <c r="L1555" i="55"/>
  <c r="L1556" i="55"/>
  <c r="L1557" i="55"/>
  <c r="L1558" i="55"/>
  <c r="L1559" i="55"/>
  <c r="L1560" i="55"/>
  <c r="L1561" i="55"/>
  <c r="L1562" i="55"/>
  <c r="L1563" i="55"/>
  <c r="L1564" i="55"/>
  <c r="L1565" i="55"/>
  <c r="L1566" i="55"/>
  <c r="L1567" i="55"/>
  <c r="L1568" i="55"/>
  <c r="L1569" i="55"/>
  <c r="L1570" i="55"/>
  <c r="L1571" i="55"/>
  <c r="L1572" i="55"/>
  <c r="L1573" i="55"/>
  <c r="L1574" i="55"/>
  <c r="L1575" i="55"/>
  <c r="L1576" i="55"/>
  <c r="L1577" i="55"/>
  <c r="L1578" i="55"/>
  <c r="L1579" i="55"/>
  <c r="L1580" i="55"/>
  <c r="L1581" i="55"/>
  <c r="L1582" i="55"/>
  <c r="L1583" i="55"/>
  <c r="L1584" i="55"/>
  <c r="L1585" i="55"/>
  <c r="L1586" i="55"/>
  <c r="L1587" i="55"/>
  <c r="L1588" i="55"/>
  <c r="L1589" i="55"/>
  <c r="L1590" i="55"/>
  <c r="L1591" i="55"/>
  <c r="L1592" i="55"/>
  <c r="L1593" i="55"/>
  <c r="L1594" i="55"/>
  <c r="L1595" i="55"/>
  <c r="L1603" i="55"/>
  <c r="L1604" i="55"/>
  <c r="L1605" i="55"/>
  <c r="L1606" i="55"/>
  <c r="L1607" i="55"/>
  <c r="L1608" i="55"/>
  <c r="L1609" i="55"/>
  <c r="L1610" i="55"/>
  <c r="L1611" i="55"/>
  <c r="L1612" i="55"/>
  <c r="L1613" i="55"/>
  <c r="L1614" i="55"/>
  <c r="L1615" i="55"/>
  <c r="L1616" i="55"/>
  <c r="L1617" i="55"/>
  <c r="L1618" i="55"/>
  <c r="L1619" i="55"/>
  <c r="L1620" i="55"/>
  <c r="L1621" i="55"/>
  <c r="L1622" i="55"/>
  <c r="L1623" i="55"/>
  <c r="L1624" i="55"/>
  <c r="L1625" i="55"/>
  <c r="L1626" i="55"/>
  <c r="L1627" i="55"/>
  <c r="L1628" i="55"/>
  <c r="L1629" i="55"/>
  <c r="L1630" i="55"/>
  <c r="L1631" i="55"/>
  <c r="L1632" i="55"/>
  <c r="L1633" i="55"/>
  <c r="L1634" i="55"/>
  <c r="L1635" i="55"/>
  <c r="L1636" i="55"/>
  <c r="L1637" i="55"/>
  <c r="L1638" i="55"/>
  <c r="L1639" i="55"/>
  <c r="L1640" i="55"/>
  <c r="L1641" i="55"/>
  <c r="L1642" i="55"/>
  <c r="L1643" i="55"/>
  <c r="L1644" i="55"/>
  <c r="L1645" i="55"/>
  <c r="L1646" i="55"/>
  <c r="L1647" i="55"/>
  <c r="L1648" i="55"/>
  <c r="L1649" i="55"/>
  <c r="L1650" i="55"/>
  <c r="L1651" i="55"/>
  <c r="L1652" i="55"/>
  <c r="L1653" i="55"/>
  <c r="L1654" i="55"/>
  <c r="L1655" i="55"/>
  <c r="L1656" i="55"/>
  <c r="L1657" i="55"/>
  <c r="L1658" i="55"/>
  <c r="L1659" i="55"/>
  <c r="L1660" i="55"/>
  <c r="L1661" i="55"/>
  <c r="L1662" i="55"/>
  <c r="L1663" i="55"/>
  <c r="L1664" i="55"/>
  <c r="L1665" i="55"/>
  <c r="L1666" i="55"/>
  <c r="L1667" i="55"/>
  <c r="L1668" i="55"/>
  <c r="L1669" i="55"/>
  <c r="L1670" i="55"/>
  <c r="L1671" i="55"/>
  <c r="L1672" i="55"/>
  <c r="L1673" i="55"/>
  <c r="L1674" i="55"/>
  <c r="L1675" i="55"/>
  <c r="L1676" i="55"/>
  <c r="L1677" i="55"/>
  <c r="L1678" i="55"/>
  <c r="L1679" i="55"/>
  <c r="L1680" i="55"/>
  <c r="L1681" i="55"/>
  <c r="L1682" i="55"/>
  <c r="L1683" i="55"/>
  <c r="L1684" i="55"/>
  <c r="L1685" i="55"/>
  <c r="L1686" i="55"/>
  <c r="L1687" i="55"/>
  <c r="L1688" i="55"/>
  <c r="L1689" i="55"/>
  <c r="L1690" i="55"/>
  <c r="L1691" i="55"/>
  <c r="L1692" i="55"/>
  <c r="L1693" i="55"/>
  <c r="L1694" i="55"/>
  <c r="L1695" i="55"/>
  <c r="L1696" i="55"/>
  <c r="L1697" i="55"/>
  <c r="L1698" i="55"/>
  <c r="L1699" i="55"/>
  <c r="L1700" i="55"/>
  <c r="L1701" i="55"/>
  <c r="L1702" i="55"/>
  <c r="L1703" i="55"/>
  <c r="L1704" i="55"/>
  <c r="L1705" i="55"/>
  <c r="L1706" i="55"/>
  <c r="L1707" i="55"/>
  <c r="L1708" i="55"/>
  <c r="N1490" i="55" l="1"/>
  <c r="M1377" i="55"/>
  <c r="N1603" i="55"/>
  <c r="L1716" i="55"/>
  <c r="L1717" i="55"/>
  <c r="L1718" i="55"/>
  <c r="L1719" i="55"/>
  <c r="L1720" i="55"/>
  <c r="L1721" i="55"/>
  <c r="L1722" i="55"/>
  <c r="L1723" i="55"/>
  <c r="L1724" i="55"/>
  <c r="L1725" i="55"/>
  <c r="L1726" i="55"/>
  <c r="L1727" i="55"/>
  <c r="L1728" i="55"/>
  <c r="L1729" i="55"/>
  <c r="L1730" i="55"/>
  <c r="L1731" i="55"/>
  <c r="L1732" i="55"/>
  <c r="L1733" i="55"/>
  <c r="L1734" i="55"/>
  <c r="L1735" i="55"/>
  <c r="L1736" i="55"/>
  <c r="L1737" i="55"/>
  <c r="L1738" i="55"/>
  <c r="L1739" i="55"/>
  <c r="L1740" i="55"/>
  <c r="L1741" i="55"/>
  <c r="L1742" i="55"/>
  <c r="L1743" i="55"/>
  <c r="L1744" i="55"/>
  <c r="L1745" i="55"/>
  <c r="L1746" i="55"/>
  <c r="L1747" i="55"/>
  <c r="L1748" i="55"/>
  <c r="L1749" i="55"/>
  <c r="L1750" i="55"/>
  <c r="L1751" i="55"/>
  <c r="L1752" i="55"/>
  <c r="L1753" i="55"/>
  <c r="L1754" i="55"/>
  <c r="L1755" i="55"/>
  <c r="L1756" i="55"/>
  <c r="L1757" i="55"/>
  <c r="L1758" i="55"/>
  <c r="L1759" i="55"/>
  <c r="L1760" i="55"/>
  <c r="L1761" i="55"/>
  <c r="L1762" i="55"/>
  <c r="L1763" i="55"/>
  <c r="L1764" i="55"/>
  <c r="L1765" i="55"/>
  <c r="L1766" i="55"/>
  <c r="L1767" i="55"/>
  <c r="L1768" i="55"/>
  <c r="L1769" i="55"/>
  <c r="L1770" i="55"/>
  <c r="L1771" i="55"/>
  <c r="L1772" i="55"/>
  <c r="L1773" i="55"/>
  <c r="L1774" i="55"/>
  <c r="L1775" i="55"/>
  <c r="L1776" i="55"/>
  <c r="L1777" i="55"/>
  <c r="L1778" i="55"/>
  <c r="L1779" i="55"/>
  <c r="L1780" i="55"/>
  <c r="L1781" i="55"/>
  <c r="L1782" i="55"/>
  <c r="L1783" i="55"/>
  <c r="L1784" i="55"/>
  <c r="L1785" i="55"/>
  <c r="L1786" i="55"/>
  <c r="L1787" i="55"/>
  <c r="L1788" i="55"/>
  <c r="L1789" i="55"/>
  <c r="L1790" i="55"/>
  <c r="L1791" i="55"/>
  <c r="L1792" i="55"/>
  <c r="L1793" i="55"/>
  <c r="L1794" i="55"/>
  <c r="L1795" i="55"/>
  <c r="L1796" i="55"/>
  <c r="L1797" i="55"/>
  <c r="L1798" i="55"/>
  <c r="L1799" i="55"/>
  <c r="L1800" i="55"/>
  <c r="L1801" i="55"/>
  <c r="L1802" i="55"/>
  <c r="L1803" i="55"/>
  <c r="L1804" i="55"/>
  <c r="L1805" i="55"/>
  <c r="L1806" i="55"/>
  <c r="L1807" i="55"/>
  <c r="L1808" i="55"/>
  <c r="L1809" i="55"/>
  <c r="L1810" i="55"/>
  <c r="L1811" i="55"/>
  <c r="L1812" i="55"/>
  <c r="L1813" i="55"/>
  <c r="L1814" i="55"/>
  <c r="L1815" i="55"/>
  <c r="L1816" i="55"/>
  <c r="L1817" i="55"/>
  <c r="L1818" i="55"/>
  <c r="L1819" i="55"/>
  <c r="L1820" i="55"/>
  <c r="L1821" i="55"/>
  <c r="N1716" i="55" l="1"/>
  <c r="I1944" i="55" l="1"/>
  <c r="I1945" i="55"/>
  <c r="I1946" i="55"/>
  <c r="I1947" i="55"/>
  <c r="I1948" i="55"/>
  <c r="I1949" i="55"/>
  <c r="I1950" i="55"/>
  <c r="I1951" i="55"/>
  <c r="I1952" i="55"/>
  <c r="I1953" i="55"/>
  <c r="I1954" i="55"/>
  <c r="I1955" i="55"/>
  <c r="I1956" i="55"/>
  <c r="I1957" i="55"/>
  <c r="I1958" i="55"/>
  <c r="I1959" i="55"/>
  <c r="I1960" i="55"/>
  <c r="I1961" i="55"/>
  <c r="I1962" i="55"/>
  <c r="I1963" i="55"/>
  <c r="I1964" i="55"/>
  <c r="I1965" i="55"/>
  <c r="I1966" i="55"/>
  <c r="I1967" i="55"/>
  <c r="I1968" i="55"/>
  <c r="I1969" i="55"/>
  <c r="I1970" i="55"/>
  <c r="I1971" i="55"/>
  <c r="I1972" i="55"/>
  <c r="I1973" i="55"/>
  <c r="I1974" i="55"/>
  <c r="I1975" i="55"/>
  <c r="I1976" i="55"/>
  <c r="I1977" i="55"/>
  <c r="I1978" i="55"/>
  <c r="I1979" i="55"/>
  <c r="I1980" i="55"/>
  <c r="I1981" i="55"/>
  <c r="I1982" i="55"/>
  <c r="I1983" i="55"/>
  <c r="I1984" i="55"/>
  <c r="I1985" i="55"/>
  <c r="I1986" i="55"/>
  <c r="I1987" i="55"/>
  <c r="I1988" i="55"/>
  <c r="I1989" i="55"/>
  <c r="I1990" i="55"/>
  <c r="I1991" i="55"/>
  <c r="I1992" i="55"/>
  <c r="I1993" i="55"/>
  <c r="I1994" i="55"/>
  <c r="I1995" i="55"/>
  <c r="I1996" i="55"/>
  <c r="I1997" i="55"/>
  <c r="I1998" i="55"/>
  <c r="I1999" i="55"/>
  <c r="I2000" i="55"/>
  <c r="I2001" i="55"/>
  <c r="I2002" i="55"/>
  <c r="I2003" i="55"/>
  <c r="I2004" i="55"/>
  <c r="I2005" i="55"/>
  <c r="I2006" i="55"/>
  <c r="I2007" i="55"/>
  <c r="I2008" i="55"/>
  <c r="I2009" i="55"/>
  <c r="I2010" i="55"/>
  <c r="I2011" i="55"/>
  <c r="I2012" i="55"/>
  <c r="I2013" i="55"/>
  <c r="I2014" i="55"/>
  <c r="I2015" i="55"/>
  <c r="I2016" i="55"/>
  <c r="I2017" i="55"/>
  <c r="I2018" i="55"/>
  <c r="I2019" i="55"/>
  <c r="I2020" i="55"/>
  <c r="I2021" i="55"/>
  <c r="I2022" i="55"/>
  <c r="I2023" i="55"/>
  <c r="I2024" i="55"/>
  <c r="I2025" i="55"/>
  <c r="I2026" i="55"/>
  <c r="I2027" i="55"/>
  <c r="I2028" i="55"/>
  <c r="I2029" i="55"/>
  <c r="I2030" i="55"/>
  <c r="I2031" i="55"/>
  <c r="I2032" i="55"/>
  <c r="I2033" i="55"/>
  <c r="I2034" i="55"/>
  <c r="I2035" i="55"/>
  <c r="I2036" i="55"/>
  <c r="I2037" i="55"/>
  <c r="I2038" i="55"/>
  <c r="I2039" i="55"/>
  <c r="I2040" i="55"/>
  <c r="I2041" i="55"/>
  <c r="I2042" i="55"/>
  <c r="I2043" i="55"/>
  <c r="I2044" i="55"/>
  <c r="I2045" i="55"/>
  <c r="I2046" i="55"/>
  <c r="I2047" i="55"/>
  <c r="I2048" i="55"/>
  <c r="I2049" i="55"/>
  <c r="K1944" i="55" l="1"/>
  <c r="J2057" i="55"/>
  <c r="J2058" i="55"/>
  <c r="J2059" i="55"/>
  <c r="J2060" i="55"/>
  <c r="J2061" i="55"/>
  <c r="J2062" i="55"/>
  <c r="J2063" i="55"/>
  <c r="J2064" i="55"/>
  <c r="J2065" i="55"/>
  <c r="J2066" i="55"/>
  <c r="J2067" i="55"/>
  <c r="J2068" i="55"/>
  <c r="J2069" i="55"/>
  <c r="J2070" i="55"/>
  <c r="J2071" i="55"/>
  <c r="J2072" i="55"/>
  <c r="J2073" i="55"/>
  <c r="J2074" i="55"/>
  <c r="J2075" i="55"/>
  <c r="J2076" i="55"/>
  <c r="J2077" i="55"/>
  <c r="J2078" i="55"/>
  <c r="J2079" i="55"/>
  <c r="J2080" i="55"/>
  <c r="J2081" i="55"/>
  <c r="J2082" i="55"/>
  <c r="J2083" i="55"/>
  <c r="J2084" i="55"/>
  <c r="J2085" i="55"/>
  <c r="J2086" i="55"/>
  <c r="J2087" i="55"/>
  <c r="J2088" i="55"/>
  <c r="J2089" i="55"/>
  <c r="J2090" i="55"/>
  <c r="J2091" i="55"/>
  <c r="J2092" i="55"/>
  <c r="J2093" i="55"/>
  <c r="J2094" i="55"/>
  <c r="J2095" i="55"/>
  <c r="J2096" i="55"/>
  <c r="J2097" i="55"/>
  <c r="J2098" i="55"/>
  <c r="J2099" i="55"/>
  <c r="J2100" i="55"/>
  <c r="J2101" i="55"/>
  <c r="J2102" i="55"/>
  <c r="J2103" i="55"/>
  <c r="J2104" i="55"/>
  <c r="J2105" i="55"/>
  <c r="J2106" i="55"/>
  <c r="J2107" i="55"/>
  <c r="J2108" i="55"/>
  <c r="J2109" i="55"/>
  <c r="J2110" i="55"/>
  <c r="J2111" i="55"/>
  <c r="J2112" i="55"/>
  <c r="J2113" i="55"/>
  <c r="J2114" i="55"/>
  <c r="J2115" i="55"/>
  <c r="J2116" i="55"/>
  <c r="J2117" i="55"/>
  <c r="J2118" i="55"/>
  <c r="J2119" i="55"/>
  <c r="J2120" i="55"/>
  <c r="J2121" i="55"/>
  <c r="J2122" i="55"/>
  <c r="J2123" i="55"/>
  <c r="J2124" i="55"/>
  <c r="J2125" i="55"/>
  <c r="J2126" i="55"/>
  <c r="J2127" i="55"/>
  <c r="J2128" i="55"/>
  <c r="J2129" i="55"/>
  <c r="J2130" i="55"/>
  <c r="J2131" i="55"/>
  <c r="J2132" i="55"/>
  <c r="J2133" i="55"/>
  <c r="J2134" i="55"/>
  <c r="J2135" i="55"/>
  <c r="J2136" i="55"/>
  <c r="J2137" i="55"/>
  <c r="J2138" i="55"/>
  <c r="J2139" i="55"/>
  <c r="J2140" i="55"/>
  <c r="J2141" i="55"/>
  <c r="J2142" i="55"/>
  <c r="J2143" i="55"/>
  <c r="J2144" i="55"/>
  <c r="J2145" i="55"/>
  <c r="J2146" i="55"/>
  <c r="J2147" i="55"/>
  <c r="J2148" i="55"/>
  <c r="J2149" i="55"/>
  <c r="J2150" i="55"/>
  <c r="J2151" i="55"/>
  <c r="J2152" i="55"/>
  <c r="J2153" i="55"/>
  <c r="J2154" i="55"/>
  <c r="J2155" i="55"/>
  <c r="J2156" i="55"/>
  <c r="J2157" i="55"/>
  <c r="J2158" i="55"/>
  <c r="J2159" i="55"/>
  <c r="J2160" i="55"/>
  <c r="J2161" i="55"/>
  <c r="J2162" i="55"/>
  <c r="J2283" i="55"/>
  <c r="J2284" i="55"/>
  <c r="J2285" i="55"/>
  <c r="J2286" i="55"/>
  <c r="J2287" i="55"/>
  <c r="J2288" i="55"/>
  <c r="J2289" i="55"/>
  <c r="J2290" i="55"/>
  <c r="J2291" i="55"/>
  <c r="J2292" i="55"/>
  <c r="J2293" i="55"/>
  <c r="J2294" i="55"/>
  <c r="J2295" i="55"/>
  <c r="J2296" i="55"/>
  <c r="J2297" i="55"/>
  <c r="J2298" i="55"/>
  <c r="J2299" i="55"/>
  <c r="J2300" i="55"/>
  <c r="J2301" i="55"/>
  <c r="J2302" i="55"/>
  <c r="J2303" i="55"/>
  <c r="J2304" i="55"/>
  <c r="J2305" i="55"/>
  <c r="J2306" i="55"/>
  <c r="J2307" i="55"/>
  <c r="J2308" i="55"/>
  <c r="J2309" i="55"/>
  <c r="J2310" i="55"/>
  <c r="J2311" i="55"/>
  <c r="J2312" i="55"/>
  <c r="J2313" i="55"/>
  <c r="J2314" i="55"/>
  <c r="J2315" i="55"/>
  <c r="J2316" i="55"/>
  <c r="J2317" i="55"/>
  <c r="J2318" i="55"/>
  <c r="J2319" i="55"/>
  <c r="J2320" i="55"/>
  <c r="J2321" i="55"/>
  <c r="J2322" i="55"/>
  <c r="J2323" i="55"/>
  <c r="J2324" i="55"/>
  <c r="J2325" i="55"/>
  <c r="J2326" i="55"/>
  <c r="J2327" i="55"/>
  <c r="J2328" i="55"/>
  <c r="J2329" i="55"/>
  <c r="J2330" i="55"/>
  <c r="J2331" i="55"/>
  <c r="J2332" i="55"/>
  <c r="J2333" i="55"/>
  <c r="J2334" i="55"/>
  <c r="J2335" i="55"/>
  <c r="J2336" i="55"/>
  <c r="J2337" i="55"/>
  <c r="J2338" i="55"/>
  <c r="J2339" i="55"/>
  <c r="J2340" i="55"/>
  <c r="J2341" i="55"/>
  <c r="J2342" i="55"/>
  <c r="J2343" i="55"/>
  <c r="J2344" i="55"/>
  <c r="J2345" i="55"/>
  <c r="J2346" i="55"/>
  <c r="J2347" i="55"/>
  <c r="J2348" i="55"/>
  <c r="J2349" i="55"/>
  <c r="J2350" i="55"/>
  <c r="J2351" i="55"/>
  <c r="J2352" i="55"/>
  <c r="J2353" i="55"/>
  <c r="J2354" i="55"/>
  <c r="J2355" i="55"/>
  <c r="J2356" i="55"/>
  <c r="J2357" i="55"/>
  <c r="J2358" i="55"/>
  <c r="J2359" i="55"/>
  <c r="J2360" i="55"/>
  <c r="J2361" i="55"/>
  <c r="J2362" i="55"/>
  <c r="J2363" i="55"/>
  <c r="J2364" i="55"/>
  <c r="J2365" i="55"/>
  <c r="J2366" i="55"/>
  <c r="J2367" i="55"/>
  <c r="J2368" i="55"/>
  <c r="J2369" i="55"/>
  <c r="J2370" i="55"/>
  <c r="J2371" i="55"/>
  <c r="J2372" i="55"/>
  <c r="J2373" i="55"/>
  <c r="J2374" i="55"/>
  <c r="J2375" i="55"/>
  <c r="J2376" i="55"/>
  <c r="J2377" i="55"/>
  <c r="J2378" i="55"/>
  <c r="J2379" i="55"/>
  <c r="J2380" i="55"/>
  <c r="J2381" i="55"/>
  <c r="J2382" i="55"/>
  <c r="J2383" i="55"/>
  <c r="J2384" i="55"/>
  <c r="J2385" i="55"/>
  <c r="J2386" i="55"/>
  <c r="J2387" i="55"/>
  <c r="J2388" i="55"/>
  <c r="K2397" i="55"/>
  <c r="K2398" i="55"/>
  <c r="K2399" i="55"/>
  <c r="K2400" i="55"/>
  <c r="K2401" i="55"/>
  <c r="K2402" i="55"/>
  <c r="K2403" i="55"/>
  <c r="K2404" i="55"/>
  <c r="K2405" i="55"/>
  <c r="K2406" i="55"/>
  <c r="K2407" i="55"/>
  <c r="K2408" i="55"/>
  <c r="K2409" i="55"/>
  <c r="K2410" i="55"/>
  <c r="K2411" i="55"/>
  <c r="K2412" i="55"/>
  <c r="K2413" i="55"/>
  <c r="K2414" i="55"/>
  <c r="K2415" i="55"/>
  <c r="K2416" i="55"/>
  <c r="K2417" i="55"/>
  <c r="K2418" i="55"/>
  <c r="K2419" i="55"/>
  <c r="K2420" i="55"/>
  <c r="K2421" i="55"/>
  <c r="K2422" i="55"/>
  <c r="K2423" i="55"/>
  <c r="K2424" i="55"/>
  <c r="K2425" i="55"/>
  <c r="K2426" i="55"/>
  <c r="K2427" i="55"/>
  <c r="K2428" i="55"/>
  <c r="K2429" i="55"/>
  <c r="K2430" i="55"/>
  <c r="K2431" i="55"/>
  <c r="K2432" i="55"/>
  <c r="K2433" i="55"/>
  <c r="K2434" i="55"/>
  <c r="K2435" i="55"/>
  <c r="K2436" i="55"/>
  <c r="K2437" i="55"/>
  <c r="K2438" i="55"/>
  <c r="K2439" i="55"/>
  <c r="K2440" i="55"/>
  <c r="K2441" i="55"/>
  <c r="K2442" i="55"/>
  <c r="K2443" i="55"/>
  <c r="K2444" i="55"/>
  <c r="K2445" i="55"/>
  <c r="K2446" i="55"/>
  <c r="K2447" i="55"/>
  <c r="K2448" i="55"/>
  <c r="K2449" i="55"/>
  <c r="K2450" i="55"/>
  <c r="K2451" i="55"/>
  <c r="K2452" i="55"/>
  <c r="K2453" i="55"/>
  <c r="K2454" i="55"/>
  <c r="K2455" i="55"/>
  <c r="K2456" i="55"/>
  <c r="K2457" i="55"/>
  <c r="K2458" i="55"/>
  <c r="K2459" i="55"/>
  <c r="K2460" i="55"/>
  <c r="K2461" i="55"/>
  <c r="K2462" i="55"/>
  <c r="K2463" i="55"/>
  <c r="K2464" i="55"/>
  <c r="K2465" i="55"/>
  <c r="K2466" i="55"/>
  <c r="K2467" i="55"/>
  <c r="K2468" i="55"/>
  <c r="K2469" i="55"/>
  <c r="K2470" i="55"/>
  <c r="K2471" i="55"/>
  <c r="K2472" i="55"/>
  <c r="K2473" i="55"/>
  <c r="K2474" i="55"/>
  <c r="K2475" i="55"/>
  <c r="K2476" i="55"/>
  <c r="K2477" i="55"/>
  <c r="K2478" i="55"/>
  <c r="K2479" i="55"/>
  <c r="K2480" i="55"/>
  <c r="K2481" i="55"/>
  <c r="K2482" i="55"/>
  <c r="K2483" i="55"/>
  <c r="K2484" i="55"/>
  <c r="K2485" i="55"/>
  <c r="K2486" i="55"/>
  <c r="K2487" i="55"/>
  <c r="K2488" i="55"/>
  <c r="K2489" i="55"/>
  <c r="K2490" i="55"/>
  <c r="K2491" i="55"/>
  <c r="K2492" i="55"/>
  <c r="K2493" i="55"/>
  <c r="K2494" i="55"/>
  <c r="K2495" i="55"/>
  <c r="K2496" i="55"/>
  <c r="K2497" i="55"/>
  <c r="K2498" i="55"/>
  <c r="K2499" i="55"/>
  <c r="K2500" i="55"/>
  <c r="K2501" i="55"/>
  <c r="K2502" i="55"/>
  <c r="L2283" i="55" l="1"/>
  <c r="M2397" i="55"/>
  <c r="L2057" i="55"/>
  <c r="B88" i="67" l="1"/>
  <c r="H173" i="70" l="1"/>
  <c r="I173" i="70"/>
  <c r="J173" i="70"/>
  <c r="K173" i="70"/>
  <c r="L173" i="70"/>
  <c r="M173" i="70"/>
  <c r="N173" i="70"/>
  <c r="O173" i="70"/>
  <c r="P173" i="70"/>
  <c r="Q173" i="70"/>
  <c r="R173" i="70"/>
  <c r="S173" i="70"/>
  <c r="T173" i="70"/>
  <c r="U173" i="70"/>
  <c r="V173" i="70"/>
  <c r="W173" i="70"/>
  <c r="X173" i="70"/>
  <c r="Y173" i="70"/>
  <c r="Z173" i="70"/>
  <c r="AA173" i="70"/>
  <c r="AB173" i="70"/>
  <c r="AC173" i="70"/>
  <c r="AD173" i="70"/>
  <c r="AE173" i="70"/>
  <c r="AF173" i="70"/>
  <c r="AG173" i="70"/>
  <c r="AH173" i="70"/>
  <c r="AI173" i="70"/>
  <c r="AJ173" i="70"/>
  <c r="AE175" i="70" l="1"/>
  <c r="AE176" i="70" s="1"/>
  <c r="AE177" i="70" s="1"/>
  <c r="AD175" i="70"/>
  <c r="AD176" i="70" s="1"/>
  <c r="AD177" i="70" s="1"/>
  <c r="AJ175" i="70"/>
  <c r="AJ176" i="70" s="1"/>
  <c r="AJ177" i="70" s="1"/>
  <c r="O175" i="70"/>
  <c r="O176" i="70" s="1"/>
  <c r="O177" i="70" s="1"/>
  <c r="W175" i="70"/>
  <c r="W176" i="70" s="1"/>
  <c r="W177" i="70" s="1"/>
  <c r="V175" i="70"/>
  <c r="V176" i="70" s="1"/>
  <c r="V177" i="70" s="1"/>
  <c r="N175" i="70"/>
  <c r="N176" i="70" s="1"/>
  <c r="N177" i="70" s="1"/>
  <c r="AC175" i="70"/>
  <c r="AC176" i="70" s="1"/>
  <c r="AC177" i="70" s="1"/>
  <c r="U175" i="70"/>
  <c r="U176" i="70" s="1"/>
  <c r="U177" i="70" s="1"/>
  <c r="M175" i="70"/>
  <c r="M176" i="70" s="1"/>
  <c r="M177" i="70" s="1"/>
  <c r="AB175" i="70"/>
  <c r="AB176" i="70" s="1"/>
  <c r="AB177" i="70" s="1"/>
  <c r="T175" i="70"/>
  <c r="T176" i="70" s="1"/>
  <c r="T177" i="70" s="1"/>
  <c r="L175" i="70"/>
  <c r="L176" i="70" s="1"/>
  <c r="L177" i="70" s="1"/>
  <c r="AI175" i="70"/>
  <c r="AI176" i="70" s="1"/>
  <c r="AI177" i="70" s="1"/>
  <c r="AA175" i="70"/>
  <c r="AA176" i="70" s="1"/>
  <c r="AA177" i="70" s="1"/>
  <c r="S175" i="70"/>
  <c r="S176" i="70" s="1"/>
  <c r="S177" i="70" s="1"/>
  <c r="K175" i="70"/>
  <c r="K176" i="70" s="1"/>
  <c r="K177" i="70" s="1"/>
  <c r="AH175" i="70"/>
  <c r="AH176" i="70" s="1"/>
  <c r="AH177" i="70" s="1"/>
  <c r="Z175" i="70"/>
  <c r="Z176" i="70" s="1"/>
  <c r="Z177" i="70" s="1"/>
  <c r="R175" i="70"/>
  <c r="R176" i="70" s="1"/>
  <c r="R177" i="70" s="1"/>
  <c r="J175" i="70"/>
  <c r="J176" i="70" s="1"/>
  <c r="J177" i="70" s="1"/>
  <c r="AG175" i="70"/>
  <c r="AG176" i="70" s="1"/>
  <c r="AG177" i="70" s="1"/>
  <c r="Y175" i="70"/>
  <c r="Y176" i="70" s="1"/>
  <c r="Y177" i="70" s="1"/>
  <c r="Q175" i="70"/>
  <c r="Q176" i="70" s="1"/>
  <c r="Q177" i="70" s="1"/>
  <c r="I175" i="70"/>
  <c r="I176" i="70" s="1"/>
  <c r="I177" i="70" s="1"/>
  <c r="AF175" i="70"/>
  <c r="AF176" i="70" s="1"/>
  <c r="AF177" i="70" s="1"/>
  <c r="X175" i="70"/>
  <c r="X176" i="70" s="1"/>
  <c r="X177" i="70" s="1"/>
  <c r="P175" i="70"/>
  <c r="P176" i="70" s="1"/>
  <c r="P177" i="70" s="1"/>
  <c r="H175" i="70"/>
  <c r="H176" i="70" s="1"/>
  <c r="H177" i="70" s="1"/>
  <c r="B204" i="70" l="1"/>
  <c r="B86" i="70" s="1"/>
  <c r="E13" i="62"/>
  <c r="E16" i="62" s="1"/>
  <c r="I189" i="56" l="1"/>
  <c r="I191" i="56" s="1"/>
  <c r="I192" i="56" s="1"/>
  <c r="I193" i="56" s="1"/>
  <c r="AE189" i="56" l="1"/>
  <c r="AE191" i="56" s="1"/>
  <c r="AE192" i="56" s="1"/>
  <c r="AE193" i="56" s="1"/>
  <c r="T189" i="56"/>
  <c r="T191" i="56" s="1"/>
  <c r="T192" i="56" s="1"/>
  <c r="T193" i="56" s="1"/>
  <c r="P189" i="56"/>
  <c r="P191" i="56" s="1"/>
  <c r="P192" i="56" s="1"/>
  <c r="P193" i="56" s="1"/>
  <c r="AC189" i="56"/>
  <c r="AC191" i="56" s="1"/>
  <c r="AC192" i="56" s="1"/>
  <c r="AC193" i="56" s="1"/>
  <c r="AB189" i="56"/>
  <c r="AB191" i="56" s="1"/>
  <c r="AB192" i="56" s="1"/>
  <c r="AB193" i="56" s="1"/>
  <c r="AJ189" i="56"/>
  <c r="AJ191" i="56" s="1"/>
  <c r="AJ192" i="56" s="1"/>
  <c r="AJ193" i="56" s="1"/>
  <c r="AD189" i="56"/>
  <c r="AD191" i="56" s="1"/>
  <c r="AD192" i="56" s="1"/>
  <c r="AD193" i="56" s="1"/>
  <c r="O189" i="56"/>
  <c r="O191" i="56" s="1"/>
  <c r="O192" i="56" s="1"/>
  <c r="O193" i="56" s="1"/>
  <c r="N189" i="56"/>
  <c r="N191" i="56" s="1"/>
  <c r="N192" i="56" s="1"/>
  <c r="N193" i="56" s="1"/>
  <c r="X189" i="56"/>
  <c r="X191" i="56" s="1"/>
  <c r="X192" i="56" s="1"/>
  <c r="X193" i="56" s="1"/>
  <c r="M189" i="56"/>
  <c r="M191" i="56" s="1"/>
  <c r="M192" i="56" s="1"/>
  <c r="M193" i="56" s="1"/>
  <c r="W189" i="56"/>
  <c r="W191" i="56" s="1"/>
  <c r="W192" i="56" s="1"/>
  <c r="W193" i="56" s="1"/>
  <c r="L189" i="56"/>
  <c r="L191" i="56" s="1"/>
  <c r="L192" i="56" s="1"/>
  <c r="L193" i="56" s="1"/>
  <c r="V189" i="56"/>
  <c r="V191" i="56" s="1"/>
  <c r="V192" i="56" s="1"/>
  <c r="V193" i="56" s="1"/>
  <c r="H189" i="56"/>
  <c r="H191" i="56" s="1"/>
  <c r="H192" i="56" s="1"/>
  <c r="H193" i="56" s="1"/>
  <c r="AF189" i="56"/>
  <c r="AF191" i="56" s="1"/>
  <c r="AF192" i="56" s="1"/>
  <c r="AF193" i="56" s="1"/>
  <c r="U189" i="56"/>
  <c r="U191" i="56" s="1"/>
  <c r="U192" i="56" s="1"/>
  <c r="U193" i="56" s="1"/>
  <c r="G189" i="56"/>
  <c r="G191" i="56" s="1"/>
  <c r="G192" i="56" s="1"/>
  <c r="G193" i="56" s="1"/>
  <c r="AI189" i="56"/>
  <c r="AI191" i="56" s="1"/>
  <c r="AI192" i="56" s="1"/>
  <c r="AI193" i="56" s="1"/>
  <c r="AA189" i="56"/>
  <c r="AA191" i="56" s="1"/>
  <c r="AA192" i="56" s="1"/>
  <c r="AA193" i="56" s="1"/>
  <c r="S189" i="56"/>
  <c r="S191" i="56" s="1"/>
  <c r="S192" i="56" s="1"/>
  <c r="S193" i="56" s="1"/>
  <c r="K189" i="56"/>
  <c r="K191" i="56" s="1"/>
  <c r="K192" i="56" s="1"/>
  <c r="K193" i="56" s="1"/>
  <c r="AH189" i="56"/>
  <c r="AH191" i="56" s="1"/>
  <c r="AH192" i="56" s="1"/>
  <c r="AH193" i="56" s="1"/>
  <c r="Z189" i="56"/>
  <c r="Z191" i="56" s="1"/>
  <c r="Z192" i="56" s="1"/>
  <c r="Z193" i="56" s="1"/>
  <c r="R189" i="56"/>
  <c r="R191" i="56" s="1"/>
  <c r="R192" i="56" s="1"/>
  <c r="R193" i="56" s="1"/>
  <c r="J189" i="56"/>
  <c r="J191" i="56" s="1"/>
  <c r="J192" i="56" s="1"/>
  <c r="J193" i="56" s="1"/>
  <c r="AG189" i="56"/>
  <c r="AG191" i="56" s="1"/>
  <c r="AG192" i="56" s="1"/>
  <c r="AG193" i="56" s="1"/>
  <c r="Y189" i="56"/>
  <c r="Y191" i="56" s="1"/>
  <c r="Y192" i="56" s="1"/>
  <c r="Y193" i="56" s="1"/>
  <c r="Q189" i="56"/>
  <c r="Q191" i="56" s="1"/>
  <c r="Q192" i="56" s="1"/>
  <c r="Q193" i="56" s="1"/>
  <c r="C11" i="62" l="1"/>
  <c r="B226" i="56"/>
  <c r="B94" i="56" s="1"/>
  <c r="AI6" i="55" l="1"/>
  <c r="AI7" i="55"/>
  <c r="AO7" i="55"/>
  <c r="AI8" i="55"/>
  <c r="AI9" i="55"/>
  <c r="AI10" i="55"/>
  <c r="AI11" i="55"/>
  <c r="AI12" i="55"/>
  <c r="AI13" i="55"/>
  <c r="AI14" i="55"/>
  <c r="AI15" i="55"/>
  <c r="AI16" i="55"/>
  <c r="AI17" i="55"/>
  <c r="AI18" i="55"/>
  <c r="AI19" i="55"/>
  <c r="AI20" i="55"/>
  <c r="AI21" i="55"/>
  <c r="AI22" i="55"/>
  <c r="AI23" i="55"/>
  <c r="AI24" i="55"/>
  <c r="AI25" i="55"/>
  <c r="AI26" i="55"/>
  <c r="AI27" i="55"/>
  <c r="AI28" i="55"/>
  <c r="AI29" i="55"/>
  <c r="AI30" i="55"/>
  <c r="AI31" i="55"/>
  <c r="AI32" i="55"/>
  <c r="AI33" i="55"/>
  <c r="AI34" i="55"/>
  <c r="AI35" i="55"/>
  <c r="AI36" i="55"/>
  <c r="AI37" i="55"/>
  <c r="AI38" i="55"/>
  <c r="AI39" i="55"/>
  <c r="AI40" i="55"/>
  <c r="AI41" i="55"/>
  <c r="AI42" i="55"/>
  <c r="AI43" i="55"/>
  <c r="AI44" i="55"/>
  <c r="AI45" i="55"/>
  <c r="AI46" i="55"/>
  <c r="AI47" i="55"/>
  <c r="AI48" i="55"/>
  <c r="AI49" i="55"/>
  <c r="AI50" i="55"/>
  <c r="AI51" i="55"/>
  <c r="AI52" i="55"/>
  <c r="AI53" i="55"/>
  <c r="AI54" i="55"/>
  <c r="AI55" i="55"/>
  <c r="AI56" i="55"/>
  <c r="AI57" i="55"/>
  <c r="AI58" i="55"/>
  <c r="AI59" i="55"/>
  <c r="AI60" i="55"/>
  <c r="AI61" i="55"/>
  <c r="AI62" i="55"/>
  <c r="AI63" i="55"/>
  <c r="AI64" i="55"/>
  <c r="AI65" i="55"/>
  <c r="AI66" i="55"/>
  <c r="AI67" i="55"/>
  <c r="AI68" i="55"/>
  <c r="AI69" i="55"/>
  <c r="AI70" i="55"/>
  <c r="AI71" i="55"/>
  <c r="AI72" i="55"/>
  <c r="AI73" i="55"/>
  <c r="AI74" i="55"/>
  <c r="AI75" i="55"/>
  <c r="AI76" i="55"/>
  <c r="AI77" i="55"/>
  <c r="AI78" i="55"/>
  <c r="AI79" i="55"/>
  <c r="AI80" i="55"/>
  <c r="AI81" i="55"/>
  <c r="AI82" i="55"/>
  <c r="AI83" i="55"/>
  <c r="AI84" i="55"/>
  <c r="AI85" i="55"/>
  <c r="AI86" i="55"/>
  <c r="AI87" i="55"/>
  <c r="AI88" i="55"/>
  <c r="AI89" i="55"/>
  <c r="AI90" i="55"/>
  <c r="AI91" i="55"/>
  <c r="AI92" i="55"/>
  <c r="AI93" i="55"/>
  <c r="AI94" i="55"/>
  <c r="AI95" i="55"/>
  <c r="AI96" i="55"/>
  <c r="AI97" i="55"/>
  <c r="AI98" i="55"/>
  <c r="AI99" i="55"/>
  <c r="AI100" i="55"/>
  <c r="AI101" i="55"/>
  <c r="AI102" i="55"/>
  <c r="AI103" i="55"/>
  <c r="AI104" i="55"/>
  <c r="AI105" i="55"/>
  <c r="AI106" i="55"/>
  <c r="AI107" i="55"/>
  <c r="AI108" i="55"/>
  <c r="AI109" i="55"/>
  <c r="AI110" i="55"/>
  <c r="AI111" i="55"/>
  <c r="I2170" i="55"/>
  <c r="I2171" i="55"/>
  <c r="I2172" i="55"/>
  <c r="I2173" i="55"/>
  <c r="I2174" i="55"/>
  <c r="I2175" i="55"/>
  <c r="I2176" i="55"/>
  <c r="I2177" i="55"/>
  <c r="I2178" i="55"/>
  <c r="I2179" i="55"/>
  <c r="I2180" i="55"/>
  <c r="I2181" i="55"/>
  <c r="I2182" i="55"/>
  <c r="I2183" i="55"/>
  <c r="I2184" i="55"/>
  <c r="I2185" i="55"/>
  <c r="I2186" i="55"/>
  <c r="I2187" i="55"/>
  <c r="I2188" i="55"/>
  <c r="I2189" i="55"/>
  <c r="I2190" i="55"/>
  <c r="I2191" i="55"/>
  <c r="I2192" i="55"/>
  <c r="I2193" i="55"/>
  <c r="I2194" i="55"/>
  <c r="I2195" i="55"/>
  <c r="I2196" i="55"/>
  <c r="I2197" i="55"/>
  <c r="I2198" i="55"/>
  <c r="I2199" i="55"/>
  <c r="I2200" i="55"/>
  <c r="I2201" i="55"/>
  <c r="I2202" i="55"/>
  <c r="I2203" i="55"/>
  <c r="I2204" i="55"/>
  <c r="I2205" i="55"/>
  <c r="I2206" i="55"/>
  <c r="I2207" i="55"/>
  <c r="I2208" i="55"/>
  <c r="I2209" i="55"/>
  <c r="I2210" i="55"/>
  <c r="I2211" i="55"/>
  <c r="I2212" i="55"/>
  <c r="I2213" i="55"/>
  <c r="I2214" i="55"/>
  <c r="I2215" i="55"/>
  <c r="I2216" i="55"/>
  <c r="I2217" i="55"/>
  <c r="I2218" i="55"/>
  <c r="I2219" i="55"/>
  <c r="I2220" i="55"/>
  <c r="I2221" i="55"/>
  <c r="I2222" i="55"/>
  <c r="I2223" i="55"/>
  <c r="I2224" i="55"/>
  <c r="I2225" i="55"/>
  <c r="I2226" i="55"/>
  <c r="I2227" i="55"/>
  <c r="I2228" i="55"/>
  <c r="I2229" i="55"/>
  <c r="I2230" i="55"/>
  <c r="I2231" i="55"/>
  <c r="I2232" i="55"/>
  <c r="I2233" i="55"/>
  <c r="I2234" i="55"/>
  <c r="I2235" i="55"/>
  <c r="I2236" i="55"/>
  <c r="I2237" i="55"/>
  <c r="I2238" i="55"/>
  <c r="I2239" i="55"/>
  <c r="I2240" i="55"/>
  <c r="I2241" i="55"/>
  <c r="I2242" i="55"/>
  <c r="I2243" i="55"/>
  <c r="I2244" i="55"/>
  <c r="I2245" i="55"/>
  <c r="I2246" i="55"/>
  <c r="I2247" i="55"/>
  <c r="I2248" i="55"/>
  <c r="I2249" i="55"/>
  <c r="I2250" i="55"/>
  <c r="I2251" i="55"/>
  <c r="I2252" i="55"/>
  <c r="I2253" i="55"/>
  <c r="I2254" i="55"/>
  <c r="I2255" i="55"/>
  <c r="I2256" i="55"/>
  <c r="I2257" i="55"/>
  <c r="I2258" i="55"/>
  <c r="I2259" i="55"/>
  <c r="I2260" i="55"/>
  <c r="I2261" i="55"/>
  <c r="I2262" i="55"/>
  <c r="I2263" i="55"/>
  <c r="I2264" i="55"/>
  <c r="I2265" i="55"/>
  <c r="I2266" i="55"/>
  <c r="I2267" i="55"/>
  <c r="I2268" i="55"/>
  <c r="I2269" i="55"/>
  <c r="I2270" i="55"/>
  <c r="I2271" i="55"/>
  <c r="I2272" i="55"/>
  <c r="I2273" i="55"/>
  <c r="I2274" i="55"/>
  <c r="I2275" i="55"/>
  <c r="K2170" i="55" l="1"/>
  <c r="K125" i="56"/>
  <c r="C89" i="62"/>
  <c r="C104" i="62" s="1"/>
  <c r="C105" i="62" s="1"/>
  <c r="AH125" i="56"/>
  <c r="Q125" i="56"/>
  <c r="R125" i="56"/>
  <c r="AB125" i="56"/>
  <c r="AG125" i="56"/>
  <c r="AA125" i="56"/>
  <c r="S125" i="56"/>
  <c r="J125" i="56"/>
  <c r="Z125" i="56"/>
  <c r="G125" i="56"/>
  <c r="AI125" i="56"/>
  <c r="L125" i="56"/>
  <c r="Y125" i="56"/>
  <c r="I125" i="56"/>
  <c r="AJ125" i="56"/>
  <c r="T125" i="56"/>
  <c r="AD125" i="56"/>
  <c r="V125" i="56"/>
  <c r="N125" i="56"/>
  <c r="AC125" i="56"/>
  <c r="U125" i="56"/>
  <c r="M125" i="56"/>
  <c r="AF125" i="56"/>
  <c r="X125" i="56"/>
  <c r="P125" i="56"/>
  <c r="H125" i="56"/>
  <c r="AE125" i="56"/>
  <c r="W125" i="56"/>
  <c r="O125" i="56"/>
  <c r="C4" i="62" l="1"/>
  <c r="C16" i="62" s="1"/>
  <c r="C135" i="62"/>
  <c r="C150" i="62" s="1"/>
  <c r="C151" i="6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B10" authorId="0" shapeId="0" xr:uid="{CA3A7D45-D8B6-2543-A1BD-679E74830159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This value is for crude-oil energy processed, not hydrocarbon energy produced. The report does not include the hydrocarbon energy produced, so this is an  estimated value.</t>
        </r>
      </text>
    </comment>
    <comment ref="B12" authorId="0" shapeId="0" xr:uid="{D10D8DFE-8D67-2E40-95E6-D62CC0F739DB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https://data.bls.gov/cgi-bin/cpicalc.pl?cost1=1&amp;year1=201301&amp;year2=202607</t>
        </r>
      </text>
    </comment>
    <comment ref="B13" authorId="0" shapeId="0" xr:uid="{DD41D7FC-FB0B-BF41-A6E9-3B3DBC26F3A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https://data.bls.gov/cgi-bin/cpicalc.pl?cost1=1.00&amp;year1=200901&amp;year2=202607</t>
        </r>
      </text>
    </comment>
    <comment ref="A23" authorId="0" shapeId="0" xr:uid="{80B5C335-E4B8-6243-9344-535765954019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https://www.eia.gov/analysis/studies/petroleum/lto/pdf/lightightoil.pdf</t>
        </r>
      </text>
    </comment>
    <comment ref="A137" authorId="0" shapeId="0" xr:uid="{23B266EA-721A-C94F-88D4-22BF5D1577E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https://www.eia.gov/naturalgas/archive/cost_indices_equipment_production/current/coststudy.html</t>
        </r>
      </text>
    </comment>
    <comment ref="A251" authorId="0" shapeId="0" xr:uid="{43BB9643-9C08-DB4B-8C4E-C042FECF665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  <scheme val="minor"/>
          </rPr>
          <t>http://lib.buet.ac.bd:8080/xmlui/handle/123456789/4146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B11" authorId="0" shapeId="0" xr:uid="{24E4BBEF-3696-7741-83BE-D4632EBA497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https://data.bls.gov/cgi-bin/cpicalc.pl?cost1=1.00&amp;year1=202201&amp;year2=202607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37" authorId="0" shapeId="0" xr:uid="{A1744081-F40C-A242-B046-B23E63FAFEB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38" authorId="0" shapeId="0" xr:uid="{E9A3B416-FD9C-324F-A021-AB9F90230C9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</rPr>
          <t xml:space="preserve">10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</rPr>
          <t xml:space="preserve">
</t>
        </r>
      </text>
    </comment>
    <comment ref="A39" authorId="0" shapeId="0" xr:uid="{38420A20-3D00-4E4A-ABC0-4CFFC21E5F0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47" authorId="0" shapeId="0" xr:uid="{EECE8B57-F0AE-584A-880A-4F69BE6BE2CE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48" authorId="0" shapeId="0" xr:uid="{9B9F1B5C-FEF0-8E42-81DB-6516C9FD321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  <scheme val="minor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  <scheme val="minor"/>
          </rPr>
          <t>1 CTUe per cubic meter over one day</t>
        </r>
        <r>
          <rPr>
            <sz val="10.5"/>
            <color rgb="FF000000"/>
            <rFont val="Aptos Narrow"/>
            <scheme val="minor"/>
          </rPr>
          <t xml:space="preserve">, the required global burden is exactly </t>
        </r>
        <r>
          <rPr>
            <b/>
            <sz val="10.5"/>
            <color rgb="FF000000"/>
            <rFont val="Aptos Narrow"/>
            <scheme val="minor"/>
          </rPr>
          <t>0.013 kg (13 grams) of CTUe per capita</t>
        </r>
        <r>
          <rPr>
            <sz val="10.5"/>
            <color rgb="FF000000"/>
            <rFont val="Aptos Narrow"/>
            <scheme val="minor"/>
          </rPr>
          <t xml:space="preserve">.
</t>
        </r>
        <r>
          <rPr>
            <sz val="10"/>
            <color rgb="FF000000"/>
            <rFont val="Aptos Narrow"/>
            <scheme val="minor"/>
          </rPr>
          <t xml:space="preserve">
</t>
        </r>
      </text>
    </comment>
    <comment ref="B49" authorId="0" shapeId="0" xr:uid="{ECAB7D40-D7AF-474F-853D-3EE02E159CC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0" authorId="0" shapeId="0" xr:uid="{8D99F47B-2474-264F-B957-8D63AC1466D1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A80" authorId="0" shapeId="0" xr:uid="{6C332420-58E1-1B42-89F6-CA2E0772420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81" authorId="0" shapeId="0" xr:uid="{BAE87BA0-F3B3-AE48-B8B3-15563CC756FA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43" authorId="0" shapeId="0" xr:uid="{3EF5861B-0A03-DD48-AB39-C1A55FCB897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44" authorId="0" shapeId="0" xr:uid="{C213918C-9A51-4449-93A2-ECC25B5BDC99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</rPr>
          <t xml:space="preserve">10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</rPr>
          <t xml:space="preserve">
</t>
        </r>
      </text>
    </comment>
    <comment ref="A45" authorId="0" shapeId="0" xr:uid="{A8F8CDAB-7285-9446-8ED7-C45BD1572C9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53" authorId="0" shapeId="0" xr:uid="{C4C54955-AF82-184A-9D16-3DD97FD0761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54" authorId="0" shapeId="0" xr:uid="{4C05C884-6FE2-6F47-81E8-3DCD06146F7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</rPr>
          <t>1 CTUe per cubic meter over one day</t>
        </r>
        <r>
          <rPr>
            <sz val="10.5"/>
            <color rgb="FF000000"/>
            <rFont val="Aptos Narrow"/>
          </rPr>
          <t xml:space="preserve">, the required global burden is exactly </t>
        </r>
        <r>
          <rPr>
            <b/>
            <sz val="10.5"/>
            <color rgb="FF000000"/>
            <rFont val="Aptos Narrow"/>
          </rPr>
          <t>0.013 kg (13 grams) of CTUe per capita</t>
        </r>
        <r>
          <rPr>
            <sz val="10.5"/>
            <color rgb="FF000000"/>
            <rFont val="Aptos Narrow"/>
          </rPr>
          <t xml:space="preserve">.
</t>
        </r>
        <r>
          <rPr>
            <sz val="10"/>
            <color rgb="FF000000"/>
            <rFont val="Aptos Narrow"/>
          </rPr>
          <t xml:space="preserve">
</t>
        </r>
        <r>
          <rPr>
            <sz val="10"/>
            <color rgb="FF000000"/>
            <rFont val="Aptos Narrow"/>
          </rPr>
          <t xml:space="preserve">
</t>
        </r>
      </text>
    </comment>
    <comment ref="B55" authorId="0" shapeId="0" xr:uid="{42CDF770-BE87-4049-8918-D84408E61F0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6" authorId="0" shapeId="0" xr:uid="{726B777D-8F4A-C041-9516-730DB8A0DFE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B71" authorId="0" shapeId="0" xr:uid="{51D34EDB-30E9-4C4A-B59A-62FB5DA47DC4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
</t>
        </r>
      </text>
    </comment>
    <comment ref="A86" authorId="0" shapeId="0" xr:uid="{BA95CB91-4EBB-6D47-B39C-2D938032816C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87" authorId="0" shapeId="0" xr:uid="{067566C8-565C-BA45-9401-BCE59898808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38" authorId="0" shapeId="0" xr:uid="{19D1C985-DCE3-D845-ADC6-20ABC553EA5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39" authorId="0" shapeId="0" xr:uid="{318503EE-85C4-C547-BD62-F853E891B907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  <scheme val="minor"/>
          </rPr>
          <t>10</t>
        </r>
        <r>
          <rPr>
            <sz val="7"/>
            <color rgb="FF000000"/>
            <rFont val="Aptos Narrow"/>
            <scheme val="minor"/>
          </rPr>
          <t xml:space="preserve">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  <scheme val="minor"/>
          </rPr>
          <t xml:space="preserve">
</t>
        </r>
      </text>
    </comment>
    <comment ref="A40" authorId="0" shapeId="0" xr:uid="{9C02E728-9534-244D-BF1D-A05C17BA9850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48" authorId="0" shapeId="0" xr:uid="{32A02DCE-EA84-E547-919B-5DA44A527BC7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49" authorId="0" shapeId="0" xr:uid="{97B8964D-3931-C348-8D97-1DC874483AF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  <scheme val="minor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  <scheme val="minor"/>
          </rPr>
          <t>1 CTUe per cubic meter over one day</t>
        </r>
        <r>
          <rPr>
            <sz val="10.5"/>
            <color rgb="FF000000"/>
            <rFont val="Aptos Narrow"/>
            <scheme val="minor"/>
          </rPr>
          <t xml:space="preserve">, the required global burden is exactly </t>
        </r>
        <r>
          <rPr>
            <b/>
            <sz val="10.5"/>
            <color rgb="FF000000"/>
            <rFont val="Aptos Narrow"/>
            <scheme val="minor"/>
          </rPr>
          <t>0.013 kg (13 grams) of CTUe per capita</t>
        </r>
        <r>
          <rPr>
            <sz val="10.5"/>
            <color rgb="FF000000"/>
            <rFont val="Aptos Narrow"/>
            <scheme val="minor"/>
          </rPr>
          <t xml:space="preserve">.
</t>
        </r>
        <r>
          <rPr>
            <sz val="10"/>
            <color rgb="FF000000"/>
            <rFont val="Aptos Narrow"/>
            <scheme val="minor"/>
          </rPr>
          <t xml:space="preserve">
</t>
        </r>
      </text>
    </comment>
    <comment ref="B50" authorId="0" shapeId="0" xr:uid="{7AA0BBAC-2708-F44F-872C-481C7B4A60B1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1" authorId="0" shapeId="0" xr:uid="{428D50CC-1E45-754B-925F-464B728EB47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A61" authorId="0" shapeId="0" xr:uid="{1BC75EDE-BD65-234E-9D18-722274A30FFE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https://www.eia.gov/dnav/pet/hist/LeafHandler.ashx?f=M&amp;n=PET&amp;s=MCRS1US2</t>
        </r>
      </text>
    </comment>
    <comment ref="B61" authorId="0" shapeId="0" xr:uid="{923F3BDA-4815-2C4B-B2C4-387B3DAABC0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</rPr>
          <t xml:space="preserve">ased on </t>
        </r>
        <r>
          <rPr>
            <b/>
            <sz val="10"/>
            <color rgb="FF000000"/>
            <rFont val="Aptos Narrow"/>
          </rPr>
          <t>1.30 wt.% average U.S. refinery crude sulfur content</t>
        </r>
        <r>
          <rPr>
            <sz val="10"/>
            <color rgb="FF000000"/>
            <rFont val="Aptos Narrow"/>
          </rPr>
          <t>.</t>
        </r>
      </text>
    </comment>
    <comment ref="A65" authorId="0" shapeId="0" xr:uid="{BF0DFD02-AF1C-F14A-B06E-CBDA9B83F668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  <scheme val="minor"/>
          </rPr>
          <t>elemental sulfur required to extract phosphorus from phosphate rock via the conventional wet-process phosphoric acid route</t>
        </r>
      </text>
    </comment>
    <comment ref="A80" authorId="0" shapeId="0" xr:uid="{5DCFDA96-1E4E-194C-8058-F48CA5A4F37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81" authorId="0" shapeId="0" xr:uid="{0E559D83-E7AA-5F47-984D-698252FE717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Smith Pittman</author>
  </authors>
  <commentList>
    <comment ref="A37" authorId="0" shapeId="0" xr:uid="{BAFE0979-70A9-764F-B9FD-69AD64467EEF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Theoretical stoichiometric amount of CFC-11 emissions that would destroy the world in 30 years
</t>
        </r>
      </text>
    </comment>
    <comment ref="A38" authorId="0" shapeId="0" xr:uid="{AA9393EB-622D-F34E-A0F4-0474F2ED60F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7"/>
            <color rgb="FF000000"/>
            <rFont val="Aptos Narrow"/>
            <scheme val="minor"/>
          </rPr>
          <t>10</t>
        </r>
        <r>
          <rPr>
            <sz val="7"/>
            <color rgb="FF000000"/>
            <rFont val="Aptos Narrow"/>
            <scheme val="minor"/>
          </rPr>
          <t xml:space="preserve"> micograms per m3 statistically kill or severly harm a human. This is converted to the total atmospheric amount needed to kill everyone.
</t>
        </r>
        <r>
          <rPr>
            <sz val="7"/>
            <color rgb="FF000000"/>
            <rFont val="Aptos Narrow"/>
            <scheme val="minor"/>
          </rPr>
          <t xml:space="preserve">
</t>
        </r>
      </text>
    </comment>
    <comment ref="A39" authorId="0" shapeId="0" xr:uid="{BA945AA5-8343-054E-B349-567DC3631FD7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100 micrograms per m3 is unhealthy</t>
        </r>
      </text>
    </comment>
    <comment ref="B47" authorId="0" shapeId="0" xr:uid="{80FDB948-BDE0-4E42-817A-54CB85D612B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40 micrograms per m3 is unhealthy</t>
        </r>
      </text>
    </comment>
    <comment ref="B48" authorId="0" shapeId="0" xr:uid="{C20183C0-9806-BF47-8191-B0F081C60B13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.5"/>
            <color rgb="FF000000"/>
            <rFont val="Aptos Narrow"/>
            <scheme val="minor"/>
          </rPr>
          <t xml:space="preserve">If we seek a scenario where the world's accessible surface freshwater holds a toxic pressure of </t>
        </r>
        <r>
          <rPr>
            <b/>
            <sz val="10.5"/>
            <color rgb="FF000000"/>
            <rFont val="Aptos Narrow"/>
            <scheme val="minor"/>
          </rPr>
          <t>1 CTUe per cubic meter over one day</t>
        </r>
        <r>
          <rPr>
            <sz val="10.5"/>
            <color rgb="FF000000"/>
            <rFont val="Aptos Narrow"/>
            <scheme val="minor"/>
          </rPr>
          <t xml:space="preserve">, the required global burden is exactly </t>
        </r>
        <r>
          <rPr>
            <b/>
            <sz val="10.5"/>
            <color rgb="FF000000"/>
            <rFont val="Aptos Narrow"/>
            <scheme val="minor"/>
          </rPr>
          <t>0.013 kg (13 grams) of CTUe per capita</t>
        </r>
        <r>
          <rPr>
            <sz val="10.5"/>
            <color rgb="FF000000"/>
            <rFont val="Aptos Narrow"/>
            <scheme val="minor"/>
          </rPr>
          <t xml:space="preserve">.
</t>
        </r>
        <r>
          <rPr>
            <sz val="10"/>
            <color rgb="FF000000"/>
            <rFont val="Aptos Narrow"/>
            <scheme val="minor"/>
          </rPr>
          <t xml:space="preserve">
</t>
        </r>
      </text>
    </comment>
    <comment ref="B49" authorId="0" shapeId="0" xr:uid="{F33865CB-2109-0449-87BA-34705EA72B08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0.1 mg/L is the benchmark for hyper-eutrohpic conditions that cause massive toxic algal blooms</t>
        </r>
      </text>
    </comment>
    <comment ref="B50" authorId="0" shapeId="0" xr:uid="{D67E44D2-308A-444C-8042-5206F3204552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0.5 mg/L is the marine eutrophication threshold</t>
        </r>
      </text>
    </comment>
    <comment ref="B63" authorId="0" shapeId="0" xr:uid="{ED46C94B-A4E1-DD49-962C-09062AE0665D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https://www.fhwa.dot.gov/pavement/recycling/fach03.cfm</t>
        </r>
      </text>
    </comment>
    <comment ref="A65" authorId="0" shapeId="0" xr:uid="{E3433B5E-ABC0-8C41-8180-B4AA084B01C1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Aptos Narrow"/>
          </rPr>
          <t xml:space="preserve">The Global Cement and Concrete Association reports about </t>
        </r>
        <r>
          <rPr>
            <b/>
            <sz val="10"/>
            <color rgb="FF000000"/>
            <rFont val="Aptos Narrow"/>
          </rPr>
          <t>14 billion m³ of concrete produced globally in 2020</t>
        </r>
      </text>
    </comment>
    <comment ref="A78" authorId="0" shapeId="0" xr:uid="{2F2265BF-35C7-1244-A214-106F263BD696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below the livable wage, you must subtract points for survival</t>
        </r>
      </text>
    </comment>
    <comment ref="A79" authorId="0" shapeId="0" xr:uid="{B9A9476B-6EFE-9645-9D05-8B82AB312CAE}">
      <text>
        <r>
          <rPr>
            <b/>
            <sz val="10"/>
            <color rgb="FF000000"/>
            <rFont val="Tahoma"/>
            <family val="2"/>
          </rPr>
          <t>Smith Pittman: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if any value is above the appropriate income threshold, you cannot count it in your assessment average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<sst xmlns="http://schemas.openxmlformats.org/spreadsheetml/2006/main" count="18114" uniqueCount="1207">
  <si>
    <t>Value</t>
  </si>
  <si>
    <t>Operating Time</t>
  </si>
  <si>
    <t>hr/yr</t>
  </si>
  <si>
    <t>Description</t>
  </si>
  <si>
    <t>%</t>
  </si>
  <si>
    <t>Unit</t>
  </si>
  <si>
    <t>Energy</t>
  </si>
  <si>
    <t>Ethanol</t>
  </si>
  <si>
    <t>Equipment Name</t>
  </si>
  <si>
    <t>Total:</t>
  </si>
  <si>
    <t>Insulation</t>
  </si>
  <si>
    <t>Solid-Liquid Separation</t>
  </si>
  <si>
    <t>Microfiltration</t>
  </si>
  <si>
    <t>Electrodialysis</t>
  </si>
  <si>
    <t>Reboiler</t>
  </si>
  <si>
    <t>Input</t>
  </si>
  <si>
    <t>kg/yr</t>
  </si>
  <si>
    <t>Total</t>
  </si>
  <si>
    <t>Gas Cover</t>
  </si>
  <si>
    <t>Years</t>
  </si>
  <si>
    <t>Construciton period (years)</t>
  </si>
  <si>
    <t>% yr -2</t>
  </si>
  <si>
    <t>% yr -1</t>
  </si>
  <si>
    <t>% yr 0</t>
  </si>
  <si>
    <t>Start up time</t>
  </si>
  <si>
    <t>Start up production</t>
  </si>
  <si>
    <t>% of full production</t>
  </si>
  <si>
    <t>Functional Unit</t>
  </si>
  <si>
    <t>Impact Result</t>
  </si>
  <si>
    <t>Acidification</t>
  </si>
  <si>
    <t>Carcinogenics</t>
  </si>
  <si>
    <t>Ecotoxicity</t>
  </si>
  <si>
    <t>Global Warming</t>
  </si>
  <si>
    <t>Ozone Depletion</t>
  </si>
  <si>
    <t>Water</t>
  </si>
  <si>
    <t>Peristaltic Pump</t>
  </si>
  <si>
    <t>Transportation</t>
  </si>
  <si>
    <t>Anion-Exchange Membrane</t>
  </si>
  <si>
    <t>Cation-Exchange Membrane</t>
  </si>
  <si>
    <t>Bipolar-Exchange Membrane</t>
  </si>
  <si>
    <t>Electrodes</t>
  </si>
  <si>
    <t xml:space="preserve">Agitator </t>
  </si>
  <si>
    <t>Diluate Tank Wall</t>
  </si>
  <si>
    <t>Electrolyte Tank Wall</t>
  </si>
  <si>
    <t>Concentrate Tank 1 Wall</t>
  </si>
  <si>
    <t>Concentrate Tank 2 Wall</t>
  </si>
  <si>
    <t xml:space="preserve">Digester Tank Wall </t>
  </si>
  <si>
    <t xml:space="preserve">Digester Insulation </t>
  </si>
  <si>
    <t xml:space="preserve">Digester Gas Cover </t>
  </si>
  <si>
    <t>Agitator</t>
  </si>
  <si>
    <t>Electrode</t>
  </si>
  <si>
    <t>Tank Wall</t>
  </si>
  <si>
    <t>Condensor</t>
  </si>
  <si>
    <t>Liquid-Liquid Extraction</t>
  </si>
  <si>
    <t>Hydrocarbon Distillation</t>
  </si>
  <si>
    <t>Mixing Tank Wall</t>
  </si>
  <si>
    <t>Distillation Column</t>
  </si>
  <si>
    <t>Feed Pump</t>
  </si>
  <si>
    <t>Heat Exchanger</t>
  </si>
  <si>
    <t>Knockout Drum</t>
  </si>
  <si>
    <t>Product Pump</t>
  </si>
  <si>
    <t>H2 Makeup Compressor</t>
  </si>
  <si>
    <t>H2 Recycle Compressor</t>
  </si>
  <si>
    <t>High Pressure High Stage Separator</t>
  </si>
  <si>
    <t>yr</t>
  </si>
  <si>
    <t>Sulfuric Acid</t>
  </si>
  <si>
    <t>Fixed Bed Reactor</t>
  </si>
  <si>
    <t>High Pressure Feed Pump</t>
  </si>
  <si>
    <t>Cool Water Heat Exchanger</t>
  </si>
  <si>
    <t>Electrochemically-Enhanced Chain-Elongation</t>
  </si>
  <si>
    <t>Food Waste Electrochemically-Enhanced Anaerobic Digestion</t>
  </si>
  <si>
    <t>Manure Electrochemically-Enhanced Anaerobic Digestion</t>
  </si>
  <si>
    <t>Feedstock Preparation</t>
  </si>
  <si>
    <t>Ketonization</t>
  </si>
  <si>
    <t>Hydrodeoxygenation</t>
  </si>
  <si>
    <t>Nitrogen Removal</t>
  </si>
  <si>
    <t>Manure Slurry Pump Grinder</t>
  </si>
  <si>
    <t>Food Waste Slurry Pump Grinder</t>
  </si>
  <si>
    <t>Liquid - Liquid Extraction</t>
  </si>
  <si>
    <t>Nonyl Acetate</t>
  </si>
  <si>
    <t>Zirconium Dioxide</t>
  </si>
  <si>
    <t>Platinum on Aluminum Oxide</t>
  </si>
  <si>
    <t>Air Compressor</t>
  </si>
  <si>
    <t>Syngas Makeup Compressor</t>
  </si>
  <si>
    <t>Syngas Recycle Compressor</t>
  </si>
  <si>
    <t>Food Waste Pre-Treatment (Ensiling)</t>
  </si>
  <si>
    <t>Electrochemically-Enhanced Chain Elongation</t>
  </si>
  <si>
    <t>Ocean Water Processing</t>
  </si>
  <si>
    <t>Cheese Whey Processing</t>
  </si>
  <si>
    <t>Diesel Trucks - Organic Waste</t>
  </si>
  <si>
    <t xml:space="preserve"> Transportation</t>
  </si>
  <si>
    <t xml:space="preserve">Diesel - Waste </t>
  </si>
  <si>
    <t>Diesel Trucks - Cheese Whey</t>
  </si>
  <si>
    <t>Crystallizer</t>
  </si>
  <si>
    <t>pH Adjustment Tank Wall</t>
  </si>
  <si>
    <t>pH Adjustment Insulation</t>
  </si>
  <si>
    <t>pH Adjustment Agitator</t>
  </si>
  <si>
    <t>Feed Pump - Solvent</t>
  </si>
  <si>
    <t>Feed Pump - Feed</t>
  </si>
  <si>
    <t>Decanter - Settler</t>
  </si>
  <si>
    <t>Storage Tank</t>
  </si>
  <si>
    <t>Electrolyte Storage Tank</t>
  </si>
  <si>
    <t>Acid Storage Tank</t>
  </si>
  <si>
    <t>Base Storage Tank</t>
  </si>
  <si>
    <t>Desalinated Water Storage Tank</t>
  </si>
  <si>
    <t>Lactate Storage Tank</t>
  </si>
  <si>
    <t>Desalinated Water Tank</t>
  </si>
  <si>
    <t>Heat - CSTR</t>
  </si>
  <si>
    <t>Power - Feed Pump</t>
  </si>
  <si>
    <t>Heat - Crystallizer</t>
  </si>
  <si>
    <t>Waste - Biosolids</t>
  </si>
  <si>
    <t>Power - Centrifuge Decanter</t>
  </si>
  <si>
    <t>Heat</t>
  </si>
  <si>
    <t>Power - Mixing</t>
  </si>
  <si>
    <t>Power - Lactate Feed Pump</t>
  </si>
  <si>
    <t>Power - Digestate Feed Pump</t>
  </si>
  <si>
    <t>Power - Liquid Digestate Feed Pump</t>
  </si>
  <si>
    <t>Heat - Stripper</t>
  </si>
  <si>
    <t>Power - Air Pump</t>
  </si>
  <si>
    <t>Power - LD Feed Pump</t>
  </si>
  <si>
    <t>Power - Acid Feed Pump</t>
  </si>
  <si>
    <t>Power - Output Pump</t>
  </si>
  <si>
    <t>Power - Water Pump</t>
  </si>
  <si>
    <t>Power - Manure Pump</t>
  </si>
  <si>
    <t>Power - Food Waste Pump</t>
  </si>
  <si>
    <t>Power - Manure Grinder</t>
  </si>
  <si>
    <t>Power - Food Waste Grinder</t>
  </si>
  <si>
    <t>Waste Biosolids Disposal</t>
  </si>
  <si>
    <t>Power - Applied Voltage</t>
  </si>
  <si>
    <t>Power - Electrolyte Pump</t>
  </si>
  <si>
    <t>Power - Acid 1 Pump</t>
  </si>
  <si>
    <t>Power - Acid 2 Pump</t>
  </si>
  <si>
    <t>Power - Base 1 Pump</t>
  </si>
  <si>
    <t>Power - Base 2 Pump</t>
  </si>
  <si>
    <t>Heat - Distillation</t>
  </si>
  <si>
    <t>Power - Recovery Pump</t>
  </si>
  <si>
    <t>Power - Distillation Pump</t>
  </si>
  <si>
    <t>Wastewater Treatment</t>
  </si>
  <si>
    <t>Power - Acid Pump</t>
  </si>
  <si>
    <t>Power - Base Pump</t>
  </si>
  <si>
    <t>Power - KO Drum Pump</t>
  </si>
  <si>
    <t>Heat - FBR</t>
  </si>
  <si>
    <t>Power - OR Air Pump</t>
  </si>
  <si>
    <t>Heat - OR</t>
  </si>
  <si>
    <t>Power - Hydrogen Pump</t>
  </si>
  <si>
    <t>Power - KO Pump</t>
  </si>
  <si>
    <t>Power - Jet Fuel Pump</t>
  </si>
  <si>
    <t>Power - Naphtha Pump</t>
  </si>
  <si>
    <t>Catalyst Regeneration Air Blower</t>
  </si>
  <si>
    <t>Boats - Ocean Water</t>
  </si>
  <si>
    <t>Diesel Trucks - Ocean Water</t>
  </si>
  <si>
    <t>Feed Pump - Manure</t>
  </si>
  <si>
    <t>Feed Pump - Food Waste</t>
  </si>
  <si>
    <t>Feed Pump - Water</t>
  </si>
  <si>
    <t>Reverse Osmosis Filtration</t>
  </si>
  <si>
    <t>Hydraulic Truck Dump with Scale</t>
  </si>
  <si>
    <t>Caustic Pump</t>
  </si>
  <si>
    <t>Acid Pump</t>
  </si>
  <si>
    <t>Ammonia Pump</t>
  </si>
  <si>
    <t>Tank Wall - Manure</t>
  </si>
  <si>
    <t>Insulation - Manure</t>
  </si>
  <si>
    <t>Agitator - Manure</t>
  </si>
  <si>
    <t>Tank Wall - Food Waste</t>
  </si>
  <si>
    <t>Insulation - Food Waste</t>
  </si>
  <si>
    <t>Agitator - Food Waste</t>
  </si>
  <si>
    <t>Sand Removal - Manure</t>
  </si>
  <si>
    <t>Centrifuge Separator</t>
  </si>
  <si>
    <t>Biosolids Drier</t>
  </si>
  <si>
    <t>Feed Pump - Digestate</t>
  </si>
  <si>
    <t>Feed Pump - Lactate</t>
  </si>
  <si>
    <t>Feed Pump - Other</t>
  </si>
  <si>
    <t>Absorber Pre-Cooler</t>
  </si>
  <si>
    <t>Absorber Column</t>
  </si>
  <si>
    <t>Flash Drum</t>
  </si>
  <si>
    <t>Solvent Circulation Pump</t>
  </si>
  <si>
    <t>Lean-rich Heat Exchanger</t>
  </si>
  <si>
    <t>Stripper Column</t>
  </si>
  <si>
    <t>Stripper Reboiler</t>
  </si>
  <si>
    <t>Stripper OH Condenser</t>
  </si>
  <si>
    <t>Stripper Acculumator</t>
  </si>
  <si>
    <t>Misc. Tanks, Filters</t>
  </si>
  <si>
    <t>Biosolids</t>
  </si>
  <si>
    <t>Diesel - Ocean Water</t>
  </si>
  <si>
    <t>Diesel - Cheese Whey</t>
  </si>
  <si>
    <t>Power - Applied Voltage/Current</t>
  </si>
  <si>
    <t>Feed Pump - CW+H2O</t>
  </si>
  <si>
    <t xml:space="preserve">Feed Pump </t>
  </si>
  <si>
    <t>Feed Pump - Recycle</t>
  </si>
  <si>
    <t>Power - Recycle Pump</t>
  </si>
  <si>
    <t>Power - pH Mixing</t>
  </si>
  <si>
    <t xml:space="preserve">Power - Reverse Osmosis </t>
  </si>
  <si>
    <t xml:space="preserve">Hydrolysis Tank Wall </t>
  </si>
  <si>
    <t xml:space="preserve">Hydrolysis Insulation </t>
  </si>
  <si>
    <t xml:space="preserve">Hydrolysis Agitator </t>
  </si>
  <si>
    <t xml:space="preserve">Fermenter Tank Wall </t>
  </si>
  <si>
    <t xml:space="preserve">Fermenter Insulation </t>
  </si>
  <si>
    <t xml:space="preserve">Fermenter Agitator </t>
  </si>
  <si>
    <t>Lactase Enzyme</t>
  </si>
  <si>
    <t>Heat - Hydrolysis</t>
  </si>
  <si>
    <t>Heat - Fermentation</t>
  </si>
  <si>
    <t>Decanter</t>
  </si>
  <si>
    <t>Power - Sand Removal</t>
  </si>
  <si>
    <t xml:space="preserve">Heat- Crystiallizer </t>
  </si>
  <si>
    <t>Power - Ensiling Pump</t>
  </si>
  <si>
    <t>Power - Digester Pump</t>
  </si>
  <si>
    <t>gal/yr</t>
  </si>
  <si>
    <t>Wastewater</t>
  </si>
  <si>
    <t>Discount Factor</t>
  </si>
  <si>
    <t>Condenser</t>
  </si>
  <si>
    <t xml:space="preserve">Carbon </t>
  </si>
  <si>
    <t>capita</t>
  </si>
  <si>
    <t xml:space="preserve">Eutrophication: Freshwater </t>
  </si>
  <si>
    <t>Eutrophication: Marine</t>
  </si>
  <si>
    <t>Non carcinogenics</t>
  </si>
  <si>
    <t>Respiratory Effects (Particulate)</t>
  </si>
  <si>
    <t>Smog (Photochemical Oxidation Formation)</t>
  </si>
  <si>
    <t>kg SO2 eq / MJ</t>
  </si>
  <si>
    <t>CTUh / MJ</t>
  </si>
  <si>
    <t>CTUe / MJ</t>
  </si>
  <si>
    <t>kg P eq / MJ</t>
  </si>
  <si>
    <t>kg N eq / MJ</t>
  </si>
  <si>
    <t>kg CO2 eq / MJ</t>
  </si>
  <si>
    <t>CFC-11 / MJ</t>
  </si>
  <si>
    <t>PM 2.5 / MJ</t>
  </si>
  <si>
    <t>kg O3 eq / MJ</t>
  </si>
  <si>
    <t>Access to electricity</t>
  </si>
  <si>
    <t>Access to internet</t>
  </si>
  <si>
    <t>Active involvement of enterprises in corruption and bribery</t>
  </si>
  <si>
    <t>Animal protection</t>
  </si>
  <si>
    <t>Asylum seekers rate</t>
  </si>
  <si>
    <t>Biodiversity &amp; Habitat</t>
  </si>
  <si>
    <t>Certified environmental management systems</t>
  </si>
  <si>
    <t>Child marriage, female</t>
  </si>
  <si>
    <t>Child marriage, male</t>
  </si>
  <si>
    <t>Children in employment, total</t>
  </si>
  <si>
    <t>Contribution to economic development</t>
  </si>
  <si>
    <t>Data protection and privacy</t>
  </si>
  <si>
    <t>Ecosystem services</t>
  </si>
  <si>
    <t>Embodied agricultural area footprint</t>
  </si>
  <si>
    <t>Embodied CO2 footprint</t>
  </si>
  <si>
    <t>Embodied CO2-eq footprint</t>
  </si>
  <si>
    <t>Embodied forest area footprint</t>
  </si>
  <si>
    <t>Embodied value added total</t>
  </si>
  <si>
    <t>Embodied water footprint</t>
  </si>
  <si>
    <t>Emigration rate</t>
  </si>
  <si>
    <t>Evidence of violations of laws and employment regulations</t>
  </si>
  <si>
    <t>Extraction of biomass (related to area)</t>
  </si>
  <si>
    <t>Extraction of biomass (related to population)</t>
  </si>
  <si>
    <t>Extraction of fossil fuels</t>
  </si>
  <si>
    <t>Extraction of ores</t>
  </si>
  <si>
    <t>Female with account at a financial institution</t>
  </si>
  <si>
    <t>Food insecurity</t>
  </si>
  <si>
    <t>Freedom of association and collective bargaining</t>
  </si>
  <si>
    <t>Freedom of the press</t>
  </si>
  <si>
    <t>Gender inequalities</t>
  </si>
  <si>
    <t>Gender wage gap</t>
  </si>
  <si>
    <t>Global freedom scores</t>
  </si>
  <si>
    <t>Global Peace Index</t>
  </si>
  <si>
    <t>Global Terrorism Index</t>
  </si>
  <si>
    <t>Health expenditure, domestic general government</t>
  </si>
  <si>
    <t>Health expenditure, external resources</t>
  </si>
  <si>
    <t>Homicides</t>
  </si>
  <si>
    <t>Household air pollution attributable DALYs, male</t>
  </si>
  <si>
    <t>Household air pollution attributable DALYs, female</t>
  </si>
  <si>
    <t>Illiteracy rate, female</t>
  </si>
  <si>
    <t>Illiteracy rate, male</t>
  </si>
  <si>
    <t>Illiteracy rate, total</t>
  </si>
  <si>
    <t>Immigration rate</t>
  </si>
  <si>
    <t>Informal employment, male</t>
  </si>
  <si>
    <t>Informal employment, total</t>
  </si>
  <si>
    <t>Internally displaced people</t>
  </si>
  <si>
    <t>International Migrant Stock</t>
  </si>
  <si>
    <t>International migrant workers in the sector</t>
  </si>
  <si>
    <t>Internet freedom scores</t>
  </si>
  <si>
    <t>Labour productivity</t>
  </si>
  <si>
    <t>Level of industrial water use (related to renewable water resources)</t>
  </si>
  <si>
    <t>Level of industrial water use (related to total withdrawal)</t>
  </si>
  <si>
    <t>Life expectancy at birth</t>
  </si>
  <si>
    <t>Living wage, per month</t>
  </si>
  <si>
    <t>Mean years of schooling, male</t>
  </si>
  <si>
    <t>Mean years of schooling, total</t>
  </si>
  <si>
    <t>Minimum wage, per month</t>
  </si>
  <si>
    <t>Net migration rate</t>
  </si>
  <si>
    <t>Number of threatened species</t>
  </si>
  <si>
    <t>Online Consumer Protection Legislation</t>
  </si>
  <si>
    <t>Paid maternity leave</t>
  </si>
  <si>
    <t>Political stability and absence of violence</t>
  </si>
  <si>
    <t>Pollution level of the country</t>
  </si>
  <si>
    <t>Population below national poverty line</t>
  </si>
  <si>
    <t>Public expenditure on education</t>
  </si>
  <si>
    <t>Public sector corruption</t>
  </si>
  <si>
    <t>R&amp;D expenditures</t>
  </si>
  <si>
    <t>Rate of fatal accidents at workplace</t>
  </si>
  <si>
    <t>Rate of non-fatal accidents at workplace</t>
  </si>
  <si>
    <t>Rate of researchers</t>
  </si>
  <si>
    <t>Sanitation coverage</t>
  </si>
  <si>
    <t>Sector average wage, per month</t>
  </si>
  <si>
    <t>Social Protection Expenditures</t>
  </si>
  <si>
    <t>Social responsibility along the supply chain</t>
  </si>
  <si>
    <t>State of democracy</t>
  </si>
  <si>
    <t>Trade union density</t>
  </si>
  <si>
    <t>Trafficking in persons</t>
  </si>
  <si>
    <t>Under-five mortality rate</t>
  </si>
  <si>
    <t>Unemployment rate in the country</t>
  </si>
  <si>
    <t>Violations of mandatory health and safety standards</t>
  </si>
  <si>
    <t>Waste management</t>
  </si>
  <si>
    <t>Weekly hours of work per employee female</t>
  </si>
  <si>
    <t>Weekly hours of work per employee male</t>
  </si>
  <si>
    <t>Youth illiteracy rate, female</t>
  </si>
  <si>
    <t>Youth illiteracy rate, male</t>
  </si>
  <si>
    <t>Youth illiteracy rate, total</t>
  </si>
  <si>
    <t>Youth unemployment</t>
  </si>
  <si>
    <t>Survival</t>
  </si>
  <si>
    <t>Functional Society</t>
  </si>
  <si>
    <t>Informal employment, female</t>
  </si>
  <si>
    <t>Embodied Social Impacts</t>
  </si>
  <si>
    <t>Fulfillment</t>
  </si>
  <si>
    <t>Name</t>
  </si>
  <si>
    <t>Category</t>
  </si>
  <si>
    <t>Result</t>
  </si>
  <si>
    <t xml:space="preserve">Children in employment, female </t>
  </si>
  <si>
    <t xml:space="preserve">Children in employment, male </t>
  </si>
  <si>
    <t>Extraction of industrial and construction minerals</t>
  </si>
  <si>
    <t>Female genital mutilation 0-14</t>
  </si>
  <si>
    <t>Female genital mutilation 15-49</t>
  </si>
  <si>
    <t>Frequency of forced labour</t>
  </si>
  <si>
    <t>Goods produced by forced labour</t>
  </si>
  <si>
    <t>Health expenditure, out-of-pocket</t>
  </si>
  <si>
    <t>Health expenditure, total</t>
  </si>
  <si>
    <t>Indigenous People Rights Protection Index</t>
  </si>
  <si>
    <t>Mean years of schooling, female</t>
  </si>
  <si>
    <t>Men in the sectoral labour force</t>
  </si>
  <si>
    <t>number of strikes</t>
  </si>
  <si>
    <t>Presence of anti-competitive behaviour or violation of anti-trust and monopoly legislation</t>
  </si>
  <si>
    <t>Presence of indigenous population</t>
  </si>
  <si>
    <t xml:space="preserve">Presence of sufficient safety measures </t>
  </si>
  <si>
    <t>Safe access to Drinking water coverage</t>
  </si>
  <si>
    <t>Women in the sectoral labour force</t>
  </si>
  <si>
    <t>AE med risk hours / USD</t>
  </si>
  <si>
    <t>AI med risk hours / USD</t>
  </si>
  <si>
    <t>AC med risk hours / USD</t>
  </si>
  <si>
    <t>AN med risk hours / USD</t>
  </si>
  <si>
    <t>AS med risk hours / USD</t>
  </si>
  <si>
    <t>BH med risk hours / USD</t>
  </si>
  <si>
    <t>CE med risk hours / USD</t>
  </si>
  <si>
    <t>CM med risk hours / USD</t>
  </si>
  <si>
    <t>CD med risk hours / USD</t>
  </si>
  <si>
    <t>DP med risk hours / USD</t>
  </si>
  <si>
    <t>EC med risk hours / USD</t>
  </si>
  <si>
    <t>EA med risk hours / USD</t>
  </si>
  <si>
    <t>EF med risk hours / USD</t>
  </si>
  <si>
    <t>EV med risk hours / USD</t>
  </si>
  <si>
    <t>EW med risk hours / USD</t>
  </si>
  <si>
    <t>EM med risk hours / USD</t>
  </si>
  <si>
    <t>EB med risk hours / USD</t>
  </si>
  <si>
    <t>EI med risk hours / USD</t>
  </si>
  <si>
    <t>EO med risk hours / USD</t>
  </si>
  <si>
    <t>FGM med risk hours / USD</t>
  </si>
  <si>
    <t>FF med risk hours / USD</t>
  </si>
  <si>
    <t>FI med risk hours / USD</t>
  </si>
  <si>
    <t>FA med risk hours / USD</t>
  </si>
  <si>
    <t>FP med risk hours / USD</t>
  </si>
  <si>
    <t>FL med risk hours / USD</t>
  </si>
  <si>
    <t>GI med risk hours / USD</t>
  </si>
  <si>
    <t>GW med risk hours / USD</t>
  </si>
  <si>
    <t>GF med risk hours / USD</t>
  </si>
  <si>
    <t>GP med risk hours / USD</t>
  </si>
  <si>
    <t>GT med risk hours / USD</t>
  </si>
  <si>
    <t>HE med risk hours / USD</t>
  </si>
  <si>
    <t>HO med risk hours / USD</t>
  </si>
  <si>
    <t>HA med risk hours / USD</t>
  </si>
  <si>
    <t>I med risk hours / USD</t>
  </si>
  <si>
    <t>IM med risk hours / USD</t>
  </si>
  <si>
    <t>IP med risk hours / USD</t>
  </si>
  <si>
    <t>IE med risk hours / USD</t>
  </si>
  <si>
    <t>ID med risk hours / USD</t>
  </si>
  <si>
    <t>IS med risk hours / USD</t>
  </si>
  <si>
    <t>IW med risk hours / USD</t>
  </si>
  <si>
    <t>IF med risk hours / USD</t>
  </si>
  <si>
    <t>LP med risk hours / USD</t>
  </si>
  <si>
    <t>LE med risk hours / USD</t>
  </si>
  <si>
    <t>LW med risk hours / USD</t>
  </si>
  <si>
    <t>S med risk hours / USD</t>
  </si>
  <si>
    <t>M med risk hours / USD</t>
  </si>
  <si>
    <t>MW med risk hours / USD</t>
  </si>
  <si>
    <t>NM med risk hours / USD</t>
  </si>
  <si>
    <t>NS med risk hours / USD</t>
  </si>
  <si>
    <t>NT med risk hours / USD</t>
  </si>
  <si>
    <t>OC med risk hours / USD</t>
  </si>
  <si>
    <t>PM med risk hours / USD</t>
  </si>
  <si>
    <t>PS med risk hours / USD</t>
  </si>
  <si>
    <t>PL med risk hours / USD</t>
  </si>
  <si>
    <t>PP med risk hours / USD</t>
  </si>
  <si>
    <t>PI med risk hours / USD</t>
  </si>
  <si>
    <t>SS med risk hours / USD</t>
  </si>
  <si>
    <t>PE med risk hours / USD</t>
  </si>
  <si>
    <t>PC med risk hours / USD</t>
  </si>
  <si>
    <t>RD med risk hours / USD</t>
  </si>
  <si>
    <t>NA med risk hours / USD</t>
  </si>
  <si>
    <t>RR med risk hours / USD</t>
  </si>
  <si>
    <t>DW med risk hours / USD</t>
  </si>
  <si>
    <t>SC med risk hours / USD</t>
  </si>
  <si>
    <t>SA med risk hours / USD</t>
  </si>
  <si>
    <t>SR med risk hours / USD</t>
  </si>
  <si>
    <t>SD med risk hours / USD</t>
  </si>
  <si>
    <t>TU med risk hours / USD</t>
  </si>
  <si>
    <t>TP med risk hours / USD</t>
  </si>
  <si>
    <t>UM med risk hours / USD</t>
  </si>
  <si>
    <t>UR med risk hours / USD</t>
  </si>
  <si>
    <t>VS med risk hours / USD</t>
  </si>
  <si>
    <t>WM med risk hours / USD</t>
  </si>
  <si>
    <t>WH med risk hours / USD</t>
  </si>
  <si>
    <t>W med risk hours / USD</t>
  </si>
  <si>
    <t>YI med risk hours / USD</t>
  </si>
  <si>
    <t>YU med risk hours / USD</t>
  </si>
  <si>
    <t>Associated Social Impact: Boats</t>
  </si>
  <si>
    <t>Associated Social Impact: Trucks</t>
  </si>
  <si>
    <t>Boat building - US</t>
  </si>
  <si>
    <t>Database Reference</t>
  </si>
  <si>
    <t>Heavy duty truck manufacturing</t>
  </si>
  <si>
    <t>Total Impact</t>
  </si>
  <si>
    <t>Human Need (Social Impact = SI)</t>
  </si>
  <si>
    <t>SI / AE med risk hour</t>
  </si>
  <si>
    <t>SI / AI med risk hour</t>
  </si>
  <si>
    <t>SI / AC med risk hour</t>
  </si>
  <si>
    <t>SI / AN med risk hour</t>
  </si>
  <si>
    <t>SI / AS med risk hour</t>
  </si>
  <si>
    <t>SI / BH med risk hour</t>
  </si>
  <si>
    <t>SI / CE med risk hour</t>
  </si>
  <si>
    <t>SI / CM med risk hour</t>
  </si>
  <si>
    <t>SI / CD med risk hour</t>
  </si>
  <si>
    <t>SI / DP med risk hour</t>
  </si>
  <si>
    <t>SI / EC med risk hour</t>
  </si>
  <si>
    <t>SI / EA med risk hour</t>
  </si>
  <si>
    <t>SI / EF med risk hour</t>
  </si>
  <si>
    <t>SI / EV med risk hour</t>
  </si>
  <si>
    <t>SI / EW med risk hour</t>
  </si>
  <si>
    <t>SI / EM med risk hour</t>
  </si>
  <si>
    <t>SI / EB med risk hour</t>
  </si>
  <si>
    <t>SI / EI med risk hour</t>
  </si>
  <si>
    <t>SI / EO med risk hour</t>
  </si>
  <si>
    <t>SI / FGM med risk hour</t>
  </si>
  <si>
    <t>SI / FF med risk hour</t>
  </si>
  <si>
    <t>SI / FI med risk hour</t>
  </si>
  <si>
    <t>SI / FA med risk hour</t>
  </si>
  <si>
    <t>SI / FP med risk hour</t>
  </si>
  <si>
    <t>SI / FL med risk hour</t>
  </si>
  <si>
    <t>SI / GI med risk hour</t>
  </si>
  <si>
    <t>SI / GW med risk hour</t>
  </si>
  <si>
    <t>SI / GF med risk hour</t>
  </si>
  <si>
    <t>SI / GP med risk hour</t>
  </si>
  <si>
    <t>SI / GT med risk hour</t>
  </si>
  <si>
    <t>SI / HE med risk hour</t>
  </si>
  <si>
    <t>SI / HO med risk hour</t>
  </si>
  <si>
    <t>SI / HA med risk hour</t>
  </si>
  <si>
    <t>SI / I med risk hour</t>
  </si>
  <si>
    <t>SI / IM med risk hour</t>
  </si>
  <si>
    <t>SI / IP med risk hour</t>
  </si>
  <si>
    <t>SI / IE med risk hour</t>
  </si>
  <si>
    <t>SI / ID med risk hour</t>
  </si>
  <si>
    <t>SI / IS med risk hour</t>
  </si>
  <si>
    <t>SI / IW med risk hour</t>
  </si>
  <si>
    <t>SI / IF med risk hour</t>
  </si>
  <si>
    <t>SI / LP med risk hour</t>
  </si>
  <si>
    <t>SI / LE med risk hour</t>
  </si>
  <si>
    <t>SI / LW med risk hour</t>
  </si>
  <si>
    <t>SI / S med risk hour</t>
  </si>
  <si>
    <t>SI / M med risk hour</t>
  </si>
  <si>
    <t>SI / MW med risk hour</t>
  </si>
  <si>
    <t>SI / NM med risk hour</t>
  </si>
  <si>
    <t>SI / NS med risk hour</t>
  </si>
  <si>
    <t>SI / NT med risk hour</t>
  </si>
  <si>
    <t>SI / OC med risk hour</t>
  </si>
  <si>
    <t>SI / PM med risk hour</t>
  </si>
  <si>
    <t>SI / PS med risk hour</t>
  </si>
  <si>
    <t>SI / PL med risk hour</t>
  </si>
  <si>
    <t>SI / PP med risk hour</t>
  </si>
  <si>
    <t>SI / PI med risk hour</t>
  </si>
  <si>
    <t>SI / SS med risk hour</t>
  </si>
  <si>
    <t>SI / PE med risk hour</t>
  </si>
  <si>
    <t>SI / PC med risk hour</t>
  </si>
  <si>
    <t>SI / RD med risk hour</t>
  </si>
  <si>
    <t>SI / NA med risk hour</t>
  </si>
  <si>
    <t>SI / RR med risk hour</t>
  </si>
  <si>
    <t>SI / DW med risk hour</t>
  </si>
  <si>
    <t>SI / SC med risk hour</t>
  </si>
  <si>
    <t>SI / SA med risk hour</t>
  </si>
  <si>
    <t>SI / SR med risk hour</t>
  </si>
  <si>
    <t>SI / SD med risk hour</t>
  </si>
  <si>
    <t>SI / TU med risk hour</t>
  </si>
  <si>
    <t>SI / TP med risk hour</t>
  </si>
  <si>
    <t>SI / UM med risk hour</t>
  </si>
  <si>
    <t>SI / UR med risk hour</t>
  </si>
  <si>
    <t>SI / VS med risk hour</t>
  </si>
  <si>
    <t>SI / WM med risk hour</t>
  </si>
  <si>
    <t>SI / WH med risk hour</t>
  </si>
  <si>
    <t>SI / W med risk hour</t>
  </si>
  <si>
    <t>SI / YI med risk hour</t>
  </si>
  <si>
    <t>SI / YU med risk hour</t>
  </si>
  <si>
    <t>Direction</t>
  </si>
  <si>
    <t>Analytical Values</t>
  </si>
  <si>
    <t>Heavy duty truck manufacturing - USA/Commodities</t>
  </si>
  <si>
    <t>Pump and pumping equipment manufacturing - USA/Commodities</t>
  </si>
  <si>
    <t>Associated Social Impact: Pumps</t>
  </si>
  <si>
    <t>Plastics material and resin manufacturing - USA/Commodities</t>
  </si>
  <si>
    <t>Filters and Membranes</t>
  </si>
  <si>
    <t>Machinery and equipment - Hong Kong/Commodoties</t>
  </si>
  <si>
    <t>Machinery</t>
  </si>
  <si>
    <t>Carbon and graphite products - US/Commodities</t>
  </si>
  <si>
    <t>Concrete pipe, brick, and block manufacturing - USA/Commodities</t>
  </si>
  <si>
    <t>Power boiler and heat exchanger manufacturing - USA/Commodities</t>
  </si>
  <si>
    <t>Heat Exchange</t>
  </si>
  <si>
    <t>Tanks</t>
  </si>
  <si>
    <t>Mineral wool manufacturing - USA/Commodities</t>
  </si>
  <si>
    <t xml:space="preserve">Filters </t>
  </si>
  <si>
    <t>Machinery and equipment - Hong Kong/Commodoties &amp; Plastics material and resin manufacturing - USA/Commodities</t>
  </si>
  <si>
    <t>Plastics material and resin manufacturing - USA/Commodities &amp; Machinery and equipment - Hong Kong/Commodoties</t>
  </si>
  <si>
    <t>VARIABLE OPERATIONAL EXPENSE</t>
  </si>
  <si>
    <t>MJ/ yr</t>
  </si>
  <si>
    <t>SI/ yr</t>
  </si>
  <si>
    <t>Automotive Diesel Oil - Brazil/Commodities</t>
  </si>
  <si>
    <t>Associated Social Impact: Diesel</t>
  </si>
  <si>
    <t>Electric power generation, transmission, and distribution - USA/Commodities</t>
  </si>
  <si>
    <t>Associated Social Impact: Electricity</t>
  </si>
  <si>
    <t>Other basic organic chemical manufacturing - USA/Commodities</t>
  </si>
  <si>
    <t>Landfill disposal of non-hazardous waste- UK/Industries</t>
  </si>
  <si>
    <t xml:space="preserve">PATH A </t>
  </si>
  <si>
    <t>Water, sewage and other systems - USA/Commodities</t>
  </si>
  <si>
    <t>Chemicals for special usages - China/Comodities</t>
  </si>
  <si>
    <t>Chemicals</t>
  </si>
  <si>
    <t>MJ/yr</t>
  </si>
  <si>
    <t>kg CO2 eq/yr</t>
  </si>
  <si>
    <t xml:space="preserve">Social Impact </t>
  </si>
  <si>
    <t>Energy Produced</t>
  </si>
  <si>
    <t>Number of Employees</t>
  </si>
  <si>
    <t>Global Population</t>
  </si>
  <si>
    <t>Discount Rate</t>
  </si>
  <si>
    <t>SI</t>
  </si>
  <si>
    <t>SI/yr</t>
  </si>
  <si>
    <t>Date</t>
  </si>
  <si>
    <t>Population</t>
  </si>
  <si>
    <t>Population Growth Rate</t>
  </si>
  <si>
    <t>%/yr</t>
  </si>
  <si>
    <t>Population Year</t>
  </si>
  <si>
    <t>Construction Period and Start-Up</t>
  </si>
  <si>
    <t>Social Impact Inputs</t>
  </si>
  <si>
    <t>MJ/yr-cap</t>
  </si>
  <si>
    <t>CO2 eq Removal Requirement - 2030</t>
  </si>
  <si>
    <t>CO2 eq Removal Requirement - 2035</t>
  </si>
  <si>
    <t>CO2 eq Removal Requirement - 2050</t>
  </si>
  <si>
    <t>CO2 eq Emissions Avoided</t>
  </si>
  <si>
    <t>kg/cap-yr</t>
  </si>
  <si>
    <t>Energy Social Impact Total</t>
  </si>
  <si>
    <t>EMBODIED</t>
  </si>
  <si>
    <t>CLIMATE CHANGE</t>
  </si>
  <si>
    <t>Net Present Impact</t>
  </si>
  <si>
    <t>Discounted CO2 eq Reduced</t>
  </si>
  <si>
    <t>Global CO2 Reduction Required</t>
  </si>
  <si>
    <t>Mitigate Climate Change Social Impact Total</t>
  </si>
  <si>
    <t>Discounted Sanitation Provided</t>
  </si>
  <si>
    <t>kg CO2 eq / yr</t>
  </si>
  <si>
    <t xml:space="preserve">Global Energy Required </t>
  </si>
  <si>
    <t xml:space="preserve">Discounted Plant Energy Produced </t>
  </si>
  <si>
    <t xml:space="preserve">Plant Year </t>
  </si>
  <si>
    <t>Global Sanitation Required</t>
  </si>
  <si>
    <t>Survival Impact</t>
  </si>
  <si>
    <t>Provide Sanitation Social Impact Total</t>
  </si>
  <si>
    <t>SANITATION - Waste Collection</t>
  </si>
  <si>
    <t>PURPOSE - Employment</t>
  </si>
  <si>
    <t>Discounted Employment</t>
  </si>
  <si>
    <t>capita/yr</t>
  </si>
  <si>
    <t>Direct - Provide Energy</t>
  </si>
  <si>
    <t xml:space="preserve"> Direct - Mitigate Climate Change</t>
  </si>
  <si>
    <t>Direct - Provide Sanitation</t>
  </si>
  <si>
    <t>Capital Embodied Impact</t>
  </si>
  <si>
    <t>Operational Embodied Impact</t>
  </si>
  <si>
    <t>Sanitation</t>
  </si>
  <si>
    <t>Corn Grain Ethanol</t>
  </si>
  <si>
    <t>Coal Electricity</t>
  </si>
  <si>
    <t>COAL ELECTRICITY</t>
  </si>
  <si>
    <t>Corn Grain</t>
  </si>
  <si>
    <t>Cleaning/Mill/Handling Electricity</t>
  </si>
  <si>
    <t>Corn Grain Lost</t>
  </si>
  <si>
    <t>Alpha Amylase Enzyme</t>
  </si>
  <si>
    <t>Caustic Soda</t>
  </si>
  <si>
    <t>Lime</t>
  </si>
  <si>
    <t>Urea</t>
  </si>
  <si>
    <t>Water for Nutrients</t>
  </si>
  <si>
    <t>MAKEUP Water Required for Dilution</t>
  </si>
  <si>
    <t>Liquefaction Electricity</t>
  </si>
  <si>
    <t>Liquefaction Heat Required</t>
  </si>
  <si>
    <t>Gluco-Amylase</t>
  </si>
  <si>
    <t>Yeast Required</t>
  </si>
  <si>
    <t>Water for Enzyme/Yeast</t>
  </si>
  <si>
    <t>Saccharification Electricity</t>
  </si>
  <si>
    <t>Saccharification Heat</t>
  </si>
  <si>
    <t>Saccharification Cooling Load</t>
  </si>
  <si>
    <t>Fermentation Electricity</t>
  </si>
  <si>
    <t>Cooling Demand, Fermentation</t>
  </si>
  <si>
    <t>Distillation Electricity</t>
  </si>
  <si>
    <t>Distillation Pre-Heat Load</t>
  </si>
  <si>
    <t>Distillation - Beer Column Reboiler</t>
  </si>
  <si>
    <t>Rectification - Condenser</t>
  </si>
  <si>
    <t>Rectification - Reboiler</t>
  </si>
  <si>
    <t>Stripper - Reboiler</t>
  </si>
  <si>
    <t>Evaporation 1 Electricity</t>
  </si>
  <si>
    <t>Evaporation 1 Heat</t>
  </si>
  <si>
    <t>Stillage Centrifuge</t>
  </si>
  <si>
    <t>Corn Oil Recovery Electricity</t>
  </si>
  <si>
    <t>Evaporation 2 Heat</t>
  </si>
  <si>
    <t>Distillers' Grains Drying Heat</t>
  </si>
  <si>
    <t>Molecular Sieve Electricity</t>
  </si>
  <si>
    <t>Molecular Sieve Heat</t>
  </si>
  <si>
    <t>Cooling Tower Fans</t>
  </si>
  <si>
    <t>Boiler Fans</t>
  </si>
  <si>
    <t>Truck Receiving Station</t>
  </si>
  <si>
    <t>Grain Handling - Conveyors</t>
  </si>
  <si>
    <t>Grain Cleaning - Scalper/Aspirator/Magnetic Sep.</t>
  </si>
  <si>
    <t>Concrete Storage Dome for Feedstock</t>
  </si>
  <si>
    <t>Dome Reclaim System</t>
  </si>
  <si>
    <t>Surge Bins</t>
  </si>
  <si>
    <t>Hammer Mills</t>
  </si>
  <si>
    <t>Dust Collection System</t>
  </si>
  <si>
    <t>Slurry Mix Tank</t>
  </si>
  <si>
    <t>Nutrient Dosing System - Set One</t>
  </si>
  <si>
    <t>Jet Cooker</t>
  </si>
  <si>
    <t>Flash Tank</t>
  </si>
  <si>
    <t>Liquefaction Reactor</t>
  </si>
  <si>
    <t>Saccharification Reactor</t>
  </si>
  <si>
    <t>Nutrient Dosing System - Set Two</t>
  </si>
  <si>
    <t>HX - Post-Jet Cooler</t>
  </si>
  <si>
    <t>Liquefaction Pumps + Transfer</t>
  </si>
  <si>
    <t>HX - Mash Cooler Pre-Fermentation</t>
  </si>
  <si>
    <t>Yeast Tanks w/ Agitator</t>
  </si>
  <si>
    <t>Fermentors</t>
  </si>
  <si>
    <t>HX - Fermentor Cooling</t>
  </si>
  <si>
    <t>Carbon Dioxide Compressor</t>
  </si>
  <si>
    <t>CO2 Scrubber - Vent Scrubber Tower</t>
  </si>
  <si>
    <t>Fermentor Cooling HX Pumps</t>
  </si>
  <si>
    <t>Fermentation Pumps + Transfer</t>
  </si>
  <si>
    <t>Beer Storage Tank</t>
  </si>
  <si>
    <t>Beer and Rectification Column Package</t>
  </si>
  <si>
    <t>Rectification Column Condenser</t>
  </si>
  <si>
    <t>Stripper Column + Reboiler</t>
  </si>
  <si>
    <t>Molecular Sieve Unit</t>
  </si>
  <si>
    <t>Distillation Pumps + Transfer</t>
  </si>
  <si>
    <t>Whole Stillage Storage Tank</t>
  </si>
  <si>
    <t>Multi-Effect Evaporator</t>
  </si>
  <si>
    <t>Whole Stillage Centrifuge(s)</t>
  </si>
  <si>
    <t>Thin Stillage Storage Tank</t>
  </si>
  <si>
    <t>Rotary Drum Dryer - Grain Drying</t>
  </si>
  <si>
    <t>Evaporator Condensate Tank</t>
  </si>
  <si>
    <t>Disk-Stack Centrifuge - Oil Recovery</t>
  </si>
  <si>
    <t>Air Pollution Control</t>
  </si>
  <si>
    <t>Recovery Pumps + Transfer</t>
  </si>
  <si>
    <t>CORN GRAIN ETHANOL</t>
  </si>
  <si>
    <t>ORGANIC WET-WASTE DERIVED HYDROCARBONS</t>
  </si>
  <si>
    <t>CAPITAL EXPENSES</t>
  </si>
  <si>
    <t>PSI-LCA Category</t>
  </si>
  <si>
    <t>Metal tank (heavy gauge) manufacturing - USA/Commodities</t>
  </si>
  <si>
    <t>Manufacture of lifting and handling equipment</t>
  </si>
  <si>
    <t>Receiving</t>
  </si>
  <si>
    <t xml:space="preserve">Concrete </t>
  </si>
  <si>
    <t>Pumps</t>
  </si>
  <si>
    <t>HX</t>
  </si>
  <si>
    <t>OPERATIONAL EXPENSES</t>
  </si>
  <si>
    <t>Total Cost - USD/yr</t>
  </si>
  <si>
    <t>Wet Corn Milling</t>
  </si>
  <si>
    <t>Corn in the husk - Brazil/Commodities</t>
  </si>
  <si>
    <t>Wet Corn Milling - USA/Commodities</t>
  </si>
  <si>
    <t>Corn</t>
  </si>
  <si>
    <t>Milling</t>
  </si>
  <si>
    <t>Direct - Air Pollution</t>
  </si>
  <si>
    <t>kg SO2 eq / yr</t>
  </si>
  <si>
    <t>CTUh / yr</t>
  </si>
  <si>
    <t>CTUe /  yr</t>
  </si>
  <si>
    <t>kg P eq /  yr</t>
  </si>
  <si>
    <t>kg N eq /  yr</t>
  </si>
  <si>
    <t>kg CO2 eq /  yr</t>
  </si>
  <si>
    <t>CFC-11 /  yr</t>
  </si>
  <si>
    <t>PM 2.5 /  yr</t>
  </si>
  <si>
    <t>kg O3 eq /  yr</t>
  </si>
  <si>
    <t>kg CFC-11 /  yr</t>
  </si>
  <si>
    <t>kg PM 2.5 /  yr</t>
  </si>
  <si>
    <t>Eutrophication Freshwater</t>
  </si>
  <si>
    <t>Eutrophication Marine</t>
  </si>
  <si>
    <t>kg N eq / yr</t>
  </si>
  <si>
    <t>kg P eq/ yr</t>
  </si>
  <si>
    <t>CTUe/ yr</t>
  </si>
  <si>
    <t>kg SO2eq/ yr</t>
  </si>
  <si>
    <t>kg CFC-11 / 30 yr</t>
  </si>
  <si>
    <t>kg PM 2.5 /2026 capita</t>
  </si>
  <si>
    <t>kg O3 eq /2026 capita</t>
  </si>
  <si>
    <t>kg SO2eq/2026 capita</t>
  </si>
  <si>
    <t>CTUe/ 2026 capita</t>
  </si>
  <si>
    <t>kg P eq/2026 capita</t>
  </si>
  <si>
    <t>kg N eq /2026 capita</t>
  </si>
  <si>
    <t>Noncarcinogenics</t>
  </si>
  <si>
    <t>CTUh/ yr</t>
  </si>
  <si>
    <t>Ozone Depletion Saturation Limit</t>
  </si>
  <si>
    <t>Respiratory Effects (Particulate) Saturation Limit</t>
  </si>
  <si>
    <t>Smog Saturation Limit</t>
  </si>
  <si>
    <t>Acidification Saturation Limit</t>
  </si>
  <si>
    <t>Ecotoxicity Saturation Limit</t>
  </si>
  <si>
    <t>Freshwater Eutrophication Saturation Limit</t>
  </si>
  <si>
    <t>Marine Eutrophication Saturation Limit</t>
  </si>
  <si>
    <t>Carcinogenics Saturation Limit</t>
  </si>
  <si>
    <t>Noncarcinogenics Saturation Limit</t>
  </si>
  <si>
    <t>CTUh/yr</t>
  </si>
  <si>
    <t>BREATHABLE AIR - Air Pollution</t>
  </si>
  <si>
    <t xml:space="preserve">Discounted Capital Embodied Impact </t>
  </si>
  <si>
    <t xml:space="preserve">Discounted Operational Embodied Impact </t>
  </si>
  <si>
    <t>Discounted Ozone Depletion</t>
  </si>
  <si>
    <t>kg CFC-11/yr</t>
  </si>
  <si>
    <t>Discounted Respiratory Effects</t>
  </si>
  <si>
    <t>Respiratory Effects Saturation Limit</t>
  </si>
  <si>
    <t>Ozone Depletion Impact</t>
  </si>
  <si>
    <t>SI/med risk hour</t>
  </si>
  <si>
    <t xml:space="preserve">Functional Society Impact </t>
  </si>
  <si>
    <t>Personal Fulfillment Impact</t>
  </si>
  <si>
    <t>Wet Manure Collected</t>
  </si>
  <si>
    <t>Wet Manure Collection Required</t>
  </si>
  <si>
    <t xml:space="preserve">Energy Required </t>
  </si>
  <si>
    <t xml:space="preserve">Municipal Wet Waste Collection Required </t>
  </si>
  <si>
    <t>Municipal Wet Waste Collected</t>
  </si>
  <si>
    <t>CTUh/capita-yr</t>
  </si>
  <si>
    <t>kg PM2.5 / yr</t>
  </si>
  <si>
    <t>Respiratory Effects Impact</t>
  </si>
  <si>
    <t>Discounted Smog</t>
  </si>
  <si>
    <t>Smog Impact</t>
  </si>
  <si>
    <t>Direct - Ecosystem Pollution</t>
  </si>
  <si>
    <t>ECOSYSTEM MAINTENANCE - Pollution</t>
  </si>
  <si>
    <t>Discounted Acidification</t>
  </si>
  <si>
    <t>Acidification Impact</t>
  </si>
  <si>
    <t>Discounted Ecotoxicity</t>
  </si>
  <si>
    <t>Ecotoxicity Impact</t>
  </si>
  <si>
    <t>Discounted Freshwater Eutrophication</t>
  </si>
  <si>
    <t>Freshwater Eutrophication Impact</t>
  </si>
  <si>
    <t>Discounted Marine Eutrophication</t>
  </si>
  <si>
    <t>Marine Eutrophication Impact</t>
  </si>
  <si>
    <t>Direct - Healthcare</t>
  </si>
  <si>
    <t>HEALTHCARE - Pollutants</t>
  </si>
  <si>
    <t>Discounted Carcinogenics</t>
  </si>
  <si>
    <t>Carcinogenics Impacts</t>
  </si>
  <si>
    <t>Discounted Noncarcinogenics</t>
  </si>
  <si>
    <t>Livable Wage in Local Area</t>
  </si>
  <si>
    <t>Highest Paid</t>
  </si>
  <si>
    <t>Lowest Paid</t>
  </si>
  <si>
    <t>Life Cycle Assessment Results</t>
  </si>
  <si>
    <t>Ammonia Sulfate Produced</t>
  </si>
  <si>
    <t>Biosolids Produced</t>
  </si>
  <si>
    <t>Nitrogen Uptake per Plant</t>
  </si>
  <si>
    <t>Phosphorus Uptake per Plant</t>
  </si>
  <si>
    <t>N / kg dry plant</t>
  </si>
  <si>
    <t>P / kg dry plant</t>
  </si>
  <si>
    <t>Phosphorus Content of Biosolids</t>
  </si>
  <si>
    <t>Dry Plant Mass Required</t>
  </si>
  <si>
    <t>https://extension.umn.edu/testing-and-analysis/understanding-plant-analysis-crops</t>
  </si>
  <si>
    <t>https://www.fao.org/4/j2660e/j2660e.htm</t>
  </si>
  <si>
    <t>Global Population of Working Age</t>
  </si>
  <si>
    <t>kg P/yr</t>
  </si>
  <si>
    <t>USD/hr</t>
  </si>
  <si>
    <t>Health Insurance</t>
  </si>
  <si>
    <t>Social Security</t>
  </si>
  <si>
    <t>Appropriate Income Threshold for Local Area</t>
  </si>
  <si>
    <t>Total Pay Average</t>
  </si>
  <si>
    <t>FOOD - Fertilizer and Soil Amendment</t>
  </si>
  <si>
    <t>Discounted Ammonia Sulfate</t>
  </si>
  <si>
    <t>Ammonia Sulfate Impacts</t>
  </si>
  <si>
    <t>Discounted Biosolid Phosphorus</t>
  </si>
  <si>
    <t>Phosphorus Required</t>
  </si>
  <si>
    <t>Biosolid Phosphorus Impacts</t>
  </si>
  <si>
    <t>Direct - Employment</t>
  </si>
  <si>
    <t>COLLECTIVE BARGAINING AND RIGHT TO ASSOCIATION - Employment</t>
  </si>
  <si>
    <t>FAIR WAGES - Employment</t>
  </si>
  <si>
    <t>SOCIAL SECURITY - Employment</t>
  </si>
  <si>
    <t>Collective Bargaining Impact</t>
  </si>
  <si>
    <t>Wages Required</t>
  </si>
  <si>
    <t>Wages Total Impact</t>
  </si>
  <si>
    <t>USD-capita/hr</t>
  </si>
  <si>
    <t>Discounted Wages Provided</t>
  </si>
  <si>
    <t>Personal Fulfillment</t>
  </si>
  <si>
    <t>HEALTHCARE - Employment</t>
  </si>
  <si>
    <t>Employment Social Security Impact</t>
  </si>
  <si>
    <t>Employment Healthcare Impact</t>
  </si>
  <si>
    <t>Employment Purpose Total Impact</t>
  </si>
  <si>
    <t>kg dry plant /yr-capita</t>
  </si>
  <si>
    <t>Energy Produced - Hydrocarbons</t>
  </si>
  <si>
    <t>Direct - Coproducts</t>
  </si>
  <si>
    <t>Elemental Sulfur Produced</t>
  </si>
  <si>
    <t>Magnesium Sulfate Desired</t>
  </si>
  <si>
    <t xml:space="preserve">Theoretical Ratio </t>
  </si>
  <si>
    <t>kg S / kg P</t>
  </si>
  <si>
    <t>kg S/yr</t>
  </si>
  <si>
    <t>kg/capita-yr</t>
  </si>
  <si>
    <t>Magnesium Sulfate - Hydrated Produced</t>
  </si>
  <si>
    <t>RELAXATION - Magnesium Sulfate</t>
  </si>
  <si>
    <t>Discounted Magnesium Sulfate</t>
  </si>
  <si>
    <t>Employment Purpose Impact</t>
  </si>
  <si>
    <t>Magnesium Sulfate Impacts</t>
  </si>
  <si>
    <t>Epsom Salt</t>
  </si>
  <si>
    <t>Employment</t>
  </si>
  <si>
    <t>Energy Produced - Ethanol</t>
  </si>
  <si>
    <t>Health Pollutants</t>
  </si>
  <si>
    <t>Ecosystem Pollutants</t>
  </si>
  <si>
    <t>Air Pollutants</t>
  </si>
  <si>
    <t>Fertilizer / Soil Ammendment</t>
  </si>
  <si>
    <t>Life Cycle Assessment - Fuel Combustion</t>
  </si>
  <si>
    <t>Coal &amp; Sorbent Handling</t>
  </si>
  <si>
    <t>Coal Receive &amp; Unload</t>
  </si>
  <si>
    <t>Coal Stackout &amp; Reclaim</t>
  </si>
  <si>
    <t>Coal Conveyors</t>
  </si>
  <si>
    <t>Other Coal Handling</t>
  </si>
  <si>
    <t>Sorbent Receive &amp; Unload</t>
  </si>
  <si>
    <t>Sorbent Stackout &amp; Reclaim</t>
  </si>
  <si>
    <t>Sorbent Conveyors</t>
  </si>
  <si>
    <t>Other Sorbent Handling</t>
  </si>
  <si>
    <t>Coal &amp; Sorbent Handling Foundations</t>
  </si>
  <si>
    <t>Coal &amp; Sorbent Preparation &amp; Feed</t>
  </si>
  <si>
    <t>Coal Crushing &amp; Drying</t>
  </si>
  <si>
    <t>Prepared Coal Storage &amp; Feed</t>
  </si>
  <si>
    <t>Sorbent Preparation Equipment</t>
  </si>
  <si>
    <t>Sorbent Storage &amp; Feed</t>
  </si>
  <si>
    <t>Coal &amp; Sorbent Feed Foundation</t>
  </si>
  <si>
    <t>Feedwater &amp; Miscellaneous BOP Systems</t>
  </si>
  <si>
    <t>Feedwater System</t>
  </si>
  <si>
    <t>Water Makeup &amp; Pretreating</t>
  </si>
  <si>
    <t>Other Feedwater Subsystems</t>
  </si>
  <si>
    <t>Service Water Systems</t>
  </si>
  <si>
    <t>Other Boiler Plant Systems</t>
  </si>
  <si>
    <t>Natural Gas Pipeline and Start-Up System</t>
  </si>
  <si>
    <t>Waste Water Treatment Equipment</t>
  </si>
  <si>
    <t>Spray Dryer Evaporator</t>
  </si>
  <si>
    <t>Miscellaneous Plant Equipment</t>
  </si>
  <si>
    <t>Pulverized Coal Boiler &amp; Accessories</t>
  </si>
  <si>
    <t>Selective Catalytic Reduction System</t>
  </si>
  <si>
    <t>Boiler Balance of Plant</t>
  </si>
  <si>
    <t>Primary Air System</t>
  </si>
  <si>
    <t>Secondary Air System</t>
  </si>
  <si>
    <t>Induced Draft Fans</t>
  </si>
  <si>
    <t>Major Component Rigging</t>
  </si>
  <si>
    <t>Boiler Foundations</t>
  </si>
  <si>
    <t>Flue Gas Cleanup</t>
  </si>
  <si>
    <t>WFGD Absorber Vessels &amp; Accessories</t>
  </si>
  <si>
    <t>Other FGD</t>
  </si>
  <si>
    <t>Mercury Removal (Dry Sorbent Injection/Activated Carbon Injection)</t>
  </si>
  <si>
    <t>Particulate Removal (Bag House &amp; Accessories) (included with 5.2)</t>
  </si>
  <si>
    <t>Gas Cleanup Foundations</t>
  </si>
  <si>
    <t>Gypsum Dewatering System</t>
  </si>
  <si>
    <t>Ductwork &amp; Stack</t>
  </si>
  <si>
    <t>Ductwork</t>
  </si>
  <si>
    <t>Stack</t>
  </si>
  <si>
    <t>Duct &amp; Stack Foundations</t>
  </si>
  <si>
    <t>Steam Turbine &amp; Accessories</t>
  </si>
  <si>
    <t>Steam Turbine Generator &amp; Accessories</t>
  </si>
  <si>
    <t>Steam Turbine Plant Auxiliaries</t>
  </si>
  <si>
    <t>Condenser &amp; Auxiliaries</t>
  </si>
  <si>
    <t>Steam Piping</t>
  </si>
  <si>
    <t>Turbine Generator Foundations</t>
  </si>
  <si>
    <t>Cooling Water System</t>
  </si>
  <si>
    <t>Cooling Towers</t>
  </si>
  <si>
    <t>Circulating Water Pumps</t>
  </si>
  <si>
    <t>Circulating Water System Auxiliaries</t>
  </si>
  <si>
    <t>Circulating Water Piping</t>
  </si>
  <si>
    <t>Make-up Water System</t>
  </si>
  <si>
    <t>Component Cooling Water System</t>
  </si>
  <si>
    <t>Circulating Water System Foundations</t>
  </si>
  <si>
    <t>Ash &amp; Spent Sorbent Handling Systems</t>
  </si>
  <si>
    <t>Ash Storage Silos</t>
  </si>
  <si>
    <t>Ash Transport &amp; Feed Equipment</t>
  </si>
  <si>
    <t>Ash/Spent Sorbent Foundation</t>
  </si>
  <si>
    <t>Accessory Electric Plant</t>
  </si>
  <si>
    <t>Generator Equipment</t>
  </si>
  <si>
    <t>Station Service Equipment</t>
  </si>
  <si>
    <t>Switchgear &amp; Motor Control</t>
  </si>
  <si>
    <t>Conduit &amp; Cable Tray</t>
  </si>
  <si>
    <t>Wire &amp; Cable</t>
  </si>
  <si>
    <t>Protective Equipment</t>
  </si>
  <si>
    <t>Standby Equipment</t>
  </si>
  <si>
    <t>Main Power Transformers</t>
  </si>
  <si>
    <t>Electrical Foundations</t>
  </si>
  <si>
    <t>Instrumentation &amp; Control</t>
  </si>
  <si>
    <t>Pulverized Coal Boiler Control Equipment</t>
  </si>
  <si>
    <t>Steam Turbine Control Equipment</t>
  </si>
  <si>
    <t>Signal Processing Equipment</t>
  </si>
  <si>
    <t>Control Boards, Panels &amp; Racks</t>
  </si>
  <si>
    <t>Distributed Control System Equipment</t>
  </si>
  <si>
    <t>Instrument Wiring &amp; Tubing</t>
  </si>
  <si>
    <t>Other Instrumentation &amp; Controls Equipment</t>
  </si>
  <si>
    <t>Improvements to Site</t>
  </si>
  <si>
    <t>Site Preparation</t>
  </si>
  <si>
    <t>Site Improvements</t>
  </si>
  <si>
    <t>Site Facilities</t>
  </si>
  <si>
    <t>Buildings &amp; Structures</t>
  </si>
  <si>
    <t>Boiler Building</t>
  </si>
  <si>
    <t>Steam Turbine Building</t>
  </si>
  <si>
    <t>Administration Building</t>
  </si>
  <si>
    <t>Circulation Water Pumphouse</t>
  </si>
  <si>
    <t>Water Treatment Buildings</t>
  </si>
  <si>
    <t>Machine Shop</t>
  </si>
  <si>
    <t>Warehouse</t>
  </si>
  <si>
    <t>Other Buildings &amp; Structures</t>
  </si>
  <si>
    <t>Waste Treating Building &amp; Structures</t>
  </si>
  <si>
    <t>Maintenance Material</t>
  </si>
  <si>
    <t>Water (gal/1000)</t>
  </si>
  <si>
    <t>Makeup and Waste Water Treatment Chemicals (ton)</t>
  </si>
  <si>
    <t>Brominated Activated Carbon (ton)</t>
  </si>
  <si>
    <t>Enhanced Hydrated Lime (ton)</t>
  </si>
  <si>
    <t>Limestone (ton)</t>
  </si>
  <si>
    <t>Ammonia (19 wt%, ton)</t>
  </si>
  <si>
    <t>SCR Catalyst (ft3)</t>
  </si>
  <si>
    <t>Fly Ash (ton)</t>
  </si>
  <si>
    <t>Bottom Ash (ton)</t>
  </si>
  <si>
    <t>Variable Input</t>
  </si>
  <si>
    <t>Buildings for transport and other construction works - Israel/Commodities</t>
  </si>
  <si>
    <t>Buildings</t>
  </si>
  <si>
    <t>Material handling equipment manufacturing - USA/Commodities</t>
  </si>
  <si>
    <t>Lime and gypsum product manufacturing</t>
  </si>
  <si>
    <t>Waste management and remediation services</t>
  </si>
  <si>
    <t>Ash</t>
  </si>
  <si>
    <t>Selected Plant</t>
  </si>
  <si>
    <t>Equal</t>
  </si>
  <si>
    <t>Linear</t>
  </si>
  <si>
    <t>Quadratic</t>
  </si>
  <si>
    <t>Cubic</t>
  </si>
  <si>
    <t>Logarithmic</t>
  </si>
  <si>
    <t>Natural Logarithmic</t>
  </si>
  <si>
    <t>Organic Wet Waste Derived Hydrocarbons</t>
  </si>
  <si>
    <t>Bottom Ash per unit Concrete</t>
  </si>
  <si>
    <t>Fly Ash per unit Concrete</t>
  </si>
  <si>
    <t>Concrete Required</t>
  </si>
  <si>
    <t>m3 /capita-yr</t>
  </si>
  <si>
    <t>kg / m3 concrete</t>
  </si>
  <si>
    <t>Disounted Fly Ash</t>
  </si>
  <si>
    <t xml:space="preserve">Fly Ash Required </t>
  </si>
  <si>
    <t>Fly Ash Impacts</t>
  </si>
  <si>
    <t>Discounted Bottom Ash</t>
  </si>
  <si>
    <t>Bottom Ash Required</t>
  </si>
  <si>
    <t>Bottom Ash Impacts</t>
  </si>
  <si>
    <t>kg /m3 concrete</t>
  </si>
  <si>
    <t>URBAN DEVELOPMENT - Cement</t>
  </si>
  <si>
    <t>Fly &amp; Bottom Ash</t>
  </si>
  <si>
    <t>Distillers Grains</t>
  </si>
  <si>
    <t>Condensed Distillers Solubles</t>
  </si>
  <si>
    <t>Wet Distillers Grains with Solubles</t>
  </si>
  <si>
    <t>Dried Distillers Grains with Solubles</t>
  </si>
  <si>
    <t>Corn Oil</t>
  </si>
  <si>
    <t>kg /yr</t>
  </si>
  <si>
    <t>Animal Feed Required</t>
  </si>
  <si>
    <t>kg dry/capita-yr</t>
  </si>
  <si>
    <t>Discounted Animal Feed</t>
  </si>
  <si>
    <t>Animal Feed Impacts</t>
  </si>
  <si>
    <t>Greenhouse Gasses</t>
  </si>
  <si>
    <t>Human Needs Database Scale</t>
  </si>
  <si>
    <t>Fly Ash - Used for Cement</t>
  </si>
  <si>
    <t>Bottom Ash - Used for Concrete</t>
  </si>
  <si>
    <t>Reverse Linear</t>
  </si>
  <si>
    <t>Reverse Logarithmic</t>
  </si>
  <si>
    <t>Required - Produced</t>
  </si>
  <si>
    <t>ENERGY - Functional Product</t>
  </si>
  <si>
    <t>AGRICULTURE  - Animal Feed</t>
  </si>
  <si>
    <t xml:space="preserve">Ammonia Sulfate Required </t>
  </si>
  <si>
    <t>Ammonia Sulfate Produced @ Energy Demand</t>
  </si>
  <si>
    <t>Phosphorus Produced @ Energy Demand</t>
  </si>
  <si>
    <t>Magnesium Sulfate Produced @ Energy Demand</t>
  </si>
  <si>
    <t>Maximum Coal Energy Production</t>
  </si>
  <si>
    <t>Theoretical Maximum Coal Energy</t>
  </si>
  <si>
    <t>Fly Ash Produced @ Theoretical Max</t>
  </si>
  <si>
    <t>Required - Theoretical Max Produced</t>
  </si>
  <si>
    <t>Bottom Ash Produced @ Theoretical Max</t>
  </si>
  <si>
    <t>Maximum Corn Grain Ethanol Production</t>
  </si>
  <si>
    <t>MJ/yr-capita</t>
  </si>
  <si>
    <t>Theoretical Maximum Corn Grain EtOH Energy</t>
  </si>
  <si>
    <t>Animal Feed Produced @ Theoretical Max</t>
  </si>
  <si>
    <t>Required - Produced @ Theoretical Max</t>
  </si>
  <si>
    <t>Maximum Organic Waste Energy</t>
  </si>
  <si>
    <t>Theoretical Maximum Organic Wet Waste Energy</t>
  </si>
  <si>
    <t>Theoretical Maximum Sanitation Provided</t>
  </si>
  <si>
    <t>Required - Theoretical Provided</t>
  </si>
  <si>
    <t>Lifting and handling equipment</t>
  </si>
  <si>
    <t>Concrete</t>
  </si>
  <si>
    <t>Metal Tanks</t>
  </si>
  <si>
    <t>Heat Exchangers</t>
  </si>
  <si>
    <t>Boats</t>
  </si>
  <si>
    <t>Trucks</t>
  </si>
  <si>
    <t>Heavy Duty Trucks</t>
  </si>
  <si>
    <t>Petroleum Refining</t>
  </si>
  <si>
    <t>Lifting and Handeling Equipment</t>
  </si>
  <si>
    <t>Receiving  Equipment</t>
  </si>
  <si>
    <t>Petrochemical Hydrocarbons</t>
  </si>
  <si>
    <t>Diesel</t>
  </si>
  <si>
    <t>Electricity</t>
  </si>
  <si>
    <t>Biosolid Disposal</t>
  </si>
  <si>
    <t>Specialized Chemicals</t>
  </si>
  <si>
    <t>Corn Milling</t>
  </si>
  <si>
    <t>Organic Chemicals</t>
  </si>
  <si>
    <t>Coal Mining</t>
  </si>
  <si>
    <t>Activated Carbon</t>
  </si>
  <si>
    <t>Solid Waste Disposal</t>
  </si>
  <si>
    <t>Solids Disposal</t>
  </si>
  <si>
    <t>Convert</t>
  </si>
  <si>
    <t>Variable</t>
  </si>
  <si>
    <t>Units</t>
  </si>
  <si>
    <t>Value Used</t>
  </si>
  <si>
    <t>CAPITAL EMBODIED IMPACTS - Scope 2</t>
  </si>
  <si>
    <t>OPERATIONAL EMBODIED IMPACTS - Scope 2</t>
  </si>
  <si>
    <t>Net Present Scope 1CAPITAL EMBODIED IMPACTS</t>
  </si>
  <si>
    <t>Net Present Scope 1 OPERATIONAL EMBODIED IMPACTS</t>
  </si>
  <si>
    <t>Source</t>
  </si>
  <si>
    <t>Note</t>
  </si>
  <si>
    <t>Test Value</t>
  </si>
  <si>
    <t>Sensitivity Analysis</t>
  </si>
  <si>
    <t>Capital Embodied Impacts</t>
  </si>
  <si>
    <t>Operational  Embodied Impacts</t>
  </si>
  <si>
    <t>Convert to Scope 1</t>
  </si>
  <si>
    <t xml:space="preserve">  </t>
  </si>
  <si>
    <t>Convert to Scope 2</t>
  </si>
  <si>
    <t>Operational Embodied Impacts</t>
  </si>
  <si>
    <t>Human Need Database</t>
  </si>
  <si>
    <t>SI/MRH</t>
  </si>
  <si>
    <t>Social Impact (SI) / med risk hour (MRH)</t>
  </si>
  <si>
    <t>PETRICHEMICAL FUELS</t>
  </si>
  <si>
    <t>Total Cost - USD(2026)</t>
  </si>
  <si>
    <t>Total Cost - USD (2026)</t>
  </si>
  <si>
    <t>Total Cost - USD (2013)</t>
  </si>
  <si>
    <t>Total Cost - USD 2022</t>
  </si>
  <si>
    <t>Total Cost - USD 2026</t>
  </si>
  <si>
    <t>PPI</t>
  </si>
  <si>
    <t>2013 to 2026</t>
  </si>
  <si>
    <t>Total Cost (USD 2026/yr)</t>
  </si>
  <si>
    <t>Total Cost - USD 2026/yr</t>
  </si>
  <si>
    <t>COAL MINING</t>
  </si>
  <si>
    <t>Atmospheric Crude Distillation Unit</t>
  </si>
  <si>
    <t>Naphtha Hydrotreater Unit</t>
  </si>
  <si>
    <t>Kerosene Hydrotreater Unit</t>
  </si>
  <si>
    <t>Hydrodesulfurization Unit</t>
  </si>
  <si>
    <t>Fluid Catalytic Cracking Unit</t>
  </si>
  <si>
    <t>Continuous Catalytic Reformer Unit</t>
  </si>
  <si>
    <t>Alkylation Unit</t>
  </si>
  <si>
    <t>C5/C6 Isomerization Unit</t>
  </si>
  <si>
    <t>Aromatic Extraction Unit</t>
  </si>
  <si>
    <t>Integrated Sulfur Removal Unit</t>
  </si>
  <si>
    <t>Naphtha Stabilizer and Stripper</t>
  </si>
  <si>
    <t>Gas Plant and Hydrogen Unit</t>
  </si>
  <si>
    <t>Auxiliary Equipment</t>
  </si>
  <si>
    <t>Production Area Setup</t>
  </si>
  <si>
    <t>Initial Feed and Catalyst Loading</t>
  </si>
  <si>
    <t>Operational Input</t>
  </si>
  <si>
    <t>Crude-Oil Feedstock</t>
  </si>
  <si>
    <t>Chemicals and Catalysts</t>
  </si>
  <si>
    <t>Spares and Supplies</t>
  </si>
  <si>
    <t>Repairs and Maintenance</t>
  </si>
  <si>
    <t>Utilities</t>
  </si>
  <si>
    <t>2022 to 2026</t>
  </si>
  <si>
    <t>Specialty Chemicals</t>
  </si>
  <si>
    <t>USD/yr</t>
  </si>
  <si>
    <t>Plant Life</t>
  </si>
  <si>
    <t>Capita</t>
  </si>
  <si>
    <t>Total US Market (USD/yr)</t>
  </si>
  <si>
    <t>Process Market (USD/yr)</t>
  </si>
  <si>
    <t xml:space="preserve"> (USD/ 30 yr)</t>
  </si>
  <si>
    <t>(USD/capita)</t>
  </si>
  <si>
    <t>Coal</t>
  </si>
  <si>
    <t>CAPITAL EXPENSES - REFINING</t>
  </si>
  <si>
    <t>CAPITAL EXPENSES - EXTRACTION</t>
  </si>
  <si>
    <t>Production tubing for 10 wells</t>
  </si>
  <si>
    <t>Sucker rods for 10 wells</t>
  </si>
  <si>
    <t>Downhole production pumps</t>
  </si>
  <si>
    <t>Pumping units, prime movers, bases and controls</t>
  </si>
  <si>
    <t>Production flowlines</t>
  </si>
  <si>
    <t>Production manifold</t>
  </si>
  <si>
    <t>Producing separator</t>
  </si>
  <si>
    <t>Test separator</t>
  </si>
  <si>
    <t>Heater treater</t>
  </si>
  <si>
    <t>Crude-oil storage tanks</t>
  </si>
  <si>
    <t>Accessory lease equipment</t>
  </si>
  <si>
    <t>Produced-water disposal system</t>
  </si>
  <si>
    <t>LACT custody-transfer unit</t>
  </si>
  <si>
    <t>Electrical distribution and electrification</t>
  </si>
  <si>
    <t>Total Cost - USD (2009)</t>
  </si>
  <si>
    <t>2009 to 2026</t>
  </si>
  <si>
    <t xml:space="preserve">Selected Plant - 1 </t>
  </si>
  <si>
    <t>Selected Plant - 2</t>
  </si>
  <si>
    <t>Machinery and equipment</t>
  </si>
  <si>
    <t>Impact Results [Scope 2 SI]</t>
  </si>
  <si>
    <t>Crude oil, natural gas (except exploration)</t>
  </si>
  <si>
    <t>Crude Oil</t>
  </si>
  <si>
    <t>Materials</t>
  </si>
  <si>
    <t>Human Needs Database</t>
  </si>
  <si>
    <t>Equipment Total Market Demand</t>
  </si>
  <si>
    <t>Operational Input Total Market Demand</t>
  </si>
  <si>
    <t>Maintenance Materials</t>
  </si>
  <si>
    <t>Global</t>
  </si>
  <si>
    <t>Growth Rate</t>
  </si>
  <si>
    <t>Discounted Direct Impact Flow Sheet</t>
  </si>
  <si>
    <t>hour/year</t>
  </si>
  <si>
    <t>Start-Up Production</t>
  </si>
  <si>
    <t>Energy Required</t>
  </si>
  <si>
    <t>Inout</t>
  </si>
  <si>
    <t>Threshold Value</t>
  </si>
  <si>
    <t>Maximum Organic Waste Derived Energy</t>
  </si>
  <si>
    <t>Maximum Petrochemical Energy</t>
  </si>
  <si>
    <t>Theoretical Maximum Petrochemical Energy</t>
  </si>
  <si>
    <t>Discounted Elemental Sulfur Production</t>
  </si>
  <si>
    <t>Elemental Sulfur Required</t>
  </si>
  <si>
    <t>Elemental Sulfur Impacts</t>
  </si>
  <si>
    <t>Elemental Sulfur Produced @ Theoretical Max</t>
  </si>
  <si>
    <t>Theoretical Threshold Values</t>
  </si>
  <si>
    <t>https://www.eia.gov/tools/faqs/faq.php?id=85&amp;t=1</t>
  </si>
  <si>
    <t>The global average total primary energy consumption is about 79,129 MJ/yr-capita (79 GJ or 75 MMBtu per person per year)</t>
  </si>
  <si>
    <t>DOI:10.1007/s11053-006-9022-5 ; https://farm-energy.extension.org/corn-for-biofuel-production/</t>
  </si>
  <si>
    <t xml:space="preserve"> Corn grain contains an average maximum of 66.2% extractable starch. If the world stopped utilizing corn for livestock feed, human consumption, and industrial products, and diverted 100% of current global corn production into ethanol:Global Production: ~1.2 billion metric tons of corn per year.</t>
  </si>
  <si>
    <t>Pittman et al.</t>
  </si>
  <si>
    <t>https://www.eia.gov/outlooks/steo/report/global_oil.php ; https://doi.org/10.3390/s25175511</t>
  </si>
  <si>
    <t xml:space="preserve"> The EIA’s Short-Term Energy Outlook outlines total global petroleum and liquid fuel supply limits. Current global production limits hover around 102.7 to 103 million barrels per day (b/d). Only about 12% to 15% of a barrel of crude typically isolates into chemical feedstocks (like naphtha, ethane, and liquefied petroleum gases) explicitly destined for petrochemical manufacturing rather than direct transportation fuel or heating combustion.</t>
  </si>
  <si>
    <t>https://www.eia.gov/energyexplained/coal/how-much-coal-is-left.php; https://www.eia.gov/tools/faqs/faq.php?id=72&amp;t=2</t>
  </si>
  <si>
    <t>https://www.ipcc.ch/report/ar6/syr/downloads/report/IPCC_AR6_SYR_SPM.pdf; https://globalcarbonbudget.org/fossil-fuel-co2-emissions-hit-record-high-in-2025/</t>
  </si>
  <si>
    <t>https://www.stopfoodlosswaste.org/about/facts</t>
  </si>
  <si>
    <t>https://openknowledge.fao.org/server/api/core/bitstreams/f0cebfdd-725e-4d7a-8e14-3ba8fb1486a7/content</t>
  </si>
  <si>
    <t>doi: 10.1039/d0pp90011g ; https://climate.mit.edu/ask-mit/what-concentration-cfcs-atmosphere-and-how-much-do-they-contribute-global-warming</t>
  </si>
  <si>
    <t>kg PM 2.5 /capita</t>
  </si>
  <si>
    <t>https://pmc.ncbi.nlm.nih.gov/articles/PMC4710600/</t>
  </si>
  <si>
    <t>10 micograms per m3 statistically kill or severly harm a human. This is converted to the total atmospheric amount needed to kill everyone.</t>
  </si>
  <si>
    <t>100 micrograms per m3 is unhealthy</t>
  </si>
  <si>
    <t>https://www.niehs.nih.gov/health/topics/agents/air-pollution</t>
  </si>
  <si>
    <t>40 micrograms per m3 is unhealthy</t>
  </si>
  <si>
    <t>https://iris.who.int/server/api/core/bitstreams/551b515e-2a32-4e1a-a58c-cdaecd395b19/content</t>
  </si>
  <si>
    <r>
      <t xml:space="preserve">If accessible surface freshwater holds a toxic pressure of </t>
    </r>
    <r>
      <rPr>
        <b/>
        <sz val="11"/>
        <color rgb="FF000000"/>
        <rFont val="Aptos Narrow"/>
        <scheme val="minor"/>
      </rPr>
      <t>1 CTUe per cubic meter over one day</t>
    </r>
    <r>
      <rPr>
        <sz val="11"/>
        <color rgb="FF000000"/>
        <rFont val="Aptos Narrow"/>
        <scheme val="minor"/>
      </rPr>
      <t xml:space="preserve">, the required global burden is exactly </t>
    </r>
    <r>
      <rPr>
        <b/>
        <sz val="11"/>
        <color rgb="FF000000"/>
        <rFont val="Aptos Narrow"/>
        <scheme val="minor"/>
      </rPr>
      <t>0.013 kg (13 grams) of CTUe per capita</t>
    </r>
    <r>
      <rPr>
        <sz val="11"/>
        <color rgb="FF000000"/>
        <rFont val="Aptos Narrow"/>
        <scheme val="minor"/>
      </rPr>
      <t>.</t>
    </r>
  </si>
  <si>
    <t>https://doi.org/10.1021/es502497p ; https://www.usgs.gov/faqs/how-much-natural-water-there</t>
  </si>
  <si>
    <t>0.1 mg/L is the benchmark for hyper-eutrohpic conditions that cause massive toxic algal blooms</t>
  </si>
  <si>
    <t>https://doi.org/10.3390/w18070855</t>
  </si>
  <si>
    <t>0.5 mg/L is the marine eutrophication threshold</t>
  </si>
  <si>
    <t>DOI: 10.1007/s11356-016-7321-x ; https://www.usgs.gov/faqs/how-much-natural-water-there</t>
  </si>
  <si>
    <t>https://doi.org/10.3390/su15065314</t>
  </si>
  <si>
    <t>CTUh directly translates to the number of additional disease cases (both carcinogenic and non-carcinogenic) expected across the entire human population per kilogram of a toxic chemical substance emitted.</t>
  </si>
  <si>
    <t>https://livingwage.mit.edu/states/06</t>
  </si>
  <si>
    <t>https://population.un.org/wpp/</t>
  </si>
  <si>
    <t>https://www.alltech.com/en-US/press-release/2026-alltech-agri-food-outlook-shares-global-feed-production-survey-data</t>
  </si>
  <si>
    <t>https://market.us/report/magnesium-sulfate-market/</t>
  </si>
  <si>
    <r>
      <t xml:space="preserve">The Global Cement and Concrete Association reports about </t>
    </r>
    <r>
      <rPr>
        <b/>
        <sz val="10"/>
        <color rgb="FF000000"/>
        <rFont val="Aptos Narrow"/>
        <scheme val="minor"/>
      </rPr>
      <t>14 billion m³ of concrete produced globally in 2020</t>
    </r>
  </si>
  <si>
    <t>https://gccassociation.org/concretefuture/cement-concrete-around-the-world/</t>
  </si>
  <si>
    <t>https://www.grandviewresearch.com/industry-analysis/pump-market</t>
  </si>
  <si>
    <t>https://www.gminsights.com/industry-analysis/industrial-machinery-market</t>
  </si>
  <si>
    <t>https://www.grandviewresearch.com/industry-analysis/global-leisure-boat-market</t>
  </si>
  <si>
    <t>Total Global Market Demand</t>
  </si>
  <si>
    <t>https://www.mordorintelligence.com/industry-reports/heavy-duty-trucks-market</t>
  </si>
  <si>
    <t>https://www.grandviewresearch.com/industry-analysis/membrane-filtration-market-report</t>
  </si>
  <si>
    <t>https://www.grandviewresearch.com/industry-analysis/graphite-electrode-market-report</t>
  </si>
  <si>
    <t>https://www.grandviewresearch.com/industry-analysis/concrete-market-report</t>
  </si>
  <si>
    <t>https://www.grandviewresearch.com/industry-analysis/heat-exchangers-market</t>
  </si>
  <si>
    <t>https://www.grandviewresearch.com/industry-analysis/insulation-market</t>
  </si>
  <si>
    <t>https://www.grandviewresearch.com/industry-analysis/materials-handling-equipment-market</t>
  </si>
  <si>
    <t>https://growthmarketreports.com/report/metal-tank-market</t>
  </si>
  <si>
    <t>https://buildern.com/resources/blog/construction-industry-outlook/</t>
  </si>
  <si>
    <t>https://www.grandviewresearch.com/industry-analysis/diesel-fuel-market-report</t>
  </si>
  <si>
    <t>https://www.grandviewresearch.com/industry-analysis/power-generation-industry</t>
  </si>
  <si>
    <t>https://www.grandviewresearch.com/industry-analysis/enzymes-industry</t>
  </si>
  <si>
    <t>https://www.precedenceresearch.com/solid-waste-management-market</t>
  </si>
  <si>
    <t>https://www.custommarketinsights.com/report/water-and-wastewater-treatment-market/</t>
  </si>
  <si>
    <t>https://www.globenewswire.com/news-release/2025/12/18/3207546/0/en/specialty-chemicals-market-size-to-surpass-usd-1-37-trillion-by-2035-amid-sustainability-and-ev-driven-demand.html</t>
  </si>
  <si>
    <t>https://www.polarismarketresearch.com/industry-analysis/corn-market</t>
  </si>
  <si>
    <t>https://www.fortunebusinessinsights.com/milling-machine-market-102582</t>
  </si>
  <si>
    <t>https://www.360iresearch.com/library/intelligence/organic-chemicals</t>
  </si>
  <si>
    <t>https://www.mordorintelligence.com/industry-reports/maintenance-repair-operations-mro-industry</t>
  </si>
  <si>
    <t>https://www.grandviewresearch.com/industry-analysis/activated-carbon-market</t>
  </si>
  <si>
    <t>https://www.grandviewresearch.com/industry-analysis/limestone-market</t>
  </si>
  <si>
    <t>https://finance.yahoo.com/news/coal-industry-research-global-long-120400491.html</t>
  </si>
  <si>
    <t>https://www.iea.org/reports/oil-market-report-august-2026</t>
  </si>
  <si>
    <t>Coal - Chile/Commodities</t>
  </si>
  <si>
    <t>Receiving Equipment</t>
  </si>
  <si>
    <t>20% Increase</t>
  </si>
  <si>
    <t>20% Decrease</t>
  </si>
  <si>
    <t>Baseline</t>
  </si>
  <si>
    <t>Sub Global_Sensitivity()</t>
  </si>
  <si>
    <t xml:space="preserve">    </t>
  </si>
  <si>
    <t xml:space="preserve">    Dim i As Long</t>
  </si>
  <si>
    <t>For i = 4 To 73</t>
  </si>
  <si>
    <t xml:space="preserve">    Sheets("Variables").Select</t>
  </si>
  <si>
    <t xml:space="preserve">    Range("E" &amp; i).Value = Range("K" &amp; i).Value</t>
  </si>
  <si>
    <t xml:space="preserve">    Sheets("Fig_Sen").Range("C" &amp; i &amp; ":F" &amp; i).Value = _</t>
  </si>
  <si>
    <t xml:space="preserve">        Sheets("Figures").Range("B16:E16").Value</t>
  </si>
  <si>
    <t xml:space="preserve">    Sheets("Fig_Sen").Select</t>
  </si>
  <si>
    <t xml:space="preserve">    Range("C" &amp; i &amp; ":F" &amp; i).Select</t>
  </si>
  <si>
    <t xml:space="preserve">    Selection.Copy</t>
  </si>
  <si>
    <t xml:space="preserve">    Selection.PasteSpecial Paste:=xlPasteValues, Operation:=xlNone, SkipBlanks _</t>
  </si>
  <si>
    <t xml:space="preserve">        :=False, Transpose:=False</t>
  </si>
  <si>
    <t>Next i</t>
  </si>
  <si>
    <t xml:space="preserve">    Sheets("Variables").Range("E" &amp; i).Value = Range("L" &amp; i).Value</t>
  </si>
  <si>
    <t xml:space="preserve">    Sheets("Fig_Sen").Range("G" &amp; i &amp; ":J" &amp; i).Value = _</t>
  </si>
  <si>
    <t xml:space="preserve">    Sheets("Fig_Sen").Range("G" &amp; i &amp; ":J" &amp; i).Select</t>
  </si>
  <si>
    <t>End Sub</t>
  </si>
  <si>
    <t>Macro Raw Code</t>
  </si>
  <si>
    <t>Switch Signs</t>
  </si>
  <si>
    <t>Respiratory Effects</t>
  </si>
  <si>
    <t>Magniture</t>
  </si>
  <si>
    <t>Raw Increase</t>
  </si>
  <si>
    <t>Raw Deacrease</t>
  </si>
  <si>
    <t>Raw Decrease</t>
  </si>
  <si>
    <t>USD 2026/hr</t>
  </si>
  <si>
    <t>Total Cost (USD 2026/hr)</t>
  </si>
  <si>
    <t>Total Cost - USD 2013/hr</t>
  </si>
  <si>
    <t>Total Cost - USD 2022/hr</t>
  </si>
  <si>
    <t xml:space="preserve">Respiratory Effects </t>
  </si>
  <si>
    <t>Maximum Theoretical Energy Production</t>
  </si>
  <si>
    <t>Graphite Electrodes</t>
  </si>
  <si>
    <t xml:space="preserve">Acidification </t>
  </si>
  <si>
    <t>Photochemical Oxidation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</si>
</sst>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3" formatCode="_(* #,##0.00_);_(* \(#,##0.00\);_(* &quot;-&quot;??_);_(@_)"/>
    <numFmt numFmtId="164" formatCode="_(&quot;$&quot;* #,##0.00_);_(&quot;$&quot;* \(#,##0.00\);_(&quot;$&quot;* &quot;-&quot;??_);_(@_)"/>
    <numFmt numFmtId="165" formatCode="_(* #,##0_);_(* \(#,##0\);_(* &quot;-&quot;??_);_(@_)"/>
    <numFmt numFmtId="166" formatCode="_(&quot;$&quot;* #,##0_);_(&quot;$&quot;* \(#,##0\);_(&quot;$&quot;* &quot;-&quot;??_);_(@_)"/>
    <numFmt numFmtId="167" formatCode="_(* #,##0.0000_);_(* \(#,##0.0000\);_(* &quot;-&quot;??_);_(@_)"/>
    <numFmt numFmtId="168" formatCode="&quot;$&quot;#,##0"/>
    <numFmt numFmtId="169" formatCode="0.000"/>
    <numFmt numFmtId="170" formatCode="\$#,##0;[Red]\(\$#,##0\);\-"/>
    <numFmt numFmtId="171" formatCode="&quot;$&quot;#,##0.00"/>
    <numFmt numFmtId="172" formatCode="0.0000000%"/>
    <numFmt numFmtId="173" formatCode="0.0"/>
  </numFmts>
  <fonts count="4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22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1"/>
      <color theme="1"/>
      <name val="Aptos Narrow"/>
      <scheme val="minor"/>
    </font>
    <font>
      <sz val="11"/>
      <color rgb="FF000000"/>
      <name val="Aptos Narrow"/>
      <family val="2"/>
      <scheme val="minor"/>
    </font>
    <font>
      <sz val="11"/>
      <color theme="1"/>
      <name val="Aptos Narrow"/>
      <scheme val="minor"/>
    </font>
    <font>
      <b/>
      <sz val="20"/>
      <color theme="1"/>
      <name val="Aptos Narrow"/>
      <scheme val="minor"/>
    </font>
    <font>
      <sz val="10"/>
      <color rgb="FF000000"/>
      <name val="Tahoma"/>
      <family val="2"/>
    </font>
    <font>
      <b/>
      <sz val="16"/>
      <color theme="1"/>
      <name val="Aptos Narrow"/>
      <scheme val="minor"/>
    </font>
    <font>
      <sz val="11"/>
      <color theme="6"/>
      <name val="Aptos Narrow"/>
      <family val="2"/>
      <scheme val="minor"/>
    </font>
    <font>
      <sz val="11"/>
      <color theme="6"/>
      <name val="Aptos Narrow"/>
      <scheme val="minor"/>
    </font>
    <font>
      <sz val="11"/>
      <color theme="4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11"/>
      <color theme="8"/>
      <name val="Aptos Narrow"/>
      <family val="2"/>
      <scheme val="minor"/>
    </font>
    <font>
      <b/>
      <sz val="18"/>
      <color theme="0"/>
      <name val="Aptos Narrow"/>
      <scheme val="minor"/>
    </font>
    <font>
      <sz val="11"/>
      <color rgb="FF92D050"/>
      <name val="Aptos Narrow"/>
      <family val="2"/>
      <scheme val="minor"/>
    </font>
    <font>
      <sz val="11"/>
      <color rgb="FFFFC000"/>
      <name val="Aptos Narrow"/>
      <family val="2"/>
      <scheme val="minor"/>
    </font>
    <font>
      <b/>
      <sz val="10"/>
      <color rgb="FF000000"/>
      <name val="Tahoma"/>
      <family val="2"/>
    </font>
    <font>
      <sz val="7"/>
      <color rgb="FF000000"/>
      <name val="Aptos Narrow"/>
      <scheme val="minor"/>
    </font>
    <font>
      <sz val="10"/>
      <color rgb="FF000000"/>
      <name val="Aptos Narrow"/>
      <scheme val="minor"/>
    </font>
    <font>
      <sz val="10.5"/>
      <color rgb="FF000000"/>
      <name val="Aptos Narrow"/>
      <scheme val="minor"/>
    </font>
    <font>
      <b/>
      <sz val="10.5"/>
      <color rgb="FF000000"/>
      <name val="Aptos Narrow"/>
      <scheme val="minor"/>
    </font>
    <font>
      <b/>
      <sz val="14"/>
      <color theme="1"/>
      <name val="Aptos Narrow"/>
      <scheme val="minor"/>
    </font>
    <font>
      <b/>
      <sz val="10"/>
      <color rgb="FF000000"/>
      <name val="Aptos Narrow"/>
      <scheme val="minor"/>
    </font>
    <font>
      <sz val="11"/>
      <color rgb="FF90805D"/>
      <name val="Aptos Narrow"/>
      <family val="2"/>
      <scheme val="minor"/>
    </font>
    <font>
      <b/>
      <sz val="18"/>
      <color theme="1"/>
      <name val="Aptos Narrow"/>
      <scheme val="minor"/>
    </font>
    <font>
      <b/>
      <sz val="16"/>
      <color theme="0"/>
      <name val="Aptos Narrow"/>
      <scheme val="minor"/>
    </font>
    <font>
      <u/>
      <sz val="11"/>
      <color theme="10"/>
      <name val="Aptos Narrow"/>
      <family val="2"/>
      <scheme val="minor"/>
    </font>
    <font>
      <sz val="10"/>
      <color rgb="FF000000"/>
      <name val="Aptos Narrow"/>
    </font>
    <font>
      <b/>
      <sz val="10"/>
      <color rgb="FF000000"/>
      <name val="Aptos Narrow"/>
    </font>
    <font>
      <sz val="7"/>
      <color rgb="FF000000"/>
      <name val="Aptos Narrow"/>
    </font>
    <font>
      <sz val="10.5"/>
      <color rgb="FF000000"/>
      <name val="Aptos Narrow"/>
    </font>
    <font>
      <b/>
      <sz val="10.5"/>
      <color rgb="FF000000"/>
      <name val="Aptos Narrow"/>
    </font>
    <font>
      <sz val="11"/>
      <color rgb="FF000000"/>
      <name val="Aptos Narrow"/>
      <scheme val="minor"/>
    </font>
    <font>
      <b/>
      <sz val="11"/>
      <color rgb="FF000000"/>
      <name val="Aptos Narrow"/>
      <scheme val="minor"/>
    </font>
  </fonts>
  <fills count="4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D765"/>
        <bgColor indexed="64"/>
      </patternFill>
    </fill>
    <fill>
      <patternFill patternType="solid">
        <fgColor rgb="FFFFEAAF"/>
        <bgColor indexed="64"/>
      </patternFill>
    </fill>
    <fill>
      <patternFill patternType="solid">
        <fgColor rgb="FF87E3E1"/>
        <bgColor indexed="64"/>
      </patternFill>
    </fill>
    <fill>
      <patternFill patternType="solid">
        <fgColor rgb="FFC1F1F0"/>
        <bgColor indexed="64"/>
      </patternFill>
    </fill>
    <fill>
      <patternFill patternType="solid">
        <fgColor rgb="FFFFDDDD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6699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E49EDD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8E70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B9873D"/>
        <bgColor indexed="64"/>
      </patternFill>
    </fill>
    <fill>
      <patternFill patternType="solid">
        <fgColor rgb="FFE1C8A3"/>
        <bgColor indexed="64"/>
      </patternFill>
    </fill>
    <fill>
      <patternFill patternType="solid">
        <fgColor rgb="FFE8B07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2FFEE"/>
        <bgColor indexed="64"/>
      </patternFill>
    </fill>
    <fill>
      <patternFill patternType="solid">
        <fgColor rgb="FFD5EDF5"/>
        <bgColor indexed="64"/>
      </patternFill>
    </fill>
    <fill>
      <patternFill patternType="solid">
        <fgColor rgb="FFB1D1DD"/>
        <bgColor indexed="64"/>
      </patternFill>
    </fill>
    <fill>
      <patternFill patternType="solid">
        <fgColor rgb="FFDDFFF5"/>
        <bgColor indexed="64"/>
      </patternFill>
    </fill>
    <fill>
      <patternFill patternType="solid">
        <fgColor rgb="FFD9E1F2"/>
      </patternFill>
    </fill>
    <fill>
      <patternFill patternType="solid">
        <fgColor rgb="FFE7E6E6"/>
      </patternFill>
    </fill>
    <fill>
      <patternFill patternType="solid">
        <fgColor rgb="FFFFDA7B"/>
        <bgColor indexed="64"/>
      </patternFill>
    </fill>
    <fill>
      <patternFill patternType="solid">
        <fgColor rgb="FFF3CFEF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566">
    <xf numFmtId="0" fontId="0" fillId="0" borderId="0" xfId="0"/>
    <xf numFmtId="0" fontId="0" fillId="0" borderId="1" xfId="0" applyBorder="1"/>
    <xf numFmtId="0" fontId="0" fillId="6" borderId="0" xfId="0" applyFill="1"/>
    <xf numFmtId="0" fontId="0" fillId="2" borderId="0" xfId="0" applyFill="1"/>
    <xf numFmtId="0" fontId="0" fillId="0" borderId="3" xfId="0" applyBorder="1"/>
    <xf numFmtId="43" fontId="0" fillId="0" borderId="1" xfId="2" applyFont="1" applyBorder="1"/>
    <xf numFmtId="0" fontId="2" fillId="0" borderId="1" xfId="0" applyFont="1" applyBorder="1"/>
    <xf numFmtId="0" fontId="0" fillId="0" borderId="5" xfId="0" applyBorder="1"/>
    <xf numFmtId="11" fontId="0" fillId="0" borderId="0" xfId="0" applyNumberFormat="1"/>
    <xf numFmtId="0" fontId="0" fillId="0" borderId="0" xfId="0" applyAlignment="1">
      <alignment vertical="center" wrapText="1"/>
    </xf>
    <xf numFmtId="0" fontId="0" fillId="0" borderId="15" xfId="0" applyBorder="1"/>
    <xf numFmtId="0" fontId="0" fillId="0" borderId="16" xfId="0" applyBorder="1"/>
    <xf numFmtId="0" fontId="0" fillId="0" borderId="8" xfId="0" applyBorder="1"/>
    <xf numFmtId="0" fontId="0" fillId="0" borderId="0" xfId="0" applyAlignment="1">
      <alignment vertical="center"/>
    </xf>
    <xf numFmtId="164" fontId="2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43" fontId="0" fillId="0" borderId="1" xfId="0" applyNumberFormat="1" applyBorder="1"/>
    <xf numFmtId="43" fontId="0" fillId="0" borderId="0" xfId="0" applyNumberFormat="1"/>
    <xf numFmtId="2" fontId="0" fillId="0" borderId="0" xfId="0" applyNumberFormat="1"/>
    <xf numFmtId="0" fontId="0" fillId="0" borderId="17" xfId="0" applyBorder="1"/>
    <xf numFmtId="0" fontId="0" fillId="0" borderId="19" xfId="0" applyBorder="1"/>
    <xf numFmtId="0" fontId="0" fillId="0" borderId="22" xfId="0" applyBorder="1"/>
    <xf numFmtId="0" fontId="0" fillId="0" borderId="2" xfId="0" applyBorder="1"/>
    <xf numFmtId="166" fontId="0" fillId="0" borderId="13" xfId="0" applyNumberFormat="1" applyBorder="1"/>
    <xf numFmtId="0" fontId="0" fillId="0" borderId="18" xfId="0" applyBorder="1"/>
    <xf numFmtId="0" fontId="0" fillId="0" borderId="25" xfId="0" applyBorder="1"/>
    <xf numFmtId="0" fontId="3" fillId="14" borderId="2" xfId="0" applyFont="1" applyFill="1" applyBorder="1"/>
    <xf numFmtId="0" fontId="0" fillId="6" borderId="2" xfId="0" applyFill="1" applyBorder="1" applyAlignment="1">
      <alignment horizontal="left"/>
    </xf>
    <xf numFmtId="0" fontId="0" fillId="6" borderId="13" xfId="0" applyFill="1" applyBorder="1"/>
    <xf numFmtId="0" fontId="0" fillId="0" borderId="13" xfId="0" applyBorder="1"/>
    <xf numFmtId="0" fontId="0" fillId="15" borderId="0" xfId="0" applyFill="1"/>
    <xf numFmtId="164" fontId="0" fillId="0" borderId="13" xfId="1" applyFont="1" applyFill="1" applyBorder="1"/>
    <xf numFmtId="0" fontId="0" fillId="2" borderId="2" xfId="0" applyFill="1" applyBorder="1"/>
    <xf numFmtId="9" fontId="0" fillId="2" borderId="13" xfId="0" applyNumberFormat="1" applyFill="1" applyBorder="1"/>
    <xf numFmtId="0" fontId="0" fillId="0" borderId="14" xfId="0" applyBorder="1"/>
    <xf numFmtId="9" fontId="0" fillId="0" borderId="13" xfId="0" applyNumberFormat="1" applyBorder="1"/>
    <xf numFmtId="43" fontId="0" fillId="0" borderId="0" xfId="2" applyFont="1" applyBorder="1"/>
    <xf numFmtId="0" fontId="0" fillId="0" borderId="12" xfId="0" applyBorder="1"/>
    <xf numFmtId="0" fontId="2" fillId="0" borderId="0" xfId="0" applyFont="1" applyAlignment="1">
      <alignment horizontal="right" vertical="center" wrapText="1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19" borderId="2" xfId="0" applyFill="1" applyBorder="1"/>
    <xf numFmtId="0" fontId="0" fillId="19" borderId="13" xfId="0" applyFill="1" applyBorder="1"/>
    <xf numFmtId="9" fontId="0" fillId="19" borderId="13" xfId="0" applyNumberFormat="1" applyFill="1" applyBorder="1"/>
    <xf numFmtId="0" fontId="0" fillId="21" borderId="2" xfId="0" applyFill="1" applyBorder="1"/>
    <xf numFmtId="43" fontId="0" fillId="0" borderId="0" xfId="2" applyFont="1"/>
    <xf numFmtId="43" fontId="0" fillId="0" borderId="24" xfId="2" applyFont="1" applyBorder="1"/>
    <xf numFmtId="0" fontId="7" fillId="0" borderId="0" xfId="0" applyFont="1"/>
    <xf numFmtId="0" fontId="0" fillId="0" borderId="1" xfId="0" applyBorder="1" applyAlignment="1">
      <alignment horizontal="center" vertical="center" wrapText="1"/>
    </xf>
    <xf numFmtId="43" fontId="0" fillId="0" borderId="21" xfId="2" applyFont="1" applyBorder="1"/>
    <xf numFmtId="0" fontId="3" fillId="0" borderId="1" xfId="0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164" fontId="0" fillId="0" borderId="0" xfId="0" applyNumberFormat="1" applyAlignment="1">
      <alignment vertical="center"/>
    </xf>
    <xf numFmtId="0" fontId="0" fillId="6" borderId="2" xfId="0" applyFill="1" applyBorder="1"/>
    <xf numFmtId="43" fontId="0" fillId="0" borderId="13" xfId="2" applyFont="1" applyBorder="1"/>
    <xf numFmtId="168" fontId="0" fillId="0" borderId="0" xfId="0" applyNumberFormat="1" applyAlignment="1">
      <alignment horizontal="right" vertical="center" wrapText="1"/>
    </xf>
    <xf numFmtId="168" fontId="0" fillId="0" borderId="0" xfId="0" applyNumberFormat="1" applyAlignment="1">
      <alignment horizontal="right"/>
    </xf>
    <xf numFmtId="168" fontId="0" fillId="0" borderId="0" xfId="1" applyNumberFormat="1" applyFont="1" applyBorder="1" applyAlignment="1">
      <alignment horizontal="right" vertical="center" wrapText="1"/>
    </xf>
    <xf numFmtId="0" fontId="2" fillId="0" borderId="1" xfId="0" applyFont="1" applyBorder="1" applyAlignment="1">
      <alignment horizontal="center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168" fontId="0" fillId="0" borderId="1" xfId="0" applyNumberFormat="1" applyBorder="1"/>
    <xf numFmtId="164" fontId="0" fillId="0" borderId="1" xfId="0" applyNumberFormat="1" applyBorder="1" applyAlignment="1">
      <alignment vertical="center"/>
    </xf>
    <xf numFmtId="43" fontId="0" fillId="0" borderId="25" xfId="2" applyFont="1" applyBorder="1"/>
    <xf numFmtId="43" fontId="2" fillId="0" borderId="1" xfId="2" applyFont="1" applyBorder="1" applyAlignment="1">
      <alignment horizontal="center"/>
    </xf>
    <xf numFmtId="11" fontId="0" fillId="0" borderId="0" xfId="2" applyNumberFormat="1" applyFont="1" applyBorder="1"/>
    <xf numFmtId="0" fontId="2" fillId="0" borderId="1" xfId="0" applyFont="1" applyBorder="1" applyAlignment="1">
      <alignment horizontal="center" vertical="center" wrapText="1"/>
    </xf>
    <xf numFmtId="0" fontId="2" fillId="0" borderId="7" xfId="0" applyFont="1" applyBorder="1"/>
    <xf numFmtId="0" fontId="2" fillId="0" borderId="0" xfId="0" applyFont="1" applyAlignment="1">
      <alignment horizontal="center" vertical="center" wrapText="1"/>
    </xf>
    <xf numFmtId="11" fontId="0" fillId="0" borderId="0" xfId="2" applyNumberFormat="1" applyFont="1"/>
    <xf numFmtId="11" fontId="0" fillId="0" borderId="1" xfId="0" applyNumberFormat="1" applyBorder="1"/>
    <xf numFmtId="0" fontId="0" fillId="0" borderId="1" xfId="0" applyBorder="1" applyAlignment="1">
      <alignment horizontal="left" wrapText="1"/>
    </xf>
    <xf numFmtId="168" fontId="0" fillId="0" borderId="1" xfId="2" applyNumberFormat="1" applyFont="1" applyBorder="1" applyAlignment="1">
      <alignment horizontal="right" wrapText="1"/>
    </xf>
    <xf numFmtId="168" fontId="0" fillId="0" borderId="1" xfId="2" applyNumberFormat="1" applyFont="1" applyBorder="1" applyAlignment="1">
      <alignment horizontal="right"/>
    </xf>
    <xf numFmtId="0" fontId="12" fillId="0" borderId="1" xfId="0" applyFont="1" applyBorder="1" applyAlignment="1">
      <alignment horizontal="left" wrapText="1"/>
    </xf>
    <xf numFmtId="0" fontId="14" fillId="0" borderId="0" xfId="0" applyFont="1"/>
    <xf numFmtId="0" fontId="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vertical="center"/>
    </xf>
    <xf numFmtId="0" fontId="2" fillId="15" borderId="1" xfId="0" applyFont="1" applyFill="1" applyBorder="1" applyAlignment="1">
      <alignment horizontal="center"/>
    </xf>
    <xf numFmtId="0" fontId="2" fillId="15" borderId="7" xfId="0" applyFont="1" applyFill="1" applyBorder="1" applyAlignment="1">
      <alignment horizontal="center"/>
    </xf>
    <xf numFmtId="168" fontId="7" fillId="0" borderId="0" xfId="0" applyNumberFormat="1" applyFont="1" applyAlignment="1">
      <alignment horizontal="right"/>
    </xf>
    <xf numFmtId="0" fontId="0" fillId="0" borderId="1" xfId="0" applyBorder="1" applyAlignment="1">
      <alignment horizontal="left" vertical="center" wrapText="1"/>
    </xf>
    <xf numFmtId="168" fontId="0" fillId="0" borderId="1" xfId="0" applyNumberFormat="1" applyBorder="1" applyAlignment="1">
      <alignment horizontal="right" vertical="center" wrapText="1"/>
    </xf>
    <xf numFmtId="0" fontId="12" fillId="0" borderId="1" xfId="0" applyFont="1" applyBorder="1" applyAlignment="1">
      <alignment horizontal="center"/>
    </xf>
    <xf numFmtId="168" fontId="12" fillId="0" borderId="1" xfId="0" applyNumberFormat="1" applyFont="1" applyBorder="1" applyAlignment="1">
      <alignment horizontal="center"/>
    </xf>
    <xf numFmtId="168" fontId="0" fillId="0" borderId="1" xfId="0" applyNumberFormat="1" applyBorder="1" applyAlignment="1">
      <alignment horizontal="right"/>
    </xf>
    <xf numFmtId="0" fontId="12" fillId="0" borderId="1" xfId="0" applyFont="1" applyBorder="1"/>
    <xf numFmtId="168" fontId="0" fillId="0" borderId="0" xfId="0" applyNumberFormat="1" applyAlignment="1">
      <alignment horizontal="left" vertical="center"/>
    </xf>
    <xf numFmtId="43" fontId="0" fillId="0" borderId="0" xfId="2" applyFont="1" applyBorder="1" applyAlignment="1">
      <alignment horizontal="right" vertical="center" wrapText="1"/>
    </xf>
    <xf numFmtId="168" fontId="0" fillId="0" borderId="1" xfId="0" applyNumberFormat="1" applyBorder="1" applyAlignment="1">
      <alignment horizontal="left" vertical="center"/>
    </xf>
    <xf numFmtId="168" fontId="13" fillId="0" borderId="1" xfId="0" applyNumberFormat="1" applyFont="1" applyBorder="1" applyAlignment="1">
      <alignment horizontal="left" vertical="center"/>
    </xf>
    <xf numFmtId="0" fontId="12" fillId="0" borderId="1" xfId="0" applyFont="1" applyBorder="1" applyAlignment="1">
      <alignment horizontal="center" vertical="center" wrapText="1"/>
    </xf>
    <xf numFmtId="168" fontId="0" fillId="0" borderId="7" xfId="0" applyNumberFormat="1" applyBorder="1"/>
    <xf numFmtId="168" fontId="0" fillId="0" borderId="5" xfId="0" applyNumberFormat="1" applyBorder="1"/>
    <xf numFmtId="168" fontId="0" fillId="0" borderId="6" xfId="0" applyNumberFormat="1" applyBorder="1"/>
    <xf numFmtId="0" fontId="2" fillId="15" borderId="24" xfId="0" applyFont="1" applyFill="1" applyBorder="1" applyAlignment="1">
      <alignment horizontal="center"/>
    </xf>
    <xf numFmtId="168" fontId="0" fillId="0" borderId="1" xfId="1" applyNumberFormat="1" applyFont="1" applyBorder="1" applyAlignment="1">
      <alignment horizontal="right" vertical="center" wrapText="1"/>
    </xf>
    <xf numFmtId="164" fontId="0" fillId="0" borderId="1" xfId="1" applyFont="1" applyBorder="1" applyAlignment="1">
      <alignment horizontal="center" vertical="center" wrapText="1"/>
    </xf>
    <xf numFmtId="0" fontId="2" fillId="0" borderId="1" xfId="0" applyFont="1" applyBorder="1" applyAlignment="1">
      <alignment horizontal="right" vertical="center" wrapText="1"/>
    </xf>
    <xf numFmtId="164" fontId="2" fillId="0" borderId="1" xfId="0" applyNumberFormat="1" applyFont="1" applyBorder="1" applyAlignment="1">
      <alignment vertical="center"/>
    </xf>
    <xf numFmtId="0" fontId="0" fillId="0" borderId="0" xfId="2" applyNumberFormat="1" applyFont="1" applyBorder="1" applyAlignment="1">
      <alignment horizontal="right" vertical="center" wrapText="1"/>
    </xf>
    <xf numFmtId="0" fontId="5" fillId="0" borderId="1" xfId="0" applyFont="1" applyBorder="1" applyAlignment="1">
      <alignment horizontal="center" vertical="center"/>
    </xf>
    <xf numFmtId="164" fontId="0" fillId="0" borderId="1" xfId="1" applyFont="1" applyBorder="1" applyAlignment="1">
      <alignment vertical="center"/>
    </xf>
    <xf numFmtId="0" fontId="0" fillId="12" borderId="1" xfId="0" applyFill="1" applyBorder="1" applyAlignment="1">
      <alignment horizontal="left" vertical="center" wrapText="1"/>
    </xf>
    <xf numFmtId="164" fontId="0" fillId="12" borderId="1" xfId="0" applyNumberFormat="1" applyFill="1" applyBorder="1" applyAlignment="1">
      <alignment vertical="center"/>
    </xf>
    <xf numFmtId="11" fontId="0" fillId="21" borderId="13" xfId="2" applyNumberFormat="1" applyFont="1" applyFill="1" applyBorder="1"/>
    <xf numFmtId="11" fontId="3" fillId="14" borderId="13" xfId="0" applyNumberFormat="1" applyFont="1" applyFill="1" applyBorder="1"/>
    <xf numFmtId="11" fontId="0" fillId="6" borderId="13" xfId="0" applyNumberFormat="1" applyFill="1" applyBorder="1"/>
    <xf numFmtId="0" fontId="12" fillId="0" borderId="2" xfId="0" applyFont="1" applyBorder="1"/>
    <xf numFmtId="0" fontId="12" fillId="0" borderId="0" xfId="0" applyFont="1"/>
    <xf numFmtId="0" fontId="0" fillId="34" borderId="2" xfId="0" applyFill="1" applyBorder="1"/>
    <xf numFmtId="0" fontId="0" fillId="34" borderId="0" xfId="0" applyFill="1"/>
    <xf numFmtId="0" fontId="0" fillId="34" borderId="13" xfId="0" applyFill="1" applyBorder="1"/>
    <xf numFmtId="0" fontId="12" fillId="0" borderId="15" xfId="0" applyFont="1" applyBorder="1"/>
    <xf numFmtId="0" fontId="12" fillId="0" borderId="14" xfId="0" applyFont="1" applyBorder="1"/>
    <xf numFmtId="11" fontId="0" fillId="0" borderId="13" xfId="0" applyNumberFormat="1" applyBorder="1"/>
    <xf numFmtId="0" fontId="12" fillId="15" borderId="2" xfId="0" applyFont="1" applyFill="1" applyBorder="1"/>
    <xf numFmtId="0" fontId="0" fillId="15" borderId="13" xfId="0" applyFill="1" applyBorder="1"/>
    <xf numFmtId="0" fontId="12" fillId="2" borderId="2" xfId="0" applyFont="1" applyFill="1" applyBorder="1"/>
    <xf numFmtId="0" fontId="0" fillId="2" borderId="13" xfId="0" applyFill="1" applyBorder="1"/>
    <xf numFmtId="0" fontId="12" fillId="6" borderId="2" xfId="0" applyFont="1" applyFill="1" applyBorder="1"/>
    <xf numFmtId="0" fontId="12" fillId="34" borderId="2" xfId="0" applyFont="1" applyFill="1" applyBorder="1"/>
    <xf numFmtId="43" fontId="0" fillId="0" borderId="13" xfId="0" applyNumberFormat="1" applyBorder="1"/>
    <xf numFmtId="165" fontId="0" fillId="0" borderId="13" xfId="0" applyNumberFormat="1" applyBorder="1"/>
    <xf numFmtId="10" fontId="3" fillId="14" borderId="13" xfId="3" applyNumberFormat="1" applyFont="1" applyFill="1" applyBorder="1"/>
    <xf numFmtId="43" fontId="14" fillId="0" borderId="0" xfId="2" applyFont="1"/>
    <xf numFmtId="169" fontId="0" fillId="0" borderId="8" xfId="2" applyNumberFormat="1" applyFont="1" applyBorder="1"/>
    <xf numFmtId="43" fontId="2" fillId="0" borderId="0" xfId="2" applyFont="1" applyBorder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vertical="center"/>
    </xf>
    <xf numFmtId="9" fontId="0" fillId="0" borderId="0" xfId="0" applyNumberFormat="1"/>
    <xf numFmtId="0" fontId="2" fillId="15" borderId="19" xfId="0" applyFont="1" applyFill="1" applyBorder="1" applyAlignment="1">
      <alignment horizontal="center"/>
    </xf>
    <xf numFmtId="0" fontId="19" fillId="0" borderId="1" xfId="0" applyFont="1" applyBorder="1" applyAlignment="1">
      <alignment vertical="center"/>
    </xf>
    <xf numFmtId="168" fontId="19" fillId="0" borderId="1" xfId="0" applyNumberFormat="1" applyFont="1" applyBorder="1" applyAlignment="1">
      <alignment horizontal="left" vertical="center"/>
    </xf>
    <xf numFmtId="168" fontId="20" fillId="0" borderId="1" xfId="0" applyNumberFormat="1" applyFont="1" applyBorder="1" applyAlignment="1">
      <alignment horizontal="left" vertical="center"/>
    </xf>
    <xf numFmtId="168" fontId="21" fillId="0" borderId="1" xfId="0" applyNumberFormat="1" applyFont="1" applyBorder="1" applyAlignment="1">
      <alignment horizontal="left" vertical="center"/>
    </xf>
    <xf numFmtId="168" fontId="22" fillId="0" borderId="1" xfId="0" applyNumberFormat="1" applyFont="1" applyBorder="1" applyAlignment="1">
      <alignment horizontal="left" vertical="center"/>
    </xf>
    <xf numFmtId="168" fontId="7" fillId="0" borderId="1" xfId="0" applyNumberFormat="1" applyFont="1" applyBorder="1" applyAlignment="1">
      <alignment horizontal="left" vertical="center"/>
    </xf>
    <xf numFmtId="168" fontId="21" fillId="0" borderId="1" xfId="0" applyNumberFormat="1" applyFont="1" applyBorder="1"/>
    <xf numFmtId="168" fontId="24" fillId="0" borderId="1" xfId="0" applyNumberFormat="1" applyFont="1" applyBorder="1" applyAlignment="1">
      <alignment horizontal="left" vertical="center"/>
    </xf>
    <xf numFmtId="168" fontId="25" fillId="0" borderId="1" xfId="0" applyNumberFormat="1" applyFont="1" applyBorder="1" applyAlignment="1">
      <alignment horizontal="left" vertical="center"/>
    </xf>
    <xf numFmtId="168" fontId="22" fillId="0" borderId="0" xfId="0" applyNumberFormat="1" applyFont="1" applyAlignment="1">
      <alignment horizontal="left" vertical="center"/>
    </xf>
    <xf numFmtId="0" fontId="0" fillId="38" borderId="2" xfId="0" applyFill="1" applyBorder="1"/>
    <xf numFmtId="0" fontId="0" fillId="38" borderId="13" xfId="0" applyFill="1" applyBorder="1"/>
    <xf numFmtId="0" fontId="0" fillId="38" borderId="0" xfId="0" applyFill="1"/>
    <xf numFmtId="0" fontId="0" fillId="19" borderId="0" xfId="0" applyFill="1"/>
    <xf numFmtId="0" fontId="0" fillId="14" borderId="0" xfId="0" applyFill="1"/>
    <xf numFmtId="0" fontId="0" fillId="21" borderId="0" xfId="0" applyFill="1"/>
    <xf numFmtId="43" fontId="12" fillId="0" borderId="16" xfId="2" applyFont="1" applyBorder="1"/>
    <xf numFmtId="0" fontId="12" fillId="0" borderId="17" xfId="0" applyFont="1" applyBorder="1"/>
    <xf numFmtId="11" fontId="0" fillId="38" borderId="13" xfId="0" applyNumberFormat="1" applyFill="1" applyBorder="1"/>
    <xf numFmtId="11" fontId="0" fillId="0" borderId="28" xfId="0" applyNumberFormat="1" applyBorder="1"/>
    <xf numFmtId="0" fontId="0" fillId="0" borderId="33" xfId="0" applyBorder="1"/>
    <xf numFmtId="43" fontId="0" fillId="0" borderId="28" xfId="0" applyNumberFormat="1" applyBorder="1"/>
    <xf numFmtId="0" fontId="0" fillId="0" borderId="29" xfId="0" applyBorder="1"/>
    <xf numFmtId="0" fontId="0" fillId="0" borderId="34" xfId="0" applyBorder="1"/>
    <xf numFmtId="43" fontId="0" fillId="0" borderId="29" xfId="0" applyNumberFormat="1" applyBorder="1"/>
    <xf numFmtId="43" fontId="0" fillId="34" borderId="13" xfId="2" applyFont="1" applyFill="1" applyBorder="1"/>
    <xf numFmtId="0" fontId="0" fillId="38" borderId="30" xfId="0" applyFill="1" applyBorder="1"/>
    <xf numFmtId="0" fontId="0" fillId="38" borderId="31" xfId="0" applyFill="1" applyBorder="1"/>
    <xf numFmtId="0" fontId="0" fillId="2" borderId="32" xfId="0" applyFill="1" applyBorder="1"/>
    <xf numFmtId="0" fontId="0" fillId="2" borderId="30" xfId="0" applyFill="1" applyBorder="1"/>
    <xf numFmtId="43" fontId="0" fillId="2" borderId="13" xfId="0" applyNumberFormat="1" applyFill="1" applyBorder="1"/>
    <xf numFmtId="0" fontId="0" fillId="15" borderId="2" xfId="0" applyFill="1" applyBorder="1"/>
    <xf numFmtId="43" fontId="0" fillId="15" borderId="13" xfId="0" applyNumberFormat="1" applyFill="1" applyBorder="1"/>
    <xf numFmtId="0" fontId="0" fillId="15" borderId="30" xfId="0" applyFill="1" applyBorder="1"/>
    <xf numFmtId="0" fontId="0" fillId="0" borderId="30" xfId="0" applyBorder="1"/>
    <xf numFmtId="4" fontId="0" fillId="15" borderId="13" xfId="0" applyNumberFormat="1" applyFill="1" applyBorder="1"/>
    <xf numFmtId="43" fontId="0" fillId="38" borderId="13" xfId="2" applyFont="1" applyFill="1" applyBorder="1"/>
    <xf numFmtId="43" fontId="0" fillId="2" borderId="13" xfId="2" applyFont="1" applyFill="1" applyBorder="1"/>
    <xf numFmtId="11" fontId="0" fillId="2" borderId="13" xfId="0" applyNumberFormat="1" applyFill="1" applyBorder="1"/>
    <xf numFmtId="0" fontId="12" fillId="40" borderId="2" xfId="0" applyFont="1" applyFill="1" applyBorder="1"/>
    <xf numFmtId="43" fontId="0" fillId="40" borderId="13" xfId="0" applyNumberFormat="1" applyFill="1" applyBorder="1"/>
    <xf numFmtId="0" fontId="14" fillId="0" borderId="2" xfId="0" applyFont="1" applyBorder="1"/>
    <xf numFmtId="43" fontId="0" fillId="34" borderId="13" xfId="0" applyNumberFormat="1" applyFill="1" applyBorder="1"/>
    <xf numFmtId="0" fontId="3" fillId="42" borderId="2" xfId="0" applyFont="1" applyFill="1" applyBorder="1"/>
    <xf numFmtId="0" fontId="0" fillId="42" borderId="0" xfId="0" applyFill="1"/>
    <xf numFmtId="165" fontId="3" fillId="42" borderId="13" xfId="2" applyNumberFormat="1" applyFont="1" applyFill="1" applyBorder="1"/>
    <xf numFmtId="0" fontId="0" fillId="44" borderId="2" xfId="0" applyFill="1" applyBorder="1"/>
    <xf numFmtId="0" fontId="0" fillId="44" borderId="0" xfId="0" applyFill="1"/>
    <xf numFmtId="0" fontId="0" fillId="44" borderId="13" xfId="0" applyFill="1" applyBorder="1"/>
    <xf numFmtId="43" fontId="0" fillId="0" borderId="3" xfId="0" applyNumberFormat="1" applyBorder="1"/>
    <xf numFmtId="43" fontId="0" fillId="44" borderId="13" xfId="2" applyFont="1" applyFill="1" applyBorder="1"/>
    <xf numFmtId="43" fontId="0" fillId="44" borderId="13" xfId="0" applyNumberFormat="1" applyFill="1" applyBorder="1"/>
    <xf numFmtId="0" fontId="12" fillId="44" borderId="2" xfId="0" applyFont="1" applyFill="1" applyBorder="1"/>
    <xf numFmtId="0" fontId="12" fillId="42" borderId="2" xfId="0" applyFont="1" applyFill="1" applyBorder="1"/>
    <xf numFmtId="0" fontId="0" fillId="42" borderId="13" xfId="0" applyFill="1" applyBorder="1"/>
    <xf numFmtId="43" fontId="0" fillId="21" borderId="13" xfId="2" applyFont="1" applyFill="1" applyBorder="1"/>
    <xf numFmtId="11" fontId="0" fillId="0" borderId="29" xfId="0" applyNumberFormat="1" applyBorder="1"/>
    <xf numFmtId="11" fontId="0" fillId="0" borderId="13" xfId="2" applyNumberFormat="1" applyFont="1" applyBorder="1"/>
    <xf numFmtId="43" fontId="0" fillId="42" borderId="13" xfId="0" applyNumberFormat="1" applyFill="1" applyBorder="1"/>
    <xf numFmtId="0" fontId="12" fillId="45" borderId="0" xfId="0" applyFont="1" applyFill="1"/>
    <xf numFmtId="170" fontId="12" fillId="45" borderId="0" xfId="0" applyNumberFormat="1" applyFont="1" applyFill="1"/>
    <xf numFmtId="170" fontId="14" fillId="0" borderId="0" xfId="0" applyNumberFormat="1" applyFont="1"/>
    <xf numFmtId="0" fontId="12" fillId="46" borderId="0" xfId="0" applyFont="1" applyFill="1"/>
    <xf numFmtId="170" fontId="12" fillId="46" borderId="0" xfId="0" applyNumberFormat="1" applyFont="1" applyFill="1"/>
    <xf numFmtId="168" fontId="18" fillId="0" borderId="5" xfId="0" applyNumberFormat="1" applyFont="1" applyBorder="1"/>
    <xf numFmtId="168" fontId="18" fillId="0" borderId="6" xfId="0" applyNumberFormat="1" applyFont="1" applyBorder="1"/>
    <xf numFmtId="168" fontId="18" fillId="0" borderId="7" xfId="0" applyNumberFormat="1" applyFont="1" applyBorder="1"/>
    <xf numFmtId="168" fontId="18" fillId="0" borderId="1" xfId="0" applyNumberFormat="1" applyFont="1" applyBorder="1"/>
    <xf numFmtId="0" fontId="10" fillId="0" borderId="1" xfId="0" applyFont="1" applyBorder="1"/>
    <xf numFmtId="170" fontId="12" fillId="0" borderId="0" xfId="0" applyNumberFormat="1" applyFont="1"/>
    <xf numFmtId="168" fontId="21" fillId="0" borderId="5" xfId="0" applyNumberFormat="1" applyFont="1" applyBorder="1"/>
    <xf numFmtId="168" fontId="21" fillId="0" borderId="6" xfId="0" applyNumberFormat="1" applyFont="1" applyBorder="1"/>
    <xf numFmtId="168" fontId="21" fillId="0" borderId="7" xfId="0" applyNumberFormat="1" applyFont="1" applyBorder="1"/>
    <xf numFmtId="0" fontId="33" fillId="0" borderId="1" xfId="0" applyFont="1" applyBorder="1"/>
    <xf numFmtId="43" fontId="14" fillId="0" borderId="0" xfId="2" applyFont="1" applyAlignment="1">
      <alignment horizontal="right"/>
    </xf>
    <xf numFmtId="167" fontId="0" fillId="0" borderId="1" xfId="2" applyNumberFormat="1" applyFont="1" applyBorder="1"/>
    <xf numFmtId="11" fontId="0" fillId="44" borderId="13" xfId="2" applyNumberFormat="1" applyFont="1" applyFill="1" applyBorder="1"/>
    <xf numFmtId="11" fontId="0" fillId="44" borderId="13" xfId="0" applyNumberFormat="1" applyFill="1" applyBorder="1"/>
    <xf numFmtId="0" fontId="0" fillId="40" borderId="0" xfId="0" applyFill="1"/>
    <xf numFmtId="43" fontId="0" fillId="40" borderId="0" xfId="0" applyNumberFormat="1" applyFill="1"/>
    <xf numFmtId="43" fontId="0" fillId="2" borderId="0" xfId="0" applyNumberFormat="1" applyFill="1"/>
    <xf numFmtId="43" fontId="0" fillId="15" borderId="0" xfId="0" applyNumberFormat="1" applyFill="1"/>
    <xf numFmtId="43" fontId="0" fillId="44" borderId="0" xfId="0" applyNumberFormat="1" applyFill="1"/>
    <xf numFmtId="43" fontId="0" fillId="42" borderId="0" xfId="0" applyNumberFormat="1" applyFill="1"/>
    <xf numFmtId="165" fontId="0" fillId="0" borderId="0" xfId="0" applyNumberFormat="1"/>
    <xf numFmtId="168" fontId="0" fillId="0" borderId="0" xfId="0" applyNumberFormat="1"/>
    <xf numFmtId="43" fontId="2" fillId="0" borderId="1" xfId="2" applyFont="1" applyFill="1" applyBorder="1" applyAlignment="1">
      <alignment horizontal="center"/>
    </xf>
    <xf numFmtId="0" fontId="14" fillId="0" borderId="0" xfId="0" applyFont="1" applyAlignment="1">
      <alignment horizontal="left"/>
    </xf>
    <xf numFmtId="43" fontId="14" fillId="0" borderId="0" xfId="2" applyFont="1" applyFill="1" applyBorder="1" applyAlignment="1">
      <alignment horizontal="left"/>
    </xf>
    <xf numFmtId="11" fontId="14" fillId="0" borderId="0" xfId="0" applyNumberFormat="1" applyFont="1"/>
    <xf numFmtId="170" fontId="0" fillId="0" borderId="0" xfId="0" applyNumberFormat="1"/>
    <xf numFmtId="0" fontId="12" fillId="0" borderId="0" xfId="0" applyFont="1" applyAlignment="1">
      <alignment horizontal="center"/>
    </xf>
    <xf numFmtId="0" fontId="0" fillId="0" borderId="23" xfId="0" applyBorder="1"/>
    <xf numFmtId="9" fontId="12" fillId="0" borderId="1" xfId="0" applyNumberFormat="1" applyFont="1" applyBorder="1"/>
    <xf numFmtId="0" fontId="15" fillId="0" borderId="0" xfId="0" applyFont="1" applyAlignment="1">
      <alignment vertical="center"/>
    </xf>
    <xf numFmtId="0" fontId="35" fillId="0" borderId="0" xfId="0" applyFont="1" applyAlignment="1">
      <alignment vertical="center"/>
    </xf>
    <xf numFmtId="0" fontId="12" fillId="0" borderId="3" xfId="0" applyFont="1" applyBorder="1"/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11" fontId="0" fillId="0" borderId="0" xfId="0" applyNumberFormat="1" applyAlignment="1">
      <alignment horizontal="right"/>
    </xf>
    <xf numFmtId="11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2" fillId="0" borderId="0" xfId="0" applyFont="1"/>
    <xf numFmtId="0" fontId="0" fillId="0" borderId="24" xfId="0" applyBorder="1"/>
    <xf numFmtId="168" fontId="21" fillId="0" borderId="0" xfId="0" applyNumberFormat="1" applyFont="1" applyAlignment="1">
      <alignment horizontal="left" vertical="center"/>
    </xf>
    <xf numFmtId="168" fontId="7" fillId="0" borderId="0" xfId="0" applyNumberFormat="1" applyFont="1" applyAlignment="1">
      <alignment horizontal="left" vertical="center"/>
    </xf>
    <xf numFmtId="11" fontId="0" fillId="0" borderId="1" xfId="2" applyNumberFormat="1" applyFont="1" applyBorder="1"/>
    <xf numFmtId="3" fontId="0" fillId="0" borderId="0" xfId="0" applyNumberFormat="1"/>
    <xf numFmtId="3" fontId="2" fillId="0" borderId="0" xfId="0" applyNumberFormat="1" applyFont="1"/>
    <xf numFmtId="168" fontId="20" fillId="0" borderId="0" xfId="0" applyNumberFormat="1" applyFont="1" applyAlignment="1">
      <alignment horizontal="left" vertical="center"/>
    </xf>
    <xf numFmtId="168" fontId="21" fillId="0" borderId="0" xfId="0" applyNumberFormat="1" applyFont="1"/>
    <xf numFmtId="171" fontId="0" fillId="0" borderId="1" xfId="0" applyNumberFormat="1" applyBorder="1" applyAlignment="1">
      <alignment horizontal="right"/>
    </xf>
    <xf numFmtId="43" fontId="2" fillId="0" borderId="1" xfId="2" applyFont="1" applyFill="1" applyBorder="1" applyAlignment="1">
      <alignment horizontal="left"/>
    </xf>
    <xf numFmtId="0" fontId="2" fillId="0" borderId="1" xfId="0" applyFont="1" applyBorder="1" applyAlignment="1">
      <alignment horizontal="left"/>
    </xf>
    <xf numFmtId="0" fontId="12" fillId="0" borderId="1" xfId="0" applyFont="1" applyBorder="1" applyAlignment="1">
      <alignment horizontal="left"/>
    </xf>
    <xf numFmtId="43" fontId="2" fillId="0" borderId="5" xfId="2" applyFont="1" applyBorder="1" applyAlignment="1">
      <alignment horizontal="center"/>
    </xf>
    <xf numFmtId="43" fontId="2" fillId="0" borderId="0" xfId="2" applyFont="1" applyFill="1" applyBorder="1" applyAlignment="1">
      <alignment horizontal="center"/>
    </xf>
    <xf numFmtId="0" fontId="14" fillId="10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right" vertical="center"/>
    </xf>
    <xf numFmtId="43" fontId="0" fillId="0" borderId="0" xfId="2" applyFont="1" applyFill="1"/>
    <xf numFmtId="0" fontId="0" fillId="14" borderId="2" xfId="0" applyFill="1" applyBorder="1"/>
    <xf numFmtId="166" fontId="0" fillId="14" borderId="13" xfId="0" applyNumberFormat="1" applyFill="1" applyBorder="1"/>
    <xf numFmtId="11" fontId="14" fillId="0" borderId="0" xfId="0" applyNumberFormat="1" applyFont="1" applyAlignment="1">
      <alignment horizontal="right" vertical="center"/>
    </xf>
    <xf numFmtId="11" fontId="3" fillId="14" borderId="13" xfId="3" applyNumberFormat="1" applyFont="1" applyFill="1" applyBorder="1"/>
    <xf numFmtId="11" fontId="0" fillId="2" borderId="13" xfId="2" applyNumberFormat="1" applyFont="1" applyFill="1" applyBorder="1"/>
    <xf numFmtId="0" fontId="14" fillId="0" borderId="0" xfId="0" applyFont="1" applyAlignment="1">
      <alignment vertical="center"/>
    </xf>
    <xf numFmtId="11" fontId="0" fillId="15" borderId="13" xfId="2" applyNumberFormat="1" applyFont="1" applyFill="1" applyBorder="1"/>
    <xf numFmtId="11" fontId="0" fillId="19" borderId="13" xfId="0" applyNumberFormat="1" applyFill="1" applyBorder="1"/>
    <xf numFmtId="11" fontId="0" fillId="34" borderId="13" xfId="0" applyNumberFormat="1" applyFill="1" applyBorder="1"/>
    <xf numFmtId="11" fontId="0" fillId="38" borderId="13" xfId="2" applyNumberFormat="1" applyFont="1" applyFill="1" applyBorder="1"/>
    <xf numFmtId="0" fontId="36" fillId="0" borderId="0" xfId="4" applyFill="1" applyBorder="1" applyAlignment="1">
      <alignment horizontal="left"/>
    </xf>
    <xf numFmtId="0" fontId="12" fillId="10" borderId="18" xfId="0" applyFont="1" applyFill="1" applyBorder="1" applyAlignment="1">
      <alignment horizontal="left" vertical="center"/>
    </xf>
    <xf numFmtId="0" fontId="14" fillId="0" borderId="18" xfId="0" applyFont="1" applyBorder="1" applyAlignment="1">
      <alignment horizontal="left" vertical="center"/>
    </xf>
    <xf numFmtId="0" fontId="12" fillId="10" borderId="18" xfId="0" applyFont="1" applyFill="1" applyBorder="1"/>
    <xf numFmtId="0" fontId="0" fillId="10" borderId="0" xfId="0" applyFill="1"/>
    <xf numFmtId="43" fontId="14" fillId="0" borderId="18" xfId="2" applyFont="1" applyFill="1" applyBorder="1" applyAlignment="1">
      <alignment horizontal="left"/>
    </xf>
    <xf numFmtId="0" fontId="14" fillId="0" borderId="18" xfId="0" applyFont="1" applyBorder="1" applyAlignment="1">
      <alignment horizontal="left"/>
    </xf>
    <xf numFmtId="0" fontId="14" fillId="0" borderId="18" xfId="0" applyFont="1" applyBorder="1"/>
    <xf numFmtId="0" fontId="12" fillId="10" borderId="18" xfId="0" applyFont="1" applyFill="1" applyBorder="1" applyAlignment="1">
      <alignment horizontal="left"/>
    </xf>
    <xf numFmtId="0" fontId="12" fillId="0" borderId="30" xfId="0" applyFont="1" applyBorder="1"/>
    <xf numFmtId="9" fontId="12" fillId="0" borderId="36" xfId="0" applyNumberFormat="1" applyFont="1" applyBorder="1"/>
    <xf numFmtId="0" fontId="12" fillId="10" borderId="2" xfId="0" applyFont="1" applyFill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0" fontId="14" fillId="0" borderId="13" xfId="0" applyFont="1" applyBorder="1" applyAlignment="1">
      <alignment horizontal="right"/>
    </xf>
    <xf numFmtId="0" fontId="12" fillId="10" borderId="2" xfId="0" applyFont="1" applyFill="1" applyBorder="1"/>
    <xf numFmtId="43" fontId="14" fillId="0" borderId="2" xfId="2" applyFont="1" applyFill="1" applyBorder="1" applyAlignment="1">
      <alignment horizontal="left"/>
    </xf>
    <xf numFmtId="0" fontId="14" fillId="0" borderId="2" xfId="0" applyFont="1" applyBorder="1" applyAlignment="1">
      <alignment horizontal="left"/>
    </xf>
    <xf numFmtId="0" fontId="12" fillId="10" borderId="2" xfId="0" applyFont="1" applyFill="1" applyBorder="1" applyAlignment="1">
      <alignment horizontal="left"/>
    </xf>
    <xf numFmtId="0" fontId="14" fillId="0" borderId="8" xfId="0" applyFont="1" applyBorder="1" applyAlignment="1">
      <alignment horizontal="right"/>
    </xf>
    <xf numFmtId="0" fontId="14" fillId="0" borderId="12" xfId="0" applyFont="1" applyBorder="1" applyAlignment="1">
      <alignment horizontal="right"/>
    </xf>
    <xf numFmtId="4" fontId="0" fillId="0" borderId="0" xfId="0" applyNumberFormat="1"/>
    <xf numFmtId="11" fontId="0" fillId="0" borderId="5" xfId="0" applyNumberFormat="1" applyBorder="1"/>
    <xf numFmtId="0" fontId="14" fillId="0" borderId="13" xfId="0" applyFont="1" applyBorder="1" applyAlignment="1">
      <alignment horizontal="left" vertical="center"/>
    </xf>
    <xf numFmtId="0" fontId="36" fillId="0" borderId="2" xfId="4" applyBorder="1"/>
    <xf numFmtId="0" fontId="42" fillId="0" borderId="13" xfId="0" applyFont="1" applyBorder="1" applyAlignment="1">
      <alignment horizontal="left" vertical="center" readingOrder="1"/>
    </xf>
    <xf numFmtId="0" fontId="16" fillId="0" borderId="13" xfId="0" applyFont="1" applyBorder="1" applyAlignment="1">
      <alignment horizontal="left" vertical="center" readingOrder="1"/>
    </xf>
    <xf numFmtId="0" fontId="14" fillId="0" borderId="13" xfId="0" applyFont="1" applyBorder="1" applyAlignment="1">
      <alignment horizontal="left"/>
    </xf>
    <xf numFmtId="0" fontId="28" fillId="0" borderId="13" xfId="0" applyFont="1" applyBorder="1" applyAlignment="1">
      <alignment horizontal="left" vertical="center" readingOrder="1"/>
    </xf>
    <xf numFmtId="0" fontId="36" fillId="0" borderId="2" xfId="4" applyFill="1" applyBorder="1" applyAlignment="1">
      <alignment horizontal="left"/>
    </xf>
    <xf numFmtId="11" fontId="13" fillId="0" borderId="1" xfId="0" applyNumberFormat="1" applyFont="1" applyBorder="1"/>
    <xf numFmtId="168" fontId="13" fillId="0" borderId="7" xfId="0" applyNumberFormat="1" applyFont="1" applyBorder="1" applyAlignment="1">
      <alignment horizontal="right"/>
    </xf>
    <xf numFmtId="172" fontId="0" fillId="0" borderId="0" xfId="3" applyNumberFormat="1" applyFont="1"/>
    <xf numFmtId="0" fontId="12" fillId="0" borderId="1" xfId="0" applyFont="1" applyBorder="1" applyAlignment="1">
      <alignment wrapText="1"/>
    </xf>
    <xf numFmtId="0" fontId="12" fillId="0" borderId="0" xfId="0" applyFont="1" applyAlignment="1">
      <alignment wrapText="1"/>
    </xf>
    <xf numFmtId="9" fontId="0" fillId="0" borderId="0" xfId="3" applyFont="1"/>
    <xf numFmtId="1" fontId="0" fillId="0" borderId="0" xfId="0" applyNumberFormat="1"/>
    <xf numFmtId="11" fontId="14" fillId="0" borderId="0" xfId="0" applyNumberFormat="1" applyFont="1" applyAlignment="1">
      <alignment horizontal="left" vertical="center"/>
    </xf>
    <xf numFmtId="0" fontId="0" fillId="0" borderId="0" xfId="0" applyAlignment="1">
      <alignment horizontal="right"/>
    </xf>
    <xf numFmtId="0" fontId="0" fillId="0" borderId="23" xfId="0" applyBorder="1" applyAlignment="1">
      <alignment horizontal="right"/>
    </xf>
    <xf numFmtId="0" fontId="2" fillId="0" borderId="0" xfId="0" applyFont="1" applyAlignment="1">
      <alignment horizontal="right" vertical="center"/>
    </xf>
    <xf numFmtId="0" fontId="2" fillId="0" borderId="5" xfId="0" applyFont="1" applyBorder="1" applyAlignment="1">
      <alignment horizontal="center" vertical="center"/>
    </xf>
    <xf numFmtId="0" fontId="2" fillId="0" borderId="32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12" fillId="4" borderId="37" xfId="0" applyFont="1" applyFill="1" applyBorder="1" applyAlignment="1">
      <alignment horizontal="center"/>
    </xf>
    <xf numFmtId="0" fontId="12" fillId="4" borderId="38" xfId="0" applyFont="1" applyFill="1" applyBorder="1" applyAlignment="1">
      <alignment horizontal="center"/>
    </xf>
    <xf numFmtId="0" fontId="12" fillId="4" borderId="39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36" fillId="0" borderId="2" xfId="4" applyBorder="1" applyAlignment="1">
      <alignment horizontal="center"/>
    </xf>
    <xf numFmtId="0" fontId="14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36" fillId="0" borderId="2" xfId="4" applyFill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8" fillId="25" borderId="0" xfId="0" applyFont="1" applyFill="1" applyAlignment="1">
      <alignment horizontal="center" vertical="center"/>
    </xf>
    <xf numFmtId="0" fontId="12" fillId="47" borderId="1" xfId="0" applyFont="1" applyFill="1" applyBorder="1" applyAlignment="1">
      <alignment horizontal="center"/>
    </xf>
    <xf numFmtId="0" fontId="17" fillId="47" borderId="15" xfId="0" applyFont="1" applyFill="1" applyBorder="1" applyAlignment="1">
      <alignment horizontal="center" vertical="center"/>
    </xf>
    <xf numFmtId="0" fontId="17" fillId="47" borderId="16" xfId="0" applyFont="1" applyFill="1" applyBorder="1" applyAlignment="1">
      <alignment horizontal="center" vertical="center"/>
    </xf>
    <xf numFmtId="0" fontId="17" fillId="47" borderId="17" xfId="0" applyFont="1" applyFill="1" applyBorder="1" applyAlignment="1">
      <alignment horizontal="center" vertical="center"/>
    </xf>
    <xf numFmtId="0" fontId="17" fillId="47" borderId="14" xfId="0" applyFont="1" applyFill="1" applyBorder="1" applyAlignment="1">
      <alignment horizontal="center" vertical="center"/>
    </xf>
    <xf numFmtId="0" fontId="17" fillId="47" borderId="8" xfId="0" applyFont="1" applyFill="1" applyBorder="1" applyAlignment="1">
      <alignment horizontal="center" vertical="center"/>
    </xf>
    <xf numFmtId="0" fontId="17" fillId="47" borderId="12" xfId="0" applyFont="1" applyFill="1" applyBorder="1" applyAlignment="1">
      <alignment horizontal="center" vertical="center"/>
    </xf>
    <xf numFmtId="0" fontId="2" fillId="15" borderId="5" xfId="0" applyFont="1" applyFill="1" applyBorder="1" applyAlignment="1">
      <alignment horizontal="center"/>
    </xf>
    <xf numFmtId="0" fontId="2" fillId="15" borderId="6" xfId="0" applyFont="1" applyFill="1" applyBorder="1" applyAlignment="1">
      <alignment horizontal="center"/>
    </xf>
    <xf numFmtId="0" fontId="2" fillId="15" borderId="7" xfId="0" applyFont="1" applyFill="1" applyBorder="1" applyAlignment="1">
      <alignment horizontal="center"/>
    </xf>
    <xf numFmtId="0" fontId="2" fillId="6" borderId="19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6" borderId="21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4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2" fillId="5" borderId="22" xfId="0" applyFont="1" applyFill="1" applyBorder="1" applyAlignment="1">
      <alignment horizontal="center" vertical="center"/>
    </xf>
    <xf numFmtId="0" fontId="2" fillId="5" borderId="24" xfId="0" applyFont="1" applyFill="1" applyBorder="1" applyAlignment="1">
      <alignment horizontal="center" vertical="center"/>
    </xf>
    <xf numFmtId="0" fontId="6" fillId="32" borderId="19" xfId="0" applyFont="1" applyFill="1" applyBorder="1" applyAlignment="1">
      <alignment horizontal="center" vertical="center"/>
    </xf>
    <xf numFmtId="0" fontId="6" fillId="32" borderId="21" xfId="0" applyFont="1" applyFill="1" applyBorder="1" applyAlignment="1">
      <alignment horizontal="center" vertical="center"/>
    </xf>
    <xf numFmtId="0" fontId="6" fillId="32" borderId="22" xfId="0" applyFont="1" applyFill="1" applyBorder="1" applyAlignment="1">
      <alignment horizontal="center" vertical="center"/>
    </xf>
    <xf numFmtId="0" fontId="6" fillId="32" borderId="24" xfId="0" applyFont="1" applyFill="1" applyBorder="1" applyAlignment="1">
      <alignment horizontal="center" vertical="center"/>
    </xf>
    <xf numFmtId="168" fontId="18" fillId="0" borderId="5" xfId="0" applyNumberFormat="1" applyFont="1" applyBorder="1" applyAlignment="1">
      <alignment horizontal="center"/>
    </xf>
    <xf numFmtId="168" fontId="18" fillId="0" borderId="6" xfId="0" applyNumberFormat="1" applyFont="1" applyBorder="1" applyAlignment="1">
      <alignment horizontal="center"/>
    </xf>
    <xf numFmtId="168" fontId="18" fillId="0" borderId="7" xfId="0" applyNumberFormat="1" applyFont="1" applyBorder="1" applyAlignment="1">
      <alignment horizontal="center"/>
    </xf>
    <xf numFmtId="168" fontId="21" fillId="0" borderId="5" xfId="0" applyNumberFormat="1" applyFont="1" applyBorder="1" applyAlignment="1">
      <alignment horizontal="center"/>
    </xf>
    <xf numFmtId="168" fontId="21" fillId="0" borderId="6" xfId="0" applyNumberFormat="1" applyFont="1" applyBorder="1" applyAlignment="1">
      <alignment horizontal="center"/>
    </xf>
    <xf numFmtId="168" fontId="21" fillId="0" borderId="7" xfId="0" applyNumberFormat="1" applyFont="1" applyBorder="1" applyAlignment="1">
      <alignment horizontal="center"/>
    </xf>
    <xf numFmtId="0" fontId="12" fillId="0" borderId="4" xfId="0" applyFont="1" applyBorder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23" fillId="36" borderId="0" xfId="0" applyFont="1" applyFill="1" applyAlignment="1">
      <alignment horizontal="center" vertical="center"/>
    </xf>
    <xf numFmtId="0" fontId="23" fillId="36" borderId="23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 wrapText="1"/>
    </xf>
    <xf numFmtId="0" fontId="17" fillId="2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center" vertical="center"/>
    </xf>
    <xf numFmtId="0" fontId="35" fillId="25" borderId="0" xfId="0" applyFont="1" applyFill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0" xfId="0" applyFont="1" applyFill="1" applyAlignment="1">
      <alignment horizontal="center" vertical="center"/>
    </xf>
    <xf numFmtId="0" fontId="5" fillId="11" borderId="26" xfId="0" applyFont="1" applyFill="1" applyBorder="1" applyAlignment="1">
      <alignment horizontal="center" vertical="center"/>
    </xf>
    <xf numFmtId="0" fontId="5" fillId="11" borderId="23" xfId="0" applyFont="1" applyFill="1" applyBorder="1" applyAlignment="1">
      <alignment horizontal="center" vertical="center"/>
    </xf>
    <xf numFmtId="168" fontId="2" fillId="0" borderId="1" xfId="0" applyNumberFormat="1" applyFont="1" applyBorder="1" applyAlignment="1">
      <alignment horizontal="center" vertical="center" wrapText="1"/>
    </xf>
    <xf numFmtId="0" fontId="2" fillId="15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29" borderId="0" xfId="0" applyFont="1" applyFill="1" applyAlignment="1">
      <alignment horizontal="center" vertical="center"/>
    </xf>
    <xf numFmtId="0" fontId="5" fillId="29" borderId="23" xfId="0" applyFon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/>
    </xf>
    <xf numFmtId="0" fontId="5" fillId="30" borderId="2" xfId="0" applyFont="1" applyFill="1" applyBorder="1" applyAlignment="1">
      <alignment horizontal="center" vertical="center"/>
    </xf>
    <xf numFmtId="0" fontId="5" fillId="30" borderId="0" xfId="0" applyFont="1" applyFill="1" applyAlignment="1">
      <alignment horizontal="center" vertical="center"/>
    </xf>
    <xf numFmtId="0" fontId="5" fillId="30" borderId="26" xfId="0" applyFont="1" applyFill="1" applyBorder="1" applyAlignment="1">
      <alignment horizontal="center" vertical="center"/>
    </xf>
    <xf numFmtId="0" fontId="5" fillId="30" borderId="23" xfId="0" applyFont="1" applyFill="1" applyBorder="1" applyAlignment="1">
      <alignment horizontal="center" vertical="center"/>
    </xf>
    <xf numFmtId="0" fontId="6" fillId="32" borderId="1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7" borderId="0" xfId="0" applyFont="1" applyFill="1" applyAlignment="1">
      <alignment horizontal="center" vertical="center"/>
    </xf>
    <xf numFmtId="0" fontId="5" fillId="17" borderId="26" xfId="0" applyFont="1" applyFill="1" applyBorder="1" applyAlignment="1">
      <alignment horizontal="center" vertical="center"/>
    </xf>
    <xf numFmtId="0" fontId="5" fillId="17" borderId="23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2" fillId="35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5" fillId="9" borderId="1" xfId="0" applyFont="1" applyFill="1" applyBorder="1" applyAlignment="1">
      <alignment horizontal="center" vertical="center"/>
    </xf>
    <xf numFmtId="9" fontId="17" fillId="35" borderId="15" xfId="0" applyNumberFormat="1" applyFont="1" applyFill="1" applyBorder="1" applyAlignment="1">
      <alignment horizontal="center" vertical="center"/>
    </xf>
    <xf numFmtId="9" fontId="17" fillId="35" borderId="16" xfId="0" applyNumberFormat="1" applyFont="1" applyFill="1" applyBorder="1" applyAlignment="1">
      <alignment horizontal="center" vertical="center"/>
    </xf>
    <xf numFmtId="9" fontId="17" fillId="35" borderId="17" xfId="0" applyNumberFormat="1" applyFont="1" applyFill="1" applyBorder="1" applyAlignment="1">
      <alignment horizontal="center" vertical="center"/>
    </xf>
    <xf numFmtId="9" fontId="17" fillId="35" borderId="14" xfId="0" applyNumberFormat="1" applyFont="1" applyFill="1" applyBorder="1" applyAlignment="1">
      <alignment horizontal="center" vertical="center"/>
    </xf>
    <xf numFmtId="9" fontId="17" fillId="35" borderId="8" xfId="0" applyNumberFormat="1" applyFont="1" applyFill="1" applyBorder="1" applyAlignment="1">
      <alignment horizontal="center" vertical="center"/>
    </xf>
    <xf numFmtId="9" fontId="17" fillId="35" borderId="12" xfId="0" applyNumberFormat="1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4" borderId="0" xfId="0" applyFont="1" applyFill="1" applyAlignment="1">
      <alignment horizontal="center" vertical="center"/>
    </xf>
    <xf numFmtId="0" fontId="5" fillId="24" borderId="26" xfId="0" applyFont="1" applyFill="1" applyBorder="1" applyAlignment="1">
      <alignment horizontal="center" vertical="center"/>
    </xf>
    <xf numFmtId="0" fontId="5" fillId="24" borderId="23" xfId="0" applyFont="1" applyFill="1" applyBorder="1" applyAlignment="1">
      <alignment horizontal="center" vertical="center"/>
    </xf>
    <xf numFmtId="0" fontId="5" fillId="31" borderId="0" xfId="0" applyFont="1" applyFill="1" applyAlignment="1">
      <alignment horizontal="center" vertical="center"/>
    </xf>
    <xf numFmtId="0" fontId="5" fillId="31" borderId="8" xfId="0" applyFont="1" applyFill="1" applyBorder="1" applyAlignment="1">
      <alignment horizontal="center" vertical="center"/>
    </xf>
    <xf numFmtId="0" fontId="2" fillId="15" borderId="3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0" fontId="5" fillId="26" borderId="2" xfId="0" applyFont="1" applyFill="1" applyBorder="1" applyAlignment="1">
      <alignment horizontal="center" vertical="center"/>
    </xf>
    <xf numFmtId="0" fontId="5" fillId="26" borderId="0" xfId="0" applyFont="1" applyFill="1" applyAlignment="1">
      <alignment horizontal="center" vertical="center"/>
    </xf>
    <xf numFmtId="0" fontId="2" fillId="6" borderId="18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25" xfId="0" applyFont="1" applyFill="1" applyBorder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25" xfId="0" applyFont="1" applyFill="1" applyBorder="1" applyAlignment="1">
      <alignment horizontal="center" vertical="center"/>
    </xf>
    <xf numFmtId="0" fontId="6" fillId="32" borderId="18" xfId="0" applyFont="1" applyFill="1" applyBorder="1" applyAlignment="1">
      <alignment horizontal="center" vertical="center"/>
    </xf>
    <xf numFmtId="0" fontId="6" fillId="32" borderId="25" xfId="0" applyFont="1" applyFill="1" applyBorder="1" applyAlignment="1">
      <alignment horizontal="center" vertical="center"/>
    </xf>
    <xf numFmtId="0" fontId="5" fillId="22" borderId="2" xfId="0" applyFont="1" applyFill="1" applyBorder="1" applyAlignment="1">
      <alignment horizontal="center" vertical="center"/>
    </xf>
    <xf numFmtId="0" fontId="5" fillId="22" borderId="0" xfId="0" applyFont="1" applyFill="1" applyAlignment="1">
      <alignment horizontal="center" vertical="center"/>
    </xf>
    <xf numFmtId="0" fontId="5" fillId="22" borderId="26" xfId="0" applyFont="1" applyFill="1" applyBorder="1" applyAlignment="1">
      <alignment horizontal="center" vertical="center"/>
    </xf>
    <xf numFmtId="0" fontId="5" fillId="22" borderId="23" xfId="0" applyFont="1" applyFill="1" applyBorder="1" applyAlignment="1">
      <alignment horizontal="center" vertical="center"/>
    </xf>
    <xf numFmtId="0" fontId="5" fillId="27" borderId="2" xfId="0" applyFont="1" applyFill="1" applyBorder="1" applyAlignment="1">
      <alignment horizontal="center" vertical="center"/>
    </xf>
    <xf numFmtId="0" fontId="5" fillId="27" borderId="0" xfId="0" applyFont="1" applyFill="1" applyAlignment="1">
      <alignment horizontal="center" vertical="center"/>
    </xf>
    <xf numFmtId="0" fontId="5" fillId="27" borderId="26" xfId="0" applyFont="1" applyFill="1" applyBorder="1" applyAlignment="1">
      <alignment horizontal="center" vertical="center"/>
    </xf>
    <xf numFmtId="0" fontId="5" fillId="27" borderId="23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6" xfId="0" applyFont="1" applyFill="1" applyBorder="1" applyAlignment="1">
      <alignment horizontal="center" vertical="center"/>
    </xf>
    <xf numFmtId="0" fontId="5" fillId="7" borderId="23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29" borderId="2" xfId="0" applyFont="1" applyFill="1" applyBorder="1" applyAlignment="1">
      <alignment horizontal="center" vertical="center"/>
    </xf>
    <xf numFmtId="0" fontId="5" fillId="29" borderId="26" xfId="0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5" fillId="22" borderId="1" xfId="0" applyFont="1" applyFill="1" applyBorder="1" applyAlignment="1">
      <alignment horizontal="center" vertical="center"/>
    </xf>
    <xf numFmtId="0" fontId="5" fillId="28" borderId="1" xfId="0" applyFont="1" applyFill="1" applyBorder="1" applyAlignment="1">
      <alignment horizontal="center" vertical="center"/>
    </xf>
    <xf numFmtId="0" fontId="5" fillId="27" borderId="1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0" fontId="34" fillId="2" borderId="15" xfId="0" applyFont="1" applyFill="1" applyBorder="1" applyAlignment="1">
      <alignment horizontal="center" vertical="center"/>
    </xf>
    <xf numFmtId="0" fontId="34" fillId="2" borderId="16" xfId="0" applyFont="1" applyFill="1" applyBorder="1" applyAlignment="1">
      <alignment horizontal="center" vertical="center"/>
    </xf>
    <xf numFmtId="0" fontId="34" fillId="2" borderId="17" xfId="0" applyFont="1" applyFill="1" applyBorder="1" applyAlignment="1">
      <alignment horizontal="center" vertical="center"/>
    </xf>
    <xf numFmtId="0" fontId="34" fillId="2" borderId="14" xfId="0" applyFont="1" applyFill="1" applyBorder="1" applyAlignment="1">
      <alignment horizontal="center" vertical="center"/>
    </xf>
    <xf numFmtId="0" fontId="34" fillId="2" borderId="8" xfId="0" applyFont="1" applyFill="1" applyBorder="1" applyAlignment="1">
      <alignment horizontal="center" vertical="center"/>
    </xf>
    <xf numFmtId="0" fontId="34" fillId="2" borderId="12" xfId="0" applyFont="1" applyFill="1" applyBorder="1" applyAlignment="1">
      <alignment horizontal="center" vertical="center"/>
    </xf>
    <xf numFmtId="0" fontId="34" fillId="6" borderId="15" xfId="0" applyFont="1" applyFill="1" applyBorder="1" applyAlignment="1">
      <alignment horizontal="center" vertical="center"/>
    </xf>
    <xf numFmtId="0" fontId="34" fillId="6" borderId="16" xfId="0" applyFont="1" applyFill="1" applyBorder="1" applyAlignment="1">
      <alignment horizontal="center" vertical="center"/>
    </xf>
    <xf numFmtId="0" fontId="34" fillId="6" borderId="17" xfId="0" applyFont="1" applyFill="1" applyBorder="1" applyAlignment="1">
      <alignment horizontal="center" vertical="center"/>
    </xf>
    <xf numFmtId="0" fontId="34" fillId="6" borderId="14" xfId="0" applyFont="1" applyFill="1" applyBorder="1" applyAlignment="1">
      <alignment horizontal="center" vertical="center"/>
    </xf>
    <xf numFmtId="0" fontId="34" fillId="6" borderId="8" xfId="0" applyFont="1" applyFill="1" applyBorder="1" applyAlignment="1">
      <alignment horizontal="center" vertical="center"/>
    </xf>
    <xf numFmtId="0" fontId="34" fillId="6" borderId="12" xfId="0" applyFont="1" applyFill="1" applyBorder="1" applyAlignment="1">
      <alignment horizontal="center" vertical="center"/>
    </xf>
    <xf numFmtId="0" fontId="15" fillId="6" borderId="15" xfId="0" applyFont="1" applyFill="1" applyBorder="1" applyAlignment="1">
      <alignment horizontal="center" vertical="center"/>
    </xf>
    <xf numFmtId="0" fontId="15" fillId="6" borderId="16" xfId="0" applyFont="1" applyFill="1" applyBorder="1" applyAlignment="1">
      <alignment horizontal="center" vertical="center"/>
    </xf>
    <xf numFmtId="0" fontId="15" fillId="6" borderId="17" xfId="0" applyFont="1" applyFill="1" applyBorder="1" applyAlignment="1">
      <alignment horizontal="center" vertical="center"/>
    </xf>
    <xf numFmtId="0" fontId="15" fillId="6" borderId="14" xfId="0" applyFont="1" applyFill="1" applyBorder="1" applyAlignment="1">
      <alignment horizontal="center" vertical="center"/>
    </xf>
    <xf numFmtId="0" fontId="15" fillId="6" borderId="8" xfId="0" applyFont="1" applyFill="1" applyBorder="1" applyAlignment="1">
      <alignment horizontal="center" vertical="center"/>
    </xf>
    <xf numFmtId="0" fontId="15" fillId="6" borderId="12" xfId="0" applyFont="1" applyFill="1" applyBorder="1" applyAlignment="1">
      <alignment horizontal="center" vertical="center"/>
    </xf>
    <xf numFmtId="0" fontId="35" fillId="25" borderId="15" xfId="0" applyFont="1" applyFill="1" applyBorder="1" applyAlignment="1">
      <alignment horizontal="center" vertical="center"/>
    </xf>
    <xf numFmtId="0" fontId="35" fillId="25" borderId="16" xfId="0" applyFont="1" applyFill="1" applyBorder="1" applyAlignment="1">
      <alignment horizontal="center" vertical="center"/>
    </xf>
    <xf numFmtId="0" fontId="35" fillId="25" borderId="17" xfId="0" applyFont="1" applyFill="1" applyBorder="1" applyAlignment="1">
      <alignment horizontal="center" vertical="center"/>
    </xf>
    <xf numFmtId="0" fontId="35" fillId="25" borderId="14" xfId="0" applyFont="1" applyFill="1" applyBorder="1" applyAlignment="1">
      <alignment horizontal="center" vertical="center"/>
    </xf>
    <xf numFmtId="0" fontId="35" fillId="25" borderId="8" xfId="0" applyFont="1" applyFill="1" applyBorder="1" applyAlignment="1">
      <alignment horizontal="center" vertical="center"/>
    </xf>
    <xf numFmtId="0" fontId="35" fillId="25" borderId="12" xfId="0" applyFont="1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0" fontId="15" fillId="2" borderId="8" xfId="0" applyFont="1" applyFill="1" applyBorder="1" applyAlignment="1">
      <alignment horizontal="center" vertical="center"/>
    </xf>
    <xf numFmtId="0" fontId="15" fillId="2" borderId="12" xfId="0" applyFont="1" applyFill="1" applyBorder="1" applyAlignment="1">
      <alignment horizontal="center" vertical="center"/>
    </xf>
    <xf numFmtId="0" fontId="5" fillId="26" borderId="19" xfId="0" applyFont="1" applyFill="1" applyBorder="1" applyAlignment="1">
      <alignment horizontal="center" vertical="center"/>
    </xf>
    <xf numFmtId="0" fontId="5" fillId="26" borderId="21" xfId="0" applyFont="1" applyFill="1" applyBorder="1" applyAlignment="1">
      <alignment horizontal="center" vertical="center"/>
    </xf>
    <xf numFmtId="0" fontId="5" fillId="26" borderId="22" xfId="0" applyFont="1" applyFill="1" applyBorder="1" applyAlignment="1">
      <alignment horizontal="center" vertical="center"/>
    </xf>
    <xf numFmtId="0" fontId="5" fillId="26" borderId="24" xfId="0" applyFont="1" applyFill="1" applyBorder="1" applyAlignment="1">
      <alignment horizontal="center" vertical="center"/>
    </xf>
    <xf numFmtId="0" fontId="5" fillId="23" borderId="19" xfId="0" applyFont="1" applyFill="1" applyBorder="1" applyAlignment="1">
      <alignment horizontal="center" vertical="center"/>
    </xf>
    <xf numFmtId="0" fontId="5" fillId="23" borderId="21" xfId="0" applyFont="1" applyFill="1" applyBorder="1" applyAlignment="1">
      <alignment horizontal="center" vertical="center"/>
    </xf>
    <xf numFmtId="0" fontId="5" fillId="23" borderId="22" xfId="0" applyFont="1" applyFill="1" applyBorder="1" applyAlignment="1">
      <alignment horizontal="center" vertical="center"/>
    </xf>
    <xf numFmtId="0" fontId="5" fillId="23" borderId="24" xfId="0" applyFont="1" applyFill="1" applyBorder="1" applyAlignment="1">
      <alignment horizontal="center" vertical="center"/>
    </xf>
    <xf numFmtId="0" fontId="15" fillId="7" borderId="0" xfId="0" applyFont="1" applyFill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5" fillId="10" borderId="0" xfId="0" applyFont="1" applyFill="1" applyAlignment="1">
      <alignment horizontal="center" vertical="center"/>
    </xf>
    <xf numFmtId="0" fontId="5" fillId="10" borderId="26" xfId="0" applyFont="1" applyFill="1" applyBorder="1" applyAlignment="1">
      <alignment horizontal="center" vertical="center"/>
    </xf>
    <xf numFmtId="0" fontId="5" fillId="10" borderId="23" xfId="0" applyFont="1" applyFill="1" applyBorder="1" applyAlignment="1">
      <alignment horizontal="center" vertical="center"/>
    </xf>
    <xf numFmtId="0" fontId="17" fillId="48" borderId="15" xfId="0" applyFont="1" applyFill="1" applyBorder="1" applyAlignment="1">
      <alignment horizontal="center" vertical="center"/>
    </xf>
    <xf numFmtId="0" fontId="17" fillId="48" borderId="16" xfId="0" applyFont="1" applyFill="1" applyBorder="1" applyAlignment="1">
      <alignment horizontal="center" vertical="center"/>
    </xf>
    <xf numFmtId="0" fontId="17" fillId="48" borderId="17" xfId="0" applyFont="1" applyFill="1" applyBorder="1" applyAlignment="1">
      <alignment horizontal="center" vertical="center"/>
    </xf>
    <xf numFmtId="0" fontId="17" fillId="48" borderId="14" xfId="0" applyFont="1" applyFill="1" applyBorder="1" applyAlignment="1">
      <alignment horizontal="center" vertical="center"/>
    </xf>
    <xf numFmtId="0" fontId="17" fillId="48" borderId="8" xfId="0" applyFont="1" applyFill="1" applyBorder="1" applyAlignment="1">
      <alignment horizontal="center" vertical="center"/>
    </xf>
    <xf numFmtId="0" fontId="17" fillId="48" borderId="12" xfId="0" applyFont="1" applyFill="1" applyBorder="1" applyAlignment="1">
      <alignment horizontal="center" vertical="center"/>
    </xf>
    <xf numFmtId="0" fontId="35" fillId="25" borderId="2" xfId="0" applyFont="1" applyFill="1" applyBorder="1" applyAlignment="1">
      <alignment horizontal="center" vertical="center"/>
    </xf>
    <xf numFmtId="0" fontId="35" fillId="25" borderId="13" xfId="0" applyFont="1" applyFill="1" applyBorder="1" applyAlignment="1">
      <alignment horizontal="center" vertical="center"/>
    </xf>
    <xf numFmtId="0" fontId="12" fillId="48" borderId="5" xfId="0" applyFont="1" applyFill="1" applyBorder="1" applyAlignment="1">
      <alignment horizontal="center"/>
    </xf>
    <xf numFmtId="0" fontId="12" fillId="48" borderId="6" xfId="0" applyFont="1" applyFill="1" applyBorder="1" applyAlignment="1">
      <alignment horizontal="center"/>
    </xf>
    <xf numFmtId="0" fontId="12" fillId="48" borderId="7" xfId="0" applyFont="1" applyFill="1" applyBorder="1" applyAlignment="1">
      <alignment horizontal="center"/>
    </xf>
    <xf numFmtId="0" fontId="12" fillId="10" borderId="5" xfId="0" applyFont="1" applyFill="1" applyBorder="1" applyAlignment="1">
      <alignment horizontal="center"/>
    </xf>
    <xf numFmtId="0" fontId="12" fillId="10" borderId="6" xfId="0" applyFont="1" applyFill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168" fontId="2" fillId="0" borderId="4" xfId="0" applyNumberFormat="1" applyFont="1" applyBorder="1" applyAlignment="1">
      <alignment horizontal="center" vertical="center" wrapText="1"/>
    </xf>
    <xf numFmtId="168" fontId="2" fillId="0" borderId="27" xfId="0" applyNumberFormat="1" applyFont="1" applyBorder="1" applyAlignment="1">
      <alignment horizontal="center" vertical="center" wrapText="1"/>
    </xf>
    <xf numFmtId="168" fontId="2" fillId="0" borderId="3" xfId="0" applyNumberFormat="1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27" xfId="0" applyFont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7" fillId="10" borderId="15" xfId="0" applyFont="1" applyFill="1" applyBorder="1" applyAlignment="1">
      <alignment horizontal="center" vertical="center"/>
    </xf>
    <xf numFmtId="0" fontId="17" fillId="10" borderId="16" xfId="0" applyFont="1" applyFill="1" applyBorder="1" applyAlignment="1">
      <alignment horizontal="center" vertical="center"/>
    </xf>
    <xf numFmtId="0" fontId="17" fillId="10" borderId="17" xfId="0" applyFont="1" applyFill="1" applyBorder="1" applyAlignment="1">
      <alignment horizontal="center" vertical="center"/>
    </xf>
    <xf numFmtId="0" fontId="17" fillId="10" borderId="14" xfId="0" applyFont="1" applyFill="1" applyBorder="1" applyAlignment="1">
      <alignment horizontal="center" vertical="center"/>
    </xf>
    <xf numFmtId="0" fontId="17" fillId="10" borderId="8" xfId="0" applyFont="1" applyFill="1" applyBorder="1" applyAlignment="1">
      <alignment horizontal="center" vertical="center"/>
    </xf>
    <xf numFmtId="0" fontId="17" fillId="10" borderId="12" xfId="0" applyFont="1" applyFill="1" applyBorder="1" applyAlignment="1">
      <alignment horizontal="center" vertical="center"/>
    </xf>
    <xf numFmtId="0" fontId="34" fillId="2" borderId="0" xfId="0" applyFont="1" applyFill="1" applyAlignment="1">
      <alignment horizontal="center" vertical="center"/>
    </xf>
    <xf numFmtId="0" fontId="17" fillId="10" borderId="0" xfId="0" applyFont="1" applyFill="1" applyAlignment="1">
      <alignment horizontal="center" vertical="center"/>
    </xf>
    <xf numFmtId="0" fontId="17" fillId="10" borderId="23" xfId="0" applyFont="1" applyFill="1" applyBorder="1" applyAlignment="1">
      <alignment horizontal="center" vertical="center"/>
    </xf>
    <xf numFmtId="0" fontId="4" fillId="16" borderId="2" xfId="0" applyFont="1" applyFill="1" applyBorder="1" applyAlignment="1">
      <alignment horizontal="center"/>
    </xf>
    <xf numFmtId="0" fontId="4" fillId="16" borderId="0" xfId="0" applyFont="1" applyFill="1" applyAlignment="1">
      <alignment horizontal="center"/>
    </xf>
    <xf numFmtId="0" fontId="4" fillId="16" borderId="13" xfId="0" applyFont="1" applyFill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31" fillId="10" borderId="9" xfId="0" applyFont="1" applyFill="1" applyBorder="1" applyAlignment="1">
      <alignment horizontal="center"/>
    </xf>
    <xf numFmtId="0" fontId="31" fillId="10" borderId="10" xfId="0" applyFont="1" applyFill="1" applyBorder="1" applyAlignment="1">
      <alignment horizontal="center"/>
    </xf>
    <xf numFmtId="0" fontId="31" fillId="10" borderId="11" xfId="0" applyFont="1" applyFill="1" applyBorder="1" applyAlignment="1">
      <alignment horizontal="center"/>
    </xf>
    <xf numFmtId="0" fontId="2" fillId="13" borderId="2" xfId="0" applyFont="1" applyFill="1" applyBorder="1" applyAlignment="1">
      <alignment horizontal="center"/>
    </xf>
    <xf numFmtId="0" fontId="2" fillId="13" borderId="0" xfId="0" applyFont="1" applyFill="1" applyAlignment="1">
      <alignment horizontal="center"/>
    </xf>
    <xf numFmtId="0" fontId="2" fillId="13" borderId="13" xfId="0" applyFont="1" applyFill="1" applyBorder="1" applyAlignment="1">
      <alignment horizontal="center"/>
    </xf>
    <xf numFmtId="0" fontId="2" fillId="18" borderId="2" xfId="0" applyFont="1" applyFill="1" applyBorder="1" applyAlignment="1">
      <alignment horizontal="center"/>
    </xf>
    <xf numFmtId="0" fontId="2" fillId="18" borderId="0" xfId="0" applyFont="1" applyFill="1" applyAlignment="1">
      <alignment horizontal="center"/>
    </xf>
    <xf numFmtId="0" fontId="2" fillId="18" borderId="13" xfId="0" applyFont="1" applyFill="1" applyBorder="1" applyAlignment="1">
      <alignment horizontal="center"/>
    </xf>
    <xf numFmtId="0" fontId="12" fillId="41" borderId="2" xfId="0" applyFont="1" applyFill="1" applyBorder="1" applyAlignment="1">
      <alignment horizontal="center"/>
    </xf>
    <xf numFmtId="0" fontId="12" fillId="41" borderId="0" xfId="0" applyFont="1" applyFill="1" applyAlignment="1">
      <alignment horizontal="center"/>
    </xf>
    <xf numFmtId="0" fontId="12" fillId="41" borderId="13" xfId="0" applyFont="1" applyFill="1" applyBorder="1" applyAlignment="1">
      <alignment horizontal="center"/>
    </xf>
    <xf numFmtId="0" fontId="12" fillId="43" borderId="2" xfId="0" applyFont="1" applyFill="1" applyBorder="1" applyAlignment="1">
      <alignment horizontal="center"/>
    </xf>
    <xf numFmtId="0" fontId="12" fillId="43" borderId="0" xfId="0" applyFont="1" applyFill="1" applyAlignment="1">
      <alignment horizontal="center"/>
    </xf>
    <xf numFmtId="0" fontId="12" fillId="43" borderId="13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2" fillId="20" borderId="2" xfId="0" applyFont="1" applyFill="1" applyBorder="1" applyAlignment="1">
      <alignment horizontal="center"/>
    </xf>
    <xf numFmtId="0" fontId="2" fillId="20" borderId="0" xfId="0" applyFont="1" applyFill="1" applyAlignment="1">
      <alignment horizontal="center"/>
    </xf>
    <xf numFmtId="0" fontId="2" fillId="20" borderId="13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2" fillId="8" borderId="0" xfId="0" applyFont="1" applyFill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12" fillId="37" borderId="2" xfId="0" applyFont="1" applyFill="1" applyBorder="1" applyAlignment="1">
      <alignment horizontal="center"/>
    </xf>
    <xf numFmtId="0" fontId="12" fillId="37" borderId="0" xfId="0" applyFont="1" applyFill="1" applyAlignment="1">
      <alignment horizontal="center"/>
    </xf>
    <xf numFmtId="0" fontId="12" fillId="37" borderId="13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4" borderId="0" xfId="0" applyFont="1" applyFill="1" applyAlignment="1">
      <alignment horizontal="center"/>
    </xf>
    <xf numFmtId="0" fontId="12" fillId="4" borderId="13" xfId="0" applyFont="1" applyFill="1" applyBorder="1" applyAlignment="1">
      <alignment horizontal="center"/>
    </xf>
    <xf numFmtId="0" fontId="12" fillId="39" borderId="2" xfId="0" applyFont="1" applyFill="1" applyBorder="1" applyAlignment="1">
      <alignment horizontal="center"/>
    </xf>
    <xf numFmtId="0" fontId="12" fillId="39" borderId="0" xfId="0" applyFont="1" applyFill="1" applyAlignment="1">
      <alignment horizontal="center"/>
    </xf>
    <xf numFmtId="0" fontId="12" fillId="39" borderId="13" xfId="0" applyFont="1" applyFill="1" applyBorder="1" applyAlignment="1">
      <alignment horizontal="center"/>
    </xf>
    <xf numFmtId="0" fontId="12" fillId="33" borderId="2" xfId="0" applyFont="1" applyFill="1" applyBorder="1" applyAlignment="1">
      <alignment horizontal="center"/>
    </xf>
    <xf numFmtId="0" fontId="12" fillId="33" borderId="0" xfId="0" applyFont="1" applyFill="1" applyAlignment="1">
      <alignment horizontal="center"/>
    </xf>
    <xf numFmtId="0" fontId="12" fillId="33" borderId="13" xfId="0" applyFont="1" applyFill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47" borderId="1" xfId="0" applyFont="1" applyFill="1" applyBorder="1" applyAlignment="1">
      <alignment horizontal="center" wrapText="1"/>
    </xf>
    <xf numFmtId="9" fontId="12" fillId="2" borderId="1" xfId="0" applyNumberFormat="1" applyFont="1" applyFill="1" applyBorder="1" applyAlignment="1">
      <alignment horizontal="center"/>
    </xf>
    <xf numFmtId="0" fontId="12" fillId="6" borderId="1" xfId="0" applyFont="1" applyFill="1" applyBorder="1" applyAlignment="1">
      <alignment horizontal="center"/>
    </xf>
    <xf numFmtId="173" fontId="0" fillId="0" borderId="0" xfId="0" applyNumberFormat="1"/>
    <xf numFmtId="1" fontId="0" fillId="0" borderId="0" xfId="2" applyNumberFormat="1" applyFont="1"/>
    <xf numFmtId="0" fontId="0" fillId="0" borderId="0" xfId="0" applyFill="1"/>
    <xf numFmtId="0" fontId="15" fillId="10" borderId="1" xfId="0" applyFont="1" applyFill="1" applyBorder="1" applyAlignment="1">
      <alignment horizontal="center" vertical="center"/>
    </xf>
    <xf numFmtId="0" fontId="17" fillId="48" borderId="1" xfId="0" applyFont="1" applyFill="1" applyBorder="1" applyAlignment="1">
      <alignment horizontal="center" vertical="center"/>
    </xf>
    <xf numFmtId="0" fontId="31" fillId="35" borderId="1" xfId="0" applyFont="1" applyFill="1" applyBorder="1" applyAlignment="1">
      <alignment horizontal="center" vertical="center"/>
    </xf>
    <xf numFmtId="0" fontId="17" fillId="47" borderId="1" xfId="0" applyFont="1" applyFill="1" applyBorder="1" applyAlignment="1">
      <alignment horizontal="center" vertical="center"/>
    </xf>
  </cellXfs>
  <cellStyles count="5">
    <cellStyle name="Comma" xfId="2" builtinId="3"/>
    <cellStyle name="Currency" xfId="1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FFC9CB"/>
      <color rgb="FFB6E1C5"/>
      <color rgb="FFE7E5BF"/>
      <color rgb="FFF0EEC3"/>
      <color rgb="FFC1E1C0"/>
      <color rgb="FFD9D7B0"/>
      <color rgb="FFABF0DC"/>
      <color rgb="FFC1D0F0"/>
      <color rgb="FFFFDBE3"/>
      <color rgb="FFF3C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r>
              <a:rPr lang="en-US" sz="2000" b="1"/>
              <a:t>NET PRESENT IMPACT </a:t>
            </a:r>
            <a:r>
              <a:rPr lang="en-US" sz="2000" b="0"/>
              <a:t>OF SELECTED ENERGY PROCESSES</a:t>
            </a:r>
          </a:p>
        </c:rich>
      </c:tx>
      <c:layout>
        <c:manualLayout>
          <c:xMode val="edge"/>
          <c:yMode val="edge"/>
          <c:x val="1.9725778174130133E-2"/>
          <c:y val="2.21615243977381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656292556283796"/>
          <c:y val="0.11722394837455324"/>
          <c:w val="0.87385208446643836"/>
          <c:h val="0.6210376024992885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Figures!$A$3</c:f>
              <c:strCache>
                <c:ptCount val="1"/>
                <c:pt idx="0">
                  <c:v>Capital Embodied Impact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Figures!$B$3:$E$3</c:f>
              <c:numCache>
                <c:formatCode>_(* #,##0.00_);_(* \(#,##0.00\);_(* "-"??_);_(@_)</c:formatCode>
                <c:ptCount val="4"/>
                <c:pt idx="0">
                  <c:v>-1.5045520489885273</c:v>
                </c:pt>
                <c:pt idx="1">
                  <c:v>-71.099123176683705</c:v>
                </c:pt>
                <c:pt idx="2">
                  <c:v>-120.42898654614501</c:v>
                </c:pt>
                <c:pt idx="3">
                  <c:v>-1.336262292562196E-2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6-2443-BC56-CEEB7BA70B3D}"/>
            </c:ext>
          </c:extLst>
        </c:ser>
        <c:ser>
          <c:idx val="1"/>
          <c:order val="1"/>
          <c:tx>
            <c:strRef>
              <c:f>Figures!$A$4</c:f>
              <c:strCache>
                <c:ptCount val="1"/>
                <c:pt idx="0">
                  <c:v>Operational Embodied Impact</c:v>
                </c:pt>
              </c:strCache>
            </c:strRef>
          </c:tx>
          <c:spPr>
            <a:solidFill>
              <a:srgbClr val="E8B071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Figures!$B$4:$E$4</c:f>
              <c:numCache>
                <c:formatCode>_(* #,##0.00_);_(* \(#,##0.00\);_(* "-"??_);_(@_)</c:formatCode>
                <c:ptCount val="4"/>
                <c:pt idx="0">
                  <c:v>-900.74483769600272</c:v>
                </c:pt>
                <c:pt idx="1">
                  <c:v>-111.53459608254752</c:v>
                </c:pt>
                <c:pt idx="2">
                  <c:v>-35.275226631849002</c:v>
                </c:pt>
                <c:pt idx="3">
                  <c:v>-607.98378919882521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D6-2443-BC56-CEEB7BA70B3D}"/>
            </c:ext>
          </c:extLst>
        </c:ser>
        <c:ser>
          <c:idx val="2"/>
          <c:order val="2"/>
          <c:tx>
            <c:strRef>
              <c:f>Figures!$A$5</c:f>
              <c:strCache>
                <c:ptCount val="1"/>
                <c:pt idx="0">
                  <c:v>Energy</c:v>
                </c:pt>
              </c:strCache>
            </c:strRef>
          </c:tx>
          <c:spPr>
            <a:solidFill>
              <a:srgbClr val="E9DE31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Figures!$B$5:$E$5</c:f>
              <c:numCache>
                <c:formatCode>_(* #,##0.00_);_(* \(#,##0.00\);_(* "-"??_);_(@_)</c:formatCode>
                <c:ptCount val="4"/>
                <c:pt idx="0">
                  <c:v>0.71684161632761489</c:v>
                </c:pt>
                <c:pt idx="1">
                  <c:v>0.71684161632761489</c:v>
                </c:pt>
                <c:pt idx="2">
                  <c:v>0.71684161632761489</c:v>
                </c:pt>
                <c:pt idx="3">
                  <c:v>0.71684161632761489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2443-BC56-CEEB7BA70B3D}"/>
            </c:ext>
          </c:extLst>
        </c:ser>
        <c:ser>
          <c:idx val="3"/>
          <c:order val="3"/>
          <c:tx>
            <c:strRef>
              <c:f>Figures!$A$6</c:f>
              <c:strCache>
                <c:ptCount val="1"/>
                <c:pt idx="0">
                  <c:v>Greenhouse Gasses</c:v>
                </c:pt>
              </c:strCache>
            </c:strRef>
          </c:tx>
          <c:spPr>
            <a:solidFill>
              <a:srgbClr val="607763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Figures!$B$6:$E$6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-35.963985077626184</c:v>
                </c:pt>
                <c:pt idx="3">
                  <c:v>-111.78098176723159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D6-2443-BC56-CEEB7BA70B3D}"/>
            </c:ext>
          </c:extLst>
        </c:ser>
        <c:ser>
          <c:idx val="4"/>
          <c:order val="4"/>
          <c:tx>
            <c:strRef>
              <c:f>Figures!$A$7</c:f>
              <c:strCache>
                <c:ptCount val="1"/>
                <c:pt idx="0">
                  <c:v>Sanitation</c:v>
                </c:pt>
              </c:strCache>
            </c:strRef>
          </c:tx>
          <c:spPr>
            <a:solidFill>
              <a:srgbClr val="B9873D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Figures!$B$7:$E$7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300.5246631655146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D6-2443-BC56-CEEB7BA70B3D}"/>
            </c:ext>
          </c:extLst>
        </c:ser>
        <c:ser>
          <c:idx val="5"/>
          <c:order val="5"/>
          <c:tx>
            <c:strRef>
              <c:f>Figures!$A$8</c:f>
              <c:strCache>
                <c:ptCount val="1"/>
                <c:pt idx="0">
                  <c:v>Air Pollutants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Figures!$B$8:$E$8</c:f>
              <c:numCache>
                <c:formatCode>_(* #,##0.00_);_(* \(#,##0.00\);_(* "-"??_);_(@_)</c:formatCode>
                <c:ptCount val="4"/>
                <c:pt idx="0">
                  <c:v>-169.25809693762787</c:v>
                </c:pt>
                <c:pt idx="1">
                  <c:v>-169.25809693762807</c:v>
                </c:pt>
                <c:pt idx="2">
                  <c:v>-169.25809693762807</c:v>
                </c:pt>
                <c:pt idx="3">
                  <c:v>-2.5261796671128836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DD6-2443-BC56-CEEB7BA70B3D}"/>
            </c:ext>
          </c:extLst>
        </c:ser>
        <c:ser>
          <c:idx val="7"/>
          <c:order val="6"/>
          <c:tx>
            <c:strRef>
              <c:f>Figures!$A$10</c:f>
              <c:strCache>
                <c:ptCount val="1"/>
                <c:pt idx="0">
                  <c:v>Health Pollutants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Figures!$B$10:$E$10</c:f>
              <c:numCache>
                <c:formatCode>_(* #,##0.00_);_(* \(#,##0.00\);_(* "-"??_);_(@_)</c:formatCode>
                <c:ptCount val="4"/>
                <c:pt idx="0">
                  <c:v>-3.4569375971389325E-4</c:v>
                </c:pt>
                <c:pt idx="1">
                  <c:v>-2.9869002490846283E-4</c:v>
                </c:pt>
                <c:pt idx="2">
                  <c:v>-3.4569375971389346E-4</c:v>
                </c:pt>
                <c:pt idx="3">
                  <c:v>-2.681799948047972E-4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ED-9A41-9140-33001B4533A1}"/>
            </c:ext>
          </c:extLst>
        </c:ser>
        <c:ser>
          <c:idx val="8"/>
          <c:order val="7"/>
          <c:tx>
            <c:strRef>
              <c:f>Figures!$A$11</c:f>
              <c:strCache>
                <c:ptCount val="1"/>
                <c:pt idx="0">
                  <c:v>Fertilizer / Soil Ammendment</c:v>
                </c:pt>
              </c:strCache>
            </c:strRef>
          </c:tx>
          <c:spPr>
            <a:solidFill>
              <a:srgbClr val="7FA748"/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Figures!$B$11:$E$11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40.727285498548234</c:v>
                </c:pt>
                <c:pt idx="2">
                  <c:v>1.0316071033897576E-4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4ED-9A41-9140-33001B4533A1}"/>
            </c:ext>
          </c:extLst>
        </c:ser>
        <c:ser>
          <c:idx val="9"/>
          <c:order val="8"/>
          <c:tx>
            <c:strRef>
              <c:f>Figures!$A$12</c:f>
              <c:strCache>
                <c:ptCount val="1"/>
                <c:pt idx="0">
                  <c:v>Epsom Salt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Figures!$B$12:$E$12</c:f>
              <c:numCache>
                <c:formatCode>_(* #,##0.00_);_(* \(#,##0.00\);_(* "-"??_);_(@_)</c:formatCode>
                <c:ptCount val="4"/>
                <c:pt idx="0">
                  <c:v>0</c:v>
                </c:pt>
                <c:pt idx="1">
                  <c:v>0.20363642749274111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4ED-9A41-9140-33001B4533A1}"/>
            </c:ext>
          </c:extLst>
        </c:ser>
        <c:ser>
          <c:idx val="10"/>
          <c:order val="9"/>
          <c:tx>
            <c:strRef>
              <c:f>Figures!$A$13</c:f>
              <c:strCache>
                <c:ptCount val="1"/>
                <c:pt idx="0">
                  <c:v>Fly &amp; Bottom Ash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Figures!$B$13:$E$13</c:f>
              <c:numCache>
                <c:formatCode>General</c:formatCode>
                <c:ptCount val="4"/>
                <c:pt idx="0" formatCode="_(* #,##0.00_);_(* \(#,##0.00\);_(* &quot;-&quot;??_);_(@_)">
                  <c:v>0</c:v>
                </c:pt>
                <c:pt idx="3" formatCode="_(* #,##0.00_);_(* \(#,##0.00\);_(* &quot;-&quot;??_);_(@_)">
                  <c:v>1.3073186588207049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4ED-9A41-9140-33001B4533A1}"/>
            </c:ext>
          </c:extLst>
        </c:ser>
        <c:ser>
          <c:idx val="12"/>
          <c:order val="10"/>
          <c:tx>
            <c:strRef>
              <c:f>Figures!$A$14</c:f>
              <c:strCache>
                <c:ptCount val="1"/>
                <c:pt idx="0">
                  <c:v>Distillers Grains</c:v>
                </c:pt>
              </c:strCache>
            </c:strRef>
          </c:tx>
          <c:spPr>
            <a:solidFill>
              <a:srgbClr val="FFDA7B"/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Figures!$B$14:$E$14</c:f>
              <c:numCache>
                <c:formatCode>General</c:formatCode>
                <c:ptCount val="4"/>
                <c:pt idx="0" formatCode="_(* #,##0.00_);_(* \(#,##0.00\);_(* &quot;-&quot;??_);_(@_)">
                  <c:v>6.3353712307297591E-6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D5-D847-94BC-518D956E864B}"/>
            </c:ext>
          </c:extLst>
        </c:ser>
        <c:ser>
          <c:idx val="11"/>
          <c:order val="11"/>
          <c:tx>
            <c:strRef>
              <c:f>Figures!$A$15</c:f>
              <c:strCache>
                <c:ptCount val="1"/>
                <c:pt idx="0">
                  <c:v>Employment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Figures!$B$15:$E$15</c:f>
              <c:numCache>
                <c:formatCode>_(* #,##0.00_);_(* \(#,##0.00\);_(* "-"??_);_(@_)</c:formatCode>
                <c:ptCount val="4"/>
                <c:pt idx="0">
                  <c:v>0.10220564750470015</c:v>
                </c:pt>
                <c:pt idx="1">
                  <c:v>0.10220564750470015</c:v>
                </c:pt>
                <c:pt idx="2">
                  <c:v>0.10597239805454639</c:v>
                </c:pt>
                <c:pt idx="3">
                  <c:v>0.10220564750470015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D5-D847-94BC-518D956E8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82110784"/>
        <c:axId val="2009669648"/>
      </c:barChart>
      <c:scatterChart>
        <c:scatterStyle val="lineMarker"/>
        <c:varyColors val="0"/>
        <c:ser>
          <c:idx val="6"/>
          <c:order val="12"/>
          <c:tx>
            <c:strRef>
              <c:f>Figures!$A$16</c:f>
              <c:strCache>
                <c:ptCount val="1"/>
                <c:pt idx="0">
                  <c:v>Total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2047137766913179E-2"/>
                  <c:y val="1.171480655809312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C36-784A-B978-01F110708AD9}"/>
                </c:ext>
              </c:extLst>
            </c:dLbl>
            <c:dLbl>
              <c:idx val="1"/>
              <c:layout>
                <c:manualLayout>
                  <c:x val="-3.8696641619741304E-2"/>
                  <c:y val="0.1496562770264975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0EE-134A-B792-910C954AC7AE}"/>
                </c:ext>
              </c:extLst>
            </c:dLbl>
            <c:dLbl>
              <c:idx val="2"/>
              <c:layout>
                <c:manualLayout>
                  <c:x val="-4.9198190681090104E-2"/>
                  <c:y val="2.2000876549430545E-2"/>
                </c:manualLayout>
              </c:layout>
              <c:numFmt formatCode="#,##0.00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t" anchorCtr="0">
                  <a:no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2792032078429681E-2"/>
                      <c:h val="4.179353644080507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4C36-784A-B978-01F110708AD9}"/>
                </c:ext>
              </c:extLst>
            </c:dLbl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Figures!$B$2:$E$2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xVal>
          <c:yVal>
            <c:numRef>
              <c:f>Figures!$B$16:$E$16</c:f>
              <c:numCache>
                <c:formatCode>_(* #,##0.00_);_(* \(#,##0.00\);_(* "-"??_);_(@_)</c:formatCode>
                <c:ptCount val="4"/>
                <c:pt idx="0">
                  <c:v>-1082.7064836397897</c:v>
                </c:pt>
                <c:pt idx="1">
                  <c:v>-21.63437243375132</c:v>
                </c:pt>
                <c:pt idx="2">
                  <c:v>-372.12061361417051</c:v>
                </c:pt>
                <c:pt idx="3">
                  <c:v>-720.49416324256936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DD6-2443-BC56-CEEB7BA70B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110784"/>
        <c:axId val="2009669648"/>
      </c:scatterChart>
      <c:catAx>
        <c:axId val="2082110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009669648"/>
        <c:crosses val="autoZero"/>
        <c:auto val="1"/>
        <c:lblAlgn val="ctr"/>
        <c:lblOffset val="100"/>
        <c:noMultiLvlLbl val="0"/>
      </c:catAx>
      <c:valAx>
        <c:axId val="2009669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r>
                  <a:rPr lang="en-US" sz="1400" b="1"/>
                  <a:t>Social Impact </a:t>
                </a:r>
                <a:r>
                  <a:rPr lang="en-US" sz="1400"/>
                  <a:t>[ S</a:t>
                </a:r>
                <a:r>
                  <a:rPr lang="en-US" sz="1400" b="0"/>
                  <a:t>I / TJ </a:t>
                </a:r>
                <a:r>
                  <a:rPr lang="en-US" sz="1400"/>
                  <a:t>] </a:t>
                </a:r>
              </a:p>
            </c:rich>
          </c:tx>
          <c:layout>
            <c:manualLayout>
              <c:xMode val="edge"/>
              <c:yMode val="edge"/>
              <c:x val="1.8509504116722992E-2"/>
              <c:y val="0.2745997857921544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 Nova Cond" panose="020B0506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cross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082110784"/>
        <c:crosses val="autoZero"/>
        <c:crossBetween val="between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5.0361497783028064E-2"/>
          <c:y val="0.84098706187889027"/>
          <c:w val="0.92234175592041423"/>
          <c:h val="0.15584672509025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r>
              <a:rPr lang="en-US" sz="2000" b="1"/>
              <a:t>SENSITIVITY</a:t>
            </a:r>
            <a:r>
              <a:rPr lang="en-US" sz="2000" b="1" baseline="0"/>
              <a:t> ANALYSIS: </a:t>
            </a:r>
            <a:r>
              <a:rPr lang="en-US" sz="2000" b="0" baseline="0"/>
              <a:t>HUMAN NEEDS DATABASE SCALE</a:t>
            </a:r>
            <a:endParaRPr lang="en-US" sz="2000" b="0"/>
          </a:p>
        </c:rich>
      </c:tx>
      <c:layout>
        <c:manualLayout>
          <c:xMode val="edge"/>
          <c:yMode val="edge"/>
          <c:x val="9.5697525749063404E-3"/>
          <c:y val="1.663402940573793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8892514605312667E-2"/>
          <c:y val="0.10119747765738077"/>
          <c:w val="0.89500076825924091"/>
          <c:h val="0.7042955448754303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Figures!$B$34</c:f>
              <c:strCache>
                <c:ptCount val="1"/>
                <c:pt idx="0">
                  <c:v>Corn Grain Ethanol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-1.4202172283756271E-3"/>
                  <c:y val="6.9052122116537287E-2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3E7-AD4E-B993-67170B28FBA5}"/>
                </c:ext>
              </c:extLst>
            </c:dLbl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Figures!$B$35:$B$42</c:f>
              <c:numCache>
                <c:formatCode>_(* #,##0.00_);_(* \(#,##0.00\);_(* "-"??_);_(@_)</c:formatCode>
                <c:ptCount val="8"/>
                <c:pt idx="0">
                  <c:v>-21.260318426376685</c:v>
                </c:pt>
                <c:pt idx="1">
                  <c:v>-52.146287245238689</c:v>
                </c:pt>
                <c:pt idx="2">
                  <c:v>-133.26322354576885</c:v>
                </c:pt>
                <c:pt idx="3">
                  <c:v>-353.53209213524815</c:v>
                </c:pt>
                <c:pt idx="4">
                  <c:v>-1082.7064836397897</c:v>
                </c:pt>
                <c:pt idx="5">
                  <c:v>-279.85111981850315</c:v>
                </c:pt>
                <c:pt idx="6">
                  <c:v>-32.894986439274298</c:v>
                </c:pt>
                <c:pt idx="7">
                  <c:v>-129.76709374455609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BF-C243-9BFE-E2E8F73A8DB1}"/>
            </c:ext>
          </c:extLst>
        </c:ser>
        <c:ser>
          <c:idx val="1"/>
          <c:order val="1"/>
          <c:tx>
            <c:strRef>
              <c:f>Figures!$C$34</c:f>
              <c:strCache>
                <c:ptCount val="1"/>
                <c:pt idx="0">
                  <c:v>Organic Wet Waste Derived Hydrocarbons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5.4609692274384036E-3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-5400000" spcFirstLastPara="1" vertOverflow="ellipsis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BD1-654E-8516-93F7A20B612E}"/>
                </c:ext>
              </c:extLst>
            </c:dLbl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Figures!$C$35:$C$42</c:f>
              <c:numCache>
                <c:formatCode>_(* #,##0.00_);_(* \(#,##0.00\);_(* "-"??_);_(@_)</c:formatCode>
                <c:ptCount val="8"/>
                <c:pt idx="0">
                  <c:v>-1.500983982849426</c:v>
                </c:pt>
                <c:pt idx="1">
                  <c:v>-3.2772265796194899</c:v>
                </c:pt>
                <c:pt idx="2">
                  <c:v>-6.9321118985909971</c:v>
                </c:pt>
                <c:pt idx="3">
                  <c:v>-14.549082912828208</c:v>
                </c:pt>
                <c:pt idx="4">
                  <c:v>-21.63437243375132</c:v>
                </c:pt>
                <c:pt idx="5">
                  <c:v>-12.805604270532362</c:v>
                </c:pt>
                <c:pt idx="6">
                  <c:v>-2.7267093307843973</c:v>
                </c:pt>
                <c:pt idx="7">
                  <c:v>5.6162313835854505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BF-C243-9BFE-E2E8F73A8DB1}"/>
            </c:ext>
          </c:extLst>
        </c:ser>
        <c:ser>
          <c:idx val="2"/>
          <c:order val="2"/>
          <c:tx>
            <c:strRef>
              <c:f>Figures!$D$34</c:f>
              <c:strCache>
                <c:ptCount val="1"/>
                <c:pt idx="0">
                  <c:v>Petrochemical Hydrocarbons</c:v>
                </c:pt>
              </c:strCache>
            </c:strRef>
          </c:tx>
          <c:spPr>
            <a:solidFill>
              <a:srgbClr val="FFC9CB"/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Figures!$D$35:$D$42</c:f>
              <c:numCache>
                <c:formatCode>_(* #,##0.00_);_(* \(#,##0.00\);_(* "-"??_);_(@_)</c:formatCode>
                <c:ptCount val="8"/>
                <c:pt idx="0">
                  <c:v>-5.116021995312253</c:v>
                </c:pt>
                <c:pt idx="1">
                  <c:v>-13.779782862778925</c:v>
                </c:pt>
                <c:pt idx="2">
                  <c:v>-38.243868720486802</c:v>
                </c:pt>
                <c:pt idx="3">
                  <c:v>-108.58173280422615</c:v>
                </c:pt>
                <c:pt idx="4">
                  <c:v>-372.12071677488086</c:v>
                </c:pt>
                <c:pt idx="5">
                  <c:v>-83.043919980650642</c:v>
                </c:pt>
                <c:pt idx="6">
                  <c:v>-6.6843050974762619</c:v>
                </c:pt>
                <c:pt idx="7">
                  <c:v>-20.894567392399317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BF-C243-9BFE-E2E8F73A8DB1}"/>
            </c:ext>
          </c:extLst>
        </c:ser>
        <c:ser>
          <c:idx val="3"/>
          <c:order val="3"/>
          <c:tx>
            <c:strRef>
              <c:f>Figures!$E$34</c:f>
              <c:strCache>
                <c:ptCount val="1"/>
                <c:pt idx="0">
                  <c:v>Coal Electricity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dLbls>
            <c:numFmt formatCode="#,##0.00" sourceLinked="0"/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Figures!$A$35:$A$42</c:f>
              <c:strCache>
                <c:ptCount val="8"/>
                <c:pt idx="0">
                  <c:v>Equal</c:v>
                </c:pt>
                <c:pt idx="1">
                  <c:v>Linear</c:v>
                </c:pt>
                <c:pt idx="2">
                  <c:v>Quadratic</c:v>
                </c:pt>
                <c:pt idx="3">
                  <c:v>Cubic</c:v>
                </c:pt>
                <c:pt idx="4">
                  <c:v>Logarithmic</c:v>
                </c:pt>
                <c:pt idx="5">
                  <c:v>Natural Logarithmic</c:v>
                </c:pt>
                <c:pt idx="6">
                  <c:v>Reverse Linear</c:v>
                </c:pt>
                <c:pt idx="7">
                  <c:v>Reverse Logarithmic</c:v>
                </c:pt>
              </c:strCache>
            </c:strRef>
          </c:cat>
          <c:val>
            <c:numRef>
              <c:f>Figures!$E$35:$E$42</c:f>
              <c:numCache>
                <c:formatCode>_(* #,##0.00_);_(* \(#,##0.00\);_(* "-"??_);_(@_)</c:formatCode>
                <c:ptCount val="8"/>
                <c:pt idx="0">
                  <c:v>-12.265774707809262</c:v>
                </c:pt>
                <c:pt idx="1">
                  <c:v>-31.147207383729494</c:v>
                </c:pt>
                <c:pt idx="2">
                  <c:v>-82.201319512149695</c:v>
                </c:pt>
                <c:pt idx="3">
                  <c:v>-224.18328409872933</c:v>
                </c:pt>
                <c:pt idx="4">
                  <c:v>-720.49416324256936</c:v>
                </c:pt>
                <c:pt idx="5">
                  <c:v>-174.95945546874322</c:v>
                </c:pt>
                <c:pt idx="6">
                  <c:v>-17.915891447500048</c:v>
                </c:pt>
                <c:pt idx="7">
                  <c:v>-65.544024399210585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BF-C243-9BFE-E2E8F73A8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446304"/>
        <c:axId val="883068144"/>
      </c:barChart>
      <c:catAx>
        <c:axId val="13844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883068144"/>
        <c:crosses val="autoZero"/>
        <c:auto val="1"/>
        <c:lblAlgn val="ctr"/>
        <c:lblOffset val="100"/>
        <c:noMultiLvlLbl val="1"/>
      </c:catAx>
      <c:valAx>
        <c:axId val="883068144"/>
        <c:scaling>
          <c:orientation val="minMax"/>
        </c:scaling>
        <c:delete val="0"/>
        <c:axPos val="l"/>
        <c:majorGridlines>
          <c:spPr>
            <a:ln w="3175" cap="flat" cmpd="sng" algn="ctr">
              <a:solidFill>
                <a:schemeClr val="tx1"/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r>
                  <a:rPr lang="en-US" sz="1400" b="1"/>
                  <a:t>Social Impact </a:t>
                </a:r>
                <a:r>
                  <a:rPr lang="en-US" sz="1400"/>
                  <a:t>[SI / TJ]</a:t>
                </a:r>
              </a:p>
            </c:rich>
          </c:tx>
          <c:layout>
            <c:manualLayout>
              <c:xMode val="edge"/>
              <c:yMode val="edge"/>
              <c:x val="6.8518283625180372E-3"/>
              <c:y val="0.27880890372647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Arial Nova Cond" panose="020B0506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138446304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Figures!$A$64</c:f>
              <c:strCache>
                <c:ptCount val="1"/>
                <c:pt idx="0">
                  <c:v>Receiving  Equipment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Figures!$B$64:$E$64</c:f>
              <c:numCache>
                <c:formatCode>General</c:formatCode>
                <c:ptCount val="4"/>
                <c:pt idx="0" formatCode="0.00E+00">
                  <c:v>530164141.60624659</c:v>
                </c:pt>
                <c:pt idx="2" formatCode="_(* #,##0.00_);_(* \(#,##0.00\);_(* &quot;-&quot;??_);_(@_)">
                  <c:v>92269943.052880123</c:v>
                </c:pt>
                <c:pt idx="3">
                  <c:v>12703646.665298466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58-7E4B-928D-FB71D2709829}"/>
            </c:ext>
          </c:extLst>
        </c:ser>
        <c:ser>
          <c:idx val="1"/>
          <c:order val="1"/>
          <c:tx>
            <c:strRef>
              <c:f>Figures!$A$65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Figures!$B$65:$E$65</c:f>
              <c:numCache>
                <c:formatCode>General</c:formatCode>
                <c:ptCount val="4"/>
                <c:pt idx="0" formatCode="0.00E+00">
                  <c:v>322084239.80786932</c:v>
                </c:pt>
                <c:pt idx="1">
                  <c:v>4637159244.4787006</c:v>
                </c:pt>
                <c:pt idx="2" formatCode="_(* #,##0.00_);_(* \(#,##0.00\);_(* &quot;-&quot;??_);_(@_)">
                  <c:v>47514366.391117454</c:v>
                </c:pt>
                <c:pt idx="3">
                  <c:v>13393386.687115688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58-7E4B-928D-FB71D2709829}"/>
            </c:ext>
          </c:extLst>
        </c:ser>
        <c:ser>
          <c:idx val="2"/>
          <c:order val="2"/>
          <c:tx>
            <c:strRef>
              <c:f>Figures!$A$66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Figures!$B$66:$E$66</c:f>
              <c:numCache>
                <c:formatCode>General</c:formatCode>
                <c:ptCount val="4"/>
                <c:pt idx="0" formatCode="0.00E+00">
                  <c:v>10959035316.427818</c:v>
                </c:pt>
                <c:pt idx="1">
                  <c:v>313305976117.57867</c:v>
                </c:pt>
                <c:pt idx="2" formatCode="_(* #,##0.00_);_(* \(#,##0.00\);_(* &quot;-&quot;??_);_(@_)">
                  <c:v>4433741307.1547155</c:v>
                </c:pt>
                <c:pt idx="3">
                  <c:v>561911755.06268859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558-7E4B-928D-FB71D2709829}"/>
            </c:ext>
          </c:extLst>
        </c:ser>
        <c:ser>
          <c:idx val="3"/>
          <c:order val="3"/>
          <c:tx>
            <c:strRef>
              <c:f>Figures!$A$67</c:f>
              <c:strCache>
                <c:ptCount val="1"/>
                <c:pt idx="0">
                  <c:v>Metal Tanks</c:v>
                </c:pt>
              </c:strCache>
            </c:strRef>
          </c:tx>
          <c:spPr>
            <a:solidFill>
              <a:srgbClr val="E5F8A4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Figures!$B$67:$E$67</c:f>
              <c:numCache>
                <c:formatCode>General</c:formatCode>
                <c:ptCount val="4"/>
                <c:pt idx="0" formatCode="0.00E+00">
                  <c:v>3029294686.3341866</c:v>
                </c:pt>
                <c:pt idx="2" formatCode="_(* #,##0.00_);_(* \(#,##0.00\);_(* &quot;-&quot;??_);_(@_)">
                  <c:v>48306979.125554629</c:v>
                </c:pt>
                <c:pt idx="3" formatCode="_(* #,##0.00_);_(* \(#,##0.00\);_(* &quot;-&quot;??_);_(@_)">
                  <c:v>18928333.757786885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58-7E4B-928D-FB71D2709829}"/>
            </c:ext>
          </c:extLst>
        </c:ser>
        <c:ser>
          <c:idx val="4"/>
          <c:order val="4"/>
          <c:tx>
            <c:strRef>
              <c:f>Figures!$A$68</c:f>
              <c:strCache>
                <c:ptCount val="1"/>
                <c:pt idx="0">
                  <c:v>Pumps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Figures!$B$68:$E$68</c:f>
              <c:numCache>
                <c:formatCode>General</c:formatCode>
                <c:ptCount val="4"/>
                <c:pt idx="0" formatCode="0.00E+00">
                  <c:v>185909461.9957698</c:v>
                </c:pt>
                <c:pt idx="1">
                  <c:v>11548649842.485243</c:v>
                </c:pt>
                <c:pt idx="2">
                  <c:v>1083209883.6719861</c:v>
                </c:pt>
                <c:pt idx="3" formatCode="_(* #,##0.00_);_(* \(#,##0.00\);_(* &quot;-&quot;??_);_(@_)">
                  <c:v>20141723.021014094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58-7E4B-928D-FB71D2709829}"/>
            </c:ext>
          </c:extLst>
        </c:ser>
        <c:ser>
          <c:idx val="5"/>
          <c:order val="5"/>
          <c:tx>
            <c:strRef>
              <c:f>Figures!$A$69</c:f>
              <c:strCache>
                <c:ptCount val="1"/>
                <c:pt idx="0">
                  <c:v>Heat Exchangers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558-7E4B-928D-FB71D270982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558-7E4B-928D-FB71D270982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0A5-AD4E-A138-930787384FE4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0066222110879862E-2"/>
                      <c:h val="0.108394697473835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F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Figures!$B$69:$E$69</c:f>
              <c:numCache>
                <c:formatCode>General</c:formatCode>
                <c:ptCount val="4"/>
                <c:pt idx="0" formatCode="0.00E+00">
                  <c:v>610516645.4913404</c:v>
                </c:pt>
                <c:pt idx="1">
                  <c:v>1829525005.9313457</c:v>
                </c:pt>
                <c:pt idx="2" formatCode="_(* #,##0.00_);_(* \(#,##0.00\);_(* &quot;-&quot;??_);_(@_)">
                  <c:v>532135298.22020429</c:v>
                </c:pt>
                <c:pt idx="3">
                  <c:v>320351349.10824049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58-7E4B-928D-FB71D2709829}"/>
            </c:ext>
          </c:extLst>
        </c:ser>
        <c:ser>
          <c:idx val="6"/>
          <c:order val="6"/>
          <c:tx>
            <c:strRef>
              <c:f>Figures!$A$70</c:f>
              <c:strCache>
                <c:ptCount val="1"/>
                <c:pt idx="0">
                  <c:v>Boats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Figures!$B$70:$E$70</c:f>
              <c:numCache>
                <c:formatCode>0.00E+00</c:formatCode>
                <c:ptCount val="4"/>
                <c:pt idx="1">
                  <c:v>31479619200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558-7E4B-928D-FB71D2709829}"/>
            </c:ext>
          </c:extLst>
        </c:ser>
        <c:ser>
          <c:idx val="7"/>
          <c:order val="7"/>
          <c:tx>
            <c:strRef>
              <c:f>Figures!$A$71</c:f>
              <c:strCache>
                <c:ptCount val="1"/>
                <c:pt idx="0">
                  <c:v>Heavy Duty Trucks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58078587261633"/>
                      <c:h val="8.2025333276580376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3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Figures!$B$71:$E$71</c:f>
              <c:numCache>
                <c:formatCode>0.00E+00</c:formatCode>
                <c:ptCount val="4"/>
                <c:pt idx="1">
                  <c:v>74863481996.351822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558-7E4B-928D-FB71D2709829}"/>
            </c:ext>
          </c:extLst>
        </c:ser>
        <c:ser>
          <c:idx val="8"/>
          <c:order val="8"/>
          <c:tx>
            <c:strRef>
              <c:f>Figures!$A$72</c:f>
              <c:strCache>
                <c:ptCount val="1"/>
                <c:pt idx="0">
                  <c:v>Filters and Membranes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Figures!$B$72:$E$72</c:f>
              <c:numCache>
                <c:formatCode>General</c:formatCode>
                <c:ptCount val="4"/>
                <c:pt idx="1">
                  <c:v>30132427436.319462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558-7E4B-928D-FB71D2709829}"/>
            </c:ext>
          </c:extLst>
        </c:ser>
        <c:ser>
          <c:idx val="9"/>
          <c:order val="9"/>
          <c:tx>
            <c:strRef>
              <c:f>Figures!$A$73</c:f>
              <c:strCache>
                <c:ptCount val="1"/>
                <c:pt idx="0">
                  <c:v>Electrodes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Figures!$B$73:$E$73</c:f>
              <c:numCache>
                <c:formatCode>General</c:formatCode>
                <c:ptCount val="4"/>
                <c:pt idx="1">
                  <c:v>107639313798.34189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558-7E4B-928D-FB71D2709829}"/>
            </c:ext>
          </c:extLst>
        </c:ser>
        <c:ser>
          <c:idx val="10"/>
          <c:order val="10"/>
          <c:tx>
            <c:strRef>
              <c:f>Figures!$A$74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Figures!$B$74:$E$74</c:f>
              <c:numCache>
                <c:formatCode>General</c:formatCode>
                <c:ptCount val="4"/>
                <c:pt idx="1">
                  <c:v>4561719914.2734423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558-7E4B-928D-FB71D2709829}"/>
            </c:ext>
          </c:extLst>
        </c:ser>
        <c:ser>
          <c:idx val="11"/>
          <c:order val="11"/>
          <c:tx>
            <c:strRef>
              <c:f>Figures!$A$75</c:f>
              <c:strCache>
                <c:ptCount val="1"/>
                <c:pt idx="0">
                  <c:v>Specialty Chemicals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066042220595655E-2"/>
                      <c:h val="0.17723508911080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4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Figures!$B$75:$E$75</c:f>
              <c:numCache>
                <c:formatCode>General</c:formatCode>
                <c:ptCount val="4"/>
                <c:pt idx="2" formatCode="_(* #,##0.00_);_(* \(#,##0.00\);_(* &quot;-&quot;??_);_(@_)">
                  <c:v>3758927723.3575721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558-7E4B-928D-FB71D2709829}"/>
            </c:ext>
          </c:extLst>
        </c:ser>
        <c:ser>
          <c:idx val="12"/>
          <c:order val="12"/>
          <c:tx>
            <c:strRef>
              <c:f>Figures!$A$76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2BE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3441278074343699"/>
                      <c:h val="0.1479487437697186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2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Figures!$B$76:$E$76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C-7558-7E4B-928D-FB71D2709829}"/>
            </c:ext>
          </c:extLst>
        </c:ser>
        <c:ser>
          <c:idx val="13"/>
          <c:order val="13"/>
          <c:tx>
            <c:strRef>
              <c:f>Figures!$A$77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rgbClr val="9EC4A2"/>
            </a:solidFill>
            <a:ln>
              <a:noFill/>
            </a:ln>
            <a:effectLst/>
          </c:spPr>
          <c:invertIfNegative val="0"/>
          <c:dLbls>
            <c:dLbl>
              <c:idx val="3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7558-7E4B-928D-FB71D27098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Figures!$B$77:$E$77</c:f>
              <c:numCache>
                <c:formatCode>General</c:formatCode>
                <c:ptCount val="4"/>
                <c:pt idx="3">
                  <c:v>231752035.50001228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558-7E4B-928D-FB71D2709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2"/>
        <c:delete val="1"/>
      </c:legendEntry>
      <c:layout>
        <c:manualLayout>
          <c:xMode val="edge"/>
          <c:yMode val="edge"/>
          <c:x val="0.20319818403064363"/>
          <c:y val="2.2969534874712916E-2"/>
          <c:w val="0.78710763233539394"/>
          <c:h val="0.24335845719700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Figures!$A$88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Figures!$B$88:$E$88</c:f>
              <c:numCache>
                <c:formatCode>0.00E+00</c:formatCode>
                <c:ptCount val="4"/>
                <c:pt idx="1">
                  <c:v>26032590362.801926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37-F44B-BB2C-73214E71366C}"/>
            </c:ext>
          </c:extLst>
        </c:ser>
        <c:ser>
          <c:idx val="1"/>
          <c:order val="1"/>
          <c:tx>
            <c:strRef>
              <c:f>Figures!$A$89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0-9437-F44B-BB2C-73214E71366C}"/>
                </c:ext>
              </c:extLst>
            </c:dLbl>
            <c:dLbl>
              <c:idx val="1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9437-F44B-BB2C-73214E71366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38-AD42-B1E5-8603CABD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Figures!$B$89:$E$89</c:f>
              <c:numCache>
                <c:formatCode>0.00E+00</c:formatCode>
                <c:ptCount val="4"/>
                <c:pt idx="0">
                  <c:v>731000838.06834054</c:v>
                </c:pt>
                <c:pt idx="1">
                  <c:v>5079530595.4566765</c:v>
                </c:pt>
                <c:pt idx="2">
                  <c:v>2771987.4240335557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437-F44B-BB2C-73214E71366C}"/>
            </c:ext>
          </c:extLst>
        </c:ser>
        <c:ser>
          <c:idx val="2"/>
          <c:order val="2"/>
          <c:tx>
            <c:strRef>
              <c:f>Figures!$A$90</c:f>
              <c:strCache>
                <c:ptCount val="1"/>
                <c:pt idx="0">
                  <c:v>Lactase Enzyme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Figures!$B$90:$E$90</c:f>
              <c:numCache>
                <c:formatCode>0.00E+00</c:formatCode>
                <c:ptCount val="4"/>
                <c:pt idx="1">
                  <c:v>899026414.00934649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37-F44B-BB2C-73214E71366C}"/>
            </c:ext>
          </c:extLst>
        </c:ser>
        <c:ser>
          <c:idx val="3"/>
          <c:order val="3"/>
          <c:tx>
            <c:strRef>
              <c:f>Figures!$A$91</c:f>
              <c:strCache>
                <c:ptCount val="1"/>
                <c:pt idx="0">
                  <c:v>Solids Disposal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Figures!$B$91:$E$91</c:f>
              <c:numCache>
                <c:formatCode>0.00E+00</c:formatCode>
                <c:ptCount val="4"/>
                <c:pt idx="1">
                  <c:v>409109516.24983877</c:v>
                </c:pt>
                <c:pt idx="3">
                  <c:v>3047330799.7293825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437-F44B-BB2C-73214E71366C}"/>
            </c:ext>
          </c:extLst>
        </c:ser>
        <c:ser>
          <c:idx val="4"/>
          <c:order val="4"/>
          <c:tx>
            <c:strRef>
              <c:f>Figures!$A$92</c:f>
              <c:strCache>
                <c:ptCount val="1"/>
                <c:pt idx="0">
                  <c:v>Wastewater Treatment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Figures!$B$92:$E$92</c:f>
              <c:numCache>
                <c:formatCode>0.00E+00</c:formatCode>
                <c:ptCount val="4"/>
                <c:pt idx="0">
                  <c:v>2746283.6552521456</c:v>
                </c:pt>
                <c:pt idx="1">
                  <c:v>1035906667.8814079</c:v>
                </c:pt>
                <c:pt idx="3">
                  <c:v>2636029655.2889938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437-F44B-BB2C-73214E71366C}"/>
            </c:ext>
          </c:extLst>
        </c:ser>
        <c:ser>
          <c:idx val="5"/>
          <c:order val="5"/>
          <c:tx>
            <c:strRef>
              <c:f>Figures!$A$93</c:f>
              <c:strCache>
                <c:ptCount val="1"/>
                <c:pt idx="0">
                  <c:v>Specialized Chemicals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397752358190908"/>
                      <c:h val="0.1168767698426504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9437-F44B-BB2C-73214E71366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38-AD42-B1E5-8603CABD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Figures!$B$93:$E$93</c:f>
              <c:numCache>
                <c:formatCode>0.00E+00</c:formatCode>
                <c:ptCount val="4"/>
                <c:pt idx="1">
                  <c:v>23399570579.342766</c:v>
                </c:pt>
                <c:pt idx="2">
                  <c:v>869919999.34610546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437-F44B-BB2C-73214E71366C}"/>
            </c:ext>
          </c:extLst>
        </c:ser>
        <c:ser>
          <c:idx val="6"/>
          <c:order val="6"/>
          <c:tx>
            <c:strRef>
              <c:f>Figures!$A$94</c:f>
              <c:strCache>
                <c:ptCount val="1"/>
                <c:pt idx="0">
                  <c:v>Corn Grain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Figures!$B$94:$E$94</c:f>
              <c:numCache>
                <c:formatCode>General</c:formatCode>
                <c:ptCount val="4"/>
                <c:pt idx="0" formatCode="0.00E+00">
                  <c:v>66459940395.62027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437-F44B-BB2C-73214E71366C}"/>
            </c:ext>
          </c:extLst>
        </c:ser>
        <c:ser>
          <c:idx val="7"/>
          <c:order val="7"/>
          <c:tx>
            <c:strRef>
              <c:f>Figures!$A$95</c:f>
              <c:strCache>
                <c:ptCount val="1"/>
                <c:pt idx="0">
                  <c:v>Corn Milling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Figures!$B$95:$E$95</c:f>
              <c:numCache>
                <c:formatCode>General</c:formatCode>
                <c:ptCount val="4"/>
                <c:pt idx="0" formatCode="0.00E+00">
                  <c:v>49374441.818477847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437-F44B-BB2C-73214E71366C}"/>
            </c:ext>
          </c:extLst>
        </c:ser>
        <c:ser>
          <c:idx val="8"/>
          <c:order val="8"/>
          <c:tx>
            <c:strRef>
              <c:f>Figures!$A$96</c:f>
              <c:strCache>
                <c:ptCount val="1"/>
                <c:pt idx="0">
                  <c:v>Organic Chemicals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Figures!$B$96:$E$96</c:f>
              <c:numCache>
                <c:formatCode>General</c:formatCode>
                <c:ptCount val="4"/>
                <c:pt idx="0" formatCode="0.00E+00">
                  <c:v>399383158.15176517</c:v>
                </c:pt>
                <c:pt idx="3" formatCode="0.00E+00">
                  <c:v>3450020401.4465895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437-F44B-BB2C-73214E71366C}"/>
            </c:ext>
          </c:extLst>
        </c:ser>
        <c:ser>
          <c:idx val="9"/>
          <c:order val="9"/>
          <c:tx>
            <c:strRef>
              <c:f>Figures!$A$97</c:f>
              <c:strCache>
                <c:ptCount val="1"/>
                <c:pt idx="0">
                  <c:v>Crude Oil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5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9608697577149644E-2"/>
                      <c:h val="0.128553796708166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2-9437-F44B-BB2C-73214E713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Figures!$B$97:$E$97</c:f>
              <c:numCache>
                <c:formatCode>General</c:formatCode>
                <c:ptCount val="4"/>
                <c:pt idx="2" formatCode="0.00E+00">
                  <c:v>35578812470.422943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437-F44B-BB2C-73214E71366C}"/>
            </c:ext>
          </c:extLst>
        </c:ser>
        <c:ser>
          <c:idx val="10"/>
          <c:order val="10"/>
          <c:tx>
            <c:strRef>
              <c:f>Figures!$A$98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2BE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068048086947503"/>
                      <c:h val="0.1198824700228740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33-9437-F44B-BB2C-73214E7136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Figures!$B$98:$E$98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F-9437-F44B-BB2C-73214E71366C}"/>
            </c:ext>
          </c:extLst>
        </c:ser>
        <c:ser>
          <c:idx val="11"/>
          <c:order val="11"/>
          <c:tx>
            <c:strRef>
              <c:f>Figures!$A$99</c:f>
              <c:strCache>
                <c:ptCount val="1"/>
                <c:pt idx="0">
                  <c:v>Maintenance Material</c:v>
                </c:pt>
              </c:strCache>
            </c:strRef>
          </c:tx>
          <c:spPr>
            <a:solidFill>
              <a:schemeClr val="accent4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Figures!$B$99:$E$99</c:f>
              <c:numCache>
                <c:formatCode>General</c:formatCode>
                <c:ptCount val="4"/>
                <c:pt idx="2" formatCode="0.00E+00">
                  <c:v>69921586.432479769</c:v>
                </c:pt>
                <c:pt idx="3" formatCode="0.00E+00">
                  <c:v>7702995891.6097765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437-F44B-BB2C-73214E71366C}"/>
            </c:ext>
          </c:extLst>
        </c:ser>
        <c:ser>
          <c:idx val="12"/>
          <c:order val="12"/>
          <c:tx>
            <c:strRef>
              <c:f>Figures!$A$100</c:f>
              <c:strCache>
                <c:ptCount val="1"/>
                <c:pt idx="0">
                  <c:v>Activated Carbon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Figures!$B$100:$E$100</c:f>
              <c:numCache>
                <c:formatCode>General</c:formatCode>
                <c:ptCount val="4"/>
                <c:pt idx="3" formatCode="0.00E+00">
                  <c:v>457240523.01633936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437-F44B-BB2C-73214E71366C}"/>
            </c:ext>
          </c:extLst>
        </c:ser>
        <c:ser>
          <c:idx val="13"/>
          <c:order val="13"/>
          <c:tx>
            <c:strRef>
              <c:f>Figures!$A$101</c:f>
              <c:strCache>
                <c:ptCount val="1"/>
                <c:pt idx="0">
                  <c:v>Lime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Figures!$B$101:$E$101</c:f>
              <c:numCache>
                <c:formatCode>General</c:formatCode>
                <c:ptCount val="4"/>
                <c:pt idx="3" formatCode="0.00E+00">
                  <c:v>5780047965.5991373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437-F44B-BB2C-73214E71366C}"/>
            </c:ext>
          </c:extLst>
        </c:ser>
        <c:ser>
          <c:idx val="14"/>
          <c:order val="14"/>
          <c:tx>
            <c:strRef>
              <c:f>Figures!$A$102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3078795347405629E-2"/>
                      <c:h val="0.15565375710026955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A638-AD42-B1E5-8603CABD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Figures!$B$102:$E$102</c:f>
              <c:numCache>
                <c:formatCode>General</c:formatCode>
                <c:ptCount val="4"/>
                <c:pt idx="3" formatCode="0.00E+00">
                  <c:v>195388943219.57144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437-F44B-BB2C-73214E71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0"/>
        <c:delete val="1"/>
      </c:legendEntry>
      <c:layout>
        <c:manualLayout>
          <c:xMode val="edge"/>
          <c:yMode val="edge"/>
          <c:x val="0.23067142984671379"/>
          <c:y val="1.0946665388652417E-2"/>
          <c:w val="0.75851334787900182"/>
          <c:h val="0.25058546069455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Figures!$A$112</c:f>
              <c:strCache>
                <c:ptCount val="1"/>
                <c:pt idx="0">
                  <c:v>Receiving Equipment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Figures!$B$112:$E$112</c:f>
              <c:numCache>
                <c:formatCode>General</c:formatCode>
                <c:ptCount val="4"/>
                <c:pt idx="0" formatCode="_(* #,##0.00_);_(* \(#,##0.00\);_(* &quot;-&quot;??_);_(@_)">
                  <c:v>5.6436877736752491</c:v>
                </c:pt>
                <c:pt idx="2" formatCode="_(* #,##0.00_);_(* \(#,##0.00\);_(* &quot;-&quot;??_);_(@_)">
                  <c:v>153.8527606030797</c:v>
                </c:pt>
                <c:pt idx="3" formatCode="0.00E+00">
                  <c:v>3.2404034848437045E-3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13-5643-9093-A05D41F25D46}"/>
            </c:ext>
          </c:extLst>
        </c:ser>
        <c:ser>
          <c:idx val="1"/>
          <c:order val="1"/>
          <c:tx>
            <c:strRef>
              <c:f>Figures!$A$113</c:f>
              <c:strCache>
                <c:ptCount val="1"/>
                <c:pt idx="0">
                  <c:v>Concrete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Figures!$B$113:$E$113</c:f>
              <c:numCache>
                <c:formatCode>0.00E+00</c:formatCode>
                <c:ptCount val="4"/>
                <c:pt idx="0" formatCode="_(* #,##0.00_);_(* \(#,##0.00\);_(* &quot;-&quot;??_);_(@_)">
                  <c:v>69.317092869478259</c:v>
                </c:pt>
                <c:pt idx="1">
                  <c:v>135.55000768204414</c:v>
                </c:pt>
                <c:pt idx="2" formatCode="_(* #,##0.00_);_(* \(#,##0.00\);_(* &quot;-&quot;??_);_(@_)">
                  <c:v>1357.6686359675755</c:v>
                </c:pt>
                <c:pt idx="3">
                  <c:v>1.8729465639632102E-3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13-5643-9093-A05D41F25D46}"/>
            </c:ext>
          </c:extLst>
        </c:ser>
        <c:ser>
          <c:idx val="2"/>
          <c:order val="2"/>
          <c:tx>
            <c:strRef>
              <c:f>Figures!$A$114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0-D513-5643-9093-A05D41F25D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E-D513-5643-9093-A05D41F25D46}"/>
                </c:ext>
              </c:extLst>
            </c:dLbl>
            <c:dLbl>
              <c:idx val="2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156-604F-8C08-24E778542E5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F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Figures!$B$114:$E$114</c:f>
              <c:numCache>
                <c:formatCode>0.00E+00</c:formatCode>
                <c:ptCount val="4"/>
                <c:pt idx="0" formatCode="_(* #,##0.00_);_(* \(#,##0.00\);_(* &quot;-&quot;??_);_(@_)">
                  <c:v>134.15141120009883</c:v>
                </c:pt>
                <c:pt idx="1">
                  <c:v>38.128052222961422</c:v>
                </c:pt>
                <c:pt idx="2" formatCode="_(* #,##0.00_);_(* \(#,##0.00\);_(* &quot;-&quot;??_);_(@_)">
                  <c:v>19762.132283358391</c:v>
                </c:pt>
                <c:pt idx="3">
                  <c:v>9.2434235899819476E-3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13-5643-9093-A05D41F25D46}"/>
            </c:ext>
          </c:extLst>
        </c:ser>
        <c:ser>
          <c:idx val="3"/>
          <c:order val="3"/>
          <c:tx>
            <c:strRef>
              <c:f>Figures!$A$115</c:f>
              <c:strCache>
                <c:ptCount val="1"/>
                <c:pt idx="0">
                  <c:v>Metal Tanks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156-604F-8C08-24E778542E5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Figures!$B$115:$E$115</c:f>
              <c:numCache>
                <c:formatCode>General</c:formatCode>
                <c:ptCount val="4"/>
                <c:pt idx="0" formatCode="_(* #,##0.00_);_(* \(#,##0.00\);_(* &quot;-&quot;??_);_(@_)">
                  <c:v>535.89729327511031</c:v>
                </c:pt>
                <c:pt idx="2" formatCode="_(* #,##0.00_);_(* \(#,##0.00\);_(* &quot;-&quot;??_);_(@_)">
                  <c:v>122.64808915406377</c:v>
                </c:pt>
                <c:pt idx="3" formatCode="0.00E+00">
                  <c:v>0.11986218955599766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13-5643-9093-A05D41F25D46}"/>
            </c:ext>
          </c:extLst>
        </c:ser>
        <c:ser>
          <c:idx val="4"/>
          <c:order val="4"/>
          <c:tx>
            <c:strRef>
              <c:f>Figures!$A$116</c:f>
              <c:strCache>
                <c:ptCount val="1"/>
                <c:pt idx="0">
                  <c:v>Pumps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1156-604F-8C08-24E778542E5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156-604F-8C08-24E778542E58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156-604F-8C08-24E778542E58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156-604F-8C08-24E778542E5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Figures!$B$116:$E$116</c:f>
              <c:numCache>
                <c:formatCode>0.00E+00</c:formatCode>
                <c:ptCount val="4"/>
                <c:pt idx="0" formatCode="_(* #,##0.00_);_(* \(#,##0.00\);_(* &quot;-&quot;??_);_(@_)">
                  <c:v>0.78748557043568423</c:v>
                </c:pt>
                <c:pt idx="1">
                  <c:v>293.41939524692521</c:v>
                </c:pt>
                <c:pt idx="2" formatCode="_(* #,##0.00_);_(* \(#,##0.00\);_(* &quot;-&quot;??_);_(@_)">
                  <c:v>24060.649914210651</c:v>
                </c:pt>
                <c:pt idx="3">
                  <c:v>2.0922967847060228E-2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13-5643-9093-A05D41F25D46}"/>
            </c:ext>
          </c:extLst>
        </c:ser>
        <c:ser>
          <c:idx val="5"/>
          <c:order val="5"/>
          <c:tx>
            <c:strRef>
              <c:f>Figures!$A$117</c:f>
              <c:strCache>
                <c:ptCount val="1"/>
                <c:pt idx="0">
                  <c:v>Heat Exchangers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9.377795173977542E-2"/>
                      <c:h val="7.464413895656922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6-D513-5643-9093-A05D41F25D4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3-5643-9093-A05D41F25D46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8665261479525331E-2"/>
                      <c:h val="7.9180515147843855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1156-604F-8C08-24E778542E58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5609552359692901E-2"/>
                      <c:h val="9.864060939698002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Figures!$B$117:$E$117</c:f>
              <c:numCache>
                <c:formatCode>0.00E+00</c:formatCode>
                <c:ptCount val="4"/>
                <c:pt idx="0" formatCode="_(* #,##0.00_);_(* \(#,##0.00\);_(* &quot;-&quot;??_);_(@_)">
                  <c:v>22.953306017951881</c:v>
                </c:pt>
                <c:pt idx="1">
                  <c:v>1.9445587219108322</c:v>
                </c:pt>
                <c:pt idx="2" formatCode="_(* #,##0.00_);_(* \(#,##0.00\);_(* &quot;-&quot;??_);_(@_)">
                  <c:v>15694.116555650995</c:v>
                </c:pt>
                <c:pt idx="3">
                  <c:v>6.3198001196810925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513-5643-9093-A05D41F25D46}"/>
            </c:ext>
          </c:extLst>
        </c:ser>
        <c:ser>
          <c:idx val="6"/>
          <c:order val="6"/>
          <c:tx>
            <c:strRef>
              <c:f>Figures!$A$118</c:f>
              <c:strCache>
                <c:ptCount val="1"/>
                <c:pt idx="0">
                  <c:v>Boats</c:v>
                </c:pt>
              </c:strCache>
            </c:strRef>
          </c:tx>
          <c:spPr>
            <a:solidFill>
              <a:srgbClr val="75A9C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Figures!$B$118:$E$118</c:f>
              <c:numCache>
                <c:formatCode>0.00E+00</c:formatCode>
                <c:ptCount val="4"/>
                <c:pt idx="1">
                  <c:v>26581.838178259382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513-5643-9093-A05D41F25D46}"/>
            </c:ext>
          </c:extLst>
        </c:ser>
        <c:ser>
          <c:idx val="7"/>
          <c:order val="7"/>
          <c:tx>
            <c:strRef>
              <c:f>Figures!$A$119</c:f>
              <c:strCache>
                <c:ptCount val="1"/>
                <c:pt idx="0">
                  <c:v>Heavy Duty Trucks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Figures!$B$119:$E$119</c:f>
              <c:numCache>
                <c:formatCode>0.00E+00</c:formatCode>
                <c:ptCount val="4"/>
                <c:pt idx="1">
                  <c:v>226.1925588151434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513-5643-9093-A05D41F25D46}"/>
            </c:ext>
          </c:extLst>
        </c:ser>
        <c:ser>
          <c:idx val="8"/>
          <c:order val="8"/>
          <c:tx>
            <c:strRef>
              <c:f>Figures!$A$120</c:f>
              <c:strCache>
                <c:ptCount val="1"/>
                <c:pt idx="0">
                  <c:v>Filters and Membranes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5D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Figures!$B$120:$E$120</c:f>
              <c:numCache>
                <c:formatCode>0.00E+00</c:formatCode>
                <c:ptCount val="4"/>
                <c:pt idx="1">
                  <c:v>975.30851033627084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D513-5643-9093-A05D41F25D46}"/>
            </c:ext>
          </c:extLst>
        </c:ser>
        <c:ser>
          <c:idx val="9"/>
          <c:order val="9"/>
          <c:tx>
            <c:strRef>
              <c:f>Figures!$A$121</c:f>
              <c:strCache>
                <c:ptCount val="1"/>
                <c:pt idx="0">
                  <c:v>Electrodes</c:v>
                </c:pt>
              </c:strCache>
            </c:strRef>
          </c:tx>
          <c:spPr>
            <a:solidFill>
              <a:srgbClr val="E5F8A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Figures!$B$121:$E$121</c:f>
              <c:numCache>
                <c:formatCode>0.00E+00</c:formatCode>
                <c:ptCount val="4"/>
                <c:pt idx="1">
                  <c:v>8072.5093332177166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513-5643-9093-A05D41F25D46}"/>
            </c:ext>
          </c:extLst>
        </c:ser>
        <c:ser>
          <c:idx val="10"/>
          <c:order val="10"/>
          <c:tx>
            <c:strRef>
              <c:f>Figures!$A$122</c:f>
              <c:strCache>
                <c:ptCount val="1"/>
                <c:pt idx="0">
                  <c:v>Insulation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61-D513-5643-9093-A05D41F25D4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Figures!$B$122:$E$122</c:f>
              <c:numCache>
                <c:formatCode>0.00E+00</c:formatCode>
                <c:ptCount val="4"/>
                <c:pt idx="1">
                  <c:v>3.1783828572174064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513-5643-9093-A05D41F25D46}"/>
            </c:ext>
          </c:extLst>
        </c:ser>
        <c:ser>
          <c:idx val="11"/>
          <c:order val="11"/>
          <c:tx>
            <c:strRef>
              <c:f>Figures!$A$123</c:f>
              <c:strCache>
                <c:ptCount val="1"/>
                <c:pt idx="0">
                  <c:v>Specialty Chemicals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Figures!$B$123:$E$123</c:f>
              <c:numCache>
                <c:formatCode>General</c:formatCode>
                <c:ptCount val="4"/>
                <c:pt idx="2" formatCode="_(* #,##0.00_);_(* \(#,##0.00\);_(* &quot;-&quot;??_);_(@_)">
                  <c:v>382.07499335587028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513-5643-9093-A05D41F25D46}"/>
            </c:ext>
          </c:extLst>
        </c:ser>
        <c:ser>
          <c:idx val="12"/>
          <c:order val="12"/>
          <c:tx>
            <c:strRef>
              <c:f>Figures!$A$124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3BEEF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Figures!$B$124:$E$124</c:f>
              <c:numCache>
                <c:formatCode>General</c:formatCode>
                <c:ptCount val="4"/>
                <c:pt idx="2" formatCode="_(* #,##0.00_);_(* \(#,##0.00\);_(* &quot;-&quot;??_);_(@_)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513-5643-9093-A05D41F25D46}"/>
            </c:ext>
          </c:extLst>
        </c:ser>
        <c:ser>
          <c:idx val="13"/>
          <c:order val="13"/>
          <c:tx>
            <c:strRef>
              <c:f>Figures!$A$125</c:f>
              <c:strCache>
                <c:ptCount val="1"/>
                <c:pt idx="0">
                  <c:v>Buildings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Figures!$B$62:$E$63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Figures!$B$125:$E$125</c:f>
              <c:numCache>
                <c:formatCode>General</c:formatCode>
                <c:ptCount val="4"/>
                <c:pt idx="3" formatCode="0.00E+00">
                  <c:v>-1.8729465639632102E-3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D513-5643-9093-A05D41F25D4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egendEntry>
        <c:idx val="12"/>
        <c:delete val="1"/>
      </c:legendEntry>
      <c:layout>
        <c:manualLayout>
          <c:xMode val="edge"/>
          <c:yMode val="edge"/>
          <c:x val="0.20319818403064363"/>
          <c:y val="2.2969534874712916E-2"/>
          <c:w val="0.77898372292706874"/>
          <c:h val="0.265071247788120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12061268785778"/>
          <c:y val="0.28688418112989361"/>
          <c:w val="0.84240385887722513"/>
          <c:h val="0.4902946558726637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Figures!$A$134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90805D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Figures!$B$134:$E$134</c:f>
              <c:numCache>
                <c:formatCode>0.00E+00</c:formatCode>
                <c:ptCount val="4"/>
                <c:pt idx="1">
                  <c:v>31104.029938305233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4-EA4A-8F05-A5A68EC950A6}"/>
            </c:ext>
          </c:extLst>
        </c:ser>
        <c:ser>
          <c:idx val="1"/>
          <c:order val="1"/>
          <c:tx>
            <c:strRef>
              <c:f>Figures!$A$135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Figures!$B$135:$E$135</c:f>
              <c:numCache>
                <c:formatCode>0.00E+00</c:formatCode>
                <c:ptCount val="4"/>
                <c:pt idx="0">
                  <c:v>42.587217459320307</c:v>
                </c:pt>
                <c:pt idx="1">
                  <c:v>2560.398308784353</c:v>
                </c:pt>
                <c:pt idx="2">
                  <c:v>8.0653315275251041E-4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4-EA4A-8F05-A5A68EC950A6}"/>
            </c:ext>
          </c:extLst>
        </c:ser>
        <c:ser>
          <c:idx val="2"/>
          <c:order val="2"/>
          <c:tx>
            <c:strRef>
              <c:f>Figures!$A$136</c:f>
              <c:strCache>
                <c:ptCount val="1"/>
                <c:pt idx="0">
                  <c:v>Lactase Enzyme</c:v>
                </c:pt>
              </c:strCache>
            </c:strRef>
          </c:tx>
          <c:spPr>
            <a:solidFill>
              <a:srgbClr val="FFBFB8"/>
            </a:solidFill>
            <a:ln>
              <a:noFill/>
            </a:ln>
            <a:effectLst/>
          </c:spPr>
          <c:invertIfNegative val="0"/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0884022760305772E-2"/>
                      <c:h val="0.1137387653597212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A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Figures!$B$136:$E$136</c:f>
              <c:numCache>
                <c:formatCode>0.00E+00</c:formatCode>
                <c:ptCount val="4"/>
                <c:pt idx="1">
                  <c:v>18056.630248200188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554-EA4A-8F05-A5A68EC950A6}"/>
            </c:ext>
          </c:extLst>
        </c:ser>
        <c:ser>
          <c:idx val="3"/>
          <c:order val="3"/>
          <c:tx>
            <c:strRef>
              <c:f>Figures!$A$137</c:f>
              <c:strCache>
                <c:ptCount val="1"/>
                <c:pt idx="0">
                  <c:v>Solids Disposal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Figures!$B$137:$E$137</c:f>
              <c:numCache>
                <c:formatCode>0.00E+00</c:formatCode>
                <c:ptCount val="4"/>
                <c:pt idx="1">
                  <c:v>334.9668000163602</c:v>
                </c:pt>
                <c:pt idx="3">
                  <c:v>613.74916918447752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554-EA4A-8F05-A5A68EC950A6}"/>
            </c:ext>
          </c:extLst>
        </c:ser>
        <c:ser>
          <c:idx val="4"/>
          <c:order val="4"/>
          <c:tx>
            <c:strRef>
              <c:f>Figures!$A$138</c:f>
              <c:strCache>
                <c:ptCount val="1"/>
                <c:pt idx="0">
                  <c:v>Wastewater Treatment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Figures!$B$138:$E$138</c:f>
              <c:numCache>
                <c:formatCode>0.00E+00</c:formatCode>
                <c:ptCount val="4"/>
                <c:pt idx="0">
                  <c:v>8.8619715180007948E-3</c:v>
                </c:pt>
                <c:pt idx="1">
                  <c:v>1260.9005164623077</c:v>
                </c:pt>
                <c:pt idx="3">
                  <c:v>337.01514299053406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554-EA4A-8F05-A5A68EC950A6}"/>
            </c:ext>
          </c:extLst>
        </c:ser>
        <c:ser>
          <c:idx val="5"/>
          <c:order val="5"/>
          <c:tx>
            <c:strRef>
              <c:f>Figures!$A$139</c:f>
              <c:strCache>
                <c:ptCount val="1"/>
                <c:pt idx="0">
                  <c:v>Specialized Chemicals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Figures!$B$139:$E$139</c:f>
              <c:numCache>
                <c:formatCode>0.00E+00</c:formatCode>
                <c:ptCount val="4"/>
                <c:pt idx="1">
                  <c:v>3671.632117135644</c:v>
                </c:pt>
                <c:pt idx="2">
                  <c:v>5.3678144433331676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554-EA4A-8F05-A5A68EC950A6}"/>
            </c:ext>
          </c:extLst>
        </c:ser>
        <c:ser>
          <c:idx val="6"/>
          <c:order val="6"/>
          <c:tx>
            <c:strRef>
              <c:f>Figures!$A$140</c:f>
              <c:strCache>
                <c:ptCount val="1"/>
                <c:pt idx="0">
                  <c:v>Corn Grain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Figures!$B$140:$E$140</c:f>
              <c:numCache>
                <c:formatCode>General</c:formatCode>
                <c:ptCount val="4"/>
                <c:pt idx="0" formatCode="0.00E+00">
                  <c:v>460138.00531135913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554-EA4A-8F05-A5A68EC950A6}"/>
            </c:ext>
          </c:extLst>
        </c:ser>
        <c:ser>
          <c:idx val="7"/>
          <c:order val="7"/>
          <c:tx>
            <c:strRef>
              <c:f>Figures!$A$141</c:f>
              <c:strCache>
                <c:ptCount val="1"/>
                <c:pt idx="0">
                  <c:v>Corn Milling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Figures!$B$141:$E$141</c:f>
              <c:numCache>
                <c:formatCode>General</c:formatCode>
                <c:ptCount val="4"/>
                <c:pt idx="0" formatCode="0.00E+00">
                  <c:v>10.000526491983901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554-EA4A-8F05-A5A68EC950A6}"/>
            </c:ext>
          </c:extLst>
        </c:ser>
        <c:ser>
          <c:idx val="8"/>
          <c:order val="8"/>
          <c:tx>
            <c:strRef>
              <c:f>Figures!$A$142</c:f>
              <c:strCache>
                <c:ptCount val="1"/>
                <c:pt idx="0">
                  <c:v>Organic Chemicals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Figures!$B$142:$E$142</c:f>
              <c:numCache>
                <c:formatCode>General</c:formatCode>
                <c:ptCount val="4"/>
                <c:pt idx="0" formatCode="0.00E+00">
                  <c:v>44.61805167428394</c:v>
                </c:pt>
                <c:pt idx="3" formatCode="0.00E+00">
                  <c:v>137.43068182464566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554-EA4A-8F05-A5A68EC950A6}"/>
            </c:ext>
          </c:extLst>
        </c:ser>
        <c:ser>
          <c:idx val="9"/>
          <c:order val="9"/>
          <c:tx>
            <c:strRef>
              <c:f>Figures!$A$143</c:f>
              <c:strCache>
                <c:ptCount val="1"/>
                <c:pt idx="0">
                  <c:v>Crude Oil</c:v>
                </c:pt>
              </c:strCache>
            </c:strRef>
          </c:tx>
          <c:spPr>
            <a:solidFill>
              <a:srgbClr val="F3CFEF"/>
            </a:solidFill>
            <a:ln>
              <a:noFill/>
            </a:ln>
            <a:effectLst/>
          </c:spPr>
          <c:invertIfNegative val="0"/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327472884378697"/>
                      <c:h val="0.158426512096297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C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Figures!$B$143:$E$143</c:f>
              <c:numCache>
                <c:formatCode>General</c:formatCode>
                <c:ptCount val="4"/>
                <c:pt idx="2" formatCode="0.00E+00">
                  <c:v>18014.73181207931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554-EA4A-8F05-A5A68EC950A6}"/>
            </c:ext>
          </c:extLst>
        </c:ser>
        <c:ser>
          <c:idx val="10"/>
          <c:order val="10"/>
          <c:tx>
            <c:strRef>
              <c:f>Figures!$A$144</c:f>
              <c:strCache>
                <c:ptCount val="1"/>
                <c:pt idx="0">
                  <c:v>Petroleum Refining</c:v>
                </c:pt>
              </c:strCache>
            </c:strRef>
          </c:tx>
          <c:spPr>
            <a:solidFill>
              <a:srgbClr val="D3BEEF"/>
            </a:solidFill>
            <a:ln>
              <a:noFill/>
            </a:ln>
            <a:effectLst/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>
                  <c15:layout>
                    <c:manualLayout>
                      <c:w val="9.9694021742108882E-2"/>
                      <c:h val="0.1287498049746821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B-4554-EA4A-8F05-A5A68EC950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Figures!$B$144:$E$144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F-4554-EA4A-8F05-A5A68EC950A6}"/>
            </c:ext>
          </c:extLst>
        </c:ser>
        <c:ser>
          <c:idx val="11"/>
          <c:order val="11"/>
          <c:tx>
            <c:strRef>
              <c:f>Figures!$A$145</c:f>
              <c:strCache>
                <c:ptCount val="1"/>
                <c:pt idx="0">
                  <c:v>Maintenance Material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Figures!$B$145:$E$145</c:f>
              <c:numCache>
                <c:formatCode>General</c:formatCode>
                <c:ptCount val="4"/>
                <c:pt idx="2" formatCode="_(* #,##0.00_);_(* \(#,##0.00\);_(* &quot;-&quot;??_);_(@_)">
                  <c:v>3.7627176792675137</c:v>
                </c:pt>
                <c:pt idx="3" formatCode="0.00E+00">
                  <c:v>1782.0847097207411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554-EA4A-8F05-A5A68EC950A6}"/>
            </c:ext>
          </c:extLst>
        </c:ser>
        <c:ser>
          <c:idx val="12"/>
          <c:order val="12"/>
          <c:tx>
            <c:strRef>
              <c:f>Figures!$A$146</c:f>
              <c:strCache>
                <c:ptCount val="1"/>
                <c:pt idx="0">
                  <c:v>Activated Carbon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Figures!$B$146:$E$146</c:f>
              <c:numCache>
                <c:formatCode>General</c:formatCode>
                <c:ptCount val="4"/>
                <c:pt idx="3" formatCode="0.00E+00">
                  <c:v>3347.7606507857081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554-EA4A-8F05-A5A68EC950A6}"/>
            </c:ext>
          </c:extLst>
        </c:ser>
        <c:ser>
          <c:idx val="13"/>
          <c:order val="13"/>
          <c:tx>
            <c:strRef>
              <c:f>Figures!$A$147</c:f>
              <c:strCache>
                <c:ptCount val="1"/>
                <c:pt idx="0">
                  <c:v>Lime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Figures!$B$147:$E$147</c:f>
              <c:numCache>
                <c:formatCode>General</c:formatCode>
                <c:ptCount val="4"/>
                <c:pt idx="3" formatCode="0.00E+00">
                  <c:v>3347.7606507857081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554-EA4A-8F05-A5A68EC950A6}"/>
            </c:ext>
          </c:extLst>
        </c:ser>
        <c:ser>
          <c:idx val="14"/>
          <c:order val="14"/>
          <c:tx>
            <c:strRef>
              <c:f>Figures!$A$148</c:f>
              <c:strCache>
                <c:ptCount val="1"/>
                <c:pt idx="0">
                  <c:v>Coal Mining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bg2">
                  <a:lumMod val="9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583-0441-99DD-0A746B763B5B}"/>
              </c:ext>
            </c:extLst>
          </c:dPt>
          <c:dLbls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1044817281252571E-2"/>
                      <c:h val="0.137300179031687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0-7583-0441-99DD-0A746B763B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Figures!$B$132:$E$133</c:f>
              <c:strCache>
                <c:ptCount val="4"/>
                <c:pt idx="0">
                  <c:v>Corn Grain Ethanol</c:v>
                </c:pt>
                <c:pt idx="1">
                  <c:v>Organic Wet Waste Derived Hydrocarbons</c:v>
                </c:pt>
                <c:pt idx="2">
                  <c:v>Petrochemical Hydrocarbons</c:v>
                </c:pt>
                <c:pt idx="3">
                  <c:v>Coal Electricity</c:v>
                </c:pt>
              </c:strCache>
            </c:strRef>
          </c:cat>
          <c:val>
            <c:numRef>
              <c:f>Figures!$B$148:$E$148</c:f>
              <c:numCache>
                <c:formatCode>General</c:formatCode>
                <c:ptCount val="4"/>
                <c:pt idx="3" formatCode="0.00E+00">
                  <c:v>304028.32419565332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554-EA4A-8F05-A5A68EC950A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306052735"/>
        <c:axId val="306029983"/>
      </c:barChart>
      <c:catAx>
        <c:axId val="30605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29983"/>
        <c:crosses val="autoZero"/>
        <c:auto val="1"/>
        <c:lblAlgn val="ctr"/>
        <c:lblOffset val="100"/>
        <c:noMultiLvlLbl val="0"/>
      </c:catAx>
      <c:valAx>
        <c:axId val="30602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306052735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23998876584166964"/>
          <c:y val="2.2969534874712916E-2"/>
          <c:w val="0.75031706514421326"/>
          <c:h val="0.243358457197004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17137547931035049"/>
          <c:w val="0.71055626808822048"/>
          <c:h val="0.8118365240747070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EtOH!$M$1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AFF0B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A54ABD3-713F-1B45-A9B1-32380B3F20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E143-6544-962B-810A5C7785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D2B1730-B975-0149-A15B-FB915119E8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E143-6544-962B-810A5C7785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CDA3AE5-77BB-B44F-97C3-5FF238E108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E143-6544-962B-810A5C7785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2EA98FA-0067-4947-8AA7-3B5C630B0E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E143-6544-962B-810A5C7785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78CA10BC-4B2C-3E4B-8A4F-CDA7AC7E81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E143-6544-962B-810A5C7785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A8F8B23-5E29-A848-9E09-A23BB87529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E143-6544-962B-810A5C7785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473D4A8-4549-0D47-AFEB-E9707DE9E2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E143-6544-962B-810A5C7785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159ADC8B-9636-CF43-ADB3-E4E791A786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E143-6544-962B-810A5C7785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12735FF-8632-7845-A185-7C6E1277AD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E143-6544-962B-810A5C7785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4F70D2F-B2CF-D247-9C83-3E0768AB4A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E143-6544-962B-810A5C7785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6F85795-A2AE-3E41-9124-6EF74F4C895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E143-6544-962B-810A5C7785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9403D413-D26D-8647-8559-B5FA5AF966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E143-6544-962B-810A5C77851B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EtOH!$K$2:$L$13</c15:sqref>
                  </c15:fullRef>
                  <c15:levelRef>
                    <c15:sqref>EtOH!$K$2:$K$13</c15:sqref>
                  </c15:levelRef>
                </c:ext>
              </c:extLst>
              <c:f>EtOH!$K$2:$K$13</c:f>
              <c:strCache>
                <c:ptCount val="12"/>
                <c:pt idx="0">
                  <c:v>Corn Grain</c:v>
                </c:pt>
                <c:pt idx="1">
                  <c:v>Operating Time</c:v>
                </c:pt>
                <c:pt idx="2">
                  <c:v>Survival</c:v>
                </c:pt>
                <c:pt idx="3">
                  <c:v>Global Population</c:v>
                </c:pt>
                <c:pt idx="4">
                  <c:v>Photochemical Oxidation</c:v>
                </c:pt>
                <c:pt idx="5">
                  <c:v>Discount Rate</c:v>
                </c:pt>
                <c:pt idx="6">
                  <c:v>Growth Rate</c:v>
                </c:pt>
                <c:pt idx="7">
                  <c:v>Functional Society</c:v>
                </c:pt>
                <c:pt idx="8">
                  <c:v>Acidification</c:v>
                </c:pt>
                <c:pt idx="9">
                  <c:v>Respiratory Effects </c:v>
                </c:pt>
                <c:pt idx="10">
                  <c:v>Metal Tanks</c:v>
                </c:pt>
                <c:pt idx="11">
                  <c:v>Energy Required</c:v>
                </c:pt>
              </c:strCache>
            </c:strRef>
          </c:cat>
          <c:val>
            <c:numRef>
              <c:f>EtOH!$M$2:$M$13</c:f>
              <c:numCache>
                <c:formatCode>0%</c:formatCode>
                <c:ptCount val="12"/>
                <c:pt idx="0">
                  <c:v>0.13858675264911488</c:v>
                </c:pt>
                <c:pt idx="1">
                  <c:v>-0.19956549927895598</c:v>
                </c:pt>
                <c:pt idx="2">
                  <c:v>-0.1787277748020141</c:v>
                </c:pt>
                <c:pt idx="3">
                  <c:v>2.7740734201030796E-2</c:v>
                </c:pt>
                <c:pt idx="4">
                  <c:v>2.4517554837938632E-2</c:v>
                </c:pt>
                <c:pt idx="5">
                  <c:v>2.7344447493382707E-2</c:v>
                </c:pt>
                <c:pt idx="6">
                  <c:v>2.2875973042134252E-2</c:v>
                </c:pt>
                <c:pt idx="7">
                  <c:v>-2.1366547703255228E-2</c:v>
                </c:pt>
                <c:pt idx="8">
                  <c:v>1.7848143458985425E-3</c:v>
                </c:pt>
                <c:pt idx="9">
                  <c:v>1.4448326274663951E-3</c:v>
                </c:pt>
                <c:pt idx="10">
                  <c:v>1.1465113677210743E-4</c:v>
                </c:pt>
                <c:pt idx="11">
                  <c:v>-1.5716004670598155E-4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EtOH!$O$2:$O$13</c15:f>
                <c15:dlblRangeCache>
                  <c:ptCount val="12"/>
                  <c:pt idx="0">
                    <c:v>-933</c:v>
                  </c:pt>
                  <c:pt idx="1">
                    <c:v>-1299</c:v>
                  </c:pt>
                  <c:pt idx="2">
                    <c:v>-1276</c:v>
                  </c:pt>
                  <c:pt idx="3">
                    <c:v>-1053</c:v>
                  </c:pt>
                  <c:pt idx="4">
                    <c:v>-1056</c:v>
                  </c:pt>
                  <c:pt idx="5">
                    <c:v>-1053</c:v>
                  </c:pt>
                  <c:pt idx="6">
                    <c:v>-1058</c:v>
                  </c:pt>
                  <c:pt idx="7">
                    <c:v>-1106</c:v>
                  </c:pt>
                  <c:pt idx="8">
                    <c:v>-1081</c:v>
                  </c:pt>
                  <c:pt idx="9">
                    <c:v>-1081</c:v>
                  </c:pt>
                  <c:pt idx="10">
                    <c:v>-1083</c:v>
                  </c:pt>
                  <c:pt idx="11">
                    <c:v>-1083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E143-6544-962B-810A5C77851B}"/>
            </c:ext>
          </c:extLst>
        </c:ser>
        <c:ser>
          <c:idx val="1"/>
          <c:order val="1"/>
          <c:tx>
            <c:strRef>
              <c:f>EtOH!$N$1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FFDA7B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B11A68E6-1711-7545-86F6-BE23BF5EDD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E143-6544-962B-810A5C77851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CFECED8-CD60-6E46-AD77-289C36CAB5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E143-6544-962B-810A5C77851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203267-6205-F240-AD1D-A35E0E5128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E143-6544-962B-810A5C77851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879FED5-CBDD-7F43-B245-31F4EACCFB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E143-6544-962B-810A5C77851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70543A7-82A2-A643-8D97-2649CF425E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E143-6544-962B-810A5C77851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81E8F3A-90BC-F841-8D14-BCBBE6E2E2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E143-6544-962B-810A5C77851B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4DB4D7C-41EC-1246-99A1-85C1F0D690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E143-6544-962B-810A5C77851B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4F4665-CE01-594F-AE38-72AD0632EB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E143-6544-962B-810A5C77851B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4BD30030-BB66-EB4B-B27E-B507DAF486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E143-6544-962B-810A5C77851B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8B9F1FC-2D63-9B47-BE2B-F65C1D7150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E143-6544-962B-810A5C77851B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6522B7F-361A-BF44-8D32-1D00BD7269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E143-6544-962B-810A5C77851B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F407EEE-AF89-B64E-9D06-3C4AB1067C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E143-6544-962B-810A5C77851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EtOH!$K$2:$L$13</c15:sqref>
                  </c15:fullRef>
                  <c15:levelRef>
                    <c15:sqref>EtOH!$K$2:$K$13</c15:sqref>
                  </c15:levelRef>
                </c:ext>
              </c:extLst>
              <c:f>EtOH!$K$2:$K$13</c:f>
              <c:strCache>
                <c:ptCount val="12"/>
                <c:pt idx="0">
                  <c:v>Corn Grain</c:v>
                </c:pt>
                <c:pt idx="1">
                  <c:v>Operating Time</c:v>
                </c:pt>
                <c:pt idx="2">
                  <c:v>Survival</c:v>
                </c:pt>
                <c:pt idx="3">
                  <c:v>Global Population</c:v>
                </c:pt>
                <c:pt idx="4">
                  <c:v>Photochemical Oxidation</c:v>
                </c:pt>
                <c:pt idx="5">
                  <c:v>Discount Rate</c:v>
                </c:pt>
                <c:pt idx="6">
                  <c:v>Growth Rate</c:v>
                </c:pt>
                <c:pt idx="7">
                  <c:v>Functional Society</c:v>
                </c:pt>
                <c:pt idx="8">
                  <c:v>Acidification</c:v>
                </c:pt>
                <c:pt idx="9">
                  <c:v>Respiratory Effects </c:v>
                </c:pt>
                <c:pt idx="10">
                  <c:v>Metal Tanks</c:v>
                </c:pt>
                <c:pt idx="11">
                  <c:v>Energy Required</c:v>
                </c:pt>
              </c:strCache>
            </c:strRef>
          </c:cat>
          <c:val>
            <c:numRef>
              <c:f>EtOH!$N$2:$N$13</c:f>
              <c:numCache>
                <c:formatCode>0%</c:formatCode>
                <c:ptCount val="12"/>
                <c:pt idx="0">
                  <c:v>-0.20799714823811929</c:v>
                </c:pt>
                <c:pt idx="1">
                  <c:v>0.19935607666754526</c:v>
                </c:pt>
                <c:pt idx="2">
                  <c:v>0.17863415939045471</c:v>
                </c:pt>
                <c:pt idx="3">
                  <c:v>-4.1728120565992705E-2</c:v>
                </c:pt>
                <c:pt idx="4">
                  <c:v>-3.6893351521355512E-2</c:v>
                </c:pt>
                <c:pt idx="5">
                  <c:v>-2.8567743564310733E-2</c:v>
                </c:pt>
                <c:pt idx="6">
                  <c:v>-2.3853355743094624E-2</c:v>
                </c:pt>
                <c:pt idx="7">
                  <c:v>2.127293229169739E-2</c:v>
                </c:pt>
                <c:pt idx="8">
                  <c:v>-2.7942407832951652E-3</c:v>
                </c:pt>
                <c:pt idx="9">
                  <c:v>-2.2842682056470492E-3</c:v>
                </c:pt>
                <c:pt idx="10">
                  <c:v>-2.8899596960530274E-4</c:v>
                </c:pt>
                <c:pt idx="11">
                  <c:v>1.1872080561151572E-4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EtOH!$P$2:$P$13</c15:f>
                <c15:dlblRangeCache>
                  <c:ptCount val="12"/>
                  <c:pt idx="0">
                    <c:v>-1308</c:v>
                  </c:pt>
                  <c:pt idx="1">
                    <c:v>-867</c:v>
                  </c:pt>
                  <c:pt idx="2">
                    <c:v>-889</c:v>
                  </c:pt>
                  <c:pt idx="3">
                    <c:v>-1128</c:v>
                  </c:pt>
                  <c:pt idx="4">
                    <c:v>-1123</c:v>
                  </c:pt>
                  <c:pt idx="5">
                    <c:v>-1114</c:v>
                  </c:pt>
                  <c:pt idx="6">
                    <c:v>-1108</c:v>
                  </c:pt>
                  <c:pt idx="7">
                    <c:v>-1060</c:v>
                  </c:pt>
                  <c:pt idx="8">
                    <c:v>-1086</c:v>
                  </c:pt>
                  <c:pt idx="9">
                    <c:v>-1085</c:v>
                  </c:pt>
                  <c:pt idx="10">
                    <c:v>-1083</c:v>
                  </c:pt>
                  <c:pt idx="11">
                    <c:v>-1083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E143-6544-962B-810A5C7785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54096853589479399"/>
          <c:y val="0.87025283979599699"/>
          <c:w val="0.17899084911683336"/>
          <c:h val="9.1401966113820191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5440048323372981E-2"/>
          <c:y val="0.11154665861105725"/>
          <c:w val="0.6975419190581863"/>
          <c:h val="0.8801708249312468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OCHC!$M$1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CAE3BD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C0D1B6C-D193-664C-A5EB-19D681CD848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85B4-9840-B31D-8F843EE01E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E52DBF-74C6-B14F-BE8A-464FA1EBB5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85B4-9840-B31D-8F843EE01E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29615F-624D-0941-A3B3-3230893E08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5B4-9840-B31D-8F843EE01E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874ECD5-2DFA-474A-AB43-D162FEBB6A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5B4-9840-B31D-8F843EE01E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EB4FFE5-87D0-8F48-AF40-F1A1871721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85B4-9840-B31D-8F843EE01E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3EB7F19-CF18-CF46-921E-1927093206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85B4-9840-B31D-8F843EE01E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9B8458C-26C5-7C49-9148-0BADEE6057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85B4-9840-B31D-8F843EE01E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4619182-C96E-EB48-892A-4973C7CD343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85B4-9840-B31D-8F843EE01E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926170C-FAB3-B747-BFE7-361E755E52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85B4-9840-B31D-8F843EE01E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F9E50AC-2920-BF47-8E76-1ECE928CC8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85B4-9840-B31D-8F843EE01E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4AB10D5-A071-E44A-93D3-4C500BED79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85B4-9840-B31D-8F843EE01E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8FEF6D9-317F-0246-8965-E21CE13625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85B4-9840-B31D-8F843EE01E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BBD2EFE-C21E-A848-97E5-F0E3C6CD0A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AE94-A94D-8840-6744BE8820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E52E2ED-7D26-A246-A179-B11CD5E5254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AE94-A94D-8840-6744BE8820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29A6199B-7E46-6244-A425-AA2898957A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AE94-A94D-8840-6744BE882061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D6F4A6BB-B4E4-F443-9B3A-5E2CDEC0EA1D}" type="CELLRANGE">
                      <a:rPr lang="en-US" sz="1200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0024733434951077E-2"/>
                      <c:h val="1.700610588880817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AE94-A94D-8840-6744BE8820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3CE2799-7CCB-0443-B50A-8CB69858B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AE94-A94D-8840-6744BE882061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4970BD3E-5CFE-E54A-B66C-755AA7AC7E07}" type="CELLRANGE">
                      <a:rPr lang="en-US" sz="1200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373824996840258E-2"/>
                      <c:h val="1.496944650092696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AE94-A94D-8840-6744BE8820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4F221D3-05FD-B141-A39D-8B3E5EC85D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AE94-A94D-8840-6744BE8820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E8D8EC8A-8ADE-594B-9C77-219C0E1514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AE94-A94D-8840-6744BE8820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1E8CDCA-2B02-A745-A588-7044C54B27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AE94-A94D-8840-6744BE8820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8A7E1A6-1285-2346-8211-CF7058AC1F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AE94-A94D-8840-6744BE8820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8A7E85F-8925-2641-9341-83520BEBD3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AE94-A94D-8840-6744BE8820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C7C5A130-1501-7540-8D91-1C2A9A0F1D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AE94-A94D-8840-6744BE8820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849C1B11-5CD0-834E-97AA-BEA16F6151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AE94-A94D-8840-6744BE8820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C6CD1DC-F836-8D49-8B7A-1A6C2C9789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AE94-A94D-8840-6744BE8820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A3946D65-0B0D-FC49-9557-B4809BAAACB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AE94-A94D-8840-6744BE88206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OCHC!$L$2:$L$28</c:f>
              <c:strCache>
                <c:ptCount val="27"/>
                <c:pt idx="0">
                  <c:v>Wet Manure Collection Required</c:v>
                </c:pt>
                <c:pt idx="1">
                  <c:v>Global Population</c:v>
                </c:pt>
                <c:pt idx="2">
                  <c:v>Photochemical Oxidation</c:v>
                </c:pt>
                <c:pt idx="3">
                  <c:v>Operating Time</c:v>
                </c:pt>
                <c:pt idx="4">
                  <c:v>Diesel</c:v>
                </c:pt>
                <c:pt idx="5">
                  <c:v>Boats</c:v>
                </c:pt>
                <c:pt idx="6">
                  <c:v>Maximum Theoretical Energy Production</c:v>
                </c:pt>
                <c:pt idx="7">
                  <c:v>Municipal Wet Waste Collection Required </c:v>
                </c:pt>
                <c:pt idx="8">
                  <c:v>Lactase Enzyme</c:v>
                </c:pt>
                <c:pt idx="9">
                  <c:v>Growth Rate</c:v>
                </c:pt>
                <c:pt idx="10">
                  <c:v>Graphite Electrodes</c:v>
                </c:pt>
                <c:pt idx="11">
                  <c:v>Functional Society</c:v>
                </c:pt>
                <c:pt idx="12">
                  <c:v>Acidification</c:v>
                </c:pt>
                <c:pt idx="13">
                  <c:v>Respiratory Effects</c:v>
                </c:pt>
                <c:pt idx="14">
                  <c:v>Specialized Chemicals</c:v>
                </c:pt>
                <c:pt idx="15">
                  <c:v>Discount Rate</c:v>
                </c:pt>
                <c:pt idx="16">
                  <c:v>Electricity</c:v>
                </c:pt>
                <c:pt idx="17">
                  <c:v>Survival</c:v>
                </c:pt>
                <c:pt idx="18">
                  <c:v>Start-Up Production</c:v>
                </c:pt>
                <c:pt idx="19">
                  <c:v>Wastewater Treatment</c:v>
                </c:pt>
                <c:pt idx="20">
                  <c:v>Filters and Membranes</c:v>
                </c:pt>
                <c:pt idx="21">
                  <c:v>Energy Required</c:v>
                </c:pt>
                <c:pt idx="22">
                  <c:v>Solid Waste Disposal</c:v>
                </c:pt>
                <c:pt idx="23">
                  <c:v>Pumps</c:v>
                </c:pt>
                <c:pt idx="24">
                  <c:v>Heavy Duty Trucks</c:v>
                </c:pt>
                <c:pt idx="25">
                  <c:v>Concrete</c:v>
                </c:pt>
                <c:pt idx="26">
                  <c:v>Personal Fulfillment</c:v>
                </c:pt>
              </c:strCache>
            </c:strRef>
          </c:cat>
          <c:val>
            <c:numRef>
              <c:f>OCHC!$M$2:$M$28</c:f>
              <c:numCache>
                <c:formatCode>0%</c:formatCode>
                <c:ptCount val="27"/>
                <c:pt idx="0">
                  <c:v>-2.0307323999472979</c:v>
                </c:pt>
                <c:pt idx="1">
                  <c:v>-1.2399279554350697</c:v>
                </c:pt>
                <c:pt idx="2">
                  <c:v>1.229282237549439</c:v>
                </c:pt>
                <c:pt idx="3">
                  <c:v>1.0040671598163222</c:v>
                </c:pt>
                <c:pt idx="4">
                  <c:v>0.46896781728736359</c:v>
                </c:pt>
                <c:pt idx="5">
                  <c:v>0.40078493541417382</c:v>
                </c:pt>
                <c:pt idx="6">
                  <c:v>-0.31532323583207977</c:v>
                </c:pt>
                <c:pt idx="7">
                  <c:v>-0.38859590184483778</c:v>
                </c:pt>
                <c:pt idx="8">
                  <c:v>0.27224698831179139</c:v>
                </c:pt>
                <c:pt idx="9">
                  <c:v>-0.29626408778080587</c:v>
                </c:pt>
                <c:pt idx="10">
                  <c:v>0.12171243049662649</c:v>
                </c:pt>
                <c:pt idx="11">
                  <c:v>-0.1547391750293923</c:v>
                </c:pt>
                <c:pt idx="12">
                  <c:v>9.1660447122282149E-2</c:v>
                </c:pt>
                <c:pt idx="13">
                  <c:v>7.464663343930035E-2</c:v>
                </c:pt>
                <c:pt idx="14">
                  <c:v>5.5358656202123963E-2</c:v>
                </c:pt>
                <c:pt idx="15">
                  <c:v>-7.5421363438020847E-2</c:v>
                </c:pt>
                <c:pt idx="16">
                  <c:v>3.8604142570545362E-2</c:v>
                </c:pt>
                <c:pt idx="17">
                  <c:v>-4.7332145059887587E-2</c:v>
                </c:pt>
                <c:pt idx="18">
                  <c:v>3.7241098553669846E-2</c:v>
                </c:pt>
                <c:pt idx="19">
                  <c:v>1.9011098053682007E-2</c:v>
                </c:pt>
                <c:pt idx="20">
                  <c:v>1.4705113909078377E-2</c:v>
                </c:pt>
                <c:pt idx="21">
                  <c:v>-5.5223974296977063E-3</c:v>
                </c:pt>
                <c:pt idx="22">
                  <c:v>5.0504275291340895E-3</c:v>
                </c:pt>
                <c:pt idx="23">
                  <c:v>4.4240008002710681E-3</c:v>
                </c:pt>
                <c:pt idx="24">
                  <c:v>3.4103950775705993E-3</c:v>
                </c:pt>
                <c:pt idx="25">
                  <c:v>2.0437413210453201E-3</c:v>
                </c:pt>
                <c:pt idx="26">
                  <c:v>2.0713201863142455E-3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OCHC!$O$2:$O$28</c15:f>
                <c15:dlblRangeCache>
                  <c:ptCount val="27"/>
                  <c:pt idx="0">
                    <c:v>-65.6</c:v>
                  </c:pt>
                  <c:pt idx="1">
                    <c:v>-48.5</c:v>
                  </c:pt>
                  <c:pt idx="2">
                    <c:v>5.0</c:v>
                  </c:pt>
                  <c:pt idx="3">
                    <c:v>0.1</c:v>
                  </c:pt>
                  <c:pt idx="4">
                    <c:v>-11.5</c:v>
                  </c:pt>
                  <c:pt idx="5">
                    <c:v>-13.0</c:v>
                  </c:pt>
                  <c:pt idx="6">
                    <c:v>-28.5</c:v>
                  </c:pt>
                  <c:pt idx="7">
                    <c:v>-30.0</c:v>
                  </c:pt>
                  <c:pt idx="8">
                    <c:v>-15.7</c:v>
                  </c:pt>
                  <c:pt idx="9">
                    <c:v>-28.0</c:v>
                  </c:pt>
                  <c:pt idx="10">
                    <c:v>-19.0</c:v>
                  </c:pt>
                  <c:pt idx="11">
                    <c:v>-25.0</c:v>
                  </c:pt>
                  <c:pt idx="12">
                    <c:v>-19.7</c:v>
                  </c:pt>
                  <c:pt idx="13">
                    <c:v>-20.0</c:v>
                  </c:pt>
                  <c:pt idx="14">
                    <c:v>-20.4</c:v>
                  </c:pt>
                  <c:pt idx="15">
                    <c:v>-23.3</c:v>
                  </c:pt>
                  <c:pt idx="16">
                    <c:v>-20.8</c:v>
                  </c:pt>
                  <c:pt idx="17">
                    <c:v>-22.7</c:v>
                  </c:pt>
                  <c:pt idx="18">
                    <c:v>-20.8</c:v>
                  </c:pt>
                  <c:pt idx="19">
                    <c:v>-21.2</c:v>
                  </c:pt>
                  <c:pt idx="20">
                    <c:v>-21.3</c:v>
                  </c:pt>
                  <c:pt idx="21">
                    <c:v>-21.8</c:v>
                  </c:pt>
                  <c:pt idx="22">
                    <c:v>-21.5</c:v>
                  </c:pt>
                  <c:pt idx="23">
                    <c:v>-21.5</c:v>
                  </c:pt>
                  <c:pt idx="24">
                    <c:v>-21.6</c:v>
                  </c:pt>
                  <c:pt idx="25">
                    <c:v>-21.6</c:v>
                  </c:pt>
                  <c:pt idx="26">
                    <c:v>-21.6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85B4-9840-B31D-8F843EE01EA1}"/>
            </c:ext>
          </c:extLst>
        </c:ser>
        <c:ser>
          <c:idx val="1"/>
          <c:order val="1"/>
          <c:tx>
            <c:strRef>
              <c:f>OCHC!$N$1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E8B07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2AC65AF-63A0-8945-AA95-AA166C3044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85B4-9840-B31D-8F843EE01EA1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73C73A9-1E4A-F44A-9A45-0ACBDA529C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85B4-9840-B31D-8F843EE01EA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B3ECC82-0AA9-7E49-A4FB-B390084D64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85B4-9840-B31D-8F843EE01EA1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8264AC-BACE-F943-A877-1FE08222E4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85B4-9840-B31D-8F843EE01EA1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FBAAE6-FE66-364A-B6B8-26E853808A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85B4-9840-B31D-8F843EE01EA1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52D928B-E420-294E-9E5C-149E4A5024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85B4-9840-B31D-8F843EE01EA1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D9E92A3-17FB-BD40-84F7-B0D2CE44EA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85B4-9840-B31D-8F843EE01EA1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670AAA3-FE22-0C49-8B79-EA5810A99D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85B4-9840-B31D-8F843EE01EA1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F856C60-001A-A748-B1CF-81509D1839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5-85B4-9840-B31D-8F843EE01EA1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EF798B8-CF2F-F149-86FB-5AEC8D86C6D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85B4-9840-B31D-8F843EE01EA1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77082D48-C7AB-3746-B458-1B519C24B3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85B4-9840-B31D-8F843EE01EA1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26B7487-9CF6-5442-B16F-17EA5DD8A2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8-85B4-9840-B31D-8F843EE01EA1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34AD6DBB-7CFC-8549-B220-E7A69E1FEF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AE94-A94D-8840-6744BE882061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1C97F12A-948D-8742-ABD7-289A5A0236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AE94-A94D-8840-6744BE882061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566C9621-697F-7342-8AEA-D185B0773D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AE94-A94D-8840-6744BE882061}"/>
                </c:ext>
              </c:extLst>
            </c:dLbl>
            <c:dLbl>
              <c:idx val="15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71756F9C-1532-A743-B802-39148DF08F62}" type="CELLRANGE">
                      <a:rPr lang="en-US" sz="1200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2120227923800562E-2"/>
                      <c:h val="1.700610588880817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AE94-A94D-8840-6744BE882061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4C61BCE-3C1E-024C-83A1-8B1007C8C9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AE94-A94D-8840-6744BE882061}"/>
                </c:ext>
              </c:extLst>
            </c:dLbl>
            <c:dLbl>
              <c:idx val="1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2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DC37A67A-9E31-BC43-B87C-9F533285BCA4}" type="CELLRANGE">
                      <a:rPr lang="en-US" sz="1200"/>
                      <a:pPr>
                        <a:defRPr sz="12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0595008235128349E-2"/>
                      <c:h val="1.9042765276689397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AE94-A94D-8840-6744BE882061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0533AF70-4263-1749-99E6-2F3EDA83A7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AE94-A94D-8840-6744BE882061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1C023EE-5412-8E49-A1F6-818EE933C3F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AE94-A94D-8840-6744BE882061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E41BA4D9-3184-924A-BCD6-236CC09663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AE94-A94D-8840-6744BE882061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36825446-5C68-C84C-B59F-0F7C8E9377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AE94-A94D-8840-6744BE882061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B20E0CC-C979-9D47-B218-65175D120D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AE94-A94D-8840-6744BE882061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81E6F5B-7684-5646-A4B6-FD2B3A4E1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AE94-A94D-8840-6744BE882061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26137A90-5A2A-E442-ACFE-14B8E7573F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AE94-A94D-8840-6744BE882061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0DB2BAC-751B-9748-9030-E84C94612B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AE94-A94D-8840-6744BE882061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BDF175-6F49-3E4F-B16F-FD7F7DE7B0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AE94-A94D-8840-6744BE88206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OCHC!$L$2:$L$28</c:f>
              <c:strCache>
                <c:ptCount val="27"/>
                <c:pt idx="0">
                  <c:v>Wet Manure Collection Required</c:v>
                </c:pt>
                <c:pt idx="1">
                  <c:v>Global Population</c:v>
                </c:pt>
                <c:pt idx="2">
                  <c:v>Photochemical Oxidation</c:v>
                </c:pt>
                <c:pt idx="3">
                  <c:v>Operating Time</c:v>
                </c:pt>
                <c:pt idx="4">
                  <c:v>Diesel</c:v>
                </c:pt>
                <c:pt idx="5">
                  <c:v>Boats</c:v>
                </c:pt>
                <c:pt idx="6">
                  <c:v>Maximum Theoretical Energy Production</c:v>
                </c:pt>
                <c:pt idx="7">
                  <c:v>Municipal Wet Waste Collection Required </c:v>
                </c:pt>
                <c:pt idx="8">
                  <c:v>Lactase Enzyme</c:v>
                </c:pt>
                <c:pt idx="9">
                  <c:v>Growth Rate</c:v>
                </c:pt>
                <c:pt idx="10">
                  <c:v>Graphite Electrodes</c:v>
                </c:pt>
                <c:pt idx="11">
                  <c:v>Functional Society</c:v>
                </c:pt>
                <c:pt idx="12">
                  <c:v>Acidification</c:v>
                </c:pt>
                <c:pt idx="13">
                  <c:v>Respiratory Effects</c:v>
                </c:pt>
                <c:pt idx="14">
                  <c:v>Specialized Chemicals</c:v>
                </c:pt>
                <c:pt idx="15">
                  <c:v>Discount Rate</c:v>
                </c:pt>
                <c:pt idx="16">
                  <c:v>Electricity</c:v>
                </c:pt>
                <c:pt idx="17">
                  <c:v>Survival</c:v>
                </c:pt>
                <c:pt idx="18">
                  <c:v>Start-Up Production</c:v>
                </c:pt>
                <c:pt idx="19">
                  <c:v>Wastewater Treatment</c:v>
                </c:pt>
                <c:pt idx="20">
                  <c:v>Filters and Membranes</c:v>
                </c:pt>
                <c:pt idx="21">
                  <c:v>Energy Required</c:v>
                </c:pt>
                <c:pt idx="22">
                  <c:v>Solid Waste Disposal</c:v>
                </c:pt>
                <c:pt idx="23">
                  <c:v>Pumps</c:v>
                </c:pt>
                <c:pt idx="24">
                  <c:v>Heavy Duty Trucks</c:v>
                </c:pt>
                <c:pt idx="25">
                  <c:v>Concrete</c:v>
                </c:pt>
                <c:pt idx="26">
                  <c:v>Personal Fulfillment</c:v>
                </c:pt>
              </c:strCache>
            </c:strRef>
          </c:cat>
          <c:val>
            <c:numRef>
              <c:f>OCHC!$N$2:$N$28</c:f>
              <c:numCache>
                <c:formatCode>0%</c:formatCode>
                <c:ptCount val="27"/>
                <c:pt idx="0">
                  <c:v>2.869804248716731</c:v>
                </c:pt>
                <c:pt idx="1">
                  <c:v>1.8598919331525905</c:v>
                </c:pt>
                <c:pt idx="2">
                  <c:v>-1.8439233563241619</c:v>
                </c:pt>
                <c:pt idx="3">
                  <c:v>-1.2779335245345096</c:v>
                </c:pt>
                <c:pt idx="4">
                  <c:v>-0.70345172593104377</c:v>
                </c:pt>
                <c:pt idx="5">
                  <c:v>-0.60117740312126311</c:v>
                </c:pt>
                <c:pt idx="6">
                  <c:v>0.4729848537481196</c:v>
                </c:pt>
                <c:pt idx="7">
                  <c:v>0.41162596654531663</c:v>
                </c:pt>
                <c:pt idx="8">
                  <c:v>-0.40837048246768926</c:v>
                </c:pt>
                <c:pt idx="9">
                  <c:v>0.30793551051450596</c:v>
                </c:pt>
                <c:pt idx="10">
                  <c:v>-0.18256864574494072</c:v>
                </c:pt>
                <c:pt idx="11">
                  <c:v>0.15473917502938836</c:v>
                </c:pt>
                <c:pt idx="12">
                  <c:v>-0.13749067068342191</c:v>
                </c:pt>
                <c:pt idx="13">
                  <c:v>-0.11196995015894692</c:v>
                </c:pt>
                <c:pt idx="14">
                  <c:v>-8.3037984303193493E-2</c:v>
                </c:pt>
                <c:pt idx="15">
                  <c:v>7.805933598868596E-2</c:v>
                </c:pt>
                <c:pt idx="16">
                  <c:v>-5.7906213855816402E-2</c:v>
                </c:pt>
                <c:pt idx="17">
                  <c:v>4.7332145059877734E-2</c:v>
                </c:pt>
                <c:pt idx="18">
                  <c:v>-3.7238903593139673E-2</c:v>
                </c:pt>
                <c:pt idx="19">
                  <c:v>-2.8516647080527282E-2</c:v>
                </c:pt>
                <c:pt idx="20">
                  <c:v>-2.2057670863619868E-2</c:v>
                </c:pt>
                <c:pt idx="21">
                  <c:v>8.2835961445462316E-3</c:v>
                </c:pt>
                <c:pt idx="22">
                  <c:v>-7.5756412937001485E-3</c:v>
                </c:pt>
                <c:pt idx="23">
                  <c:v>-6.6360012004069305E-3</c:v>
                </c:pt>
                <c:pt idx="24">
                  <c:v>-5.1155926163555703E-3</c:v>
                </c:pt>
                <c:pt idx="25">
                  <c:v>-3.0656119815676516E-3</c:v>
                </c:pt>
                <c:pt idx="26">
                  <c:v>-2.0713201863193365E-3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OCHC!$P$2:$P$28</c15:f>
                <c15:dlblRangeCache>
                  <c:ptCount val="27"/>
                  <c:pt idx="0">
                    <c:v>40.5</c:v>
                  </c:pt>
                  <c:pt idx="1">
                    <c:v>18.6</c:v>
                  </c:pt>
                  <c:pt idx="2">
                    <c:v>-61.5</c:v>
                  </c:pt>
                  <c:pt idx="3">
                    <c:v>-49.3</c:v>
                  </c:pt>
                  <c:pt idx="4">
                    <c:v>-36.9</c:v>
                  </c:pt>
                  <c:pt idx="5">
                    <c:v>-34.6</c:v>
                  </c:pt>
                  <c:pt idx="6">
                    <c:v>-11.4</c:v>
                  </c:pt>
                  <c:pt idx="7">
                    <c:v>-12.7</c:v>
                  </c:pt>
                  <c:pt idx="8">
                    <c:v>-30.5</c:v>
                  </c:pt>
                  <c:pt idx="9">
                    <c:v>-15.0</c:v>
                  </c:pt>
                  <c:pt idx="10">
                    <c:v>-25.6</c:v>
                  </c:pt>
                  <c:pt idx="11">
                    <c:v>-18.3</c:v>
                  </c:pt>
                  <c:pt idx="12">
                    <c:v>-24.6</c:v>
                  </c:pt>
                  <c:pt idx="13">
                    <c:v>-24.1</c:v>
                  </c:pt>
                  <c:pt idx="14">
                    <c:v>-23.4</c:v>
                  </c:pt>
                  <c:pt idx="15">
                    <c:v>-19.9</c:v>
                  </c:pt>
                  <c:pt idx="16">
                    <c:v>-22.9</c:v>
                  </c:pt>
                  <c:pt idx="17">
                    <c:v>-20.6</c:v>
                  </c:pt>
                  <c:pt idx="18">
                    <c:v>-22.4</c:v>
                  </c:pt>
                  <c:pt idx="19">
                    <c:v>-22.3</c:v>
                  </c:pt>
                  <c:pt idx="20">
                    <c:v>-22.1</c:v>
                  </c:pt>
                  <c:pt idx="21">
                    <c:v>-21.5</c:v>
                  </c:pt>
                  <c:pt idx="22">
                    <c:v>-21.8</c:v>
                  </c:pt>
                  <c:pt idx="23">
                    <c:v>-21.8</c:v>
                  </c:pt>
                  <c:pt idx="24">
                    <c:v>-21.7</c:v>
                  </c:pt>
                  <c:pt idx="25">
                    <c:v>-21.7</c:v>
                  </c:pt>
                  <c:pt idx="26">
                    <c:v>-21.7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85B4-9840-B31D-8F843EE01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  <c:max val="3"/>
          <c:min val="-2.5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  <c:majorUnit val="0.5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54750944133644375"/>
          <c:y val="0.91507950290967099"/>
          <c:w val="0.1644105016739906"/>
          <c:h val="6.3596619663156412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12561447131193715"/>
          <c:w val="0.71055626808822048"/>
          <c:h val="0.85902657475117572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PCHC!$M$1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ABF0DC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1A6FB4DB-C4D8-F948-94B8-1CB482B7B7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0B96-3F4B-AFAC-4D5A333947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CE26224-2392-DA46-839C-8A818F474BD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0B96-3F4B-AFAC-4D5A333947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9D8E181-89D6-5447-B104-0C1CC3FDDD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B96-3F4B-AFAC-4D5A333947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7E862EA-92D8-7546-98A6-2EE42603DF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B96-3F4B-AFAC-4D5A333947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D74A221-8E74-2A4C-89D3-10EF0862C4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0B96-3F4B-AFAC-4D5A333947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88CD23D-2089-B34F-A083-F6E53EAA6B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B96-3F4B-AFAC-4D5A333947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FD95DF5-BED8-714B-AD81-71E3635573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0B96-3F4B-AFAC-4D5A3339470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52E7A1FC-8C1C-4A44-A322-063701BB827B}" type="CELLRANGE">
                      <a:rPr lang="en-US" sz="1000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9511772810192536E-2"/>
                      <c:h val="2.300077358716920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0B96-3F4B-AFAC-4D5A333947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8E973731-4B02-F24E-8ED1-AE285E8E9CC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0B96-3F4B-AFAC-4D5A333947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E3D40D79-2396-7045-88D9-8B7B6B402B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0B96-3F4B-AFAC-4D5A3339470F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5466CD2E-C8CC-4846-BE62-4AF6C9ED631C}" type="CELLRANGE">
                      <a:rPr lang="en-US" sz="1000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numFmt formatCode="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7144071306129097E-2"/>
                      <c:h val="2.4546001182159945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B96-3F4B-AFAC-4D5A333947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70AAFBE5-8956-BC4D-A154-07F0613FB7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B96-3F4B-AFAC-4D5A333947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2C155AE5-932A-EC4D-A712-2B2E4C25CD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0B96-3F4B-AFAC-4D5A333947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9849B6A7-8C3D-F444-804B-3CD8B44103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0B96-3F4B-AFAC-4D5A333947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45D1889-E4AB-7546-A316-07FE0BD7F0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0B96-3F4B-AFAC-4D5A333947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F2487E4A-CDFE-1644-9110-DDD81F7A1AE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0B96-3F4B-AFAC-4D5A333947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27C86323-127E-7948-800F-81FA5034BE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0B96-3F4B-AFAC-4D5A333947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6F6DB74-5853-DB42-83F5-CF74236F56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0B96-3F4B-AFAC-4D5A333947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B0AB565-4A02-644B-A0FC-870866F9F9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0B96-3F4B-AFAC-4D5A3339470F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PCHC!$L$2:$L$20</c:f>
              <c:strCache>
                <c:ptCount val="19"/>
                <c:pt idx="0">
                  <c:v>Operating Time</c:v>
                </c:pt>
                <c:pt idx="1">
                  <c:v>Survival</c:v>
                </c:pt>
                <c:pt idx="2">
                  <c:v>Global Population</c:v>
                </c:pt>
                <c:pt idx="3">
                  <c:v>Photochemical Oxidation</c:v>
                </c:pt>
                <c:pt idx="4">
                  <c:v>Pumps</c:v>
                </c:pt>
                <c:pt idx="5">
                  <c:v>Machinery</c:v>
                </c:pt>
                <c:pt idx="6">
                  <c:v>Crude Oil</c:v>
                </c:pt>
                <c:pt idx="7">
                  <c:v>Heat Exchangers</c:v>
                </c:pt>
                <c:pt idx="8">
                  <c:v>Discount Rate</c:v>
                </c:pt>
                <c:pt idx="9">
                  <c:v>CO2 eq Removal Requirement - 2035</c:v>
                </c:pt>
                <c:pt idx="10">
                  <c:v>Functional Society</c:v>
                </c:pt>
                <c:pt idx="11">
                  <c:v>Acidification </c:v>
                </c:pt>
                <c:pt idx="12">
                  <c:v>CO2 eq Removal Requirement - 2030</c:v>
                </c:pt>
                <c:pt idx="13">
                  <c:v>Respiratory Effects </c:v>
                </c:pt>
                <c:pt idx="14">
                  <c:v>CO2 eq Removal Requirement - 2050</c:v>
                </c:pt>
                <c:pt idx="15">
                  <c:v>Growth Rate</c:v>
                </c:pt>
                <c:pt idx="16">
                  <c:v>Start-Up Production</c:v>
                </c:pt>
                <c:pt idx="17">
                  <c:v>Concrete</c:v>
                </c:pt>
                <c:pt idx="18">
                  <c:v>Specialized Chemicals</c:v>
                </c:pt>
              </c:strCache>
            </c:strRef>
          </c:cat>
          <c:val>
            <c:numRef>
              <c:f>PCHC!$M$2:$M$20</c:f>
              <c:numCache>
                <c:formatCode>0%</c:formatCode>
                <c:ptCount val="19"/>
                <c:pt idx="0">
                  <c:v>-0.25010877733638309</c:v>
                </c:pt>
                <c:pt idx="1">
                  <c:v>-0.1917808872514854</c:v>
                </c:pt>
                <c:pt idx="2">
                  <c:v>8.0845294230634135E-2</c:v>
                </c:pt>
                <c:pt idx="3">
                  <c:v>7.1468070855696425E-2</c:v>
                </c:pt>
                <c:pt idx="4">
                  <c:v>2.1090855017073709E-2</c:v>
                </c:pt>
                <c:pt idx="5">
                  <c:v>1.7322901430454427E-2</c:v>
                </c:pt>
                <c:pt idx="6">
                  <c:v>1.5791181791628292E-2</c:v>
                </c:pt>
                <c:pt idx="7">
                  <c:v>1.3756999003621956E-2</c:v>
                </c:pt>
                <c:pt idx="8">
                  <c:v>1.7144907339925679E-2</c:v>
                </c:pt>
                <c:pt idx="9">
                  <c:v>9.0343997579171997E-3</c:v>
                </c:pt>
                <c:pt idx="10">
                  <c:v>-8.2080716060537462E-3</c:v>
                </c:pt>
                <c:pt idx="11">
                  <c:v>5.3289595582696409E-3</c:v>
                </c:pt>
                <c:pt idx="12">
                  <c:v>4.9304151759788431E-3</c:v>
                </c:pt>
                <c:pt idx="13">
                  <c:v>4.33980962615546E-3</c:v>
                </c:pt>
                <c:pt idx="14">
                  <c:v>2.1428545473595657E-3</c:v>
                </c:pt>
                <c:pt idx="15">
                  <c:v>2.6252954979034833E-3</c:v>
                </c:pt>
                <c:pt idx="16">
                  <c:v>-2.4346247232466E-3</c:v>
                </c:pt>
                <c:pt idx="17">
                  <c:v>1.1900922237976449E-3</c:v>
                </c:pt>
                <c:pt idx="18">
                  <c:v>3.3962092112368455E-4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PCHC!$O$2:$O$20</c15:f>
                <c15:dlblRangeCache>
                  <c:ptCount val="19"/>
                  <c:pt idx="0">
                    <c:v>-465</c:v>
                  </c:pt>
                  <c:pt idx="1">
                    <c:v>-443</c:v>
                  </c:pt>
                  <c:pt idx="2">
                    <c:v>-342</c:v>
                  </c:pt>
                  <c:pt idx="3">
                    <c:v>-346</c:v>
                  </c:pt>
                  <c:pt idx="4">
                    <c:v>-364</c:v>
                  </c:pt>
                  <c:pt idx="5">
                    <c:v>-366</c:v>
                  </c:pt>
                  <c:pt idx="6">
                    <c:v>-366</c:v>
                  </c:pt>
                  <c:pt idx="7">
                    <c:v>-367</c:v>
                  </c:pt>
                  <c:pt idx="8">
                    <c:v>-366</c:v>
                  </c:pt>
                  <c:pt idx="9">
                    <c:v>-369</c:v>
                  </c:pt>
                  <c:pt idx="10">
                    <c:v>-375</c:v>
                  </c:pt>
                  <c:pt idx="11">
                    <c:v>-370</c:v>
                  </c:pt>
                  <c:pt idx="12">
                    <c:v>-370</c:v>
                  </c:pt>
                  <c:pt idx="13">
                    <c:v>-371</c:v>
                  </c:pt>
                  <c:pt idx="14">
                    <c:v>-371</c:v>
                  </c:pt>
                  <c:pt idx="15">
                    <c:v>-371</c:v>
                  </c:pt>
                  <c:pt idx="16">
                    <c:v>-373</c:v>
                  </c:pt>
                  <c:pt idx="17">
                    <c:v>-372</c:v>
                  </c:pt>
                  <c:pt idx="18">
                    <c:v>-372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0B96-3F4B-AFAC-4D5A3339470F}"/>
            </c:ext>
          </c:extLst>
        </c:ser>
        <c:ser>
          <c:idx val="1"/>
          <c:order val="1"/>
          <c:tx>
            <c:strRef>
              <c:f>PCHC!$N$1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FFC9CB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9F4F703-2879-7540-AA27-FC632982E1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B96-3F4B-AFAC-4D5A3339470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AB25914-53F2-1F4C-8329-8AFC96CCD9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B96-3F4B-AFAC-4D5A3339470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CAD6B4-7CFB-8047-82D3-42E2A80DC8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0B96-3F4B-AFAC-4D5A3339470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3521F75-952D-EA4F-9D69-95B9954D86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0-0B96-3F4B-AFAC-4D5A3339470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F770E72-33DD-7645-86C0-A449EC0922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B96-3F4B-AFAC-4D5A3339470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7963B1A-4935-544E-A46E-A3ECC405D0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B96-3F4B-AFAC-4D5A3339470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68CBB6E-29B9-354B-AD7A-E01AABB466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B96-3F4B-AFAC-4D5A3339470F}"/>
                </c:ext>
              </c:extLst>
            </c:dLbl>
            <c:dLbl>
              <c:idx val="7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4F58678C-B4E0-9D47-BEA8-7FA88CD4B8AB}" type="CELLRANGE">
                      <a:rPr lang="en-US" sz="1000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4149660874216335E-2"/>
                      <c:h val="2.3000773587169208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0B96-3F4B-AFAC-4D5A3339470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812E00D-8998-AB4F-9850-6D37B129C5D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0B96-3F4B-AFAC-4D5A3339470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49B7C015-7392-C54A-8166-E611CE78DC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0B96-3F4B-AFAC-4D5A3339470F}"/>
                </c:ext>
              </c:extLst>
            </c:dLbl>
            <c:dLbl>
              <c:idx val="1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chemeClr val="tx1"/>
                        </a:solidFill>
                        <a:latin typeface="Arial Nova Cond" panose="020B0506020202020204" pitchFamily="34" charset="0"/>
                        <a:ea typeface="+mn-ea"/>
                        <a:cs typeface="+mn-cs"/>
                      </a:defRPr>
                    </a:pPr>
                    <a:fld id="{48A58355-7CBC-9E44-B692-7CF478933F45}" type="CELLRANGE">
                      <a:rPr lang="en-US" sz="1000"/>
                      <a:pPr>
                        <a:defRPr sz="1000" b="1"/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tx1"/>
                      </a:solidFill>
                      <a:latin typeface="Arial Nova Cond" panose="020B0506020202020204" pitchFamily="34" charset="0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5.0235996682144957E-2"/>
                      <c:h val="1.9910318397187734E-2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7-0B96-3F4B-AFAC-4D5A3339470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7A759C7-82B9-9B40-9A16-E1F67DF8881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0B96-3F4B-AFAC-4D5A3339470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7889478-FB7D-714C-AFC1-3EA1FC225E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0B96-3F4B-AFAC-4D5A3339470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E303281B-6F25-AE4F-811B-02C36A5DF5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0B96-3F4B-AFAC-4D5A3339470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4285A58-315B-5943-8814-F949F5AFAA7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0B96-3F4B-AFAC-4D5A3339470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838952CF-6BC4-7C40-BBDA-7C94BA3B5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0B96-3F4B-AFAC-4D5A3339470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8FDE2F8-37C0-E042-A77E-4EC1CA8847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0B96-3F4B-AFAC-4D5A3339470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7019DC3D-D9F9-E047-8476-15FEA689B1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0B96-3F4B-AFAC-4D5A3339470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1EB34E92-C85F-6D46-BEAE-9A16B3F360F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0B96-3F4B-AFAC-4D5A3339470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PCHC!$L$2:$L$20</c:f>
              <c:strCache>
                <c:ptCount val="19"/>
                <c:pt idx="0">
                  <c:v>Operating Time</c:v>
                </c:pt>
                <c:pt idx="1">
                  <c:v>Survival</c:v>
                </c:pt>
                <c:pt idx="2">
                  <c:v>Global Population</c:v>
                </c:pt>
                <c:pt idx="3">
                  <c:v>Photochemical Oxidation</c:v>
                </c:pt>
                <c:pt idx="4">
                  <c:v>Pumps</c:v>
                </c:pt>
                <c:pt idx="5">
                  <c:v>Machinery</c:v>
                </c:pt>
                <c:pt idx="6">
                  <c:v>Crude Oil</c:v>
                </c:pt>
                <c:pt idx="7">
                  <c:v>Heat Exchangers</c:v>
                </c:pt>
                <c:pt idx="8">
                  <c:v>Discount Rate</c:v>
                </c:pt>
                <c:pt idx="9">
                  <c:v>CO2 eq Removal Requirement - 2035</c:v>
                </c:pt>
                <c:pt idx="10">
                  <c:v>Functional Society</c:v>
                </c:pt>
                <c:pt idx="11">
                  <c:v>Acidification </c:v>
                </c:pt>
                <c:pt idx="12">
                  <c:v>CO2 eq Removal Requirement - 2030</c:v>
                </c:pt>
                <c:pt idx="13">
                  <c:v>Respiratory Effects </c:v>
                </c:pt>
                <c:pt idx="14">
                  <c:v>CO2 eq Removal Requirement - 2050</c:v>
                </c:pt>
                <c:pt idx="15">
                  <c:v>Growth Rate</c:v>
                </c:pt>
                <c:pt idx="16">
                  <c:v>Start-Up Production</c:v>
                </c:pt>
                <c:pt idx="17">
                  <c:v>Concrete</c:v>
                </c:pt>
                <c:pt idx="18">
                  <c:v>Specialized Chemicals</c:v>
                </c:pt>
              </c:strCache>
            </c:strRef>
          </c:cat>
          <c:val>
            <c:numRef>
              <c:f>PCHC!$N$2:$N$20</c:f>
              <c:numCache>
                <c:formatCode>0%</c:formatCode>
                <c:ptCount val="19"/>
                <c:pt idx="0">
                  <c:v>0.22735794941952336</c:v>
                </c:pt>
                <c:pt idx="1">
                  <c:v>0.19178088725148523</c:v>
                </c:pt>
                <c:pt idx="2">
                  <c:v>-0.12126794134595112</c:v>
                </c:pt>
                <c:pt idx="3">
                  <c:v>-0.10720210628354487</c:v>
                </c:pt>
                <c:pt idx="4">
                  <c:v>-3.1636282525610564E-2</c:v>
                </c:pt>
                <c:pt idx="5">
                  <c:v>-2.5984352145681563E-2</c:v>
                </c:pt>
                <c:pt idx="6">
                  <c:v>-2.3686772687442514E-2</c:v>
                </c:pt>
                <c:pt idx="7">
                  <c:v>-2.0635498505432628E-2</c:v>
                </c:pt>
                <c:pt idx="8">
                  <c:v>-1.7872283104657626E-2</c:v>
                </c:pt>
                <c:pt idx="9">
                  <c:v>-1.35515996368758E-2</c:v>
                </c:pt>
                <c:pt idx="10">
                  <c:v>8.2080716060538988E-3</c:v>
                </c:pt>
                <c:pt idx="11">
                  <c:v>-7.993439337404231E-3</c:v>
                </c:pt>
                <c:pt idx="12">
                  <c:v>-7.3956227639682647E-3</c:v>
                </c:pt>
                <c:pt idx="13">
                  <c:v>-6.5097144392331904E-3</c:v>
                </c:pt>
                <c:pt idx="14">
                  <c:v>-3.214281821039272E-3</c:v>
                </c:pt>
                <c:pt idx="15">
                  <c:v>-2.7001398965580481E-3</c:v>
                </c:pt>
                <c:pt idx="16">
                  <c:v>2.434752333969573E-3</c:v>
                </c:pt>
                <c:pt idx="17">
                  <c:v>-1.7851383356965438E-3</c:v>
                </c:pt>
                <c:pt idx="18">
                  <c:v>-5.0943138168567956E-4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PCHC!$P$2:$P$20</c15:f>
                <c15:dlblRangeCache>
                  <c:ptCount val="19"/>
                  <c:pt idx="0">
                    <c:v>-288</c:v>
                  </c:pt>
                  <c:pt idx="1">
                    <c:v>-301</c:v>
                  </c:pt>
                  <c:pt idx="2">
                    <c:v>-417</c:v>
                  </c:pt>
                  <c:pt idx="3">
                    <c:v>-412</c:v>
                  </c:pt>
                  <c:pt idx="4">
                    <c:v>-384</c:v>
                  </c:pt>
                  <c:pt idx="5">
                    <c:v>-382</c:v>
                  </c:pt>
                  <c:pt idx="6">
                    <c:v>-381</c:v>
                  </c:pt>
                  <c:pt idx="7">
                    <c:v>-380</c:v>
                  </c:pt>
                  <c:pt idx="8">
                    <c:v>-379</c:v>
                  </c:pt>
                  <c:pt idx="9">
                    <c:v>-377</c:v>
                  </c:pt>
                  <c:pt idx="10">
                    <c:v>-369</c:v>
                  </c:pt>
                  <c:pt idx="11">
                    <c:v>-375</c:v>
                  </c:pt>
                  <c:pt idx="12">
                    <c:v>-375</c:v>
                  </c:pt>
                  <c:pt idx="13">
                    <c:v>-375</c:v>
                  </c:pt>
                  <c:pt idx="14">
                    <c:v>-373</c:v>
                  </c:pt>
                  <c:pt idx="15">
                    <c:v>-373</c:v>
                  </c:pt>
                  <c:pt idx="16">
                    <c:v>-371</c:v>
                  </c:pt>
                  <c:pt idx="17">
                    <c:v>-373</c:v>
                  </c:pt>
                  <c:pt idx="18">
                    <c:v>-372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0B96-3F4B-AFAC-4D5A33394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54207063564386182"/>
          <c:y val="0.88245636192101728"/>
          <c:w val="0.17899084911683336"/>
          <c:h val="8.3675777669246831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3218668565055641E-2"/>
          <c:y val="0.17137547931035049"/>
          <c:w val="0.71055626808822048"/>
          <c:h val="0.81183652407470708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Coal!$M$1</c:f>
              <c:strCache>
                <c:ptCount val="1"/>
                <c:pt idx="0">
                  <c:v>20% Increase</c:v>
                </c:pt>
              </c:strCache>
            </c:strRef>
          </c:tx>
          <c:spPr>
            <a:solidFill>
              <a:srgbClr val="B6E1C5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41AE937-A64C-804C-AAD1-5F7431F18D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4A2-214A-A9FC-3DA18FC61C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314048F-13E8-AC41-9A9F-ED002F4A24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4A2-214A-A9FC-3DA18FC61C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2E60F5-B997-E745-A751-0F6681E616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4A2-214A-A9FC-3DA18FC61C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A9111DB-B65A-0B44-BCFA-FEB5F44B23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4A2-214A-A9FC-3DA18FC61C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5F47A79C-6183-BC4E-BE19-5C97C9A3D7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54A2-214A-A9FC-3DA18FC61C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18A4C591-E397-4C41-98ED-8F929B4F40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4A2-214A-A9FC-3DA18FC61C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42CED60-5502-9845-A434-D34C417B26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4A2-214A-A9FC-3DA18FC61C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3C2EE2-8F2D-7547-9AA4-63E4C83BCE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54A2-214A-A9FC-3DA18FC61C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7221010-9F21-A048-B59B-5C78749914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4A2-214A-A9FC-3DA18FC61C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F4C13F63-9C37-4D44-BBBF-3A400CF133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4A2-214A-A9FC-3DA18FC61CE0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Coal!$L$2:$L$11</c:f>
              <c:strCache>
                <c:ptCount val="10"/>
                <c:pt idx="0">
                  <c:v>Coal</c:v>
                </c:pt>
                <c:pt idx="1">
                  <c:v>Survival</c:v>
                </c:pt>
                <c:pt idx="2">
                  <c:v>Operating Time</c:v>
                </c:pt>
                <c:pt idx="3">
                  <c:v>CO2 eq Removal Requirement - 2035</c:v>
                </c:pt>
                <c:pt idx="4">
                  <c:v>Functional Society</c:v>
                </c:pt>
                <c:pt idx="5">
                  <c:v>CO2 eq Removal Requirement - 2030</c:v>
                </c:pt>
                <c:pt idx="6">
                  <c:v>CO2 eq Removal Requirement - 2050</c:v>
                </c:pt>
                <c:pt idx="7">
                  <c:v>Lime</c:v>
                </c:pt>
                <c:pt idx="8">
                  <c:v>Maintenance Material</c:v>
                </c:pt>
                <c:pt idx="9">
                  <c:v>Photochemical Oxidation</c:v>
                </c:pt>
              </c:strCache>
            </c:strRef>
          </c:cat>
          <c:val>
            <c:numRef>
              <c:f>Coal!$M$2:$M$11</c:f>
              <c:numCache>
                <c:formatCode>0%</c:formatCode>
                <c:ptCount val="10"/>
                <c:pt idx="0">
                  <c:v>0.13764304120433013</c:v>
                </c:pt>
                <c:pt idx="1">
                  <c:v>-0.18447403816240068</c:v>
                </c:pt>
                <c:pt idx="2">
                  <c:v>-0.1785268378470129</c:v>
                </c:pt>
                <c:pt idx="3">
                  <c:v>1.4502831336269478E-2</c:v>
                </c:pt>
                <c:pt idx="4">
                  <c:v>-1.5517643818742186E-2</c:v>
                </c:pt>
                <c:pt idx="5">
                  <c:v>7.9147460408026393E-3</c:v>
                </c:pt>
                <c:pt idx="6">
                  <c:v>3.4399029167687368E-3</c:v>
                </c:pt>
                <c:pt idx="7">
                  <c:v>1.5156349607145449E-3</c:v>
                </c:pt>
                <c:pt idx="8">
                  <c:v>8.0680495732968433E-4</c:v>
                </c:pt>
                <c:pt idx="9">
                  <c:v>5.7171037727807501E-4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Coal!$O$2:$O$11</c15:f>
                <c15:dlblRangeCache>
                  <c:ptCount val="10"/>
                  <c:pt idx="0">
                    <c:v>-621</c:v>
                  </c:pt>
                  <c:pt idx="1">
                    <c:v>-853</c:v>
                  </c:pt>
                  <c:pt idx="2">
                    <c:v>-849</c:v>
                  </c:pt>
                  <c:pt idx="3">
                    <c:v>-710</c:v>
                  </c:pt>
                  <c:pt idx="4">
                    <c:v>-732</c:v>
                  </c:pt>
                  <c:pt idx="5">
                    <c:v>-715</c:v>
                  </c:pt>
                  <c:pt idx="6">
                    <c:v>-718</c:v>
                  </c:pt>
                  <c:pt idx="7">
                    <c:v>-719</c:v>
                  </c:pt>
                  <c:pt idx="8">
                    <c:v>-720</c:v>
                  </c:pt>
                  <c:pt idx="9">
                    <c:v>-720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54A2-214A-A9FC-3DA18FC61CE0}"/>
            </c:ext>
          </c:extLst>
        </c:ser>
        <c:ser>
          <c:idx val="1"/>
          <c:order val="1"/>
          <c:tx>
            <c:strRef>
              <c:f>Coal!$N$1</c:f>
              <c:strCache>
                <c:ptCount val="1"/>
                <c:pt idx="0">
                  <c:v>20% Decrease</c:v>
                </c:pt>
              </c:strCache>
            </c:strRef>
          </c:tx>
          <c:spPr>
            <a:solidFill>
              <a:srgbClr val="E7E5BF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CC212A7E-C13B-D345-8F04-156E582D9B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54A2-214A-A9FC-3DA18FC61CE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2597AC-B74B-4043-8CE0-0F684F5062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4A2-214A-A9FC-3DA18FC61CE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203787B-D30D-8841-AB04-69218CAFA8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4A2-214A-A9FC-3DA18FC61CE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12D328F-EBB2-AC44-B67C-30B4520C4C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4A2-214A-A9FC-3DA18FC61CE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DB43495-15F3-EC46-B934-A29FE9FCEC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1-54A2-214A-A9FC-3DA18FC61CE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6D4331D-8270-2F4C-871C-308333C94A5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4A2-214A-A9FC-3DA18FC61CE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E345243-A3C5-4644-B4D0-A40C816438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4A2-214A-A9FC-3DA18FC61CE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471069B1-84AA-BE40-801A-DEE344E283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Base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54A2-214A-A9FC-3DA18FC61CE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18F04F37-279B-1E4B-B077-E342A6AA0F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4A2-214A-A9FC-3DA18FC61CE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5F0AB32-9D7D-7F4A-9A05-28511B2135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4A2-214A-A9FC-3DA18FC61C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Arial Nova Cond" panose="020B0506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Coal!$L$2:$L$11</c:f>
              <c:strCache>
                <c:ptCount val="10"/>
                <c:pt idx="0">
                  <c:v>Coal</c:v>
                </c:pt>
                <c:pt idx="1">
                  <c:v>Survival</c:v>
                </c:pt>
                <c:pt idx="2">
                  <c:v>Operating Time</c:v>
                </c:pt>
                <c:pt idx="3">
                  <c:v>CO2 eq Removal Requirement - 2035</c:v>
                </c:pt>
                <c:pt idx="4">
                  <c:v>Functional Society</c:v>
                </c:pt>
                <c:pt idx="5">
                  <c:v>CO2 eq Removal Requirement - 2030</c:v>
                </c:pt>
                <c:pt idx="6">
                  <c:v>CO2 eq Removal Requirement - 2050</c:v>
                </c:pt>
                <c:pt idx="7">
                  <c:v>Lime</c:v>
                </c:pt>
                <c:pt idx="8">
                  <c:v>Maintenance Material</c:v>
                </c:pt>
                <c:pt idx="9">
                  <c:v>Photochemical Oxidation</c:v>
                </c:pt>
              </c:strCache>
            </c:strRef>
          </c:cat>
          <c:val>
            <c:numRef>
              <c:f>Coal!$N$2:$N$11</c:f>
              <c:numCache>
                <c:formatCode>0%</c:formatCode>
                <c:ptCount val="10"/>
                <c:pt idx="0">
                  <c:v>-0.20646456180649486</c:v>
                </c:pt>
                <c:pt idx="1">
                  <c:v>0.18447403816240149</c:v>
                </c:pt>
                <c:pt idx="2">
                  <c:v>0.17433992671903717</c:v>
                </c:pt>
                <c:pt idx="3">
                  <c:v>-2.1754247004404061E-2</c:v>
                </c:pt>
                <c:pt idx="4">
                  <c:v>1.5517643818742344E-2</c:v>
                </c:pt>
                <c:pt idx="5">
                  <c:v>-1.1872119061203723E-2</c:v>
                </c:pt>
                <c:pt idx="6">
                  <c:v>-5.1598543751529471E-3</c:v>
                </c:pt>
                <c:pt idx="7">
                  <c:v>-2.273452441071344E-3</c:v>
                </c:pt>
                <c:pt idx="8">
                  <c:v>-1.2102074359945265E-3</c:v>
                </c:pt>
                <c:pt idx="9">
                  <c:v>-8.5756556591719128E-4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Coal!$P$2:$P$11</c15:f>
                <c15:dlblRangeCache>
                  <c:ptCount val="10"/>
                  <c:pt idx="0">
                    <c:v>-869</c:v>
                  </c:pt>
                  <c:pt idx="1">
                    <c:v>-588</c:v>
                  </c:pt>
                  <c:pt idx="2">
                    <c:v>-595</c:v>
                  </c:pt>
                  <c:pt idx="3">
                    <c:v>-736</c:v>
                  </c:pt>
                  <c:pt idx="4">
                    <c:v>-709</c:v>
                  </c:pt>
                  <c:pt idx="5">
                    <c:v>-729</c:v>
                  </c:pt>
                  <c:pt idx="6">
                    <c:v>-724</c:v>
                  </c:pt>
                  <c:pt idx="7">
                    <c:v>-722</c:v>
                  </c:pt>
                  <c:pt idx="8">
                    <c:v>-721</c:v>
                  </c:pt>
                  <c:pt idx="9">
                    <c:v>-721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54A2-214A-A9FC-3DA18FC61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93133903"/>
        <c:axId val="2122407312"/>
      </c:barChart>
      <c:catAx>
        <c:axId val="693133903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2122407312"/>
        <c:crosses val="autoZero"/>
        <c:auto val="1"/>
        <c:lblAlgn val="ctr"/>
        <c:lblOffset val="100"/>
        <c:noMultiLvlLbl val="0"/>
      </c:catAx>
      <c:valAx>
        <c:axId val="212240731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/>
              </a:solidFill>
              <a:round/>
            </a:ln>
            <a:effectLst/>
          </c:spPr>
        </c:majorGridlines>
        <c:numFmt formatCode="0%" sourceLinked="1"/>
        <c:majorTickMark val="cross"/>
        <c:minorTickMark val="none"/>
        <c:tickLblPos val="nextTo"/>
        <c:spPr>
          <a:noFill/>
          <a:ln>
            <a:solidFill>
              <a:schemeClr val="accent1">
                <a:shade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/>
                </a:solidFill>
                <a:latin typeface="Arial Nova Cond" panose="020B0506020202020204" pitchFamily="34" charset="0"/>
                <a:ea typeface="+mn-ea"/>
                <a:cs typeface="+mn-cs"/>
              </a:defRPr>
            </a:pPr>
            <a:endParaRPr lang="en-US"/>
          </a:p>
        </c:txPr>
        <c:crossAx val="693133903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51670649162515991"/>
          <c:y val="0.87025283979599699"/>
          <c:w val="0.17899084911683336"/>
          <c:h val="9.1401966113820191E-2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Arial Nova Cond" panose="020B0506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b="0" i="0">
          <a:solidFill>
            <a:schemeClr val="tx1"/>
          </a:solidFill>
          <a:latin typeface="Arial Nova Cond" panose="020B0506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chart" Target="../charts/chart3.xml"/><Relationship Id="rId7" Type="http://schemas.openxmlformats.org/officeDocument/2006/relationships/image" Target="../media/image1.emf"/><Relationship Id="rId12" Type="http://schemas.openxmlformats.org/officeDocument/2006/relationships/image" Target="../media/image6.emf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5.emf"/><Relationship Id="rId5" Type="http://schemas.openxmlformats.org/officeDocument/2006/relationships/chart" Target="../charts/chart5.xml"/><Relationship Id="rId10" Type="http://schemas.openxmlformats.org/officeDocument/2006/relationships/image" Target="../media/image4.emf"/><Relationship Id="rId4" Type="http://schemas.openxmlformats.org/officeDocument/2006/relationships/chart" Target="../charts/chart4.xml"/><Relationship Id="rId9" Type="http://schemas.openxmlformats.org/officeDocument/2006/relationships/image" Target="../media/image3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579097</xdr:colOff>
      <xdr:row>0</xdr:row>
      <xdr:rowOff>112930</xdr:rowOff>
    </xdr:from>
    <xdr:to>
      <xdr:col>16</xdr:col>
      <xdr:colOff>413996</xdr:colOff>
      <xdr:row>30</xdr:row>
      <xdr:rowOff>38228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9E4E3D-CD82-B546-89B1-7371C88C2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89647</xdr:colOff>
      <xdr:row>32</xdr:row>
      <xdr:rowOff>55282</xdr:rowOff>
    </xdr:from>
    <xdr:to>
      <xdr:col>16</xdr:col>
      <xdr:colOff>776941</xdr:colOff>
      <xdr:row>57</xdr:row>
      <xdr:rowOff>74706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13A6104-8DB7-2FEB-CDA5-AE889A2DB5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569592</xdr:colOff>
      <xdr:row>58</xdr:row>
      <xdr:rowOff>156391</xdr:rowOff>
    </xdr:from>
    <xdr:to>
      <xdr:col>15</xdr:col>
      <xdr:colOff>44036</xdr:colOff>
      <xdr:row>80</xdr:row>
      <xdr:rowOff>117170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AE6FBD-B929-4984-BD85-6A01A55D9AA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153737</xdr:colOff>
      <xdr:row>83</xdr:row>
      <xdr:rowOff>120316</xdr:rowOff>
    </xdr:from>
    <xdr:to>
      <xdr:col>14</xdr:col>
      <xdr:colOff>457023</xdr:colOff>
      <xdr:row>105</xdr:row>
      <xdr:rowOff>81095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1937B8E-A9E6-D246-8D0C-193B19C67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127000</xdr:colOff>
      <xdr:row>107</xdr:row>
      <xdr:rowOff>101600</xdr:rowOff>
    </xdr:from>
    <xdr:to>
      <xdr:col>14</xdr:col>
      <xdr:colOff>426944</xdr:colOff>
      <xdr:row>129</xdr:row>
      <xdr:rowOff>62379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6224326-22E1-D040-ADBD-3B797E677B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133</xdr:row>
      <xdr:rowOff>0</xdr:rowOff>
    </xdr:from>
    <xdr:to>
      <xdr:col>14</xdr:col>
      <xdr:colOff>299944</xdr:colOff>
      <xdr:row>154</xdr:row>
      <xdr:rowOff>151279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BCC4709-642F-044D-97C2-44AA27D64C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17</xdr:col>
      <xdr:colOff>105832</xdr:colOff>
      <xdr:row>2</xdr:row>
      <xdr:rowOff>137582</xdr:rowOff>
    </xdr:from>
    <xdr:to>
      <xdr:col>26</xdr:col>
      <xdr:colOff>448732</xdr:colOff>
      <xdr:row>28</xdr:row>
      <xdr:rowOff>100458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CC76A9E-20C4-4C11-D6CE-E09A9E1BF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28332" y="518582"/>
          <a:ext cx="7772400" cy="4915876"/>
        </a:xfrm>
        <a:prstGeom prst="rect">
          <a:avLst/>
        </a:prstGeom>
      </xdr:spPr>
    </xdr:pic>
    <xdr:clientData/>
  </xdr:twoCellAnchor>
  <xdr:twoCellAnchor editAs="oneCell">
    <xdr:from>
      <xdr:col>15</xdr:col>
      <xdr:colOff>433916</xdr:colOff>
      <xdr:row>59</xdr:row>
      <xdr:rowOff>31750</xdr:rowOff>
    </xdr:from>
    <xdr:to>
      <xdr:col>23</xdr:col>
      <xdr:colOff>738716</xdr:colOff>
      <xdr:row>81</xdr:row>
      <xdr:rowOff>6350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034CE29-DDD3-940A-17D3-0DB3AC3DDA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05416" y="11271250"/>
          <a:ext cx="6908800" cy="4165600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423333</xdr:colOff>
      <xdr:row>83</xdr:row>
      <xdr:rowOff>42334</xdr:rowOff>
    </xdr:from>
    <xdr:to>
      <xdr:col>23</xdr:col>
      <xdr:colOff>728133</xdr:colOff>
      <xdr:row>105</xdr:row>
      <xdr:rowOff>16934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F3BCCA5F-3CAB-5956-D38D-58C5BA6E1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3694833" y="15853834"/>
          <a:ext cx="6908800" cy="4165600"/>
        </a:xfrm>
        <a:prstGeom prst="rect">
          <a:avLst/>
        </a:prstGeom>
      </xdr:spPr>
    </xdr:pic>
    <xdr:clientData/>
  </xdr:twoCellAnchor>
  <xdr:twoCellAnchor editAs="oneCell">
    <xdr:from>
      <xdr:col>15</xdr:col>
      <xdr:colOff>402167</xdr:colOff>
      <xdr:row>107</xdr:row>
      <xdr:rowOff>0</xdr:rowOff>
    </xdr:from>
    <xdr:to>
      <xdr:col>23</xdr:col>
      <xdr:colOff>706967</xdr:colOff>
      <xdr:row>128</xdr:row>
      <xdr:rowOff>152400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EC8B411-3B76-F77F-1AA1-846DFF18BF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73667" y="20383500"/>
          <a:ext cx="6908800" cy="4152900"/>
        </a:xfrm>
        <a:prstGeom prst="rect">
          <a:avLst/>
        </a:prstGeom>
      </xdr:spPr>
    </xdr:pic>
    <xdr:clientData/>
  </xdr:twoCellAnchor>
  <xdr:twoCellAnchor editAs="oneCell">
    <xdr:from>
      <xdr:col>15</xdr:col>
      <xdr:colOff>243417</xdr:colOff>
      <xdr:row>130</xdr:row>
      <xdr:rowOff>148166</xdr:rowOff>
    </xdr:from>
    <xdr:to>
      <xdr:col>23</xdr:col>
      <xdr:colOff>548217</xdr:colOff>
      <xdr:row>152</xdr:row>
      <xdr:rowOff>110066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94DEF04-FF58-CB9A-2E1F-C3B5140CD3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3514917" y="24913166"/>
          <a:ext cx="6908800" cy="41529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317500</xdr:colOff>
      <xdr:row>33</xdr:row>
      <xdr:rowOff>21167</xdr:rowOff>
    </xdr:from>
    <xdr:to>
      <xdr:col>26</xdr:col>
      <xdr:colOff>660400</xdr:colOff>
      <xdr:row>54</xdr:row>
      <xdr:rowOff>182875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600E312F-F441-3824-4016-1FFB30FA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240000" y="6307667"/>
          <a:ext cx="7772400" cy="4162208"/>
        </a:xfrm>
        <a:prstGeom prst="rect">
          <a:avLst/>
        </a:prstGeom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0.76427</cdr:x>
      <cdr:y>0.02506</cdr:y>
    </cdr:from>
    <cdr:to>
      <cdr:x>0.96871</cdr:x>
      <cdr:y>0.0926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AEB41B15-0CC6-0A49-F5F1-3F8931407008}"/>
            </a:ext>
          </a:extLst>
        </cdr:cNvPr>
        <cdr:cNvSpPr txBox="1"/>
      </cdr:nvSpPr>
      <cdr:spPr>
        <a:xfrm xmlns:a="http://schemas.openxmlformats.org/drawingml/2006/main">
          <a:off x="6842309" y="144182"/>
          <a:ext cx="1830294" cy="38847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0.7384</cdr:x>
      <cdr:y>0.00558</cdr:y>
    </cdr:from>
    <cdr:to>
      <cdr:x>0.99082</cdr:x>
      <cdr:y>0.11078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1B4F344C-262A-48DD-0C26-764CD466BD7E}"/>
            </a:ext>
          </a:extLst>
        </cdr:cNvPr>
        <cdr:cNvSpPr txBox="1"/>
      </cdr:nvSpPr>
      <cdr:spPr>
        <a:xfrm xmlns:a="http://schemas.openxmlformats.org/drawingml/2006/main">
          <a:off x="6610721" y="32125"/>
          <a:ext cx="2259855" cy="60511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r"/>
          <a:r>
            <a:rPr lang="en-US" sz="1800" b="0" i="0" kern="1200">
              <a:latin typeface="Arial Nova Cond Light" panose="020B03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400" b="0" i="0" kern="1200">
              <a:latin typeface="Arial Nova Cond Light" panose="020B0306020202020204" pitchFamily="34" charset="0"/>
            </a:rPr>
            <a:t>Human Need Scale</a:t>
          </a:r>
          <a:endParaRPr lang="en-US" sz="1800" b="0" i="0" kern="1200">
            <a:latin typeface="Arial Nova Cond Light" panose="020B0306020202020204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CAPITAL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0.82532</cdr:y>
    </cdr:from>
    <cdr:to>
      <cdr:x>0.16546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330" y="3494368"/>
          <a:ext cx="1104527" cy="7022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2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-1.56E10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-1.56E10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800" b="0" i="0" kern="1200">
                <a:latin typeface="Cambria Math" panose="02040503050406030204" pitchFamily="18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0.87083</cdr:y>
    </cdr:from>
    <cdr:to>
      <cdr:x>0.54846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81598" y="3615509"/>
              <a:ext cx="1304910" cy="53626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-5.80E11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81598" y="3615509"/>
              <a:ext cx="1304910" cy="536269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-5.80E11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-1.00E10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-1.00E10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-1.18E9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</m:oMath>
                </m:oMathPara>
              </a14:m>
              <a:endParaRPr lang="en-US" sz="1200" b="0" kern="1200"/>
            </a:p>
          </cdr:txBody>
        </cdr:sp>
      </mc:Choice>
      <mc:Fallback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-1.18E9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0.26798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40" y="20746"/>
          <a:ext cx="1823472" cy="10810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OPERATIONAL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0.82532</cdr:y>
    </cdr:from>
    <cdr:to>
      <cdr:x>0.16546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330" y="3494368"/>
          <a:ext cx="1104527" cy="7022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2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0.3565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87741" y="3521788"/>
              <a:ext cx="1474721" cy="62999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-6.76E10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87741" y="3521788"/>
              <a:ext cx="1474721" cy="62999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-6.76E10</a:t>
              </a:r>
              <a:endParaRPr lang="en-US" sz="1200" b="0" i="0" kern="1200">
                <a:latin typeface="Arial Nova Cond" panose="020B0506020202020204" pitchFamily="34" charset="0"/>
              </a:endParaRP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"-y"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-1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-5.69E10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-5.69E10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-3.65E10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-3.65E10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-2.58E11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2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−y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r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-2.58E11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2</a:t>
              </a:r>
              <a:r>
                <a:rPr lang="en-US" sz="1200" b="0" i="0" kern="1200">
                  <a:latin typeface="Cambria Math" panose="02040503050406030204" pitchFamily="18" charset="0"/>
                </a:rPr>
                <a:t>"  "−y"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"r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CAPITAL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0.7892</cdr:y>
    </cdr:from>
    <cdr:to>
      <cdr:x>0.18763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150" y="3276600"/>
          <a:ext cx="1252250" cy="838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1 Net Present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-1.50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-71.1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-71.1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-120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-120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-0.01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-0.01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0.12561</cdr:x>
      <cdr:y>0.08955</cdr:y>
    </cdr:from>
    <cdr:to>
      <cdr:x>0.25053</cdr:x>
      <cdr:y>0.18835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F00129ED-13FA-F2BB-8AD1-312E90443017}"/>
            </a:ext>
          </a:extLst>
        </cdr:cNvPr>
        <cdr:cNvSpPr txBox="1"/>
      </cdr:nvSpPr>
      <cdr:spPr>
        <a:xfrm xmlns:a="http://schemas.openxmlformats.org/drawingml/2006/main">
          <a:off x="871445" y="379133"/>
          <a:ext cx="866588" cy="4183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0.00501</cdr:x>
      <cdr:y>0.00491</cdr:y>
    </cdr:from>
    <cdr:to>
      <cdr:x>0.29252</cdr:x>
      <cdr:y>0.26076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40723F2-FD47-B48F-73B4-22CE397994CB}"/>
            </a:ext>
          </a:extLst>
        </cdr:cNvPr>
        <cdr:cNvSpPr txBox="1"/>
      </cdr:nvSpPr>
      <cdr:spPr>
        <a:xfrm xmlns:a="http://schemas.openxmlformats.org/drawingml/2006/main">
          <a:off x="34720" y="20760"/>
          <a:ext cx="1993630" cy="10810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2000" b="1" kern="1200"/>
            <a:t>OPERATIONAL</a:t>
          </a:r>
          <a:r>
            <a:rPr lang="en-US" sz="2000" b="1" kern="1200" baseline="0"/>
            <a:t> EMBODIED IMPACTS</a:t>
          </a:r>
          <a:endParaRPr lang="en-US" sz="2000" b="1" kern="1200"/>
        </a:p>
      </cdr:txBody>
    </cdr:sp>
  </cdr:relSizeAnchor>
  <cdr:relSizeAnchor xmlns:cdr="http://schemas.openxmlformats.org/drawingml/2006/chartDrawing">
    <cdr:from>
      <cdr:x>0.00625</cdr:x>
      <cdr:y>0.7892</cdr:y>
    </cdr:from>
    <cdr:to>
      <cdr:x>0.18763</cdr:x>
      <cdr:y>0.99118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0754BB58-A95C-CB19-2025-BEC47CC3567B}"/>
            </a:ext>
          </a:extLst>
        </cdr:cNvPr>
        <cdr:cNvSpPr txBox="1"/>
      </cdr:nvSpPr>
      <cdr:spPr>
        <a:xfrm xmlns:a="http://schemas.openxmlformats.org/drawingml/2006/main">
          <a:off x="43150" y="3276600"/>
          <a:ext cx="1252250" cy="8385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 b="1" kern="1200"/>
            <a:t>TOTAL</a:t>
          </a:r>
        </a:p>
        <a:p xmlns:a="http://schemas.openxmlformats.org/drawingml/2006/main">
          <a:r>
            <a:rPr lang="en-US" sz="1100" b="0" kern="1200"/>
            <a:t>Scope 1 Net Present Social Impacts</a:t>
          </a:r>
          <a:endParaRPr lang="en-US" sz="1050" b="0" kern="1200"/>
        </a:p>
      </cdr:txBody>
    </cdr:sp>
  </cdr:relSizeAnchor>
  <cdr:relSizeAnchor xmlns:cdr="http://schemas.openxmlformats.org/drawingml/2006/chartDrawing">
    <cdr:from>
      <cdr:x>0.143</cdr:x>
      <cdr:y>0.84826</cdr:y>
    </cdr:from>
    <cdr:to>
      <cdr:x>0.33236</cdr:x>
      <cdr:y>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-901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>
        <cdr:sp macro="" textlink="">
          <cdr:nvSpPr>
            <cdr:cNvPr id="5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7C0FBDD8-D3F7-7289-6D3E-F1113979BFBD}"/>
                </a:ext>
              </a:extLst>
            </cdr:cNvPr>
            <cdr:cNvSpPr txBox="1"/>
          </cdr:nvSpPr>
          <cdr:spPr>
            <a:xfrm xmlns:a="http://schemas.openxmlformats.org/drawingml/2006/main">
              <a:off x="992093" y="3591486"/>
              <a:ext cx="1313705" cy="64247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-901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0.35945</cdr:x>
      <cdr:y>0.86943</cdr:y>
    </cdr:from>
    <cdr:to>
      <cdr:x>0.54881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-112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6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096BB7B-CF7A-0555-797A-A0C34D502835}"/>
                </a:ext>
              </a:extLst>
            </cdr:cNvPr>
            <cdr:cNvSpPr txBox="1"/>
          </cdr:nvSpPr>
          <cdr:spPr>
            <a:xfrm xmlns:a="http://schemas.openxmlformats.org/drawingml/2006/main">
              <a:off x="2493682" y="3681133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 kern="1200">
                  <a:latin typeface="+mn-lt"/>
                </a:rPr>
                <a:t>-112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0.57714</cdr:x>
      <cdr:y>0.86943</cdr:y>
    </cdr:from>
    <cdr:to>
      <cdr:x>0.7665</cdr:x>
      <cdr:y>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-35.3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 xmlns="">
        <cdr:sp macro="" textlink="">
          <cdr:nvSpPr>
            <cdr:cNvPr id="7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481A4151-35BC-C9AA-FDA3-91EAD720ECF4}"/>
                </a:ext>
              </a:extLst>
            </cdr:cNvPr>
            <cdr:cNvSpPr txBox="1"/>
          </cdr:nvSpPr>
          <cdr:spPr>
            <a:xfrm xmlns:a="http://schemas.openxmlformats.org/drawingml/2006/main">
              <a:off x="4001906" y="3673613"/>
              <a:ext cx="1313035" cy="55169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-35.3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  <cdr:relSizeAnchor xmlns:cdr="http://schemas.openxmlformats.org/drawingml/2006/chartDrawing">
    <cdr:from>
      <cdr:x>0.78587</cdr:x>
      <cdr:y>0.86943</cdr:y>
    </cdr:from>
    <cdr:to>
      <cdr:x>0.97523</cdr:x>
      <cdr:y>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-614</a:t>
              </a:r>
            </a:p>
            <a:p xmlns:a="http://schemas.openxmlformats.org/drawingml/2006/main">
              <a:pPr algn="ctr"/>
              <a14:m>
                <m:oMathPara xmlns:m="http://schemas.openxmlformats.org/officeDocument/2006/math">
                  <m:oMath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S</m:t>
                    </m:r>
                    <m:sSub>
                      <m:sSub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b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I</m:t>
                        </m:r>
                      </m:e>
                      <m:sub>
                        <m:r>
                          <m:rPr>
                            <m:nor/>
                          </m:rPr>
                          <a:rPr lang="en-US" sz="1200" b="0" i="0" kern="120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m:rPr>
                        <m:nor/>
                      </m:rPr>
                      <a:rPr lang="en-US" sz="1200" b="0" i="0" kern="1200">
                        <a:latin typeface="Arial Nova Cond" panose="020B0506020202020204" pitchFamily="34" charset="0"/>
                      </a:rPr>
                      <m:t>−M</m:t>
                    </m:r>
                    <m:sSup>
                      <m:sSupPr>
                        <m:ctrlPr>
                          <a:rPr lang="en-US" sz="1200" b="0" i="0" kern="1200">
                            <a:latin typeface="Arial Nova Cond" panose="020B0506020202020204" pitchFamily="34" charset="0"/>
                          </a:rPr>
                        </m:ctrlPr>
                      </m:sSupPr>
                      <m:e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J</m:t>
                        </m:r>
                      </m:e>
                      <m:sup>
                        <m:r>
                          <m:rPr>
                            <m:nor/>
                          </m:rPr>
                          <a:rPr lang="en-US" sz="1200" b="0" i="0" kern="1200">
                            <a:latin typeface="Arial Nova Cond" panose="020B0506020202020204" pitchFamily="34" charset="0"/>
                          </a:rPr>
                          <m:t>−1</m:t>
                        </m:r>
                      </m:sup>
                    </m:sSup>
                  </m:oMath>
                </m:oMathPara>
              </a14:m>
              <a:endParaRPr lang="en-US" sz="1200" b="0" kern="1200"/>
            </a:p>
          </cdr:txBody>
        </cdr:sp>
      </mc:Choice>
      <mc:Fallback>
        <cdr:sp macro="" textlink="">
          <cdr:nvSpPr>
            <cdr:cNvPr id="8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91B53C9C-482C-AD75-8B08-0D449496BD06}"/>
                </a:ext>
              </a:extLst>
            </cdr:cNvPr>
            <cdr:cNvSpPr txBox="1"/>
          </cdr:nvSpPr>
          <cdr:spPr>
            <a:xfrm xmlns:a="http://schemas.openxmlformats.org/drawingml/2006/main">
              <a:off x="5452035" y="3681134"/>
              <a:ext cx="1313705" cy="552822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 anchor="ctr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kern="1200"/>
                <a:t>-614</a:t>
              </a:r>
            </a:p>
            <a:p xmlns:a="http://schemas.openxmlformats.org/drawingml/2006/main">
              <a:pPr algn="ctr"/>
              <a:r>
                <a:rPr lang="en-US" sz="1200" b="0" i="0" kern="1200">
                  <a:latin typeface="Cambria Math" panose="02040503050406030204" pitchFamily="18" charset="0"/>
                </a:rPr>
                <a:t>"S"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"I</a:t>
              </a:r>
              <a:r>
                <a:rPr lang="en-US" sz="1200" b="0" i="0" kern="1200">
                  <a:latin typeface="Cambria Math" panose="02040503050406030204" pitchFamily="18" charset="0"/>
                </a:rPr>
                <a:t>" _"1"  "−M" 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"J</a:t>
              </a:r>
              <a:r>
                <a:rPr lang="en-US" sz="1200" b="0" i="0" kern="1200">
                  <a:latin typeface="Cambria Math" panose="02040503050406030204" pitchFamily="18" charset="0"/>
                </a:rPr>
                <a:t>" ^"</a:t>
              </a:r>
              <a:r>
                <a:rPr lang="en-US" sz="1200" b="0" i="0" kern="1200">
                  <a:latin typeface="Arial Nova Cond" panose="020B0506020202020204" pitchFamily="34" charset="0"/>
                </a:rPr>
                <a:t>−1</a:t>
              </a:r>
              <a:r>
                <a:rPr lang="en-US" sz="1200" b="0" i="0" kern="1200">
                  <a:latin typeface="Cambria Math" panose="02040503050406030204" pitchFamily="18" charset="0"/>
                </a:rPr>
                <a:t>" </a:t>
              </a:r>
              <a:endParaRPr lang="en-US" sz="1200" b="0" kern="1200"/>
            </a:p>
          </cdr:txBody>
        </cdr:sp>
      </mc:Fallback>
    </mc:AlternateContent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165100</xdr:colOff>
      <xdr:row>6</xdr:row>
      <xdr:rowOff>12700</xdr:rowOff>
    </xdr:from>
    <xdr:to>
      <xdr:col>14</xdr:col>
      <xdr:colOff>927100</xdr:colOff>
      <xdr:row>11</xdr:row>
      <xdr:rowOff>25400</xdr:rowOff>
    </xdr:to>
    <xdr:sp macro="[0]!Global_Sensitivity" textlink="">
      <xdr:nvSpPr>
        <xdr:cNvPr id="4" name="Rectangle 3">
          <a:extLst>
            <a:ext uri="{FF2B5EF4-FFF2-40B4-BE49-F238E27FC236}">
              <a16:creationId xmlns:a16="http://schemas.microsoft.com/office/drawing/2014/main" id="{B2332DC2-986C-9126-0E22-5CE44CA8B1A1}"/>
            </a:ext>
          </a:extLst>
        </xdr:cNvPr>
        <xdr:cNvSpPr/>
      </xdr:nvSpPr>
      <xdr:spPr>
        <a:xfrm>
          <a:off x="12331700" y="1778000"/>
          <a:ext cx="4102100" cy="9652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Run Global Sensitivity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299356</xdr:colOff>
      <xdr:row>1</xdr:row>
      <xdr:rowOff>152397</xdr:rowOff>
    </xdr:from>
    <xdr:to>
      <xdr:col>26</xdr:col>
      <xdr:colOff>351693</xdr:colOff>
      <xdr:row>33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509582-E8CB-8C49-7A28-E91305575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800" b="1" i="0">
              <a:latin typeface="Arial Nova Cond" panose="020B0506020202020204" pitchFamily="34" charset="0"/>
            </a:rPr>
            <a:t>GLOBAL</a:t>
          </a:r>
          <a:r>
            <a:rPr lang="en-US" sz="1800" b="1" i="0" baseline="0">
              <a:latin typeface="Arial Nova Cond" panose="020B0506020202020204" pitchFamily="34" charset="0"/>
            </a:rPr>
            <a:t> </a:t>
          </a:r>
          <a:r>
            <a:rPr lang="en-US" sz="1800" b="1" i="0">
              <a:latin typeface="Arial Nova Cond" panose="020B0506020202020204" pitchFamily="34" charset="0"/>
            </a:rPr>
            <a:t>SENSITIVITY ANALYSIS: </a:t>
          </a:r>
          <a:r>
            <a:rPr lang="en-US" sz="1600" b="0" i="0">
              <a:latin typeface="Arial Nova Cond" panose="020B0506020202020204" pitchFamily="34" charset="0"/>
            </a:rPr>
            <a:t>CORN GRAIN ETHANOL 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0.37778</cdr:x>
      <cdr:y>0.07073</cdr:y>
    </cdr:from>
    <cdr:to>
      <cdr:x>0.59528</cdr:x>
      <cdr:y>0.12721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768509" y="431475"/>
              <a:ext cx="1593909" cy="34452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768509" y="431475"/>
              <a:ext cx="1593909" cy="34452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0.13973</cdr:x>
      <cdr:y>0.05525</cdr:y>
    </cdr:from>
    <cdr:to>
      <cdr:x>0.41953</cdr:x>
      <cdr:y>0.12556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51608" y="337021"/>
              <a:ext cx="2105718" cy="42889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200" b="0" i="0">
                  <a:latin typeface="Arial Nova Cond" panose="020B0506020202020204" pitchFamily="34" charset="0"/>
                </a:rPr>
                <a:t>WORSENED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51608" y="337021"/>
              <a:ext cx="2105718" cy="42889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200" b="0" i="0">
                  <a:latin typeface="Arial Nova Cond" panose="020B0506020202020204" pitchFamily="34" charset="0"/>
                </a:rPr>
                <a:t>WORSENED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0.74915</cdr:x>
      <cdr:y>0.20696</cdr:y>
    </cdr:from>
    <cdr:to>
      <cdr:x>0.99754</cdr:x>
      <cdr:y>0.24908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5490005" y="1262437"/>
          <a:ext cx="1820281" cy="25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0.74677</cdr:x>
      <cdr:y>0.33825</cdr:y>
    </cdr:from>
    <cdr:to>
      <cdr:x>0.99517</cdr:x>
      <cdr:y>0.38037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5472541" y="2063313"/>
          <a:ext cx="1820355" cy="25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</cdr:x>
      <cdr:y>0.47565</cdr:y>
    </cdr:from>
    <cdr:to>
      <cdr:x>0.99383</cdr:x>
      <cdr:y>0.51778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5474259" y="2901431"/>
          <a:ext cx="1808867" cy="256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0.74677</cdr:x>
      <cdr:y>0.74405</cdr:y>
    </cdr:from>
    <cdr:to>
      <cdr:x>0.99517</cdr:x>
      <cdr:y>0.78618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9040FEE-8FE2-927E-FEB9-BBE450C64134}"/>
            </a:ext>
          </a:extLst>
        </cdr:cNvPr>
        <cdr:cNvSpPr txBox="1"/>
      </cdr:nvSpPr>
      <cdr:spPr>
        <a:xfrm xmlns:a="http://schemas.openxmlformats.org/drawingml/2006/main">
          <a:off x="5472540" y="4538620"/>
          <a:ext cx="1820355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0.74793</cdr:x>
      <cdr:y>0.60982</cdr:y>
    </cdr:from>
    <cdr:to>
      <cdr:x>0.99632</cdr:x>
      <cdr:y>0.65194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997548C-87A5-A3D7-0B5B-2A1941FD2FA8}"/>
            </a:ext>
          </a:extLst>
        </cdr:cNvPr>
        <cdr:cNvSpPr txBox="1"/>
      </cdr:nvSpPr>
      <cdr:spPr>
        <a:xfrm xmlns:a="http://schemas.openxmlformats.org/drawingml/2006/main">
          <a:off x="5481092" y="3719838"/>
          <a:ext cx="1820281" cy="256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Population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0.81121</cdr:y>
    </cdr:from>
    <cdr:to>
      <cdr:x>0.9965</cdr:x>
      <cdr:y>0.85333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5482310" y="4948290"/>
          <a:ext cx="1820355" cy="256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0.74802</cdr:x>
      <cdr:y>0.67537</cdr:y>
    </cdr:from>
    <cdr:to>
      <cdr:x>1</cdr:x>
      <cdr:y>0.7175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A6B2178E-FA2B-46D9-780C-80689E2D383D}"/>
            </a:ext>
          </a:extLst>
        </cdr:cNvPr>
        <cdr:cNvSpPr txBox="1"/>
      </cdr:nvSpPr>
      <cdr:spPr>
        <a:xfrm xmlns:a="http://schemas.openxmlformats.org/drawingml/2006/main">
          <a:off x="5481701" y="4119678"/>
          <a:ext cx="1846618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0.87836</cdr:y>
    </cdr:from>
    <cdr:to>
      <cdr:x>0.9965</cdr:x>
      <cdr:y>0.92049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5482310" y="5357899"/>
          <a:ext cx="1820355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0.94704</cdr:y>
    </cdr:from>
    <cdr:to>
      <cdr:x>0.9965</cdr:x>
      <cdr:y>0.98917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5482309" y="5776840"/>
          <a:ext cx="1820355" cy="2569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0.7481</cdr:x>
      <cdr:y>0.54273</cdr:y>
    </cdr:from>
    <cdr:to>
      <cdr:x>0.9965</cdr:x>
      <cdr:y>0.58486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5482310" y="3310604"/>
          <a:ext cx="1820355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Future Uncertainty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0.81694</cdr:x>
      <cdr:y>0.07723</cdr:y>
    </cdr:from>
    <cdr:to>
      <cdr:x>0.98755</cdr:x>
      <cdr:y>0.17582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5950858" y="459014"/>
          <a:ext cx="1242785" cy="5860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4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1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652646</xdr:colOff>
      <xdr:row>1</xdr:row>
      <xdr:rowOff>168560</xdr:rowOff>
    </xdr:from>
    <xdr:to>
      <xdr:col>34</xdr:col>
      <xdr:colOff>391390</xdr:colOff>
      <xdr:row>67</xdr:row>
      <xdr:rowOff>61191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1990EFB-8D55-724A-9EB8-35B201EC2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2400" b="1" i="0">
              <a:latin typeface="Arial Nova Cond" panose="020B0506020202020204" pitchFamily="34" charset="0"/>
            </a:rPr>
            <a:t>GLOBAL</a:t>
          </a:r>
          <a:r>
            <a:rPr lang="en-US" sz="2400" b="1" i="0" baseline="0">
              <a:latin typeface="Arial Nova Cond" panose="020B0506020202020204" pitchFamily="34" charset="0"/>
            </a:rPr>
            <a:t> </a:t>
          </a:r>
          <a:r>
            <a:rPr lang="en-US" sz="2400" b="1" i="0">
              <a:latin typeface="Arial Nova Cond" panose="020B0506020202020204" pitchFamily="34" charset="0"/>
            </a:rPr>
            <a:t>SENSITIVITY ANALYSIS: </a:t>
          </a:r>
          <a:r>
            <a:rPr lang="en-US" sz="2000" b="0" i="0">
              <a:latin typeface="Arial Nova Cond" panose="020B0506020202020204" pitchFamily="34" charset="0"/>
            </a:rPr>
            <a:t>ORGANIC</a:t>
          </a:r>
          <a:r>
            <a:rPr lang="en-US" sz="2000" b="0" i="0" baseline="0">
              <a:latin typeface="Arial Nova Cond" panose="020B0506020202020204" pitchFamily="34" charset="0"/>
            </a:rPr>
            <a:t> WET WASTE DERIVED HYDROCARBONS </a:t>
          </a:r>
          <a:r>
            <a:rPr lang="en-US" sz="2000" b="0" i="0">
              <a:latin typeface="Arial Nova Cond" panose="020B0506020202020204" pitchFamily="34" charset="0"/>
            </a:rPr>
            <a:t>NET PRESENT IMPACT</a:t>
          </a:r>
          <a:endParaRPr lang="en-US" sz="24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0.32609</cdr:x>
      <cdr:y>0.03951</cdr:y>
    </cdr:from>
    <cdr:to>
      <cdr:x>0.54359</cdr:x>
      <cdr:y>0.09599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976481" y="505305"/>
              <a:ext cx="2652306" cy="72231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0" i="0">
                  <a:latin typeface="Arial Nova Cond" panose="020B0506020202020204" pitchFamily="34" charset="0"/>
                </a:rPr>
                <a:t>IMPROVED SI</a:t>
              </a:r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2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:r>
                <a:rPr lang="en-US" sz="2800" b="1" i="0" baseline="0">
                  <a:latin typeface="Arial Nova Cond" panose="020B0506020202020204" pitchFamily="34" charset="0"/>
                </a:rPr>
                <a:t> </a:t>
              </a:r>
              <a:endParaRPr lang="en-US" sz="28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976481" y="505305"/>
              <a:ext cx="2652306" cy="722317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0" i="0">
                  <a:latin typeface="Arial Nova Cond" panose="020B0506020202020204" pitchFamily="34" charset="0"/>
                </a:rPr>
                <a:t>IMPROVED SI</a:t>
              </a:r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:r>
                <a:rPr lang="en-US" sz="2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2800" b="1" i="0">
                  <a:latin typeface="Arial Nova Cond" panose="020B0506020202020204" pitchFamily="34" charset="0"/>
                </a:rPr>
                <a:t> </a:t>
              </a:r>
              <a:r>
                <a:rPr lang="en-US" sz="2800" b="1" i="0" baseline="0">
                  <a:latin typeface="Arial Nova Cond" panose="020B0506020202020204" pitchFamily="34" charset="0"/>
                </a:rPr>
                <a:t> </a:t>
              </a:r>
              <a:endParaRPr lang="en-US" sz="2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0.10202</cdr:x>
      <cdr:y>0.03208</cdr:y>
    </cdr:from>
    <cdr:to>
      <cdr:x>0.38182</cdr:x>
      <cdr:y>0.09023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245421" y="412064"/>
              <a:ext cx="3415753" cy="74710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24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800" b="0" i="0">
                  <a:latin typeface="Arial Nova Cond" panose="020B0506020202020204" pitchFamily="34" charset="0"/>
                </a:rPr>
                <a:t>WORSENED SI</a:t>
              </a:r>
              <a:r>
                <a:rPr lang="en-US" sz="36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 baseline="0">
                  <a:latin typeface="Arial Nova Cond" panose="020B0506020202020204" pitchFamily="34" charset="0"/>
                </a:rPr>
                <a:t> </a:t>
              </a:r>
              <a:endParaRPr lang="en-US" sz="24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245421" y="412064"/>
              <a:ext cx="3415753" cy="747103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24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800" b="0" i="0">
                  <a:latin typeface="Arial Nova Cond" panose="020B0506020202020204" pitchFamily="34" charset="0"/>
                </a:rPr>
                <a:t>WORSENED SI</a:t>
              </a:r>
              <a:r>
                <a:rPr lang="en-US" sz="36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2400" b="1" i="0" baseline="0">
                  <a:latin typeface="Arial Nova Cond" panose="020B0506020202020204" pitchFamily="34" charset="0"/>
                </a:rPr>
                <a:t> </a:t>
              </a:r>
              <a:endParaRPr lang="en-US" sz="24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0.72874</cdr:x>
      <cdr:y>0.26035</cdr:y>
    </cdr:from>
    <cdr:to>
      <cdr:x>0.8985</cdr:x>
      <cdr:y>0.2805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8886631" y="3329625"/>
          <a:ext cx="2070120" cy="2576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0.72917</cdr:x>
      <cdr:y>0.39065</cdr:y>
    </cdr:from>
    <cdr:to>
      <cdr:x>0.97757</cdr:x>
      <cdr:y>0.40959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8891858" y="4996013"/>
          <a:ext cx="3029117" cy="242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0.72946</cdr:x>
      <cdr:y>0.52065</cdr:y>
    </cdr:from>
    <cdr:to>
      <cdr:x>0.86835</cdr:x>
      <cdr:y>0.53716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8905161" y="6688559"/>
          <a:ext cx="1695458" cy="2121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0.72837</cdr:x>
      <cdr:y>0.32559</cdr:y>
    </cdr:from>
    <cdr:to>
      <cdr:x>0.9714</cdr:x>
      <cdr:y>0.34237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9040FEE-8FE2-927E-FEB9-BBE450C64134}"/>
            </a:ext>
          </a:extLst>
        </cdr:cNvPr>
        <cdr:cNvSpPr txBox="1"/>
      </cdr:nvSpPr>
      <cdr:spPr>
        <a:xfrm xmlns:a="http://schemas.openxmlformats.org/drawingml/2006/main">
          <a:off x="8882146" y="4163893"/>
          <a:ext cx="2963607" cy="21468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0.72927</cdr:x>
      <cdr:y>0.35781</cdr:y>
    </cdr:from>
    <cdr:to>
      <cdr:x>0.90411</cdr:x>
      <cdr:y>0.3798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997548C-87A5-A3D7-0B5B-2A1941FD2FA8}"/>
            </a:ext>
          </a:extLst>
        </cdr:cNvPr>
        <cdr:cNvSpPr txBox="1"/>
      </cdr:nvSpPr>
      <cdr:spPr>
        <a:xfrm xmlns:a="http://schemas.openxmlformats.org/drawingml/2006/main">
          <a:off x="8893092" y="4576007"/>
          <a:ext cx="2132045" cy="2812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</a:t>
          </a:r>
          <a:r>
            <a:rPr lang="en-US" sz="1100" b="0" i="0" baseline="0">
              <a:latin typeface="Arial Nova Cond" panose="020B0506020202020204" pitchFamily="34" charset="0"/>
            </a:rPr>
            <a:t>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0.72849</cdr:x>
      <cdr:y>0.19488</cdr:y>
    </cdr:from>
    <cdr:to>
      <cdr:x>0.97689</cdr:x>
      <cdr:y>0.2162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8893301" y="2503573"/>
          <a:ext cx="3032426" cy="27383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0.72991</cdr:x>
      <cdr:y>0.68239</cdr:y>
    </cdr:from>
    <cdr:to>
      <cdr:x>0.89133</cdr:x>
      <cdr:y>0.70226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A6B2178E-FA2B-46D9-780C-80689E2D383D}"/>
            </a:ext>
          </a:extLst>
        </cdr:cNvPr>
        <cdr:cNvSpPr txBox="1"/>
      </cdr:nvSpPr>
      <cdr:spPr>
        <a:xfrm xmlns:a="http://schemas.openxmlformats.org/drawingml/2006/main">
          <a:off x="8910640" y="8766404"/>
          <a:ext cx="1970623" cy="2552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0.72932</cdr:x>
      <cdr:y>0.87886</cdr:y>
    </cdr:from>
    <cdr:to>
      <cdr:x>0.90105</cdr:x>
      <cdr:y>0.89884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8903395" y="11290441"/>
          <a:ext cx="2096434" cy="2566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0.72866</cdr:x>
      <cdr:y>0.81453</cdr:y>
    </cdr:from>
    <cdr:to>
      <cdr:x>0.97706</cdr:x>
      <cdr:y>0.83347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8895379" y="10464019"/>
          <a:ext cx="3032426" cy="24323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0.72787</cdr:x>
      <cdr:y>0.12929</cdr:y>
    </cdr:from>
    <cdr:to>
      <cdr:x>0.9746</cdr:x>
      <cdr:y>0.15064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8875989" y="1653419"/>
          <a:ext cx="3008839" cy="2730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0.8376</cdr:x>
      <cdr:y>0.04294</cdr:y>
    </cdr:from>
    <cdr:to>
      <cdr:x>0.98545</cdr:x>
      <cdr:y>0.09694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10152743" y="535548"/>
          <a:ext cx="1792191" cy="6734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8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4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  <cdr:relSizeAnchor xmlns:cdr="http://schemas.openxmlformats.org/drawingml/2006/chartDrawing">
    <cdr:from>
      <cdr:x>0.72918</cdr:x>
      <cdr:y>0.29348</cdr:y>
    </cdr:from>
    <cdr:to>
      <cdr:x>0.90091</cdr:x>
      <cdr:y>0.31346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B704DE4B-BA58-186F-1669-49AFD79877A3}"/>
            </a:ext>
          </a:extLst>
        </cdr:cNvPr>
        <cdr:cNvSpPr txBox="1"/>
      </cdr:nvSpPr>
      <cdr:spPr>
        <a:xfrm xmlns:a="http://schemas.openxmlformats.org/drawingml/2006/main">
          <a:off x="8891953" y="3753338"/>
          <a:ext cx="2094146" cy="25546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0.72918</cdr:x>
      <cdr:y>0.42258</cdr:y>
    </cdr:from>
    <cdr:to>
      <cdr:x>0.85479</cdr:x>
      <cdr:y>0.44082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53EF24BB-0FE9-84E6-02C5-A82FA81C5CA1}"/>
            </a:ext>
          </a:extLst>
        </cdr:cNvPr>
        <cdr:cNvSpPr txBox="1"/>
      </cdr:nvSpPr>
      <cdr:spPr>
        <a:xfrm xmlns:a="http://schemas.openxmlformats.org/drawingml/2006/main">
          <a:off x="8891954" y="5404338"/>
          <a:ext cx="1531826" cy="2333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Population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0.72998</cdr:x>
      <cdr:y>0.45543</cdr:y>
    </cdr:from>
    <cdr:to>
      <cdr:x>0.97838</cdr:x>
      <cdr:y>0.47437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D0FEDC8B-33E2-2886-5985-5E4321A61CB7}"/>
            </a:ext>
          </a:extLst>
        </cdr:cNvPr>
        <cdr:cNvSpPr txBox="1"/>
      </cdr:nvSpPr>
      <cdr:spPr>
        <a:xfrm xmlns:a="http://schemas.openxmlformats.org/drawingml/2006/main">
          <a:off x="8901722" y="5824415"/>
          <a:ext cx="3029117" cy="24225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0.73041</cdr:x>
      <cdr:y>0.48751</cdr:y>
    </cdr:from>
    <cdr:to>
      <cdr:x>0.90053</cdr:x>
      <cdr:y>0.50508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C2E8A4FE-1D8D-B080-E160-45C96C8A426D}"/>
            </a:ext>
          </a:extLst>
        </cdr:cNvPr>
        <cdr:cNvSpPr txBox="1"/>
      </cdr:nvSpPr>
      <cdr:spPr>
        <a:xfrm xmlns:a="http://schemas.openxmlformats.org/drawingml/2006/main">
          <a:off x="8916745" y="6262867"/>
          <a:ext cx="2076834" cy="22571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0.55309</cdr:y>
    </cdr:from>
    <cdr:to>
      <cdr:x>0.86749</cdr:x>
      <cdr:y>0.5696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47BC2621-63C4-BFD3-8931-E6CA1F3A871F}"/>
            </a:ext>
          </a:extLst>
        </cdr:cNvPr>
        <cdr:cNvSpPr txBox="1"/>
      </cdr:nvSpPr>
      <cdr:spPr>
        <a:xfrm xmlns:a="http://schemas.openxmlformats.org/drawingml/2006/main">
          <a:off x="8894673" y="7105301"/>
          <a:ext cx="1695459" cy="212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0.58632</cdr:y>
    </cdr:from>
    <cdr:to>
      <cdr:x>0.97794</cdr:x>
      <cdr:y>0.60526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3AFDD5FF-9B9D-AB29-3AE7-1906B6B87DB3}"/>
            </a:ext>
          </a:extLst>
        </cdr:cNvPr>
        <cdr:cNvSpPr txBox="1"/>
      </cdr:nvSpPr>
      <cdr:spPr>
        <a:xfrm xmlns:a="http://schemas.openxmlformats.org/drawingml/2006/main">
          <a:off x="8906164" y="7532254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0.61778</cdr:y>
    </cdr:from>
    <cdr:to>
      <cdr:x>0.97794</cdr:x>
      <cdr:y>0.63672</cdr:y>
    </cdr:to>
    <cdr:sp macro="" textlink="">
      <cdr:nvSpPr>
        <cdr:cNvPr id="22" name="TextBox 1">
          <a:extLst xmlns:a="http://schemas.openxmlformats.org/drawingml/2006/main">
            <a:ext uri="{FF2B5EF4-FFF2-40B4-BE49-F238E27FC236}">
              <a16:creationId xmlns:a16="http://schemas.microsoft.com/office/drawing/2014/main" id="{1D1C799F-3E20-0A85-B0D9-02CFC65C3723}"/>
            </a:ext>
          </a:extLst>
        </cdr:cNvPr>
        <cdr:cNvSpPr txBox="1"/>
      </cdr:nvSpPr>
      <cdr:spPr>
        <a:xfrm xmlns:a="http://schemas.openxmlformats.org/drawingml/2006/main">
          <a:off x="8906164" y="7936345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Future Uncertainty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0.65193</cdr:y>
    </cdr:from>
    <cdr:to>
      <cdr:x>0.977</cdr:x>
      <cdr:y>0.67087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8BEB38CA-2D76-ACD3-49C0-6CC055E2D831}"/>
            </a:ext>
          </a:extLst>
        </cdr:cNvPr>
        <cdr:cNvSpPr txBox="1"/>
      </cdr:nvSpPr>
      <cdr:spPr>
        <a:xfrm xmlns:a="http://schemas.openxmlformats.org/drawingml/2006/main">
          <a:off x="8894618" y="8375073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0.71663</cdr:y>
    </cdr:from>
    <cdr:to>
      <cdr:x>0.97794</cdr:x>
      <cdr:y>0.73558</cdr:y>
    </cdr:to>
    <cdr:sp macro="" textlink="">
      <cdr:nvSpPr>
        <cdr:cNvPr id="24" name="TextBox 1">
          <a:extLst xmlns:a="http://schemas.openxmlformats.org/drawingml/2006/main">
            <a:ext uri="{FF2B5EF4-FFF2-40B4-BE49-F238E27FC236}">
              <a16:creationId xmlns:a16="http://schemas.microsoft.com/office/drawing/2014/main" id="{317D895F-B167-DF21-5840-BAB98C089994}"/>
            </a:ext>
          </a:extLst>
        </cdr:cNvPr>
        <cdr:cNvSpPr txBox="1"/>
      </cdr:nvSpPr>
      <cdr:spPr>
        <a:xfrm xmlns:a="http://schemas.openxmlformats.org/drawingml/2006/main">
          <a:off x="8906163" y="9206345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Construction Period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0.74899</cdr:y>
    </cdr:from>
    <cdr:to>
      <cdr:x>0.97794</cdr:x>
      <cdr:y>0.76793</cdr:y>
    </cdr:to>
    <cdr:sp macro="" textlink="">
      <cdr:nvSpPr>
        <cdr:cNvPr id="25" name="TextBox 1">
          <a:extLst xmlns:a="http://schemas.openxmlformats.org/drawingml/2006/main">
            <a:ext uri="{FF2B5EF4-FFF2-40B4-BE49-F238E27FC236}">
              <a16:creationId xmlns:a16="http://schemas.microsoft.com/office/drawing/2014/main" id="{F7E8B2D9-53A8-C10B-57D1-6F297429D4BD}"/>
            </a:ext>
          </a:extLst>
        </cdr:cNvPr>
        <cdr:cNvSpPr txBox="1"/>
      </cdr:nvSpPr>
      <cdr:spPr>
        <a:xfrm xmlns:a="http://schemas.openxmlformats.org/drawingml/2006/main">
          <a:off x="8906163" y="9621982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0.78134</cdr:y>
    </cdr:from>
    <cdr:to>
      <cdr:x>0.977</cdr:x>
      <cdr:y>0.80028</cdr:y>
    </cdr:to>
    <cdr:sp macro="" textlink="">
      <cdr:nvSpPr>
        <cdr:cNvPr id="26" name="TextBox 1">
          <a:extLst xmlns:a="http://schemas.openxmlformats.org/drawingml/2006/main">
            <a:ext uri="{FF2B5EF4-FFF2-40B4-BE49-F238E27FC236}">
              <a16:creationId xmlns:a16="http://schemas.microsoft.com/office/drawing/2014/main" id="{DC49D3C0-87F2-2A0A-CE28-D6356361CFA6}"/>
            </a:ext>
          </a:extLst>
        </cdr:cNvPr>
        <cdr:cNvSpPr txBox="1"/>
      </cdr:nvSpPr>
      <cdr:spPr>
        <a:xfrm xmlns:a="http://schemas.openxmlformats.org/drawingml/2006/main">
          <a:off x="8894619" y="10037618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0.84695</cdr:y>
    </cdr:from>
    <cdr:to>
      <cdr:x>0.977</cdr:x>
      <cdr:y>0.86589</cdr:y>
    </cdr:to>
    <cdr:sp macro="" textlink="">
      <cdr:nvSpPr>
        <cdr:cNvPr id="27" name="TextBox 1">
          <a:extLst xmlns:a="http://schemas.openxmlformats.org/drawingml/2006/main">
            <a:ext uri="{FF2B5EF4-FFF2-40B4-BE49-F238E27FC236}">
              <a16:creationId xmlns:a16="http://schemas.microsoft.com/office/drawing/2014/main" id="{FD945705-8E64-D594-5B29-3F5E37C29959}"/>
            </a:ext>
          </a:extLst>
        </cdr:cNvPr>
        <cdr:cNvSpPr txBox="1"/>
      </cdr:nvSpPr>
      <cdr:spPr>
        <a:xfrm xmlns:a="http://schemas.openxmlformats.org/drawingml/2006/main">
          <a:off x="8894618" y="10880437"/>
          <a:ext cx="3032426" cy="2433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0.7286</cdr:x>
      <cdr:y>0.91166</cdr:y>
    </cdr:from>
    <cdr:to>
      <cdr:x>0.90033</cdr:x>
      <cdr:y>0.93163</cdr:y>
    </cdr:to>
    <cdr:sp macro="" textlink="">
      <cdr:nvSpPr>
        <cdr:cNvPr id="28" name="TextBox 1">
          <a:extLst xmlns:a="http://schemas.openxmlformats.org/drawingml/2006/main">
            <a:ext uri="{FF2B5EF4-FFF2-40B4-BE49-F238E27FC236}">
              <a16:creationId xmlns:a16="http://schemas.microsoft.com/office/drawing/2014/main" id="{72356EC0-72E9-8D79-3199-30FAEB55EDBF}"/>
            </a:ext>
          </a:extLst>
        </cdr:cNvPr>
        <cdr:cNvSpPr txBox="1"/>
      </cdr:nvSpPr>
      <cdr:spPr>
        <a:xfrm xmlns:a="http://schemas.openxmlformats.org/drawingml/2006/main">
          <a:off x="8894618" y="11711709"/>
          <a:ext cx="2096434" cy="2566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0.94311</cdr:y>
    </cdr:from>
    <cdr:to>
      <cdr:x>0.90127</cdr:x>
      <cdr:y>0.96309</cdr:y>
    </cdr:to>
    <cdr:sp macro="" textlink="">
      <cdr:nvSpPr>
        <cdr:cNvPr id="29" name="TextBox 1">
          <a:extLst xmlns:a="http://schemas.openxmlformats.org/drawingml/2006/main">
            <a:ext uri="{FF2B5EF4-FFF2-40B4-BE49-F238E27FC236}">
              <a16:creationId xmlns:a16="http://schemas.microsoft.com/office/drawing/2014/main" id="{0B1209EE-C281-0FFE-7D0F-A32C98E9FA51}"/>
            </a:ext>
          </a:extLst>
        </cdr:cNvPr>
        <cdr:cNvSpPr txBox="1"/>
      </cdr:nvSpPr>
      <cdr:spPr>
        <a:xfrm xmlns:a="http://schemas.openxmlformats.org/drawingml/2006/main">
          <a:off x="8906163" y="12115799"/>
          <a:ext cx="2096434" cy="25661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0.72954</cdr:x>
      <cdr:y>0.97726</cdr:y>
    </cdr:from>
    <cdr:to>
      <cdr:x>0.89133</cdr:x>
      <cdr:y>0.99703</cdr:y>
    </cdr:to>
    <cdr:sp macro="" textlink="">
      <cdr:nvSpPr>
        <cdr:cNvPr id="30" name="TextBox 1">
          <a:extLst xmlns:a="http://schemas.openxmlformats.org/drawingml/2006/main">
            <a:ext uri="{FF2B5EF4-FFF2-40B4-BE49-F238E27FC236}">
              <a16:creationId xmlns:a16="http://schemas.microsoft.com/office/drawing/2014/main" id="{3563D973-D5B6-DC20-1958-66423358F023}"/>
            </a:ext>
          </a:extLst>
        </cdr:cNvPr>
        <cdr:cNvSpPr txBox="1"/>
      </cdr:nvSpPr>
      <cdr:spPr>
        <a:xfrm xmlns:a="http://schemas.openxmlformats.org/drawingml/2006/main">
          <a:off x="8906164" y="12554527"/>
          <a:ext cx="1975099" cy="2540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269631</xdr:colOff>
      <xdr:row>1</xdr:row>
      <xdr:rowOff>164122</xdr:rowOff>
    </xdr:from>
    <xdr:to>
      <xdr:col>29</xdr:col>
      <xdr:colOff>180731</xdr:colOff>
      <xdr:row>43</xdr:row>
      <xdr:rowOff>176823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9FABF-1C62-524B-9F22-0DDAF9049B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800" b="1" i="0">
              <a:latin typeface="Arial Nova Cond" panose="020B0506020202020204" pitchFamily="34" charset="0"/>
            </a:rPr>
            <a:t>GLOBAL</a:t>
          </a:r>
          <a:r>
            <a:rPr lang="en-US" sz="1800" b="1" i="0" baseline="0">
              <a:latin typeface="Arial Nova Cond" panose="020B0506020202020204" pitchFamily="34" charset="0"/>
            </a:rPr>
            <a:t> </a:t>
          </a:r>
          <a:r>
            <a:rPr lang="en-US" sz="1800" b="1" i="0">
              <a:latin typeface="Arial Nova Cond" panose="020B0506020202020204" pitchFamily="34" charset="0"/>
            </a:rPr>
            <a:t>SENSITIVITY ANALYSIS: </a:t>
          </a:r>
          <a:r>
            <a:rPr lang="en-US" sz="1600" b="0" i="0">
              <a:latin typeface="Arial Nova Cond" panose="020B0506020202020204" pitchFamily="34" charset="0"/>
            </a:rPr>
            <a:t>PETROCHEMICAL</a:t>
          </a:r>
          <a:r>
            <a:rPr lang="en-US" sz="1600" b="0" i="0" baseline="0">
              <a:latin typeface="Arial Nova Cond" panose="020B0506020202020204" pitchFamily="34" charset="0"/>
            </a:rPr>
            <a:t> HYDROCARBON </a:t>
          </a:r>
          <a:r>
            <a:rPr lang="en-US" sz="1600" b="0" i="0">
              <a:latin typeface="Arial Nova Cond" panose="020B0506020202020204" pitchFamily="34" charset="0"/>
            </a:rPr>
            <a:t>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0.37357</cdr:x>
      <cdr:y>0.04418</cdr:y>
    </cdr:from>
    <cdr:to>
      <cdr:x>0.59107</cdr:x>
      <cdr:y>0.10066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068849" y="363148"/>
              <a:ext cx="1786751" cy="46420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3068849" y="363148"/>
              <a:ext cx="1786751" cy="464201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0.12444</cdr:x>
      <cdr:y>0.03585</cdr:y>
    </cdr:from>
    <cdr:to>
      <cdr:x>0.40424</cdr:x>
      <cdr:y>0.10301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22237" y="294658"/>
              <a:ext cx="2298542" cy="55197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200" b="0" i="0">
                  <a:latin typeface="Arial Nova Cond" panose="020B0506020202020204" pitchFamily="34" charset="0"/>
                </a:rPr>
                <a:t>WORSENED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1022237" y="294658"/>
              <a:ext cx="2298542" cy="551978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200" b="0" i="0">
                  <a:latin typeface="Arial Nova Cond" panose="020B0506020202020204" pitchFamily="34" charset="0"/>
                </a:rPr>
                <a:t>WORSENED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0.74201</cdr:x>
      <cdr:y>0.28422</cdr:y>
    </cdr:from>
    <cdr:to>
      <cdr:x>0.9904</cdr:x>
      <cdr:y>0.31642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6095611" y="2335974"/>
          <a:ext cx="2040510" cy="2645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0.74082</cdr:x>
      <cdr:y>0.18967</cdr:y>
    </cdr:from>
    <cdr:to>
      <cdr:x>0.98922</cdr:x>
      <cdr:y>0.21895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6085829" y="1558873"/>
          <a:ext cx="2040593" cy="24061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0.74067</cdr:x>
      <cdr:y>0.64563</cdr:y>
    </cdr:from>
    <cdr:to>
      <cdr:x>0.98907</cdr:x>
      <cdr:y>0.68776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6084590" y="5306298"/>
          <a:ext cx="2040593" cy="34626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0.74082</cdr:x>
      <cdr:y>0.73573</cdr:y>
    </cdr:from>
    <cdr:to>
      <cdr:x>0.98922</cdr:x>
      <cdr:y>0.77786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E9040FEE-8FE2-927E-FEB9-BBE450C64134}"/>
            </a:ext>
          </a:extLst>
        </cdr:cNvPr>
        <cdr:cNvSpPr txBox="1"/>
      </cdr:nvSpPr>
      <cdr:spPr>
        <a:xfrm xmlns:a="http://schemas.openxmlformats.org/drawingml/2006/main">
          <a:off x="6085829" y="6046853"/>
          <a:ext cx="2040593" cy="34626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0.74317</cdr:x>
      <cdr:y>0.82615</cdr:y>
    </cdr:from>
    <cdr:to>
      <cdr:x>0.98632</cdr:x>
      <cdr:y>0.85724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997548C-87A5-A3D7-0B5B-2A1941FD2FA8}"/>
            </a:ext>
          </a:extLst>
        </cdr:cNvPr>
        <cdr:cNvSpPr txBox="1"/>
      </cdr:nvSpPr>
      <cdr:spPr>
        <a:xfrm xmlns:a="http://schemas.openxmlformats.org/drawingml/2006/main">
          <a:off x="6105128" y="6790022"/>
          <a:ext cx="1997471" cy="255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Population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0.74096</cdr:x>
      <cdr:y>0.69116</cdr:y>
    </cdr:from>
    <cdr:to>
      <cdr:x>0.98936</cdr:x>
      <cdr:y>0.71461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6086986" y="5680524"/>
          <a:ext cx="2040593" cy="1927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0.74088</cdr:x>
      <cdr:y>0.5993</cdr:y>
    </cdr:from>
    <cdr:to>
      <cdr:x>0.98927</cdr:x>
      <cdr:y>0.63022</cdr:y>
    </cdr:to>
    <cdr:sp macro="" textlink="">
      <cdr:nvSpPr>
        <cdr:cNvPr id="11" name="TextBox 1">
          <a:extLst xmlns:a="http://schemas.openxmlformats.org/drawingml/2006/main">
            <a:ext uri="{FF2B5EF4-FFF2-40B4-BE49-F238E27FC236}">
              <a16:creationId xmlns:a16="http://schemas.microsoft.com/office/drawing/2014/main" id="{A6B2178E-FA2B-46D9-780C-80689E2D383D}"/>
            </a:ext>
          </a:extLst>
        </cdr:cNvPr>
        <cdr:cNvSpPr txBox="1"/>
      </cdr:nvSpPr>
      <cdr:spPr>
        <a:xfrm xmlns:a="http://schemas.openxmlformats.org/drawingml/2006/main">
          <a:off x="6086329" y="4925536"/>
          <a:ext cx="2040510" cy="2541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0.74215</cdr:x>
      <cdr:y>0.9164</cdr:y>
    </cdr:from>
    <cdr:to>
      <cdr:x>0.99055</cdr:x>
      <cdr:y>0.94402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6096755" y="7531728"/>
          <a:ext cx="2040593" cy="2269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0.74096</cdr:x>
      <cdr:y>0.78301</cdr:y>
    </cdr:from>
    <cdr:to>
      <cdr:x>0.98936</cdr:x>
      <cdr:y>0.81327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6086986" y="6435429"/>
          <a:ext cx="2040593" cy="2486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0.74215</cdr:x>
      <cdr:y>0.50826</cdr:y>
    </cdr:from>
    <cdr:to>
      <cdr:x>0.99055</cdr:x>
      <cdr:y>0.5375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6096755" y="4177311"/>
          <a:ext cx="2040593" cy="2403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Future Uncertainty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0.81813</cdr:x>
      <cdr:y>0.04751</cdr:y>
    </cdr:from>
    <cdr:to>
      <cdr:x>0.98874</cdr:x>
      <cdr:y>0.11316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6720887" y="390512"/>
          <a:ext cx="1401552" cy="5395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4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1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  <cdr:relSizeAnchor xmlns:cdr="http://schemas.openxmlformats.org/drawingml/2006/chartDrawing">
    <cdr:from>
      <cdr:x>0.74111</cdr:x>
      <cdr:y>0.32711</cdr:y>
    </cdr:from>
    <cdr:to>
      <cdr:x>0.9895</cdr:x>
      <cdr:y>0.35931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A5EA5860-4A45-04F6-10B1-1BD96E5A3ECE}"/>
            </a:ext>
          </a:extLst>
        </cdr:cNvPr>
        <cdr:cNvSpPr txBox="1"/>
      </cdr:nvSpPr>
      <cdr:spPr>
        <a:xfrm xmlns:a="http://schemas.openxmlformats.org/drawingml/2006/main">
          <a:off x="6088185" y="2688492"/>
          <a:ext cx="2040510" cy="2645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0.74111</cdr:x>
      <cdr:y>0.37466</cdr:y>
    </cdr:from>
    <cdr:to>
      <cdr:x>0.9895</cdr:x>
      <cdr:y>0.40685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9B930B93-A848-EF37-2441-2D12CE621D86}"/>
            </a:ext>
          </a:extLst>
        </cdr:cNvPr>
        <cdr:cNvSpPr txBox="1"/>
      </cdr:nvSpPr>
      <cdr:spPr>
        <a:xfrm xmlns:a="http://schemas.openxmlformats.org/drawingml/2006/main">
          <a:off x="6088184" y="3079261"/>
          <a:ext cx="2040510" cy="2645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0.7423</cdr:x>
      <cdr:y>0.41864</cdr:y>
    </cdr:from>
    <cdr:to>
      <cdr:x>0.99069</cdr:x>
      <cdr:y>0.45083</cdr:y>
    </cdr:to>
    <cdr:sp macro="" textlink="">
      <cdr:nvSpPr>
        <cdr:cNvPr id="18" name="TextBox 1">
          <a:extLst xmlns:a="http://schemas.openxmlformats.org/drawingml/2006/main">
            <a:ext uri="{FF2B5EF4-FFF2-40B4-BE49-F238E27FC236}">
              <a16:creationId xmlns:a16="http://schemas.microsoft.com/office/drawing/2014/main" id="{F5AFF1F7-EBB1-A570-AA2A-10EB792F2606}"/>
            </a:ext>
          </a:extLst>
        </cdr:cNvPr>
        <cdr:cNvSpPr txBox="1"/>
      </cdr:nvSpPr>
      <cdr:spPr>
        <a:xfrm xmlns:a="http://schemas.openxmlformats.org/drawingml/2006/main">
          <a:off x="6097954" y="3440723"/>
          <a:ext cx="2040510" cy="2645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0.74111</cdr:x>
      <cdr:y>0.46381</cdr:y>
    </cdr:from>
    <cdr:to>
      <cdr:x>0.9895</cdr:x>
      <cdr:y>0.496</cdr:y>
    </cdr:to>
    <cdr:sp macro="" textlink="">
      <cdr:nvSpPr>
        <cdr:cNvPr id="19" name="TextBox 1">
          <a:extLst xmlns:a="http://schemas.openxmlformats.org/drawingml/2006/main">
            <a:ext uri="{FF2B5EF4-FFF2-40B4-BE49-F238E27FC236}">
              <a16:creationId xmlns:a16="http://schemas.microsoft.com/office/drawing/2014/main" id="{54BFABEF-1076-E8C3-E74F-55F19494977F}"/>
            </a:ext>
          </a:extLst>
        </cdr:cNvPr>
        <cdr:cNvSpPr txBox="1"/>
      </cdr:nvSpPr>
      <cdr:spPr>
        <a:xfrm xmlns:a="http://schemas.openxmlformats.org/drawingml/2006/main">
          <a:off x="6088184" y="3811953"/>
          <a:ext cx="2040510" cy="2645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0.7423</cdr:x>
      <cdr:y>0.96184</cdr:y>
    </cdr:from>
    <cdr:to>
      <cdr:x>0.9907</cdr:x>
      <cdr:y>0.98946</cdr:y>
    </cdr:to>
    <cdr:sp macro="" textlink="">
      <cdr:nvSpPr>
        <cdr:cNvPr id="20" name="TextBox 1">
          <a:extLst xmlns:a="http://schemas.openxmlformats.org/drawingml/2006/main">
            <a:ext uri="{FF2B5EF4-FFF2-40B4-BE49-F238E27FC236}">
              <a16:creationId xmlns:a16="http://schemas.microsoft.com/office/drawing/2014/main" id="{F7EE8228-25EB-C145-440C-FA15B0B20D3A}"/>
            </a:ext>
          </a:extLst>
        </cdr:cNvPr>
        <cdr:cNvSpPr txBox="1"/>
      </cdr:nvSpPr>
      <cdr:spPr>
        <a:xfrm xmlns:a="http://schemas.openxmlformats.org/drawingml/2006/main">
          <a:off x="6097954" y="7905262"/>
          <a:ext cx="2040593" cy="22699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0.7423</cdr:x>
      <cdr:y>0.55414</cdr:y>
    </cdr:from>
    <cdr:to>
      <cdr:x>0.9907</cdr:x>
      <cdr:y>0.57759</cdr:y>
    </cdr:to>
    <cdr:sp macro="" textlink="">
      <cdr:nvSpPr>
        <cdr:cNvPr id="21" name="TextBox 1">
          <a:extLst xmlns:a="http://schemas.openxmlformats.org/drawingml/2006/main">
            <a:ext uri="{FF2B5EF4-FFF2-40B4-BE49-F238E27FC236}">
              <a16:creationId xmlns:a16="http://schemas.microsoft.com/office/drawing/2014/main" id="{36ECBBF4-C913-B299-264D-92C9B2AB8C8B}"/>
            </a:ext>
          </a:extLst>
        </cdr:cNvPr>
        <cdr:cNvSpPr txBox="1"/>
      </cdr:nvSpPr>
      <cdr:spPr>
        <a:xfrm xmlns:a="http://schemas.openxmlformats.org/drawingml/2006/main">
          <a:off x="6097954" y="4554416"/>
          <a:ext cx="2040593" cy="19273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0.7423</cdr:x>
      <cdr:y>0.8727</cdr:y>
    </cdr:from>
    <cdr:to>
      <cdr:x>0.98545</cdr:x>
      <cdr:y>0.90379</cdr:y>
    </cdr:to>
    <cdr:sp macro="" textlink="">
      <cdr:nvSpPr>
        <cdr:cNvPr id="23" name="TextBox 1">
          <a:extLst xmlns:a="http://schemas.openxmlformats.org/drawingml/2006/main">
            <a:ext uri="{FF2B5EF4-FFF2-40B4-BE49-F238E27FC236}">
              <a16:creationId xmlns:a16="http://schemas.microsoft.com/office/drawing/2014/main" id="{1D59836D-DFED-5C1F-4741-14FBF5984C4E}"/>
            </a:ext>
          </a:extLst>
        </cdr:cNvPr>
        <cdr:cNvSpPr txBox="1"/>
      </cdr:nvSpPr>
      <cdr:spPr>
        <a:xfrm xmlns:a="http://schemas.openxmlformats.org/drawingml/2006/main">
          <a:off x="6097954" y="7172570"/>
          <a:ext cx="1997471" cy="2555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Construction Period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455083</xdr:colOff>
      <xdr:row>1</xdr:row>
      <xdr:rowOff>10584</xdr:rowOff>
    </xdr:from>
    <xdr:to>
      <xdr:col>28</xdr:col>
      <xdr:colOff>353902</xdr:colOff>
      <xdr:row>31</xdr:row>
      <xdr:rowOff>148168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F675E4-4573-194F-937C-04C2662CC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0.00133</cdr:x>
      <cdr:y>0.00825</cdr:y>
    </cdr:from>
    <cdr:to>
      <cdr:x>0.99618</cdr:x>
      <cdr:y>0.07653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0F39055C-BA23-8448-8511-AE2505779B94}"/>
            </a:ext>
          </a:extLst>
        </cdr:cNvPr>
        <cdr:cNvSpPr txBox="1"/>
      </cdr:nvSpPr>
      <cdr:spPr>
        <a:xfrm xmlns:a="http://schemas.openxmlformats.org/drawingml/2006/main">
          <a:off x="9680" y="49043"/>
          <a:ext cx="7246858" cy="4058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l"/>
          <a:r>
            <a:rPr lang="en-US" sz="1800" b="1" i="0">
              <a:latin typeface="Arial Nova Cond" panose="020B0506020202020204" pitchFamily="34" charset="0"/>
            </a:rPr>
            <a:t>GLOBAL</a:t>
          </a:r>
          <a:r>
            <a:rPr lang="en-US" sz="1800" b="1" i="0" baseline="0">
              <a:latin typeface="Arial Nova Cond" panose="020B0506020202020204" pitchFamily="34" charset="0"/>
            </a:rPr>
            <a:t> </a:t>
          </a:r>
          <a:r>
            <a:rPr lang="en-US" sz="1800" b="1" i="0">
              <a:latin typeface="Arial Nova Cond" panose="020B0506020202020204" pitchFamily="34" charset="0"/>
            </a:rPr>
            <a:t>SENSITIVITY ANALYSIS: </a:t>
          </a:r>
          <a:r>
            <a:rPr lang="en-US" sz="1600" b="0" i="0">
              <a:latin typeface="Arial Nova Cond" panose="020B0506020202020204" pitchFamily="34" charset="0"/>
            </a:rPr>
            <a:t>COAL ELECTRICITY NET PRESENT IMPACT</a:t>
          </a:r>
          <a:endParaRPr lang="en-US" sz="18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0.36623</cdr:x>
      <cdr:y>0.0635</cdr:y>
    </cdr:from>
    <cdr:to>
      <cdr:x>0.58373</cdr:x>
      <cdr:y>0.11998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683825" y="371619"/>
              <a:ext cx="1593910" cy="33055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→</m:t>
                  </m:r>
                </m:oMath>
              </a14:m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3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AC9F34BC-5CC4-DC43-AFEB-82E18C5A6E58}"/>
                </a:ext>
              </a:extLst>
            </cdr:cNvPr>
            <cdr:cNvSpPr txBox="1"/>
          </cdr:nvSpPr>
          <cdr:spPr>
            <a:xfrm xmlns:a="http://schemas.openxmlformats.org/drawingml/2006/main">
              <a:off x="2683825" y="371619"/>
              <a:ext cx="1593910" cy="330554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200" b="0" i="0">
                  <a:latin typeface="Arial Nova Cond" panose="020B0506020202020204" pitchFamily="34" charset="0"/>
                </a:rPr>
                <a:t>IMPROVED SI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→</a:t>
              </a:r>
              <a:r>
                <a:rPr lang="en-US" sz="1800" b="1" i="0">
                  <a:latin typeface="Arial Nova Cond" panose="020B0506020202020204" pitchFamily="34" charset="0"/>
                </a:rPr>
                <a:t> </a:t>
              </a:r>
              <a:r>
                <a:rPr lang="en-US" sz="18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0.10594</cdr:x>
      <cdr:y>0.05142</cdr:y>
    </cdr:from>
    <cdr:to>
      <cdr:x>0.38574</cdr:x>
      <cdr:y>0.11859</cdr:y>
    </cdr:to>
    <mc:AlternateContent xmlns:mc="http://schemas.openxmlformats.org/markup-compatibility/2006">
      <mc:Choice xmlns:a14="http://schemas.microsoft.com/office/drawing/2010/main" Requires="a14"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776343" y="300969"/>
              <a:ext cx="2050464" cy="39306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14:m>
                <m:oMath xmlns:m="http://schemas.openxmlformats.org/officeDocument/2006/math">
                  <m:r>
                    <a:rPr lang="en-US" sz="1800" b="1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← </m:t>
                  </m:r>
                </m:oMath>
              </a14:m>
              <a:r>
                <a:rPr lang="en-US" sz="1200" b="0" i="0">
                  <a:latin typeface="Arial Nova Cond" panose="020B0506020202020204" pitchFamily="34" charset="0"/>
                </a:rPr>
                <a:t>WORSENED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Choice>
      <mc:Fallback>
        <cdr:sp macro="" textlink="">
          <cdr:nvSpPr>
            <cdr:cNvPr id="4" name="TextBox 1">
              <a:extLst xmlns:a="http://schemas.openxmlformats.org/drawingml/2006/main">
                <a:ext uri="{FF2B5EF4-FFF2-40B4-BE49-F238E27FC236}">
                  <a16:creationId xmlns:a16="http://schemas.microsoft.com/office/drawing/2014/main" id="{E6643E9C-C498-A89F-2C3A-374B6C32E523}"/>
                </a:ext>
              </a:extLst>
            </cdr:cNvPr>
            <cdr:cNvSpPr txBox="1"/>
          </cdr:nvSpPr>
          <cdr:spPr>
            <a:xfrm xmlns:a="http://schemas.openxmlformats.org/drawingml/2006/main">
              <a:off x="776343" y="300969"/>
              <a:ext cx="2050464" cy="393060"/>
            </a:xfrm>
            <a:prstGeom xmlns:a="http://schemas.openxmlformats.org/drawingml/2006/main" prst="rect">
              <a:avLst/>
            </a:prstGeom>
          </cdr:spPr>
          <cdr:txBody>
            <a:bodyPr xmlns:a="http://schemas.openxmlformats.org/drawingml/2006/main" wrap="square" rtlCol="0"/>
            <a:lstStyle xmlns:a="http://schemas.openxmlformats.org/drawingml/2006/main">
              <a:lvl1pPr marL="0" indent="0">
                <a:defRPr sz="1100"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 algn="ctr"/>
              <a:r>
                <a:rPr lang="en-US" sz="18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← </a:t>
              </a:r>
              <a:r>
                <a:rPr lang="en-US" sz="1200" b="0" i="0">
                  <a:latin typeface="Arial Nova Cond" panose="020B0506020202020204" pitchFamily="34" charset="0"/>
                </a:rPr>
                <a:t>WORSENED SI</a:t>
              </a:r>
              <a:r>
                <a:rPr lang="en-US" sz="24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>
                  <a:latin typeface="Arial Nova Cond" panose="020B0506020202020204" pitchFamily="34" charset="0"/>
                </a:rPr>
                <a:t> </a:t>
              </a:r>
              <a:r>
                <a:rPr lang="en-US" sz="1600" b="1" i="0" baseline="0">
                  <a:latin typeface="Arial Nova Cond" panose="020B0506020202020204" pitchFamily="34" charset="0"/>
                </a:rPr>
                <a:t> </a:t>
              </a:r>
              <a:endParaRPr lang="en-US" sz="1800" b="0" i="0" kern="1200">
                <a:latin typeface="Arial Nova Cond" panose="020B0506020202020204" pitchFamily="34" charset="0"/>
              </a:endParaRPr>
            </a:p>
          </cdr:txBody>
        </cdr:sp>
      </mc:Fallback>
    </mc:AlternateContent>
  </cdr:relSizeAnchor>
  <cdr:relSizeAnchor xmlns:cdr="http://schemas.openxmlformats.org/drawingml/2006/chartDrawing">
    <cdr:from>
      <cdr:x>0.71016</cdr:x>
      <cdr:y>0.21216</cdr:y>
    </cdr:from>
    <cdr:to>
      <cdr:x>0.95855</cdr:x>
      <cdr:y>0.25429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5C056DFE-F5C8-E5DE-6786-ED3927FD8981}"/>
            </a:ext>
          </a:extLst>
        </cdr:cNvPr>
        <cdr:cNvSpPr txBox="1"/>
      </cdr:nvSpPr>
      <cdr:spPr>
        <a:xfrm xmlns:a="http://schemas.openxmlformats.org/drawingml/2006/main">
          <a:off x="5204260" y="1294187"/>
          <a:ext cx="1820281" cy="25692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</a:t>
          </a:r>
          <a:r>
            <a:rPr lang="en-US" sz="1100" b="0" i="0" baseline="0">
              <a:latin typeface="Arial Nova Cond" panose="020B0506020202020204" pitchFamily="34" charset="0"/>
            </a:rPr>
            <a:t>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0.71067</cdr:x>
      <cdr:y>0.29141</cdr:y>
    </cdr:from>
    <cdr:to>
      <cdr:x>0.96759</cdr:x>
      <cdr:y>0.33353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B32821C5-9701-1972-EB97-2497C2EBA2B7}"/>
            </a:ext>
          </a:extLst>
        </cdr:cNvPr>
        <cdr:cNvSpPr txBox="1"/>
      </cdr:nvSpPr>
      <cdr:spPr>
        <a:xfrm xmlns:a="http://schemas.openxmlformats.org/drawingml/2006/main">
          <a:off x="5207986" y="1777545"/>
          <a:ext cx="1882848" cy="2569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0.7109</cdr:x>
      <cdr:y>0.45671</cdr:y>
    </cdr:from>
    <cdr:to>
      <cdr:x>0.95773</cdr:x>
      <cdr:y>0.49884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71C0E415-6F8D-0CBC-3F00-4E138815F416}"/>
            </a:ext>
          </a:extLst>
        </cdr:cNvPr>
        <cdr:cNvSpPr txBox="1"/>
      </cdr:nvSpPr>
      <cdr:spPr>
        <a:xfrm xmlns:a="http://schemas.openxmlformats.org/drawingml/2006/main">
          <a:off x="5209670" y="2672942"/>
          <a:ext cx="1808849" cy="2465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0.71055</cdr:x>
      <cdr:y>0.94322</cdr:y>
    </cdr:from>
    <cdr:to>
      <cdr:x>0.95895</cdr:x>
      <cdr:y>0.98534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64F1656A-C549-9BC6-7A3C-73C8F09AC22B}"/>
            </a:ext>
          </a:extLst>
        </cdr:cNvPr>
        <cdr:cNvSpPr txBox="1"/>
      </cdr:nvSpPr>
      <cdr:spPr>
        <a:xfrm xmlns:a="http://schemas.openxmlformats.org/drawingml/2006/main">
          <a:off x="5207148" y="5520258"/>
          <a:ext cx="1820355" cy="24651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Saturation Limit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0.71055</cdr:x>
      <cdr:y>0.86209</cdr:y>
    </cdr:from>
    <cdr:to>
      <cdr:x>0.95895</cdr:x>
      <cdr:y>0.90422</cdr:y>
    </cdr:to>
    <cdr:sp macro="" textlink="">
      <cdr:nvSpPr>
        <cdr:cNvPr id="12" name="TextBox 1">
          <a:extLst xmlns:a="http://schemas.openxmlformats.org/drawingml/2006/main">
            <a:ext uri="{FF2B5EF4-FFF2-40B4-BE49-F238E27FC236}">
              <a16:creationId xmlns:a16="http://schemas.microsoft.com/office/drawing/2014/main" id="{4C1FFA4E-7414-EDBE-3F68-F1B7B8FC2EE4}"/>
            </a:ext>
          </a:extLst>
        </cdr:cNvPr>
        <cdr:cNvSpPr txBox="1"/>
      </cdr:nvSpPr>
      <cdr:spPr>
        <a:xfrm xmlns:a="http://schemas.openxmlformats.org/drawingml/2006/main">
          <a:off x="5207148" y="5045426"/>
          <a:ext cx="1820355" cy="2465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0.712</cdr:x>
      <cdr:y>0.61793</cdr:y>
    </cdr:from>
    <cdr:to>
      <cdr:x>0.9604</cdr:x>
      <cdr:y>0.66006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3136AB37-BECA-F75D-6007-AA01D016F96E}"/>
            </a:ext>
          </a:extLst>
        </cdr:cNvPr>
        <cdr:cNvSpPr txBox="1"/>
      </cdr:nvSpPr>
      <cdr:spPr>
        <a:xfrm xmlns:a="http://schemas.openxmlformats.org/drawingml/2006/main">
          <a:off x="5217732" y="3616465"/>
          <a:ext cx="1820355" cy="2465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0.71055</cdr:x>
      <cdr:y>0.53752</cdr:y>
    </cdr:from>
    <cdr:to>
      <cdr:x>0.97626</cdr:x>
      <cdr:y>0.57965</cdr:y>
    </cdr:to>
    <cdr:sp macro="" textlink="">
      <cdr:nvSpPr>
        <cdr:cNvPr id="14" name="TextBox 1">
          <a:extLst xmlns:a="http://schemas.openxmlformats.org/drawingml/2006/main">
            <a:ext uri="{FF2B5EF4-FFF2-40B4-BE49-F238E27FC236}">
              <a16:creationId xmlns:a16="http://schemas.microsoft.com/office/drawing/2014/main" id="{78BDC023-7C99-8D75-CF68-CFE0C893E7BB}"/>
            </a:ext>
          </a:extLst>
        </cdr:cNvPr>
        <cdr:cNvSpPr txBox="1"/>
      </cdr:nvSpPr>
      <cdr:spPr>
        <a:xfrm xmlns:a="http://schemas.openxmlformats.org/drawingml/2006/main">
          <a:off x="5207148" y="3278854"/>
          <a:ext cx="1947186" cy="2569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Human Needs Database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0.81694</cdr:x>
      <cdr:y>0.07181</cdr:y>
    </cdr:from>
    <cdr:to>
      <cdr:x>0.98755</cdr:x>
      <cdr:y>0.17039</cdr:y>
    </cdr:to>
    <cdr:sp macro="" textlink="">
      <cdr:nvSpPr>
        <cdr:cNvPr id="16" name="TextBox 1">
          <a:extLst xmlns:a="http://schemas.openxmlformats.org/drawingml/2006/main">
            <a:ext uri="{FF2B5EF4-FFF2-40B4-BE49-F238E27FC236}">
              <a16:creationId xmlns:a16="http://schemas.microsoft.com/office/drawing/2014/main" id="{E1F5CAE4-35A7-0D43-DF89-4DA129E43E44}"/>
            </a:ext>
          </a:extLst>
        </cdr:cNvPr>
        <cdr:cNvSpPr txBox="1"/>
      </cdr:nvSpPr>
      <cdr:spPr>
        <a:xfrm xmlns:a="http://schemas.openxmlformats.org/drawingml/2006/main">
          <a:off x="5986797" y="420245"/>
          <a:ext cx="1250284" cy="5770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1400" b="1" i="0">
              <a:latin typeface="Arial Nova Cond" panose="020B0506020202020204" pitchFamily="34" charset="0"/>
            </a:rPr>
            <a:t>Logarithmic</a:t>
          </a:r>
        </a:p>
        <a:p xmlns:a="http://schemas.openxmlformats.org/drawingml/2006/main">
          <a:pPr algn="r"/>
          <a:r>
            <a:rPr lang="en-US" sz="1100" b="0" i="0" kern="1200">
              <a:latin typeface="Arial Nova Cond" panose="020B0506020202020204" pitchFamily="34" charset="0"/>
            </a:rPr>
            <a:t>Human Need Scale</a:t>
          </a:r>
        </a:p>
      </cdr:txBody>
    </cdr:sp>
  </cdr:relSizeAnchor>
  <cdr:relSizeAnchor xmlns:cdr="http://schemas.openxmlformats.org/drawingml/2006/chartDrawing">
    <cdr:from>
      <cdr:x>0.7088</cdr:x>
      <cdr:y>0.77902</cdr:y>
    </cdr:from>
    <cdr:to>
      <cdr:x>0.9572</cdr:x>
      <cdr:y>0.82115</cdr:y>
    </cdr:to>
    <cdr:sp macro="" textlink="">
      <cdr:nvSpPr>
        <cdr:cNvPr id="15" name="TextBox 1">
          <a:extLst xmlns:a="http://schemas.openxmlformats.org/drawingml/2006/main">
            <a:ext uri="{FF2B5EF4-FFF2-40B4-BE49-F238E27FC236}">
              <a16:creationId xmlns:a16="http://schemas.microsoft.com/office/drawing/2014/main" id="{EDCEEE0C-439C-492C-44A8-58234410AF7E}"/>
            </a:ext>
          </a:extLst>
        </cdr:cNvPr>
        <cdr:cNvSpPr txBox="1"/>
      </cdr:nvSpPr>
      <cdr:spPr>
        <a:xfrm xmlns:a="http://schemas.openxmlformats.org/drawingml/2006/main">
          <a:off x="5194300" y="4559300"/>
          <a:ext cx="1820355" cy="24656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Total Global Market Demand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  <cdr:relSizeAnchor xmlns:cdr="http://schemas.openxmlformats.org/drawingml/2006/chartDrawing">
    <cdr:from>
      <cdr:x>0.71024</cdr:x>
      <cdr:y>0.69946</cdr:y>
    </cdr:from>
    <cdr:to>
      <cdr:x>0.95864</cdr:x>
      <cdr:y>0.74159</cdr:y>
    </cdr:to>
    <cdr:sp macro="" textlink="">
      <cdr:nvSpPr>
        <cdr:cNvPr id="17" name="TextBox 1">
          <a:extLst xmlns:a="http://schemas.openxmlformats.org/drawingml/2006/main">
            <a:ext uri="{FF2B5EF4-FFF2-40B4-BE49-F238E27FC236}">
              <a16:creationId xmlns:a16="http://schemas.microsoft.com/office/drawing/2014/main" id="{3CFEDEC6-C78E-A0EF-36B3-596C7593718A}"/>
            </a:ext>
          </a:extLst>
        </cdr:cNvPr>
        <cdr:cNvSpPr txBox="1"/>
      </cdr:nvSpPr>
      <cdr:spPr>
        <a:xfrm xmlns:a="http://schemas.openxmlformats.org/drawingml/2006/main">
          <a:off x="5204884" y="4093634"/>
          <a:ext cx="1820355" cy="24657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1100" b="0" i="0">
              <a:latin typeface="Arial Nova Cond" panose="020B0506020202020204" pitchFamily="34" charset="0"/>
            </a:rPr>
            <a:t>Global Threshold Value</a:t>
          </a:r>
          <a:endParaRPr lang="en-US" sz="1600" b="0" i="0" kern="1200">
            <a:latin typeface="Arial Nova Cond" panose="020B0506020202020204" pitchFamily="34" charset="0"/>
          </a:endParaRP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mithpittman/Documents/QSIA/TEA_LCA_QSIA_ElectroAD%20copy.xlsx" TargetMode="External"/><Relationship Id="rId1" Type="http://schemas.openxmlformats.org/officeDocument/2006/relationships/externalLinkPath" Target="TEA_LCA_QSIA_ElectroAD%20cop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s"/>
      <sheetName val="Units"/>
      <sheetName val="ExpBase"/>
      <sheetName val="Carbon"/>
      <sheetName val="CostCalc"/>
      <sheetName val="Locate"/>
      <sheetName val="CAPEX"/>
      <sheetName val="Figures"/>
      <sheetName val="OPEX"/>
      <sheetName val="A_DCFROR"/>
      <sheetName val="B_DCFROR"/>
      <sheetName val="AB_DCFROR"/>
      <sheetName val="Scale&amp;MVA"/>
      <sheetName val="BM_Flow"/>
      <sheetName val="BM_CAPEX"/>
      <sheetName val="BM_OPEX"/>
      <sheetName val="BM_DCFROR"/>
      <sheetName val="LCOE_CP"/>
      <sheetName val="LCOE&amp;D"/>
      <sheetName val="LCI_AB"/>
      <sheetName val="LCA"/>
      <sheetName val="PSILCA_OC"/>
      <sheetName val="PSILCA_PC"/>
      <sheetName val="PSILCA_EtOH"/>
      <sheetName val="PSILCA_Coal"/>
      <sheetName val="QSIA-OC"/>
      <sheetName val="QSIA-PC"/>
      <sheetName val="QSIA-Coal"/>
      <sheetName val="QSIA-EtOH"/>
      <sheetName val="QSI-Fig"/>
      <sheetName val="Reserve"/>
    </sheetNames>
    <sheetDataSet>
      <sheetData sheetId="0">
        <row r="3">
          <cell r="F3">
            <v>8000</v>
          </cell>
        </row>
      </sheetData>
      <sheetData sheetId="1" refreshError="1"/>
      <sheetData sheetId="2">
        <row r="623">
          <cell r="D623">
            <v>19771373.602658156</v>
          </cell>
        </row>
        <row r="624">
          <cell r="D624">
            <v>835814.52990317577</v>
          </cell>
        </row>
        <row r="625">
          <cell r="D625">
            <v>2.790746462439006E-2</v>
          </cell>
        </row>
        <row r="626">
          <cell r="D626">
            <v>471616.45668299275</v>
          </cell>
        </row>
        <row r="627">
          <cell r="D627">
            <v>21627.345379071554</v>
          </cell>
        </row>
        <row r="628">
          <cell r="D628">
            <v>270242.26441837981</v>
          </cell>
        </row>
        <row r="629">
          <cell r="D629">
            <v>4.956042788886483E-3</v>
          </cell>
        </row>
        <row r="630">
          <cell r="D630">
            <v>92894.003082526484</v>
          </cell>
        </row>
        <row r="631">
          <cell r="D631">
            <v>6.8043363647475414E-3</v>
          </cell>
        </row>
        <row r="632">
          <cell r="D632">
            <v>0</v>
          </cell>
        </row>
        <row r="633">
          <cell r="D633">
            <v>0</v>
          </cell>
        </row>
        <row r="634">
          <cell r="D634">
            <v>0</v>
          </cell>
        </row>
        <row r="635">
          <cell r="D635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>
        <row r="6">
          <cell r="A6">
            <v>1</v>
          </cell>
        </row>
      </sheetData>
      <sheetData sheetId="22">
        <row r="5">
          <cell r="B5">
            <v>1050361702672.7446</v>
          </cell>
        </row>
      </sheetData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custommarketinsights.com/report/water-and-wastewater-treatment-market/" TargetMode="External"/><Relationship Id="rId3" Type="http://schemas.openxmlformats.org/officeDocument/2006/relationships/hyperlink" Target="https://doi.org/10.1039/d0pp90011g" TargetMode="External"/><Relationship Id="rId7" Type="http://schemas.openxmlformats.org/officeDocument/2006/relationships/hyperlink" Target="https://doi.org/10.3390/su15065314" TargetMode="External"/><Relationship Id="rId2" Type="http://schemas.openxmlformats.org/officeDocument/2006/relationships/hyperlink" Target="https://doi.org/10.1007/s11053-006-9022-5" TargetMode="External"/><Relationship Id="rId1" Type="http://schemas.openxmlformats.org/officeDocument/2006/relationships/hyperlink" Target="https://extension.umn.edu/testing-and-analysis/understanding-plant-analysis-crops" TargetMode="External"/><Relationship Id="rId6" Type="http://schemas.openxmlformats.org/officeDocument/2006/relationships/hyperlink" Target="https://doi.org/10.1007/s11356-016-7321-x" TargetMode="External"/><Relationship Id="rId5" Type="http://schemas.openxmlformats.org/officeDocument/2006/relationships/hyperlink" Target="https://doi.org/10.3390/w18070855" TargetMode="External"/><Relationship Id="rId4" Type="http://schemas.openxmlformats.org/officeDocument/2006/relationships/hyperlink" Target="https://doi.org/10.1021/es502497p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B6A80-B58A-344B-899C-8477543C2C82}">
  <sheetPr codeName="Sheet1"/>
  <dimension ref="A1:L139"/>
  <sheetViews>
    <sheetView tabSelected="1" zoomScale="170" zoomScaleNormal="170" workbookViewId="0">
      <selection activeCell="E5" sqref="E5"/>
    </sheetView>
  </sheetViews>
  <sheetFormatPr baseColWidth="10" defaultRowHeight="15" x14ac:dyDescent="0.2"/>
  <cols>
    <col min="1" max="1" width="38.1640625" customWidth="1"/>
    <col min="2" max="2" width="24.6640625" customWidth="1"/>
    <col min="3" max="3" width="12.6640625" customWidth="1"/>
    <col min="4" max="4" width="13.33203125" customWidth="1"/>
    <col min="5" max="5" width="19.5" style="299" customWidth="1"/>
    <col min="6" max="6" width="19.83203125" customWidth="1"/>
    <col min="7" max="7" width="32.33203125" customWidth="1"/>
    <col min="8" max="8" width="19.5" customWidth="1"/>
    <col min="10" max="10" width="15.5" customWidth="1"/>
    <col min="11" max="11" width="21.5" customWidth="1"/>
    <col min="12" max="13" width="11.1640625" bestFit="1" customWidth="1"/>
  </cols>
  <sheetData>
    <row r="1" spans="1:12" x14ac:dyDescent="0.2">
      <c r="A1" s="310" t="s">
        <v>1001</v>
      </c>
      <c r="B1" s="310" t="s">
        <v>3</v>
      </c>
      <c r="C1" s="310" t="s">
        <v>1002</v>
      </c>
      <c r="D1" s="310" t="s">
        <v>0</v>
      </c>
      <c r="E1" s="310" t="s">
        <v>1010</v>
      </c>
      <c r="F1" s="302" t="s">
        <v>1003</v>
      </c>
      <c r="G1" s="303" t="s">
        <v>1008</v>
      </c>
      <c r="H1" s="305" t="s">
        <v>1009</v>
      </c>
      <c r="I1" s="307" t="s">
        <v>1011</v>
      </c>
      <c r="J1" s="308"/>
      <c r="K1" s="308"/>
      <c r="L1" s="309"/>
    </row>
    <row r="2" spans="1:12" x14ac:dyDescent="0.2">
      <c r="A2" s="310"/>
      <c r="B2" s="310"/>
      <c r="C2" s="310"/>
      <c r="D2" s="310"/>
      <c r="E2" s="310"/>
      <c r="F2" s="302"/>
      <c r="G2" s="304"/>
      <c r="H2" s="306"/>
      <c r="I2" s="271" t="s">
        <v>1001</v>
      </c>
      <c r="J2" s="86" t="s">
        <v>3</v>
      </c>
      <c r="K2" s="225">
        <v>0.2</v>
      </c>
      <c r="L2" s="272">
        <v>-0.2</v>
      </c>
    </row>
    <row r="3" spans="1:12" x14ac:dyDescent="0.2">
      <c r="A3" s="263" t="s">
        <v>1088</v>
      </c>
      <c r="B3" s="249"/>
      <c r="C3" s="249"/>
      <c r="D3" s="249"/>
      <c r="E3" s="230"/>
      <c r="F3" s="283">
        <f t="shared" ref="F3:F65" si="0">IF(ISBLANK(E3),D3,E3)</f>
        <v>0</v>
      </c>
      <c r="G3" s="278"/>
      <c r="H3" s="284"/>
      <c r="I3" s="273" t="s">
        <v>1088</v>
      </c>
      <c r="J3" s="249"/>
      <c r="K3" s="233">
        <f t="shared" ref="K3:K34" si="1">D3*1.2</f>
        <v>0</v>
      </c>
      <c r="L3" s="275">
        <f t="shared" ref="L3:L34" si="2">D3*0.8</f>
        <v>0</v>
      </c>
    </row>
    <row r="4" spans="1:12" x14ac:dyDescent="0.2">
      <c r="A4" s="264" t="s">
        <v>312</v>
      </c>
      <c r="B4" s="229" t="s">
        <v>1018</v>
      </c>
      <c r="C4" s="229" t="s">
        <v>1019</v>
      </c>
      <c r="D4" s="230">
        <v>100</v>
      </c>
      <c r="E4" s="230"/>
      <c r="F4" s="283">
        <f>IF(ISBLANK(E4),D4,E4)</f>
        <v>100</v>
      </c>
      <c r="G4" s="278"/>
      <c r="H4" s="284"/>
      <c r="I4" s="274" t="s">
        <v>312</v>
      </c>
      <c r="J4" s="229" t="s">
        <v>1018</v>
      </c>
      <c r="K4" s="233">
        <f t="shared" si="1"/>
        <v>120</v>
      </c>
      <c r="L4" s="275">
        <f t="shared" si="2"/>
        <v>80</v>
      </c>
    </row>
    <row r="5" spans="1:12" x14ac:dyDescent="0.2">
      <c r="A5" s="264" t="s">
        <v>313</v>
      </c>
      <c r="B5" s="229" t="s">
        <v>1018</v>
      </c>
      <c r="C5" s="229" t="s">
        <v>1019</v>
      </c>
      <c r="D5" s="230">
        <v>10</v>
      </c>
      <c r="E5" s="230"/>
      <c r="F5" s="283">
        <f t="shared" si="0"/>
        <v>10</v>
      </c>
      <c r="G5" s="278"/>
      <c r="H5" s="284"/>
      <c r="I5" s="274" t="s">
        <v>313</v>
      </c>
      <c r="J5" s="229" t="s">
        <v>1018</v>
      </c>
      <c r="K5" s="233">
        <f t="shared" si="1"/>
        <v>12</v>
      </c>
      <c r="L5" s="275">
        <f t="shared" si="2"/>
        <v>8</v>
      </c>
    </row>
    <row r="6" spans="1:12" x14ac:dyDescent="0.2">
      <c r="A6" s="264" t="s">
        <v>781</v>
      </c>
      <c r="B6" s="229" t="s">
        <v>1018</v>
      </c>
      <c r="C6" s="229" t="s">
        <v>1019</v>
      </c>
      <c r="D6" s="230">
        <v>1</v>
      </c>
      <c r="E6" s="230"/>
      <c r="F6" s="283">
        <f t="shared" si="0"/>
        <v>1</v>
      </c>
      <c r="G6" s="278"/>
      <c r="H6" s="284"/>
      <c r="I6" s="274" t="s">
        <v>781</v>
      </c>
      <c r="J6" s="229" t="s">
        <v>1018</v>
      </c>
      <c r="K6" s="233">
        <f t="shared" si="1"/>
        <v>1.2</v>
      </c>
      <c r="L6" s="275">
        <f t="shared" si="2"/>
        <v>0.8</v>
      </c>
    </row>
    <row r="7" spans="1:12" x14ac:dyDescent="0.2">
      <c r="A7" s="264"/>
      <c r="B7" s="229"/>
      <c r="C7" s="229"/>
      <c r="D7" s="230"/>
      <c r="E7" s="230"/>
      <c r="F7" s="283">
        <f t="shared" si="0"/>
        <v>0</v>
      </c>
      <c r="G7" s="278"/>
      <c r="H7" s="284"/>
      <c r="I7" s="274"/>
      <c r="J7" s="229"/>
      <c r="K7" s="233">
        <f t="shared" si="1"/>
        <v>0</v>
      </c>
      <c r="L7" s="275">
        <f t="shared" si="2"/>
        <v>0</v>
      </c>
    </row>
    <row r="8" spans="1:12" x14ac:dyDescent="0.2">
      <c r="A8" s="263" t="s">
        <v>1094</v>
      </c>
      <c r="B8" s="249"/>
      <c r="C8" s="249"/>
      <c r="D8" s="250"/>
      <c r="E8" s="230"/>
      <c r="F8" s="283">
        <f t="shared" si="0"/>
        <v>0</v>
      </c>
      <c r="G8" s="278"/>
      <c r="H8" s="284"/>
      <c r="I8" s="273" t="s">
        <v>1094</v>
      </c>
      <c r="J8" s="249"/>
      <c r="K8" s="233">
        <f t="shared" si="1"/>
        <v>0</v>
      </c>
      <c r="L8" s="275">
        <f t="shared" si="2"/>
        <v>0</v>
      </c>
    </row>
    <row r="9" spans="1:12" x14ac:dyDescent="0.2">
      <c r="A9" s="264" t="s">
        <v>1092</v>
      </c>
      <c r="B9" s="229" t="s">
        <v>540</v>
      </c>
      <c r="C9" s="229" t="s">
        <v>1057</v>
      </c>
      <c r="D9" s="254">
        <v>8300000000</v>
      </c>
      <c r="E9" s="230"/>
      <c r="F9" s="283">
        <f t="shared" si="0"/>
        <v>8300000000</v>
      </c>
      <c r="G9" s="278"/>
      <c r="H9" s="284"/>
      <c r="I9" s="274" t="s">
        <v>1092</v>
      </c>
      <c r="J9" s="229" t="s">
        <v>540</v>
      </c>
      <c r="K9" s="233">
        <f t="shared" si="1"/>
        <v>9960000000</v>
      </c>
      <c r="L9" s="275">
        <f t="shared" si="2"/>
        <v>6640000000</v>
      </c>
    </row>
    <row r="10" spans="1:12" x14ac:dyDescent="0.2">
      <c r="A10" s="264" t="s">
        <v>1093</v>
      </c>
      <c r="B10" s="229" t="s">
        <v>540</v>
      </c>
      <c r="C10" s="229" t="s">
        <v>4</v>
      </c>
      <c r="D10" s="230">
        <v>8.8000000000000005E-3</v>
      </c>
      <c r="E10" s="230"/>
      <c r="F10" s="283">
        <f t="shared" si="0"/>
        <v>8.8000000000000005E-3</v>
      </c>
      <c r="G10" s="278"/>
      <c r="H10" s="284"/>
      <c r="I10" s="274" t="s">
        <v>1093</v>
      </c>
      <c r="J10" s="229" t="s">
        <v>540</v>
      </c>
      <c r="K10" s="233">
        <f t="shared" si="1"/>
        <v>1.056E-2</v>
      </c>
      <c r="L10" s="275">
        <f t="shared" si="2"/>
        <v>7.0400000000000011E-3</v>
      </c>
    </row>
    <row r="11" spans="1:12" x14ac:dyDescent="0.2">
      <c r="A11" s="264" t="s">
        <v>536</v>
      </c>
      <c r="B11" s="229" t="s">
        <v>15</v>
      </c>
      <c r="C11" s="229" t="s">
        <v>4</v>
      </c>
      <c r="D11" s="230">
        <v>0.01</v>
      </c>
      <c r="E11" s="230"/>
      <c r="F11" s="283">
        <f t="shared" si="0"/>
        <v>0.01</v>
      </c>
      <c r="G11" s="278"/>
      <c r="H11" s="284"/>
      <c r="I11" s="274" t="s">
        <v>536</v>
      </c>
      <c r="J11" s="229" t="s">
        <v>1098</v>
      </c>
      <c r="K11" s="233">
        <f t="shared" si="1"/>
        <v>1.2E-2</v>
      </c>
      <c r="L11" s="275">
        <f t="shared" si="2"/>
        <v>8.0000000000000002E-3</v>
      </c>
    </row>
    <row r="12" spans="1:12" x14ac:dyDescent="0.2">
      <c r="A12" s="264" t="s">
        <v>1</v>
      </c>
      <c r="B12" s="229" t="s">
        <v>15</v>
      </c>
      <c r="C12" s="229" t="s">
        <v>1095</v>
      </c>
      <c r="D12" s="230">
        <v>8000</v>
      </c>
      <c r="E12" s="230"/>
      <c r="F12" s="283">
        <f t="shared" si="0"/>
        <v>8000</v>
      </c>
      <c r="G12" s="278"/>
      <c r="H12" s="284"/>
      <c r="I12" s="274" t="s">
        <v>1</v>
      </c>
      <c r="J12" s="229" t="s">
        <v>15</v>
      </c>
      <c r="K12" s="233">
        <f t="shared" si="1"/>
        <v>9600</v>
      </c>
      <c r="L12" s="275">
        <f t="shared" si="2"/>
        <v>6400</v>
      </c>
    </row>
    <row r="13" spans="1:12" x14ac:dyDescent="0.2">
      <c r="A13" s="264" t="s">
        <v>1096</v>
      </c>
      <c r="B13" s="229" t="s">
        <v>15</v>
      </c>
      <c r="C13" s="229" t="s">
        <v>4</v>
      </c>
      <c r="D13" s="230">
        <v>0.5</v>
      </c>
      <c r="E13" s="230"/>
      <c r="F13" s="283">
        <f t="shared" si="0"/>
        <v>0.5</v>
      </c>
      <c r="G13" s="278"/>
      <c r="H13" s="284"/>
      <c r="I13" s="274" t="s">
        <v>1096</v>
      </c>
      <c r="J13" s="229" t="s">
        <v>15</v>
      </c>
      <c r="K13" s="233">
        <f t="shared" si="1"/>
        <v>0.6</v>
      </c>
      <c r="L13" s="275">
        <f t="shared" si="2"/>
        <v>0.4</v>
      </c>
    </row>
    <row r="14" spans="1:12" x14ac:dyDescent="0.2">
      <c r="A14" s="24"/>
      <c r="F14" s="283">
        <f t="shared" si="0"/>
        <v>0</v>
      </c>
      <c r="G14" s="278"/>
      <c r="H14" s="284"/>
      <c r="I14" s="22"/>
      <c r="K14" s="233">
        <f t="shared" si="1"/>
        <v>0</v>
      </c>
      <c r="L14" s="275">
        <f t="shared" si="2"/>
        <v>0</v>
      </c>
    </row>
    <row r="15" spans="1:12" x14ac:dyDescent="0.2">
      <c r="A15" s="265" t="s">
        <v>1107</v>
      </c>
      <c r="B15" s="266"/>
      <c r="C15" s="266"/>
      <c r="D15" s="266"/>
      <c r="F15" s="283">
        <f t="shared" si="0"/>
        <v>0</v>
      </c>
      <c r="G15" s="278"/>
      <c r="H15" s="284"/>
      <c r="I15" s="276" t="s">
        <v>1107</v>
      </c>
      <c r="J15" s="266"/>
      <c r="K15" s="233">
        <f t="shared" si="1"/>
        <v>0</v>
      </c>
      <c r="L15" s="275">
        <f t="shared" si="2"/>
        <v>0</v>
      </c>
    </row>
    <row r="16" spans="1:12" x14ac:dyDescent="0.2">
      <c r="A16" s="264" t="s">
        <v>1097</v>
      </c>
      <c r="B16" s="298" t="s">
        <v>1099</v>
      </c>
      <c r="C16" s="229" t="s">
        <v>971</v>
      </c>
      <c r="D16" s="230">
        <v>294000</v>
      </c>
      <c r="E16" s="230"/>
      <c r="F16" s="283">
        <f t="shared" si="0"/>
        <v>294000</v>
      </c>
      <c r="G16" s="278" t="s">
        <v>1108</v>
      </c>
      <c r="H16" s="284" t="s">
        <v>1109</v>
      </c>
      <c r="I16" s="274" t="s">
        <v>1097</v>
      </c>
      <c r="J16" s="229" t="s">
        <v>1099</v>
      </c>
      <c r="K16" s="233">
        <f t="shared" si="1"/>
        <v>352800</v>
      </c>
      <c r="L16" s="275">
        <f t="shared" si="2"/>
        <v>235200</v>
      </c>
    </row>
    <row r="17" spans="1:12" x14ac:dyDescent="0.2">
      <c r="A17" s="264" t="s">
        <v>970</v>
      </c>
      <c r="B17" s="229" t="s">
        <v>1099</v>
      </c>
      <c r="C17" s="229" t="s">
        <v>971</v>
      </c>
      <c r="D17" s="230">
        <v>1240</v>
      </c>
      <c r="E17" s="230"/>
      <c r="F17" s="283">
        <f>IF(ISBLANK(E17),D17,E17)</f>
        <v>1240</v>
      </c>
      <c r="G17" s="285" t="s">
        <v>1110</v>
      </c>
      <c r="H17" s="284" t="s">
        <v>1111</v>
      </c>
      <c r="I17" s="274" t="s">
        <v>970</v>
      </c>
      <c r="J17" s="229" t="s">
        <v>1099</v>
      </c>
      <c r="K17" s="233">
        <f t="shared" si="1"/>
        <v>1488</v>
      </c>
      <c r="L17" s="275">
        <f t="shared" si="2"/>
        <v>992</v>
      </c>
    </row>
    <row r="18" spans="1:12" x14ac:dyDescent="0.2">
      <c r="A18" s="264" t="s">
        <v>1100</v>
      </c>
      <c r="B18" s="229" t="s">
        <v>1099</v>
      </c>
      <c r="C18" s="229" t="s">
        <v>971</v>
      </c>
      <c r="D18" s="230">
        <v>10349.397590361446</v>
      </c>
      <c r="E18" s="230"/>
      <c r="F18" s="283">
        <f t="shared" si="0"/>
        <v>10349.397590361446</v>
      </c>
      <c r="G18" s="278" t="s">
        <v>1112</v>
      </c>
      <c r="H18" s="284"/>
      <c r="I18" s="274" t="s">
        <v>1100</v>
      </c>
      <c r="J18" s="229" t="s">
        <v>1099</v>
      </c>
      <c r="K18" s="233">
        <f t="shared" si="1"/>
        <v>12419.277108433735</v>
      </c>
      <c r="L18" s="275">
        <f t="shared" si="2"/>
        <v>8279.5180722891582</v>
      </c>
    </row>
    <row r="19" spans="1:12" x14ac:dyDescent="0.2">
      <c r="A19" s="264" t="s">
        <v>1101</v>
      </c>
      <c r="B19" s="229" t="s">
        <v>1099</v>
      </c>
      <c r="C19" s="229" t="s">
        <v>971</v>
      </c>
      <c r="D19" s="230">
        <v>4161</v>
      </c>
      <c r="E19" s="230"/>
      <c r="F19" s="283">
        <f t="shared" si="0"/>
        <v>4161</v>
      </c>
      <c r="G19" s="278" t="s">
        <v>1113</v>
      </c>
      <c r="H19" s="284" t="s">
        <v>1114</v>
      </c>
      <c r="I19" s="274" t="s">
        <v>1101</v>
      </c>
      <c r="J19" s="229" t="s">
        <v>1099</v>
      </c>
      <c r="K19" s="233">
        <f t="shared" si="1"/>
        <v>4993.2</v>
      </c>
      <c r="L19" s="275">
        <f t="shared" si="2"/>
        <v>3328.8</v>
      </c>
    </row>
    <row r="20" spans="1:12" x14ac:dyDescent="0.2">
      <c r="A20" s="264" t="s">
        <v>965</v>
      </c>
      <c r="B20" s="229" t="s">
        <v>1099</v>
      </c>
      <c r="C20" s="229" t="s">
        <v>971</v>
      </c>
      <c r="D20" s="254">
        <v>95421.686746987951</v>
      </c>
      <c r="E20" s="230"/>
      <c r="F20" s="283">
        <f t="shared" si="0"/>
        <v>95421.686746987951</v>
      </c>
      <c r="G20" s="278" t="s">
        <v>1115</v>
      </c>
      <c r="H20" s="284"/>
      <c r="I20" s="274" t="s">
        <v>965</v>
      </c>
      <c r="J20" s="229" t="s">
        <v>1099</v>
      </c>
      <c r="K20" s="233">
        <f t="shared" si="1"/>
        <v>114506.02409638553</v>
      </c>
      <c r="L20" s="275">
        <f t="shared" si="2"/>
        <v>76337.349397590369</v>
      </c>
    </row>
    <row r="21" spans="1:12" ht="15" customHeight="1" x14ac:dyDescent="0.2">
      <c r="A21" s="264" t="s">
        <v>547</v>
      </c>
      <c r="B21" s="229" t="s">
        <v>1099</v>
      </c>
      <c r="C21" s="229" t="s">
        <v>531</v>
      </c>
      <c r="D21" s="230">
        <v>2900000000000</v>
      </c>
      <c r="E21" s="230"/>
      <c r="F21" s="283">
        <f t="shared" si="0"/>
        <v>2900000000000</v>
      </c>
      <c r="G21" s="313" t="s">
        <v>1116</v>
      </c>
      <c r="H21" s="314"/>
      <c r="I21" s="274" t="s">
        <v>547</v>
      </c>
      <c r="J21" s="229" t="s">
        <v>1099</v>
      </c>
      <c r="K21" s="233">
        <f t="shared" si="1"/>
        <v>3480000000000</v>
      </c>
      <c r="L21" s="275">
        <f t="shared" si="2"/>
        <v>2320000000000</v>
      </c>
    </row>
    <row r="22" spans="1:12" x14ac:dyDescent="0.2">
      <c r="A22" s="264" t="s">
        <v>548</v>
      </c>
      <c r="B22" s="229" t="s">
        <v>1099</v>
      </c>
      <c r="C22" s="229" t="s">
        <v>531</v>
      </c>
      <c r="D22" s="230">
        <v>3900000000000</v>
      </c>
      <c r="E22" s="230"/>
      <c r="F22" s="283">
        <f t="shared" si="0"/>
        <v>3900000000000</v>
      </c>
      <c r="G22" s="313"/>
      <c r="H22" s="314"/>
      <c r="I22" s="274" t="s">
        <v>548</v>
      </c>
      <c r="J22" s="229" t="s">
        <v>1099</v>
      </c>
      <c r="K22" s="233">
        <f t="shared" si="1"/>
        <v>4680000000000</v>
      </c>
      <c r="L22" s="275">
        <f t="shared" si="2"/>
        <v>3120000000000</v>
      </c>
    </row>
    <row r="23" spans="1:12" x14ac:dyDescent="0.2">
      <c r="A23" s="264" t="s">
        <v>549</v>
      </c>
      <c r="B23" s="229" t="s">
        <v>1099</v>
      </c>
      <c r="C23" s="229" t="s">
        <v>531</v>
      </c>
      <c r="D23" s="230">
        <v>8750000000000</v>
      </c>
      <c r="E23" s="230"/>
      <c r="F23" s="283">
        <f t="shared" si="0"/>
        <v>8750000000000</v>
      </c>
      <c r="G23" s="313"/>
      <c r="H23" s="314"/>
      <c r="I23" s="274" t="s">
        <v>549</v>
      </c>
      <c r="J23" s="229" t="s">
        <v>1099</v>
      </c>
      <c r="K23" s="233">
        <f t="shared" si="1"/>
        <v>10500000000000</v>
      </c>
      <c r="L23" s="275">
        <f t="shared" si="2"/>
        <v>7000000000000</v>
      </c>
    </row>
    <row r="24" spans="1:12" x14ac:dyDescent="0.2">
      <c r="A24" s="264" t="s">
        <v>721</v>
      </c>
      <c r="B24" s="229" t="s">
        <v>1099</v>
      </c>
      <c r="C24" s="229" t="s">
        <v>551</v>
      </c>
      <c r="D24" s="230">
        <v>470</v>
      </c>
      <c r="E24" s="230"/>
      <c r="F24" s="283">
        <f t="shared" si="0"/>
        <v>470</v>
      </c>
      <c r="G24" s="278" t="s">
        <v>1118</v>
      </c>
      <c r="H24" s="284"/>
      <c r="I24" s="274" t="s">
        <v>721</v>
      </c>
      <c r="J24" s="229" t="s">
        <v>1099</v>
      </c>
      <c r="K24" s="233">
        <f t="shared" si="1"/>
        <v>564</v>
      </c>
      <c r="L24" s="275">
        <f t="shared" si="2"/>
        <v>376</v>
      </c>
    </row>
    <row r="25" spans="1:12" x14ac:dyDescent="0.2">
      <c r="A25" s="264" t="s">
        <v>723</v>
      </c>
      <c r="B25" s="229" t="s">
        <v>1099</v>
      </c>
      <c r="C25" s="229" t="s">
        <v>551</v>
      </c>
      <c r="D25" s="230">
        <v>79</v>
      </c>
      <c r="E25" s="230"/>
      <c r="F25" s="283">
        <f t="shared" si="0"/>
        <v>79</v>
      </c>
      <c r="G25" s="278" t="s">
        <v>1117</v>
      </c>
      <c r="H25" s="284"/>
      <c r="I25" s="274" t="s">
        <v>723</v>
      </c>
      <c r="J25" s="229" t="s">
        <v>1099</v>
      </c>
      <c r="K25" s="233">
        <f t="shared" si="1"/>
        <v>94.8</v>
      </c>
      <c r="L25" s="275">
        <f t="shared" si="2"/>
        <v>63.2</v>
      </c>
    </row>
    <row r="26" spans="1:12" x14ac:dyDescent="0.2">
      <c r="A26" s="264" t="s">
        <v>699</v>
      </c>
      <c r="B26" s="229" t="s">
        <v>1099</v>
      </c>
      <c r="C26" s="229" t="s">
        <v>690</v>
      </c>
      <c r="D26" s="230">
        <v>2860000000000000</v>
      </c>
      <c r="E26" s="230"/>
      <c r="F26" s="283">
        <f t="shared" si="0"/>
        <v>2860000000000000</v>
      </c>
      <c r="G26" s="285" t="s">
        <v>1119</v>
      </c>
      <c r="H26" s="284"/>
      <c r="I26" s="274" t="s">
        <v>699</v>
      </c>
      <c r="J26" s="229" t="s">
        <v>1099</v>
      </c>
      <c r="K26" s="233">
        <f t="shared" si="1"/>
        <v>3432000000000000</v>
      </c>
      <c r="L26" s="275">
        <f t="shared" si="2"/>
        <v>2288000000000000</v>
      </c>
    </row>
    <row r="27" spans="1:12" x14ac:dyDescent="0.2">
      <c r="A27" s="264" t="s">
        <v>700</v>
      </c>
      <c r="B27" s="229" t="s">
        <v>1099</v>
      </c>
      <c r="C27" s="229" t="s">
        <v>1120</v>
      </c>
      <c r="D27" s="230">
        <v>5.25</v>
      </c>
      <c r="E27" s="230"/>
      <c r="F27" s="283">
        <f t="shared" si="0"/>
        <v>5.25</v>
      </c>
      <c r="G27" s="278" t="s">
        <v>1121</v>
      </c>
      <c r="H27" s="286" t="s">
        <v>1122</v>
      </c>
      <c r="I27" s="274" t="s">
        <v>700</v>
      </c>
      <c r="J27" s="229" t="s">
        <v>1099</v>
      </c>
      <c r="K27" s="233">
        <f t="shared" si="1"/>
        <v>6.3</v>
      </c>
      <c r="L27" s="275">
        <f t="shared" si="2"/>
        <v>4.2</v>
      </c>
    </row>
    <row r="28" spans="1:12" x14ac:dyDescent="0.2">
      <c r="A28" s="264" t="s">
        <v>701</v>
      </c>
      <c r="B28" s="229" t="s">
        <v>1099</v>
      </c>
      <c r="C28" s="229" t="s">
        <v>692</v>
      </c>
      <c r="D28" s="230">
        <v>52.32</v>
      </c>
      <c r="E28" s="230"/>
      <c r="F28" s="283">
        <f t="shared" si="0"/>
        <v>52.32</v>
      </c>
      <c r="G28" s="278" t="s">
        <v>1124</v>
      </c>
      <c r="H28" s="287" t="s">
        <v>1123</v>
      </c>
      <c r="I28" s="274" t="s">
        <v>701</v>
      </c>
      <c r="J28" s="229" t="s">
        <v>1099</v>
      </c>
      <c r="K28" s="233">
        <f t="shared" si="1"/>
        <v>62.783999999999999</v>
      </c>
      <c r="L28" s="275">
        <f t="shared" si="2"/>
        <v>41.856000000000002</v>
      </c>
    </row>
    <row r="29" spans="1:12" x14ac:dyDescent="0.2">
      <c r="A29" s="264" t="s">
        <v>702</v>
      </c>
      <c r="B29" s="229" t="s">
        <v>1099</v>
      </c>
      <c r="C29" s="229" t="s">
        <v>693</v>
      </c>
      <c r="D29" s="230">
        <v>20.93</v>
      </c>
      <c r="E29" s="230"/>
      <c r="F29" s="283">
        <f t="shared" si="0"/>
        <v>20.93</v>
      </c>
      <c r="G29" s="278" t="s">
        <v>1126</v>
      </c>
      <c r="H29" s="287" t="s">
        <v>1125</v>
      </c>
      <c r="I29" s="274" t="s">
        <v>702</v>
      </c>
      <c r="J29" s="229" t="s">
        <v>1099</v>
      </c>
      <c r="K29" s="233">
        <f t="shared" si="1"/>
        <v>25.116</v>
      </c>
      <c r="L29" s="275">
        <f t="shared" si="2"/>
        <v>16.744</v>
      </c>
    </row>
    <row r="30" spans="1:12" x14ac:dyDescent="0.2">
      <c r="A30" s="264" t="s">
        <v>703</v>
      </c>
      <c r="B30" s="229" t="s">
        <v>1099</v>
      </c>
      <c r="C30" s="229" t="s">
        <v>694</v>
      </c>
      <c r="D30" s="230">
        <v>12805</v>
      </c>
      <c r="E30" s="230"/>
      <c r="F30" s="283">
        <f t="shared" si="0"/>
        <v>12805</v>
      </c>
      <c r="G30" s="285" t="s">
        <v>1128</v>
      </c>
      <c r="H30" s="286" t="s">
        <v>1127</v>
      </c>
      <c r="I30" s="274" t="s">
        <v>703</v>
      </c>
      <c r="J30" s="229" t="s">
        <v>1099</v>
      </c>
      <c r="K30" s="233">
        <f t="shared" si="1"/>
        <v>15366</v>
      </c>
      <c r="L30" s="275">
        <f t="shared" si="2"/>
        <v>10244</v>
      </c>
    </row>
    <row r="31" spans="1:12" x14ac:dyDescent="0.2">
      <c r="A31" s="264" t="s">
        <v>704</v>
      </c>
      <c r="B31" s="229" t="s">
        <v>1099</v>
      </c>
      <c r="C31" s="229" t="s">
        <v>695</v>
      </c>
      <c r="D31" s="230">
        <v>1.28</v>
      </c>
      <c r="E31" s="230"/>
      <c r="F31" s="283">
        <f t="shared" si="0"/>
        <v>1.28</v>
      </c>
      <c r="G31" s="285" t="s">
        <v>1130</v>
      </c>
      <c r="H31" s="287" t="s">
        <v>1129</v>
      </c>
      <c r="I31" s="274" t="s">
        <v>704</v>
      </c>
      <c r="J31" s="229" t="s">
        <v>1099</v>
      </c>
      <c r="K31" s="233">
        <f t="shared" si="1"/>
        <v>1.536</v>
      </c>
      <c r="L31" s="275">
        <f t="shared" si="2"/>
        <v>1.024</v>
      </c>
    </row>
    <row r="32" spans="1:12" x14ac:dyDescent="0.2">
      <c r="A32" s="264" t="s">
        <v>705</v>
      </c>
      <c r="B32" s="229" t="s">
        <v>1099</v>
      </c>
      <c r="C32" s="229" t="s">
        <v>696</v>
      </c>
      <c r="D32" s="230">
        <v>4402.4399999999996</v>
      </c>
      <c r="E32" s="230"/>
      <c r="F32" s="283">
        <f t="shared" si="0"/>
        <v>4402.4399999999996</v>
      </c>
      <c r="G32" s="285" t="s">
        <v>1132</v>
      </c>
      <c r="H32" s="287" t="s">
        <v>1131</v>
      </c>
      <c r="I32" s="274" t="s">
        <v>705</v>
      </c>
      <c r="J32" s="229" t="s">
        <v>1099</v>
      </c>
      <c r="K32" s="233">
        <f t="shared" si="1"/>
        <v>5282.927999999999</v>
      </c>
      <c r="L32" s="275">
        <f t="shared" si="2"/>
        <v>3521.9519999999998</v>
      </c>
    </row>
    <row r="33" spans="1:12" x14ac:dyDescent="0.2">
      <c r="A33" s="264" t="s">
        <v>706</v>
      </c>
      <c r="B33" s="229" t="s">
        <v>1099</v>
      </c>
      <c r="C33" s="229" t="s">
        <v>725</v>
      </c>
      <c r="D33" s="257">
        <v>1</v>
      </c>
      <c r="E33" s="230"/>
      <c r="F33" s="283">
        <f t="shared" si="0"/>
        <v>1</v>
      </c>
      <c r="G33" s="311" t="s">
        <v>1133</v>
      </c>
      <c r="H33" s="312" t="s">
        <v>1134</v>
      </c>
      <c r="I33" s="274" t="s">
        <v>706</v>
      </c>
      <c r="J33" s="229" t="s">
        <v>1099</v>
      </c>
      <c r="K33" s="233">
        <f t="shared" si="1"/>
        <v>1.2</v>
      </c>
      <c r="L33" s="275">
        <f t="shared" si="2"/>
        <v>0.8</v>
      </c>
    </row>
    <row r="34" spans="1:12" x14ac:dyDescent="0.2">
      <c r="A34" s="264" t="s">
        <v>707</v>
      </c>
      <c r="B34" s="229" t="s">
        <v>1099</v>
      </c>
      <c r="C34" s="229" t="s">
        <v>725</v>
      </c>
      <c r="D34" s="257">
        <v>1</v>
      </c>
      <c r="E34" s="230"/>
      <c r="F34" s="283">
        <f t="shared" si="0"/>
        <v>1</v>
      </c>
      <c r="G34" s="311"/>
      <c r="H34" s="312"/>
      <c r="I34" s="274" t="s">
        <v>707</v>
      </c>
      <c r="J34" s="229" t="s">
        <v>1099</v>
      </c>
      <c r="K34" s="233">
        <f t="shared" si="1"/>
        <v>1.2</v>
      </c>
      <c r="L34" s="275">
        <f t="shared" si="2"/>
        <v>0.8</v>
      </c>
    </row>
    <row r="35" spans="1:12" x14ac:dyDescent="0.2">
      <c r="A35" s="264" t="s">
        <v>745</v>
      </c>
      <c r="B35" s="229" t="s">
        <v>1099</v>
      </c>
      <c r="C35" s="229" t="s">
        <v>761</v>
      </c>
      <c r="D35" s="257">
        <v>33</v>
      </c>
      <c r="E35" s="230"/>
      <c r="F35" s="283">
        <f t="shared" si="0"/>
        <v>33</v>
      </c>
      <c r="G35" s="316" t="s">
        <v>1135</v>
      </c>
      <c r="H35" s="284"/>
      <c r="I35" s="274" t="s">
        <v>745</v>
      </c>
      <c r="J35" s="229" t="s">
        <v>1099</v>
      </c>
      <c r="K35" s="233">
        <f t="shared" ref="K35:K66" si="3">D35*1.2</f>
        <v>39.6</v>
      </c>
      <c r="L35" s="275">
        <f t="shared" ref="L35:L66" si="4">D35*0.8</f>
        <v>26.400000000000002</v>
      </c>
    </row>
    <row r="36" spans="1:12" x14ac:dyDescent="0.2">
      <c r="A36" s="264" t="s">
        <v>764</v>
      </c>
      <c r="B36" s="229" t="s">
        <v>1099</v>
      </c>
      <c r="C36" s="229" t="s">
        <v>761</v>
      </c>
      <c r="D36" s="257">
        <v>97</v>
      </c>
      <c r="E36" s="230"/>
      <c r="F36" s="283">
        <f t="shared" si="0"/>
        <v>97</v>
      </c>
      <c r="G36" s="316"/>
      <c r="H36" s="288"/>
      <c r="I36" s="274" t="s">
        <v>764</v>
      </c>
      <c r="J36" s="229" t="s">
        <v>1099</v>
      </c>
      <c r="K36" s="233">
        <f t="shared" si="3"/>
        <v>116.39999999999999</v>
      </c>
      <c r="L36" s="275">
        <f t="shared" si="4"/>
        <v>77.600000000000009</v>
      </c>
    </row>
    <row r="37" spans="1:12" x14ac:dyDescent="0.2">
      <c r="A37" s="264" t="s">
        <v>759</v>
      </c>
      <c r="B37" s="229" t="s">
        <v>1099</v>
      </c>
      <c r="C37" s="229" t="s">
        <v>210</v>
      </c>
      <c r="D37" s="257">
        <v>5900000000</v>
      </c>
      <c r="E37" s="230"/>
      <c r="F37" s="283">
        <f t="shared" si="0"/>
        <v>5900000000</v>
      </c>
      <c r="G37" s="278" t="s">
        <v>1136</v>
      </c>
      <c r="H37" s="284"/>
      <c r="I37" s="274" t="s">
        <v>759</v>
      </c>
      <c r="J37" s="229" t="s">
        <v>1099</v>
      </c>
      <c r="K37" s="233">
        <f t="shared" si="3"/>
        <v>7080000000</v>
      </c>
      <c r="L37" s="275">
        <f t="shared" si="4"/>
        <v>4720000000</v>
      </c>
    </row>
    <row r="38" spans="1:12" x14ac:dyDescent="0.2">
      <c r="A38" s="264" t="s">
        <v>948</v>
      </c>
      <c r="B38" s="229" t="s">
        <v>1099</v>
      </c>
      <c r="C38" s="229" t="s">
        <v>949</v>
      </c>
      <c r="D38" s="257">
        <v>730</v>
      </c>
      <c r="E38" s="230"/>
      <c r="F38" s="283">
        <f t="shared" si="0"/>
        <v>730</v>
      </c>
      <c r="G38" s="278" t="s">
        <v>1137</v>
      </c>
      <c r="H38" s="284"/>
      <c r="I38" s="274" t="s">
        <v>948</v>
      </c>
      <c r="J38" s="229" t="s">
        <v>1099</v>
      </c>
      <c r="K38" s="233">
        <f t="shared" si="3"/>
        <v>876</v>
      </c>
      <c r="L38" s="275">
        <f t="shared" si="4"/>
        <v>584</v>
      </c>
    </row>
    <row r="39" spans="1:12" x14ac:dyDescent="0.2">
      <c r="A39" s="264" t="s">
        <v>751</v>
      </c>
      <c r="B39" s="229" t="s">
        <v>1099</v>
      </c>
      <c r="C39" s="229" t="s">
        <v>753</v>
      </c>
      <c r="D39" s="230">
        <v>0.03</v>
      </c>
      <c r="E39" s="230"/>
      <c r="F39" s="283">
        <f t="shared" si="0"/>
        <v>0.03</v>
      </c>
      <c r="G39" s="315" t="s">
        <v>757</v>
      </c>
      <c r="H39" s="284"/>
      <c r="I39" s="274" t="s">
        <v>751</v>
      </c>
      <c r="J39" s="229" t="s">
        <v>1099</v>
      </c>
      <c r="K39" s="233">
        <f t="shared" si="3"/>
        <v>3.5999999999999997E-2</v>
      </c>
      <c r="L39" s="275">
        <f t="shared" si="4"/>
        <v>2.4E-2</v>
      </c>
    </row>
    <row r="40" spans="1:12" x14ac:dyDescent="0.2">
      <c r="A40" s="264" t="s">
        <v>752</v>
      </c>
      <c r="B40" s="229" t="s">
        <v>1099</v>
      </c>
      <c r="C40" s="229" t="s">
        <v>754</v>
      </c>
      <c r="D40" s="230">
        <v>3.0000000000000001E-3</v>
      </c>
      <c r="E40" s="230"/>
      <c r="F40" s="283">
        <f t="shared" si="0"/>
        <v>3.0000000000000001E-3</v>
      </c>
      <c r="G40" s="315"/>
      <c r="H40" s="284"/>
      <c r="I40" s="274" t="s">
        <v>752</v>
      </c>
      <c r="J40" s="229" t="s">
        <v>1099</v>
      </c>
      <c r="K40" s="233">
        <f t="shared" si="3"/>
        <v>3.5999999999999999E-3</v>
      </c>
      <c r="L40" s="275">
        <f t="shared" si="4"/>
        <v>2.4000000000000002E-3</v>
      </c>
    </row>
    <row r="41" spans="1:12" x14ac:dyDescent="0.2">
      <c r="A41" s="264" t="s">
        <v>756</v>
      </c>
      <c r="B41" s="229" t="s">
        <v>1099</v>
      </c>
      <c r="C41" s="229" t="s">
        <v>786</v>
      </c>
      <c r="D41" s="230">
        <v>230</v>
      </c>
      <c r="E41" s="230"/>
      <c r="F41" s="283">
        <f t="shared" si="0"/>
        <v>230</v>
      </c>
      <c r="G41" s="22" t="s">
        <v>758</v>
      </c>
      <c r="H41" s="284"/>
      <c r="I41" s="274" t="s">
        <v>756</v>
      </c>
      <c r="J41" s="229" t="s">
        <v>1099</v>
      </c>
      <c r="K41" s="233">
        <f t="shared" si="3"/>
        <v>276</v>
      </c>
      <c r="L41" s="275">
        <f t="shared" si="4"/>
        <v>184</v>
      </c>
    </row>
    <row r="42" spans="1:12" x14ac:dyDescent="0.2">
      <c r="A42" s="264" t="s">
        <v>790</v>
      </c>
      <c r="B42" s="229" t="s">
        <v>1099</v>
      </c>
      <c r="C42" s="229" t="s">
        <v>794</v>
      </c>
      <c r="D42" s="230">
        <v>0.33</v>
      </c>
      <c r="E42" s="230"/>
      <c r="F42" s="283">
        <f t="shared" si="0"/>
        <v>0.33</v>
      </c>
      <c r="G42" s="278" t="s">
        <v>1138</v>
      </c>
      <c r="H42" s="284"/>
      <c r="I42" s="274" t="s">
        <v>790</v>
      </c>
      <c r="J42" s="229" t="s">
        <v>1099</v>
      </c>
      <c r="K42" s="233">
        <f t="shared" si="3"/>
        <v>0.39600000000000002</v>
      </c>
      <c r="L42" s="275">
        <f t="shared" si="4"/>
        <v>0.26400000000000001</v>
      </c>
    </row>
    <row r="43" spans="1:12" x14ac:dyDescent="0.2">
      <c r="A43" s="264" t="s">
        <v>930</v>
      </c>
      <c r="B43" s="229" t="s">
        <v>1099</v>
      </c>
      <c r="C43" s="229" t="s">
        <v>931</v>
      </c>
      <c r="D43" s="257">
        <v>1.79</v>
      </c>
      <c r="E43" s="230"/>
      <c r="F43" s="283">
        <f t="shared" si="0"/>
        <v>1.79</v>
      </c>
      <c r="G43" s="278" t="s">
        <v>1140</v>
      </c>
      <c r="H43" s="289" t="s">
        <v>1139</v>
      </c>
      <c r="I43" s="274" t="s">
        <v>930</v>
      </c>
      <c r="J43" s="229" t="s">
        <v>1099</v>
      </c>
      <c r="K43" s="233">
        <f t="shared" si="3"/>
        <v>2.1480000000000001</v>
      </c>
      <c r="L43" s="275">
        <f t="shared" si="4"/>
        <v>1.4320000000000002</v>
      </c>
    </row>
    <row r="44" spans="1:12" x14ac:dyDescent="0.2">
      <c r="A44" s="264"/>
      <c r="B44" s="229"/>
      <c r="C44" s="229"/>
      <c r="D44" s="257"/>
      <c r="E44" s="230"/>
      <c r="F44" s="283">
        <f t="shared" si="0"/>
        <v>0</v>
      </c>
      <c r="G44" s="278"/>
      <c r="H44" s="284"/>
      <c r="I44" s="274"/>
      <c r="J44" s="229"/>
      <c r="K44" s="233">
        <f t="shared" si="3"/>
        <v>0</v>
      </c>
      <c r="L44" s="275">
        <f t="shared" si="4"/>
        <v>0</v>
      </c>
    </row>
    <row r="45" spans="1:12" x14ac:dyDescent="0.2">
      <c r="A45" s="263" t="s">
        <v>1089</v>
      </c>
      <c r="B45" s="249"/>
      <c r="C45" s="249"/>
      <c r="D45" s="250"/>
      <c r="E45" s="230"/>
      <c r="F45" s="283">
        <f t="shared" si="0"/>
        <v>0</v>
      </c>
      <c r="G45" s="278"/>
      <c r="H45" s="284"/>
      <c r="I45" s="273" t="s">
        <v>1089</v>
      </c>
      <c r="J45" s="249"/>
      <c r="K45" s="233">
        <f t="shared" si="3"/>
        <v>0</v>
      </c>
      <c r="L45" s="275">
        <f t="shared" si="4"/>
        <v>0</v>
      </c>
    </row>
    <row r="46" spans="1:12" x14ac:dyDescent="0.2">
      <c r="A46" s="267" t="s">
        <v>983</v>
      </c>
      <c r="B46" s="75" t="s">
        <v>1144</v>
      </c>
      <c r="C46" t="s">
        <v>1055</v>
      </c>
      <c r="D46" s="232">
        <v>53900000000</v>
      </c>
      <c r="E46" s="231"/>
      <c r="F46" s="283">
        <f t="shared" si="0"/>
        <v>53900000000</v>
      </c>
      <c r="G46" s="290" t="s">
        <v>1143</v>
      </c>
      <c r="H46" s="29"/>
      <c r="I46" s="277" t="s">
        <v>983</v>
      </c>
      <c r="J46" s="75" t="s">
        <v>1144</v>
      </c>
      <c r="K46" s="233">
        <f t="shared" si="3"/>
        <v>64680000000</v>
      </c>
      <c r="L46" s="275">
        <f t="shared" si="4"/>
        <v>43120000000</v>
      </c>
    </row>
    <row r="47" spans="1:12" x14ac:dyDescent="0.2">
      <c r="A47" s="268" t="s">
        <v>985</v>
      </c>
      <c r="B47" s="75" t="s">
        <v>1144</v>
      </c>
      <c r="C47" t="s">
        <v>1055</v>
      </c>
      <c r="D47" s="231">
        <v>343000000000</v>
      </c>
      <c r="E47" s="231"/>
      <c r="F47" s="283">
        <f t="shared" si="0"/>
        <v>343000000000</v>
      </c>
      <c r="G47" s="22" t="s">
        <v>1145</v>
      </c>
      <c r="H47" s="29"/>
      <c r="I47" s="278" t="s">
        <v>985</v>
      </c>
      <c r="J47" s="75" t="s">
        <v>1144</v>
      </c>
      <c r="K47" s="233">
        <f t="shared" si="3"/>
        <v>411600000000</v>
      </c>
      <c r="L47" s="275">
        <f t="shared" si="4"/>
        <v>274400000000</v>
      </c>
    </row>
    <row r="48" spans="1:12" x14ac:dyDescent="0.2">
      <c r="A48" s="267" t="s">
        <v>663</v>
      </c>
      <c r="B48" s="75" t="s">
        <v>1144</v>
      </c>
      <c r="C48" t="s">
        <v>1055</v>
      </c>
      <c r="D48" s="231">
        <v>64400000000</v>
      </c>
      <c r="E48" s="231"/>
      <c r="F48" s="283">
        <f t="shared" si="0"/>
        <v>64400000000</v>
      </c>
      <c r="G48" s="22" t="s">
        <v>1141</v>
      </c>
      <c r="H48" s="29"/>
      <c r="I48" s="277" t="s">
        <v>663</v>
      </c>
      <c r="J48" s="75" t="s">
        <v>1144</v>
      </c>
      <c r="K48" s="233">
        <f t="shared" si="3"/>
        <v>77280000000</v>
      </c>
      <c r="L48" s="275">
        <f t="shared" si="4"/>
        <v>51520000000</v>
      </c>
    </row>
    <row r="49" spans="1:12" x14ac:dyDescent="0.2">
      <c r="A49" s="268" t="s">
        <v>507</v>
      </c>
      <c r="B49" s="75" t="s">
        <v>1144</v>
      </c>
      <c r="C49" t="s">
        <v>1055</v>
      </c>
      <c r="D49" s="231">
        <v>836200000000</v>
      </c>
      <c r="E49" s="231"/>
      <c r="F49" s="283">
        <f t="shared" si="0"/>
        <v>836200000000</v>
      </c>
      <c r="G49" s="22" t="s">
        <v>1142</v>
      </c>
      <c r="H49" s="29"/>
      <c r="I49" s="278" t="s">
        <v>507</v>
      </c>
      <c r="J49" s="75" t="s">
        <v>1144</v>
      </c>
      <c r="K49" s="233">
        <f t="shared" si="3"/>
        <v>1003440000000</v>
      </c>
      <c r="L49" s="275">
        <f t="shared" si="4"/>
        <v>668960000000</v>
      </c>
    </row>
    <row r="50" spans="1:12" x14ac:dyDescent="0.2">
      <c r="A50" s="268" t="s">
        <v>505</v>
      </c>
      <c r="B50" s="75" t="s">
        <v>1144</v>
      </c>
      <c r="C50" t="s">
        <v>1055</v>
      </c>
      <c r="D50" s="231">
        <v>20700000000</v>
      </c>
      <c r="E50" s="231"/>
      <c r="F50" s="283">
        <f t="shared" si="0"/>
        <v>20700000000</v>
      </c>
      <c r="G50" s="22" t="s">
        <v>1146</v>
      </c>
      <c r="H50" s="29"/>
      <c r="I50" s="278" t="s">
        <v>505</v>
      </c>
      <c r="J50" s="75" t="s">
        <v>1144</v>
      </c>
      <c r="K50" s="233">
        <f t="shared" si="3"/>
        <v>24840000000</v>
      </c>
      <c r="L50" s="275">
        <f t="shared" si="4"/>
        <v>16560000000</v>
      </c>
    </row>
    <row r="51" spans="1:12" x14ac:dyDescent="0.2">
      <c r="A51" s="268" t="s">
        <v>50</v>
      </c>
      <c r="B51" s="75" t="s">
        <v>1144</v>
      </c>
      <c r="C51" t="s">
        <v>1055</v>
      </c>
      <c r="D51" s="231">
        <v>17100000000</v>
      </c>
      <c r="E51" s="231"/>
      <c r="F51" s="283">
        <f t="shared" si="0"/>
        <v>17100000000</v>
      </c>
      <c r="G51" s="22" t="s">
        <v>1147</v>
      </c>
      <c r="H51" s="29"/>
      <c r="I51" s="278" t="s">
        <v>50</v>
      </c>
      <c r="J51" s="75" t="s">
        <v>1144</v>
      </c>
      <c r="K51" s="233">
        <f t="shared" si="3"/>
        <v>20520000000</v>
      </c>
      <c r="L51" s="275">
        <f t="shared" si="4"/>
        <v>13680000000</v>
      </c>
    </row>
    <row r="52" spans="1:12" x14ac:dyDescent="0.2">
      <c r="A52" s="268" t="s">
        <v>980</v>
      </c>
      <c r="B52" s="75" t="s">
        <v>1144</v>
      </c>
      <c r="C52" t="s">
        <v>1055</v>
      </c>
      <c r="D52" s="231">
        <v>1890000000</v>
      </c>
      <c r="E52" s="231"/>
      <c r="F52" s="283">
        <f t="shared" si="0"/>
        <v>1890000000</v>
      </c>
      <c r="G52" s="22" t="s">
        <v>1148</v>
      </c>
      <c r="H52" s="29"/>
      <c r="I52" s="278" t="s">
        <v>980</v>
      </c>
      <c r="J52" s="75" t="s">
        <v>1144</v>
      </c>
      <c r="K52" s="233">
        <f t="shared" si="3"/>
        <v>2268000000</v>
      </c>
      <c r="L52" s="275">
        <f t="shared" si="4"/>
        <v>1512000000</v>
      </c>
    </row>
    <row r="53" spans="1:12" x14ac:dyDescent="0.2">
      <c r="A53" s="268" t="s">
        <v>982</v>
      </c>
      <c r="B53" s="75" t="s">
        <v>1144</v>
      </c>
      <c r="C53" t="s">
        <v>1055</v>
      </c>
      <c r="D53" s="231">
        <v>20800000000</v>
      </c>
      <c r="E53" s="231"/>
      <c r="F53" s="283">
        <f t="shared" si="0"/>
        <v>20800000000</v>
      </c>
      <c r="G53" s="22" t="s">
        <v>1149</v>
      </c>
      <c r="H53" s="29"/>
      <c r="I53" s="278" t="s">
        <v>982</v>
      </c>
      <c r="J53" s="75" t="s">
        <v>1144</v>
      </c>
      <c r="K53" s="233">
        <f t="shared" si="3"/>
        <v>24960000000</v>
      </c>
      <c r="L53" s="275">
        <f t="shared" si="4"/>
        <v>16640000000</v>
      </c>
    </row>
    <row r="54" spans="1:12" x14ac:dyDescent="0.2">
      <c r="A54" s="268" t="s">
        <v>10</v>
      </c>
      <c r="B54" s="75" t="s">
        <v>1144</v>
      </c>
      <c r="C54" t="s">
        <v>1055</v>
      </c>
      <c r="D54" s="231">
        <v>79000000000</v>
      </c>
      <c r="E54" s="231"/>
      <c r="F54" s="283">
        <f t="shared" si="0"/>
        <v>79000000000</v>
      </c>
      <c r="G54" s="22" t="s">
        <v>1150</v>
      </c>
      <c r="H54" s="29"/>
      <c r="I54" s="278" t="s">
        <v>10</v>
      </c>
      <c r="J54" s="75" t="s">
        <v>1144</v>
      </c>
      <c r="K54" s="233">
        <f t="shared" si="3"/>
        <v>94800000000</v>
      </c>
      <c r="L54" s="275">
        <f t="shared" si="4"/>
        <v>63200000000</v>
      </c>
    </row>
    <row r="55" spans="1:12" x14ac:dyDescent="0.2">
      <c r="A55" s="269" t="s">
        <v>979</v>
      </c>
      <c r="B55" s="75" t="s">
        <v>1144</v>
      </c>
      <c r="C55" t="s">
        <v>1055</v>
      </c>
      <c r="D55" s="221">
        <v>277800000000</v>
      </c>
      <c r="F55" s="283">
        <f t="shared" si="0"/>
        <v>277800000000</v>
      </c>
      <c r="G55" s="22" t="s">
        <v>1151</v>
      </c>
      <c r="H55" s="29"/>
      <c r="I55" s="173" t="s">
        <v>979</v>
      </c>
      <c r="J55" s="75" t="s">
        <v>1144</v>
      </c>
      <c r="K55" s="233">
        <f t="shared" si="3"/>
        <v>333360000000</v>
      </c>
      <c r="L55" s="275">
        <f t="shared" si="4"/>
        <v>222240000000</v>
      </c>
    </row>
    <row r="56" spans="1:12" x14ac:dyDescent="0.2">
      <c r="A56" s="268" t="s">
        <v>981</v>
      </c>
      <c r="B56" s="75" t="s">
        <v>1144</v>
      </c>
      <c r="C56" t="s">
        <v>1055</v>
      </c>
      <c r="D56" s="221">
        <v>24300000000</v>
      </c>
      <c r="F56" s="283">
        <f t="shared" si="0"/>
        <v>24300000000</v>
      </c>
      <c r="G56" s="22" t="s">
        <v>1152</v>
      </c>
      <c r="H56" s="29"/>
      <c r="I56" s="278" t="s">
        <v>981</v>
      </c>
      <c r="J56" s="75" t="s">
        <v>1144</v>
      </c>
      <c r="K56" s="233">
        <f t="shared" si="3"/>
        <v>29160000000</v>
      </c>
      <c r="L56" s="275">
        <f t="shared" si="4"/>
        <v>19440000000</v>
      </c>
    </row>
    <row r="57" spans="1:12" x14ac:dyDescent="0.2">
      <c r="A57" s="268" t="s">
        <v>915</v>
      </c>
      <c r="B57" s="75" t="s">
        <v>1144</v>
      </c>
      <c r="C57" t="s">
        <v>1055</v>
      </c>
      <c r="D57" s="8">
        <v>12100000000000</v>
      </c>
      <c r="F57" s="283">
        <f t="shared" si="0"/>
        <v>12100000000000</v>
      </c>
      <c r="G57" s="22" t="s">
        <v>1153</v>
      </c>
      <c r="H57" s="29"/>
      <c r="I57" s="278" t="s">
        <v>915</v>
      </c>
      <c r="J57" s="75" t="s">
        <v>1144</v>
      </c>
      <c r="K57" s="233">
        <f t="shared" si="3"/>
        <v>14520000000000</v>
      </c>
      <c r="L57" s="275">
        <f t="shared" si="4"/>
        <v>9680000000000</v>
      </c>
    </row>
    <row r="58" spans="1:12" x14ac:dyDescent="0.2">
      <c r="A58" s="268"/>
      <c r="B58" s="75"/>
      <c r="D58" s="8"/>
      <c r="F58" s="283">
        <f t="shared" si="0"/>
        <v>0</v>
      </c>
      <c r="G58" s="22"/>
      <c r="H58" s="29"/>
      <c r="I58" s="278"/>
      <c r="J58" s="75"/>
      <c r="K58" s="233">
        <f t="shared" si="3"/>
        <v>0</v>
      </c>
      <c r="L58" s="275">
        <f t="shared" si="4"/>
        <v>0</v>
      </c>
    </row>
    <row r="59" spans="1:12" x14ac:dyDescent="0.2">
      <c r="A59" s="270" t="s">
        <v>1090</v>
      </c>
      <c r="B59" s="266"/>
      <c r="C59" s="266"/>
      <c r="D59" s="266"/>
      <c r="F59" s="283">
        <f t="shared" si="0"/>
        <v>0</v>
      </c>
      <c r="G59" s="22"/>
      <c r="H59" s="29"/>
      <c r="I59" s="279" t="s">
        <v>1090</v>
      </c>
      <c r="J59" s="266"/>
      <c r="K59" s="233">
        <f t="shared" si="3"/>
        <v>0</v>
      </c>
      <c r="L59" s="275">
        <f t="shared" si="4"/>
        <v>0</v>
      </c>
    </row>
    <row r="60" spans="1:12" x14ac:dyDescent="0.2">
      <c r="A60" s="268" t="s">
        <v>990</v>
      </c>
      <c r="B60" s="75" t="s">
        <v>1144</v>
      </c>
      <c r="C60" t="s">
        <v>1055</v>
      </c>
      <c r="D60" s="231">
        <v>1140000000000</v>
      </c>
      <c r="E60" s="231"/>
      <c r="F60" s="283">
        <f t="shared" si="0"/>
        <v>1140000000000</v>
      </c>
      <c r="G60" s="22" t="s">
        <v>1154</v>
      </c>
      <c r="H60" s="29"/>
      <c r="I60" s="278" t="s">
        <v>990</v>
      </c>
      <c r="J60" s="75" t="s">
        <v>1144</v>
      </c>
      <c r="K60" s="233">
        <f t="shared" si="3"/>
        <v>1368000000000</v>
      </c>
      <c r="L60" s="275">
        <f t="shared" si="4"/>
        <v>912000000000</v>
      </c>
    </row>
    <row r="61" spans="1:12" x14ac:dyDescent="0.2">
      <c r="A61" s="268" t="s">
        <v>991</v>
      </c>
      <c r="B61" s="75" t="s">
        <v>1144</v>
      </c>
      <c r="C61" t="s">
        <v>1055</v>
      </c>
      <c r="D61" s="231">
        <v>2570000000000</v>
      </c>
      <c r="E61" s="231"/>
      <c r="F61" s="283">
        <f t="shared" si="0"/>
        <v>2570000000000</v>
      </c>
      <c r="G61" s="22" t="s">
        <v>1155</v>
      </c>
      <c r="H61" s="29"/>
      <c r="I61" s="278" t="s">
        <v>991</v>
      </c>
      <c r="J61" s="75" t="s">
        <v>1144</v>
      </c>
      <c r="K61" s="233">
        <f t="shared" si="3"/>
        <v>3084000000000</v>
      </c>
      <c r="L61" s="275">
        <f t="shared" si="4"/>
        <v>2056000000000</v>
      </c>
    </row>
    <row r="62" spans="1:12" x14ac:dyDescent="0.2">
      <c r="A62" s="268" t="s">
        <v>197</v>
      </c>
      <c r="B62" s="75" t="s">
        <v>1144</v>
      </c>
      <c r="C62" t="s">
        <v>1055</v>
      </c>
      <c r="D62" s="231">
        <v>14900000000</v>
      </c>
      <c r="E62" s="231"/>
      <c r="F62" s="283">
        <f t="shared" si="0"/>
        <v>14900000000</v>
      </c>
      <c r="G62" s="22" t="s">
        <v>1156</v>
      </c>
      <c r="H62" s="29"/>
      <c r="I62" s="278" t="s">
        <v>197</v>
      </c>
      <c r="J62" s="75" t="s">
        <v>1144</v>
      </c>
      <c r="K62" s="233">
        <f t="shared" si="3"/>
        <v>17880000000</v>
      </c>
      <c r="L62" s="275">
        <f t="shared" si="4"/>
        <v>11920000000</v>
      </c>
    </row>
    <row r="63" spans="1:12" x14ac:dyDescent="0.2">
      <c r="A63" s="268" t="s">
        <v>998</v>
      </c>
      <c r="B63" s="75" t="s">
        <v>1144</v>
      </c>
      <c r="C63" t="s">
        <v>1055</v>
      </c>
      <c r="D63" s="231">
        <v>318000000000</v>
      </c>
      <c r="E63" s="231"/>
      <c r="F63" s="283">
        <f t="shared" si="0"/>
        <v>318000000000</v>
      </c>
      <c r="G63" s="22" t="s">
        <v>1157</v>
      </c>
      <c r="H63" s="29"/>
      <c r="I63" s="278" t="s">
        <v>998</v>
      </c>
      <c r="J63" s="75" t="s">
        <v>1144</v>
      </c>
      <c r="K63" s="233">
        <f t="shared" si="3"/>
        <v>381600000000</v>
      </c>
      <c r="L63" s="275">
        <f t="shared" si="4"/>
        <v>254400000000</v>
      </c>
    </row>
    <row r="64" spans="1:12" x14ac:dyDescent="0.2">
      <c r="A64" s="268" t="s">
        <v>137</v>
      </c>
      <c r="B64" s="75" t="s">
        <v>1144</v>
      </c>
      <c r="C64" t="s">
        <v>1055</v>
      </c>
      <c r="D64" s="231">
        <v>332840000000</v>
      </c>
      <c r="E64" s="231"/>
      <c r="F64" s="283">
        <f t="shared" si="0"/>
        <v>332840000000</v>
      </c>
      <c r="G64" s="285" t="s">
        <v>1158</v>
      </c>
      <c r="H64" s="29"/>
      <c r="I64" s="278" t="s">
        <v>137</v>
      </c>
      <c r="J64" s="75" t="s">
        <v>1144</v>
      </c>
      <c r="K64" s="233">
        <f t="shared" si="3"/>
        <v>399408000000</v>
      </c>
      <c r="L64" s="275">
        <f t="shared" si="4"/>
        <v>266272000000</v>
      </c>
    </row>
    <row r="65" spans="1:12" x14ac:dyDescent="0.2">
      <c r="A65" s="268" t="s">
        <v>993</v>
      </c>
      <c r="B65" s="75" t="s">
        <v>1144</v>
      </c>
      <c r="C65" t="s">
        <v>1055</v>
      </c>
      <c r="D65" s="231">
        <v>1100000000000</v>
      </c>
      <c r="E65" s="231"/>
      <c r="F65" s="283">
        <f t="shared" si="0"/>
        <v>1100000000000</v>
      </c>
      <c r="G65" s="22" t="s">
        <v>1159</v>
      </c>
      <c r="H65" s="29"/>
      <c r="I65" s="278" t="s">
        <v>993</v>
      </c>
      <c r="J65" s="75" t="s">
        <v>1144</v>
      </c>
      <c r="K65" s="233">
        <f t="shared" si="3"/>
        <v>1320000000000</v>
      </c>
      <c r="L65" s="275">
        <f t="shared" si="4"/>
        <v>880000000000</v>
      </c>
    </row>
    <row r="66" spans="1:12" x14ac:dyDescent="0.2">
      <c r="A66" s="269" t="s">
        <v>580</v>
      </c>
      <c r="B66" s="75" t="s">
        <v>1144</v>
      </c>
      <c r="C66" t="s">
        <v>1055</v>
      </c>
      <c r="D66" s="8">
        <v>320000000000</v>
      </c>
      <c r="F66" s="283">
        <f t="shared" ref="F66:F73" si="5">IF(ISBLANK(E66),D66,E66)</f>
        <v>320000000000</v>
      </c>
      <c r="G66" s="22" t="s">
        <v>1160</v>
      </c>
      <c r="H66" s="29"/>
      <c r="I66" s="173" t="s">
        <v>580</v>
      </c>
      <c r="J66" s="75" t="s">
        <v>1144</v>
      </c>
      <c r="K66" s="233">
        <f t="shared" si="3"/>
        <v>384000000000</v>
      </c>
      <c r="L66" s="275">
        <f t="shared" si="4"/>
        <v>256000000000</v>
      </c>
    </row>
    <row r="67" spans="1:12" x14ac:dyDescent="0.2">
      <c r="A67" s="269" t="s">
        <v>994</v>
      </c>
      <c r="B67" s="75" t="s">
        <v>1144</v>
      </c>
      <c r="C67" t="s">
        <v>1055</v>
      </c>
      <c r="D67" s="8">
        <v>78500000000</v>
      </c>
      <c r="F67" s="283">
        <f t="shared" si="5"/>
        <v>78500000000</v>
      </c>
      <c r="G67" s="22" t="s">
        <v>1161</v>
      </c>
      <c r="H67" s="29"/>
      <c r="I67" s="173" t="s">
        <v>994</v>
      </c>
      <c r="J67" s="75" t="s">
        <v>1144</v>
      </c>
      <c r="K67" s="233">
        <f t="shared" ref="K67:K74" si="6">D67*1.2</f>
        <v>94200000000</v>
      </c>
      <c r="L67" s="275">
        <f t="shared" ref="L67:L74" si="7">D67*0.8</f>
        <v>62800000000</v>
      </c>
    </row>
    <row r="68" spans="1:12" x14ac:dyDescent="0.2">
      <c r="A68" s="269" t="s">
        <v>995</v>
      </c>
      <c r="B68" s="75" t="s">
        <v>1144</v>
      </c>
      <c r="C68" t="s">
        <v>1055</v>
      </c>
      <c r="D68" s="8">
        <v>1190000000000</v>
      </c>
      <c r="F68" s="283">
        <f t="shared" si="5"/>
        <v>1190000000000</v>
      </c>
      <c r="G68" s="22" t="s">
        <v>1162</v>
      </c>
      <c r="H68" s="29"/>
      <c r="I68" s="173" t="s">
        <v>995</v>
      </c>
      <c r="J68" s="75" t="s">
        <v>1144</v>
      </c>
      <c r="K68" s="233">
        <f t="shared" si="6"/>
        <v>1428000000000</v>
      </c>
      <c r="L68" s="275">
        <f t="shared" si="7"/>
        <v>952000000000</v>
      </c>
    </row>
    <row r="69" spans="1:12" x14ac:dyDescent="0.2">
      <c r="A69" s="269" t="s">
        <v>903</v>
      </c>
      <c r="B69" s="75" t="s">
        <v>1144</v>
      </c>
      <c r="C69" t="s">
        <v>1055</v>
      </c>
      <c r="D69" s="8">
        <v>450000000000</v>
      </c>
      <c r="F69" s="283">
        <f t="shared" si="5"/>
        <v>450000000000</v>
      </c>
      <c r="G69" s="22" t="s">
        <v>1163</v>
      </c>
      <c r="H69" s="29"/>
      <c r="I69" s="173" t="s">
        <v>903</v>
      </c>
      <c r="J69" s="75" t="s">
        <v>1144</v>
      </c>
      <c r="K69" s="233">
        <f t="shared" si="6"/>
        <v>540000000000</v>
      </c>
      <c r="L69" s="275">
        <f t="shared" si="7"/>
        <v>360000000000</v>
      </c>
    </row>
    <row r="70" spans="1:12" x14ac:dyDescent="0.2">
      <c r="A70" s="269" t="s">
        <v>997</v>
      </c>
      <c r="B70" s="75" t="s">
        <v>1144</v>
      </c>
      <c r="C70" t="s">
        <v>1055</v>
      </c>
      <c r="D70" s="8">
        <v>6040000000</v>
      </c>
      <c r="F70" s="283">
        <f t="shared" si="5"/>
        <v>6040000000</v>
      </c>
      <c r="G70" s="22" t="s">
        <v>1164</v>
      </c>
      <c r="H70" s="29"/>
      <c r="I70" s="173" t="s">
        <v>997</v>
      </c>
      <c r="J70" s="75" t="s">
        <v>1144</v>
      </c>
      <c r="K70" s="233">
        <f t="shared" si="6"/>
        <v>7248000000</v>
      </c>
      <c r="L70" s="275">
        <f t="shared" si="7"/>
        <v>4832000000</v>
      </c>
    </row>
    <row r="71" spans="1:12" x14ac:dyDescent="0.2">
      <c r="A71" s="269" t="s">
        <v>585</v>
      </c>
      <c r="B71" s="75" t="s">
        <v>1144</v>
      </c>
      <c r="C71" t="s">
        <v>1055</v>
      </c>
      <c r="D71" s="8">
        <v>90500000000</v>
      </c>
      <c r="F71" s="283">
        <f t="shared" si="5"/>
        <v>90500000000</v>
      </c>
      <c r="G71" s="22" t="s">
        <v>1165</v>
      </c>
      <c r="H71" s="29"/>
      <c r="I71" s="173" t="s">
        <v>585</v>
      </c>
      <c r="J71" s="75" t="s">
        <v>1144</v>
      </c>
      <c r="K71" s="233">
        <f t="shared" si="6"/>
        <v>108600000000</v>
      </c>
      <c r="L71" s="275">
        <f t="shared" si="7"/>
        <v>72400000000</v>
      </c>
    </row>
    <row r="72" spans="1:12" x14ac:dyDescent="0.2">
      <c r="A72" s="269" t="s">
        <v>1062</v>
      </c>
      <c r="B72" s="75" t="s">
        <v>1144</v>
      </c>
      <c r="C72" t="s">
        <v>1055</v>
      </c>
      <c r="D72" s="8">
        <v>1090000000000</v>
      </c>
      <c r="F72" s="283">
        <f t="shared" si="5"/>
        <v>1090000000000</v>
      </c>
      <c r="G72" s="22" t="s">
        <v>1166</v>
      </c>
      <c r="H72" s="29"/>
      <c r="I72" s="173" t="s">
        <v>1062</v>
      </c>
      <c r="J72" s="75" t="s">
        <v>1144</v>
      </c>
      <c r="K72" s="233">
        <f t="shared" si="6"/>
        <v>1308000000000</v>
      </c>
      <c r="L72" s="275">
        <f t="shared" si="7"/>
        <v>872000000000</v>
      </c>
    </row>
    <row r="73" spans="1:12" ht="16" thickBot="1" x14ac:dyDescent="0.25">
      <c r="A73" s="269" t="s">
        <v>1086</v>
      </c>
      <c r="B73" s="75" t="s">
        <v>1144</v>
      </c>
      <c r="C73" t="s">
        <v>1055</v>
      </c>
      <c r="D73" s="8">
        <v>3620000000000</v>
      </c>
      <c r="F73" s="283">
        <f t="shared" si="5"/>
        <v>3620000000000</v>
      </c>
      <c r="G73" s="34" t="s">
        <v>1167</v>
      </c>
      <c r="H73" s="37"/>
      <c r="I73" s="173" t="s">
        <v>1086</v>
      </c>
      <c r="J73" s="75" t="s">
        <v>1144</v>
      </c>
      <c r="K73" s="233">
        <f t="shared" si="6"/>
        <v>4344000000000</v>
      </c>
      <c r="L73" s="275">
        <f t="shared" si="7"/>
        <v>2896000000000</v>
      </c>
    </row>
    <row r="74" spans="1:12" ht="16" thickBot="1" x14ac:dyDescent="0.25">
      <c r="A74" s="21"/>
      <c r="B74" s="224"/>
      <c r="C74" s="224"/>
      <c r="D74" s="224"/>
      <c r="E74" s="300"/>
      <c r="F74" s="235"/>
      <c r="I74" s="34"/>
      <c r="J74" s="12"/>
      <c r="K74" s="280">
        <f t="shared" si="6"/>
        <v>0</v>
      </c>
      <c r="L74" s="281">
        <f t="shared" si="7"/>
        <v>0</v>
      </c>
    </row>
    <row r="78" spans="1:12" x14ac:dyDescent="0.2">
      <c r="A78" s="39"/>
      <c r="B78" s="39"/>
      <c r="C78" s="39"/>
      <c r="D78" s="39"/>
      <c r="E78" s="301"/>
      <c r="F78" s="39"/>
      <c r="G78" s="39"/>
      <c r="H78" s="39"/>
    </row>
    <row r="79" spans="1:12" x14ac:dyDescent="0.2">
      <c r="A79" s="39"/>
      <c r="B79" s="39"/>
      <c r="C79" s="39"/>
      <c r="D79" s="39"/>
      <c r="E79" s="301"/>
      <c r="F79" s="39"/>
      <c r="G79" s="39"/>
      <c r="H79" s="39"/>
    </row>
    <row r="80" spans="1:12" x14ac:dyDescent="0.2">
      <c r="A80" s="39"/>
      <c r="B80" s="39"/>
      <c r="C80" s="39"/>
      <c r="D80" s="39"/>
      <c r="E80" s="301"/>
      <c r="F80" s="39"/>
      <c r="G80" s="219"/>
    </row>
    <row r="81" spans="1:7" x14ac:dyDescent="0.2">
      <c r="A81" s="39"/>
      <c r="B81" s="39"/>
      <c r="C81" s="39"/>
      <c r="D81" s="39"/>
      <c r="E81" s="301"/>
      <c r="F81" s="39"/>
      <c r="G81" s="219"/>
    </row>
    <row r="82" spans="1:7" x14ac:dyDescent="0.2">
      <c r="A82" s="39"/>
      <c r="B82" s="39"/>
      <c r="C82" s="39"/>
      <c r="D82" s="39"/>
      <c r="E82" s="301"/>
      <c r="F82" s="39"/>
      <c r="G82" s="219"/>
    </row>
    <row r="83" spans="1:7" x14ac:dyDescent="0.2">
      <c r="A83" s="39"/>
      <c r="B83" s="39"/>
      <c r="C83" s="39"/>
      <c r="D83" s="39"/>
      <c r="E83" s="301"/>
      <c r="F83" s="39"/>
      <c r="G83" s="219"/>
    </row>
    <row r="84" spans="1:7" x14ac:dyDescent="0.2">
      <c r="A84" s="39"/>
      <c r="B84" s="39"/>
      <c r="C84" s="39"/>
      <c r="D84" s="39"/>
      <c r="E84" s="301"/>
      <c r="F84" s="39"/>
      <c r="G84" s="219"/>
    </row>
    <row r="85" spans="1:7" x14ac:dyDescent="0.2">
      <c r="A85" s="39"/>
      <c r="B85" s="39"/>
      <c r="C85" s="39"/>
      <c r="D85" s="39"/>
      <c r="E85" s="301"/>
      <c r="F85" s="39"/>
    </row>
    <row r="86" spans="1:7" x14ac:dyDescent="0.2">
      <c r="A86" s="39"/>
      <c r="B86" s="39"/>
      <c r="C86" s="39"/>
      <c r="D86" s="39"/>
      <c r="E86" s="301"/>
      <c r="F86" s="39"/>
      <c r="G86" s="219"/>
    </row>
    <row r="87" spans="1:7" x14ac:dyDescent="0.2">
      <c r="A87" s="39"/>
      <c r="B87" s="39"/>
      <c r="C87" s="39"/>
      <c r="D87" s="39"/>
      <c r="E87" s="301"/>
      <c r="F87" s="39"/>
      <c r="G87" s="219"/>
    </row>
    <row r="88" spans="1:7" x14ac:dyDescent="0.2">
      <c r="A88" s="39"/>
      <c r="B88" s="39"/>
      <c r="C88" s="39"/>
      <c r="D88" s="39"/>
      <c r="E88" s="301"/>
      <c r="F88" s="39"/>
      <c r="G88" s="219"/>
    </row>
    <row r="89" spans="1:7" x14ac:dyDescent="0.2">
      <c r="A89" s="39"/>
      <c r="B89" s="39"/>
      <c r="C89" s="39"/>
      <c r="D89" s="39"/>
      <c r="E89" s="301"/>
      <c r="F89" s="39"/>
      <c r="G89" s="219"/>
    </row>
    <row r="90" spans="1:7" x14ac:dyDescent="0.2">
      <c r="A90" s="39"/>
      <c r="B90" s="39"/>
      <c r="C90" s="39"/>
      <c r="D90" s="39"/>
      <c r="E90" s="301"/>
      <c r="F90" s="39"/>
      <c r="G90" s="219"/>
    </row>
    <row r="91" spans="1:7" x14ac:dyDescent="0.2">
      <c r="A91" s="39"/>
      <c r="B91" s="39"/>
      <c r="C91" s="39"/>
      <c r="D91" s="39"/>
      <c r="E91" s="301"/>
      <c r="F91" s="39"/>
      <c r="G91" s="219"/>
    </row>
    <row r="92" spans="1:7" x14ac:dyDescent="0.2">
      <c r="A92" s="39"/>
      <c r="B92" s="39"/>
      <c r="C92" s="39"/>
      <c r="D92" s="39"/>
      <c r="E92" s="301"/>
      <c r="F92" s="39"/>
      <c r="G92" s="219"/>
    </row>
    <row r="93" spans="1:7" x14ac:dyDescent="0.2">
      <c r="A93" s="39"/>
      <c r="B93" s="39"/>
      <c r="C93" s="39"/>
      <c r="D93" s="39"/>
      <c r="E93" s="301"/>
      <c r="F93" s="39"/>
      <c r="G93" s="219"/>
    </row>
    <row r="94" spans="1:7" x14ac:dyDescent="0.2">
      <c r="A94" s="39"/>
      <c r="B94" s="39"/>
      <c r="C94" s="39"/>
      <c r="D94" s="39"/>
      <c r="E94" s="301"/>
      <c r="F94" s="39"/>
      <c r="G94" s="219"/>
    </row>
    <row r="95" spans="1:7" x14ac:dyDescent="0.2">
      <c r="A95" s="39"/>
      <c r="B95" s="39"/>
      <c r="C95" s="39"/>
      <c r="D95" s="39"/>
      <c r="E95" s="301"/>
      <c r="F95" s="39"/>
      <c r="G95" s="219"/>
    </row>
    <row r="96" spans="1:7" x14ac:dyDescent="0.2">
      <c r="A96" s="39"/>
      <c r="B96" s="39"/>
      <c r="C96" s="39"/>
      <c r="D96" s="39"/>
      <c r="E96" s="301"/>
      <c r="F96" s="39"/>
      <c r="G96" s="219"/>
    </row>
    <row r="97" spans="1:7" x14ac:dyDescent="0.2">
      <c r="A97" s="39"/>
      <c r="B97" s="39"/>
      <c r="C97" s="39"/>
      <c r="D97" s="39"/>
      <c r="E97" s="301"/>
      <c r="F97" s="39"/>
      <c r="G97" s="219"/>
    </row>
    <row r="98" spans="1:7" x14ac:dyDescent="0.2">
      <c r="A98" s="39"/>
      <c r="B98" s="39"/>
      <c r="C98" s="39"/>
      <c r="D98" s="39"/>
      <c r="E98" s="301"/>
      <c r="F98" s="39"/>
      <c r="G98" s="219"/>
    </row>
    <row r="99" spans="1:7" x14ac:dyDescent="0.2">
      <c r="A99" s="39"/>
      <c r="B99" s="39"/>
      <c r="C99" s="39"/>
      <c r="D99" s="39"/>
      <c r="E99" s="301"/>
      <c r="F99" s="39"/>
      <c r="G99" s="219"/>
    </row>
    <row r="100" spans="1:7" x14ac:dyDescent="0.2">
      <c r="A100" s="39"/>
      <c r="B100" s="39"/>
      <c r="C100" s="39"/>
      <c r="D100" s="39"/>
      <c r="E100" s="301"/>
      <c r="F100" s="39"/>
      <c r="G100" s="219"/>
    </row>
    <row r="101" spans="1:7" x14ac:dyDescent="0.2">
      <c r="A101" s="39"/>
      <c r="B101" s="39"/>
      <c r="C101" s="39"/>
      <c r="D101" s="39"/>
      <c r="E101" s="301"/>
      <c r="F101" s="39"/>
      <c r="G101" s="219"/>
    </row>
    <row r="102" spans="1:7" x14ac:dyDescent="0.2">
      <c r="A102" s="39"/>
      <c r="B102" s="39"/>
      <c r="C102" s="39"/>
      <c r="D102" s="39"/>
      <c r="E102" s="301"/>
      <c r="F102" s="39"/>
      <c r="G102" s="219"/>
    </row>
    <row r="103" spans="1:7" x14ac:dyDescent="0.2">
      <c r="A103" s="39"/>
      <c r="B103" s="39"/>
      <c r="C103" s="39"/>
      <c r="D103" s="39"/>
      <c r="E103" s="301"/>
      <c r="F103" s="39"/>
      <c r="G103" s="219"/>
    </row>
    <row r="104" spans="1:7" x14ac:dyDescent="0.2">
      <c r="A104" s="39"/>
      <c r="B104" s="39"/>
      <c r="C104" s="39"/>
      <c r="D104" s="39"/>
      <c r="E104" s="301"/>
      <c r="F104" s="39"/>
      <c r="G104" s="262"/>
    </row>
    <row r="105" spans="1:7" x14ac:dyDescent="0.2">
      <c r="A105" s="39"/>
      <c r="B105" s="39"/>
      <c r="C105" s="39"/>
      <c r="D105" s="39"/>
      <c r="E105" s="301"/>
      <c r="F105" s="39"/>
      <c r="G105" s="219"/>
    </row>
    <row r="106" spans="1:7" x14ac:dyDescent="0.2">
      <c r="A106" s="39"/>
      <c r="B106" s="39"/>
      <c r="C106" s="39"/>
      <c r="D106" s="39"/>
      <c r="E106" s="301"/>
      <c r="F106" s="39"/>
    </row>
    <row r="107" spans="1:7" x14ac:dyDescent="0.2">
      <c r="A107" s="39"/>
      <c r="B107" s="39"/>
      <c r="C107" s="39"/>
      <c r="D107" s="39"/>
      <c r="E107" s="301"/>
      <c r="F107" s="39"/>
      <c r="G107" s="219"/>
    </row>
    <row r="108" spans="1:7" x14ac:dyDescent="0.2">
      <c r="A108" s="39"/>
      <c r="B108" s="39"/>
      <c r="C108" s="39"/>
      <c r="D108" s="39"/>
      <c r="E108" s="301"/>
      <c r="F108" s="39"/>
      <c r="G108" s="219"/>
    </row>
    <row r="109" spans="1:7" x14ac:dyDescent="0.2">
      <c r="A109" s="39"/>
      <c r="B109" s="39"/>
      <c r="C109" s="39"/>
      <c r="D109" s="39"/>
      <c r="E109" s="301"/>
      <c r="F109" s="39"/>
      <c r="G109" s="219"/>
    </row>
    <row r="110" spans="1:7" x14ac:dyDescent="0.2">
      <c r="A110" s="39"/>
      <c r="B110" s="39"/>
      <c r="C110" s="39"/>
      <c r="D110" s="39"/>
      <c r="E110" s="301"/>
      <c r="F110" s="39"/>
      <c r="G110" s="219"/>
    </row>
    <row r="111" spans="1:7" x14ac:dyDescent="0.2">
      <c r="A111" s="39"/>
      <c r="B111" s="39"/>
      <c r="C111" s="39"/>
      <c r="D111" s="39"/>
      <c r="E111" s="301"/>
      <c r="F111" s="39"/>
    </row>
    <row r="112" spans="1:7" x14ac:dyDescent="0.2">
      <c r="A112" s="39"/>
      <c r="B112" s="39"/>
      <c r="C112" s="39"/>
      <c r="D112" s="39"/>
      <c r="E112" s="301"/>
      <c r="F112" s="39"/>
    </row>
    <row r="113" spans="1:6" x14ac:dyDescent="0.2">
      <c r="A113" s="39"/>
      <c r="B113" s="39"/>
      <c r="C113" s="39"/>
      <c r="D113" s="39"/>
      <c r="E113" s="301"/>
      <c r="F113" s="39"/>
    </row>
    <row r="114" spans="1:6" x14ac:dyDescent="0.2">
      <c r="A114" s="39"/>
      <c r="B114" s="39"/>
      <c r="C114" s="39"/>
      <c r="D114" s="39"/>
      <c r="E114" s="301"/>
      <c r="F114" s="39"/>
    </row>
    <row r="115" spans="1:6" x14ac:dyDescent="0.2">
      <c r="A115" s="39"/>
      <c r="B115" s="39"/>
      <c r="C115" s="39"/>
      <c r="D115" s="39"/>
      <c r="E115" s="301"/>
      <c r="F115" s="39"/>
    </row>
    <row r="116" spans="1:6" x14ac:dyDescent="0.2">
      <c r="A116" s="39"/>
      <c r="B116" s="39"/>
      <c r="C116" s="39"/>
      <c r="D116" s="39"/>
      <c r="E116" s="301"/>
      <c r="F116" s="39"/>
    </row>
    <row r="117" spans="1:6" x14ac:dyDescent="0.2">
      <c r="A117" s="39"/>
      <c r="B117" s="39"/>
      <c r="C117" s="39"/>
      <c r="D117" s="39"/>
      <c r="E117" s="301"/>
      <c r="F117" s="39"/>
    </row>
    <row r="118" spans="1:6" x14ac:dyDescent="0.2">
      <c r="A118" s="39"/>
      <c r="B118" s="39"/>
      <c r="C118" s="39"/>
      <c r="D118" s="39"/>
      <c r="E118" s="301"/>
      <c r="F118" s="39"/>
    </row>
    <row r="119" spans="1:6" x14ac:dyDescent="0.2">
      <c r="A119" s="39"/>
      <c r="B119" s="39"/>
      <c r="C119" s="39"/>
      <c r="D119" s="39"/>
      <c r="E119" s="301"/>
      <c r="F119" s="39"/>
    </row>
    <row r="120" spans="1:6" x14ac:dyDescent="0.2">
      <c r="A120" s="39"/>
      <c r="B120" s="39"/>
      <c r="C120" s="39"/>
      <c r="D120" s="39"/>
      <c r="E120" s="301"/>
      <c r="F120" s="39"/>
    </row>
    <row r="121" spans="1:6" x14ac:dyDescent="0.2">
      <c r="A121" s="39"/>
      <c r="B121" s="39"/>
      <c r="C121" s="39"/>
      <c r="D121" s="39"/>
      <c r="E121" s="301"/>
      <c r="F121" s="39"/>
    </row>
    <row r="122" spans="1:6" x14ac:dyDescent="0.2">
      <c r="A122" s="39"/>
      <c r="B122" s="39"/>
      <c r="C122" s="39"/>
      <c r="D122" s="39"/>
      <c r="E122" s="301"/>
      <c r="F122" s="39"/>
    </row>
    <row r="123" spans="1:6" x14ac:dyDescent="0.2">
      <c r="A123" s="39"/>
      <c r="B123" s="39"/>
      <c r="C123" s="39"/>
      <c r="D123" s="39"/>
      <c r="E123" s="301"/>
      <c r="F123" s="39"/>
    </row>
    <row r="124" spans="1:6" x14ac:dyDescent="0.2">
      <c r="A124" s="39"/>
      <c r="B124" s="39"/>
      <c r="C124" s="39"/>
      <c r="D124" s="39"/>
      <c r="E124" s="301"/>
      <c r="F124" s="39"/>
    </row>
    <row r="125" spans="1:6" x14ac:dyDescent="0.2">
      <c r="A125" s="39"/>
      <c r="B125" s="39"/>
      <c r="C125" s="39"/>
      <c r="D125" s="39"/>
      <c r="E125" s="301"/>
      <c r="F125" s="39"/>
    </row>
    <row r="126" spans="1:6" x14ac:dyDescent="0.2">
      <c r="A126" s="39"/>
      <c r="B126" s="39"/>
      <c r="C126" s="39"/>
      <c r="D126" s="39"/>
      <c r="E126" s="301"/>
      <c r="F126" s="39"/>
    </row>
    <row r="127" spans="1:6" x14ac:dyDescent="0.2">
      <c r="A127" s="39"/>
      <c r="B127" s="39"/>
      <c r="C127" s="39"/>
      <c r="D127" s="39"/>
      <c r="E127" s="301"/>
      <c r="F127" s="39"/>
    </row>
    <row r="128" spans="1:6" x14ac:dyDescent="0.2">
      <c r="A128" s="39"/>
      <c r="B128" s="39"/>
      <c r="C128" s="39"/>
      <c r="D128" s="39"/>
      <c r="E128" s="301"/>
      <c r="F128" s="39"/>
    </row>
    <row r="129" spans="1:6" x14ac:dyDescent="0.2">
      <c r="A129" s="39"/>
      <c r="B129" s="39"/>
      <c r="C129" s="39"/>
      <c r="D129" s="39"/>
      <c r="E129" s="301"/>
      <c r="F129" s="39"/>
    </row>
    <row r="130" spans="1:6" x14ac:dyDescent="0.2">
      <c r="A130" s="39"/>
      <c r="B130" s="39"/>
      <c r="C130" s="39"/>
      <c r="D130" s="39"/>
      <c r="E130" s="301"/>
      <c r="F130" s="39"/>
    </row>
    <row r="131" spans="1:6" x14ac:dyDescent="0.2">
      <c r="A131" s="39"/>
      <c r="B131" s="39"/>
      <c r="C131" s="39"/>
      <c r="D131" s="39"/>
      <c r="E131" s="301"/>
      <c r="F131" s="39"/>
    </row>
    <row r="132" spans="1:6" x14ac:dyDescent="0.2">
      <c r="A132" s="39"/>
      <c r="B132" s="39"/>
      <c r="C132" s="39"/>
      <c r="D132" s="39"/>
      <c r="E132" s="301"/>
      <c r="F132" s="39"/>
    </row>
    <row r="133" spans="1:6" x14ac:dyDescent="0.2">
      <c r="A133" s="39"/>
      <c r="B133" s="39"/>
      <c r="C133" s="39"/>
      <c r="D133" s="39"/>
      <c r="E133" s="301"/>
      <c r="F133" s="39"/>
    </row>
    <row r="134" spans="1:6" x14ac:dyDescent="0.2">
      <c r="A134" s="39"/>
      <c r="B134" s="39"/>
      <c r="C134" s="39"/>
      <c r="D134" s="39"/>
      <c r="E134" s="301"/>
      <c r="F134" s="39"/>
    </row>
    <row r="135" spans="1:6" x14ac:dyDescent="0.2">
      <c r="A135" s="39"/>
      <c r="B135" s="39"/>
      <c r="C135" s="39"/>
      <c r="D135" s="39"/>
      <c r="E135" s="301"/>
      <c r="F135" s="39"/>
    </row>
    <row r="136" spans="1:6" x14ac:dyDescent="0.2">
      <c r="A136" s="39"/>
      <c r="B136" s="39"/>
      <c r="C136" s="39"/>
      <c r="D136" s="39"/>
      <c r="E136" s="301"/>
      <c r="F136" s="39"/>
    </row>
    <row r="137" spans="1:6" x14ac:dyDescent="0.2">
      <c r="A137" s="39"/>
      <c r="B137" s="39"/>
      <c r="C137" s="39"/>
      <c r="D137" s="39"/>
      <c r="E137" s="301"/>
      <c r="F137" s="39"/>
    </row>
    <row r="138" spans="1:6" x14ac:dyDescent="0.2">
      <c r="A138" s="39"/>
      <c r="B138" s="39"/>
      <c r="C138" s="39"/>
      <c r="D138" s="39"/>
      <c r="E138" s="301"/>
      <c r="F138" s="39"/>
    </row>
    <row r="139" spans="1:6" x14ac:dyDescent="0.2">
      <c r="A139" s="21"/>
      <c r="B139" s="224"/>
      <c r="C139" s="224"/>
      <c r="D139" s="224"/>
    </row>
  </sheetData>
  <mergeCells count="14">
    <mergeCell ref="G33:G34"/>
    <mergeCell ref="H33:H34"/>
    <mergeCell ref="G21:H23"/>
    <mergeCell ref="G39:G40"/>
    <mergeCell ref="G35:G36"/>
    <mergeCell ref="F1:F2"/>
    <mergeCell ref="G1:G2"/>
    <mergeCell ref="H1:H2"/>
    <mergeCell ref="I1:L1"/>
    <mergeCell ref="A1:A2"/>
    <mergeCell ref="B1:B2"/>
    <mergeCell ref="C1:C2"/>
    <mergeCell ref="D1:D2"/>
    <mergeCell ref="E1:E2"/>
  </mergeCells>
  <hyperlinks>
    <hyperlink ref="G39" r:id="rId1" xr:uid="{7D47F991-9A3F-6A45-9458-152F6D44AB91}"/>
    <hyperlink ref="G17" r:id="rId2" display="https://doi.org/10.1007/s11053-006-9022-5" xr:uid="{35E6FA96-99C1-4141-BAAB-D6C68FA3D9F8}"/>
    <hyperlink ref="G26" r:id="rId3" display="https://doi.org/10.1039/d0pp90011g" xr:uid="{7B580D70-1098-374D-B6F6-CC25BB2F1488}"/>
    <hyperlink ref="G30" r:id="rId4" display="https://doi.org/10.1021/es502497p" xr:uid="{D6DBE3C4-F89C-D043-A868-9D4C24CC99DD}"/>
    <hyperlink ref="G31" r:id="rId5" xr:uid="{6B992FE7-6B46-D442-8E1C-9FDBE00A8FB3}"/>
    <hyperlink ref="G32" r:id="rId6" display="https://doi.org/10.1007/s11356-016-7321-x" xr:uid="{6ABA31ED-5FC6-4D41-9B5D-96DD5876E8DD}"/>
    <hyperlink ref="G33" r:id="rId7" xr:uid="{6CE1F54D-CE91-9845-BBAD-9D2EC217BE1D}"/>
    <hyperlink ref="G64" r:id="rId8" xr:uid="{6A4FF000-FABF-CA4D-8BDE-769A9B55F650}"/>
  </hyperlinks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CB2FC-0FB0-964B-9414-866EB403EBC0}">
  <sheetPr codeName="Sheet2"/>
  <dimension ref="A1:AR242"/>
  <sheetViews>
    <sheetView topLeftCell="A203" zoomScale="140" zoomScaleNormal="140" workbookViewId="0">
      <selection activeCell="AP13" sqref="AP13"/>
    </sheetView>
  </sheetViews>
  <sheetFormatPr baseColWidth="10" defaultRowHeight="15" x14ac:dyDescent="0.2"/>
  <cols>
    <col min="1" max="1" width="41.6640625" customWidth="1"/>
    <col min="2" max="2" width="17.5" customWidth="1"/>
    <col min="3" max="3" width="34" customWidth="1"/>
    <col min="4" max="4" width="26.83203125" customWidth="1"/>
    <col min="5" max="5" width="36" customWidth="1"/>
    <col min="6" max="6" width="21.33203125" customWidth="1"/>
    <col min="7" max="8" width="12.33203125" customWidth="1"/>
    <col min="9" max="11" width="13.5" customWidth="1"/>
    <col min="14" max="14" width="19.83203125" customWidth="1"/>
    <col min="15" max="15" width="13.6640625" customWidth="1"/>
    <col min="17" max="18" width="15.1640625" bestFit="1" customWidth="1"/>
    <col min="24" max="24" width="11.6640625" bestFit="1" customWidth="1"/>
    <col min="29" max="29" width="23.83203125" customWidth="1"/>
    <col min="30" max="30" width="23.6640625" customWidth="1"/>
    <col min="31" max="31" width="13.5" customWidth="1"/>
    <col min="40" max="40" width="20.83203125" customWidth="1"/>
    <col min="41" max="41" width="23.5" customWidth="1"/>
    <col min="42" max="42" width="13.1640625" customWidth="1"/>
  </cols>
  <sheetData>
    <row r="1" spans="1:44" ht="15" customHeight="1" x14ac:dyDescent="0.2">
      <c r="A1" s="317" t="s">
        <v>315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V1" s="357" t="s">
        <v>1012</v>
      </c>
      <c r="W1" s="357"/>
      <c r="X1" s="357"/>
      <c r="Y1" s="357"/>
      <c r="Z1" s="357"/>
      <c r="AA1" s="357"/>
      <c r="AB1" s="357"/>
      <c r="AC1" s="357"/>
      <c r="AD1" s="357"/>
      <c r="AE1" s="357"/>
      <c r="AF1" s="357"/>
      <c r="AG1" s="227"/>
      <c r="AH1" s="357" t="s">
        <v>1017</v>
      </c>
      <c r="AI1" s="357"/>
      <c r="AJ1" s="357"/>
      <c r="AK1" s="357"/>
      <c r="AL1" s="357"/>
      <c r="AM1" s="357"/>
      <c r="AN1" s="357"/>
      <c r="AO1" s="357"/>
      <c r="AP1" s="357"/>
      <c r="AQ1" s="357"/>
      <c r="AR1" s="357"/>
    </row>
    <row r="2" spans="1:44" ht="15" customHeight="1" x14ac:dyDescent="0.2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V2" s="357"/>
      <c r="W2" s="357"/>
      <c r="X2" s="357"/>
      <c r="Y2" s="357"/>
      <c r="Z2" s="357"/>
      <c r="AA2" s="357"/>
      <c r="AB2" s="357"/>
      <c r="AC2" s="357"/>
      <c r="AD2" s="357"/>
      <c r="AE2" s="357"/>
      <c r="AF2" s="357"/>
      <c r="AG2" s="227"/>
      <c r="AH2" s="357"/>
      <c r="AI2" s="357"/>
      <c r="AJ2" s="357"/>
      <c r="AK2" s="357"/>
      <c r="AL2" s="357"/>
      <c r="AM2" s="357"/>
      <c r="AN2" s="357"/>
      <c r="AO2" s="357"/>
      <c r="AP2" s="357"/>
      <c r="AQ2" s="357"/>
      <c r="AR2" s="357"/>
    </row>
    <row r="3" spans="1:44" ht="15" customHeight="1" x14ac:dyDescent="0.2">
      <c r="B3" s="56"/>
      <c r="C3" s="56"/>
      <c r="D3" s="56"/>
      <c r="E3" s="56"/>
      <c r="V3" s="355" t="s">
        <v>1084</v>
      </c>
      <c r="W3" s="355"/>
      <c r="X3" s="355"/>
      <c r="Y3" s="355"/>
      <c r="Z3" s="355"/>
      <c r="AA3" s="355"/>
      <c r="AB3" s="356" t="s">
        <v>1016</v>
      </c>
      <c r="AC3" s="356"/>
      <c r="AD3" s="356"/>
      <c r="AE3" s="356"/>
      <c r="AF3" s="356"/>
      <c r="AH3" s="355" t="s">
        <v>1084</v>
      </c>
      <c r="AI3" s="355"/>
      <c r="AJ3" s="355"/>
      <c r="AK3" s="355"/>
      <c r="AL3" s="355"/>
      <c r="AM3" s="356" t="s">
        <v>1000</v>
      </c>
      <c r="AN3" s="356"/>
      <c r="AO3" s="356"/>
      <c r="AP3" s="356"/>
      <c r="AQ3" s="356"/>
    </row>
    <row r="4" spans="1:44" ht="16" customHeight="1" x14ac:dyDescent="0.2">
      <c r="A4" s="318" t="s">
        <v>500</v>
      </c>
      <c r="B4" s="318"/>
      <c r="C4" s="318"/>
      <c r="D4" s="56"/>
      <c r="E4" s="56"/>
      <c r="F4" s="129"/>
      <c r="G4" s="129"/>
      <c r="H4" s="129"/>
      <c r="I4" s="129"/>
      <c r="J4" s="129"/>
      <c r="K4" s="129"/>
      <c r="L4" s="129"/>
      <c r="V4" s="355"/>
      <c r="W4" s="355"/>
      <c r="X4" s="355"/>
      <c r="Y4" s="355"/>
      <c r="Z4" s="355"/>
      <c r="AA4" s="355"/>
      <c r="AB4" s="356"/>
      <c r="AC4" s="356"/>
      <c r="AD4" s="356"/>
      <c r="AE4" s="356"/>
      <c r="AF4" s="356"/>
      <c r="AH4" s="355"/>
      <c r="AI4" s="355"/>
      <c r="AJ4" s="355"/>
      <c r="AK4" s="355"/>
      <c r="AL4" s="355"/>
      <c r="AM4" s="356"/>
      <c r="AN4" s="356"/>
      <c r="AO4" s="356"/>
      <c r="AP4" s="356"/>
      <c r="AQ4" s="356"/>
    </row>
    <row r="5" spans="1:44" x14ac:dyDescent="0.2">
      <c r="A5" s="83" t="s">
        <v>0</v>
      </c>
      <c r="B5" s="84" t="s">
        <v>3</v>
      </c>
      <c r="C5" s="84" t="s">
        <v>5</v>
      </c>
      <c r="D5" s="56"/>
      <c r="E5" s="56"/>
      <c r="F5" s="129"/>
      <c r="G5" s="129"/>
      <c r="H5" s="129"/>
      <c r="I5" s="129"/>
      <c r="J5" s="129"/>
      <c r="K5" s="129"/>
      <c r="L5" s="129"/>
      <c r="V5" s="109" t="s">
        <v>979</v>
      </c>
      <c r="W5" s="109" t="s">
        <v>980</v>
      </c>
      <c r="X5" s="109" t="s">
        <v>507</v>
      </c>
      <c r="Y5" s="109" t="s">
        <v>981</v>
      </c>
      <c r="Z5" s="109" t="s">
        <v>663</v>
      </c>
      <c r="AA5" s="109" t="s">
        <v>982</v>
      </c>
      <c r="AC5" s="228" t="s">
        <v>1059</v>
      </c>
      <c r="AD5" s="228" t="s">
        <v>1058</v>
      </c>
      <c r="AE5" s="228" t="s">
        <v>1060</v>
      </c>
      <c r="AF5" s="228" t="s">
        <v>1061</v>
      </c>
      <c r="AH5" s="109" t="s">
        <v>580</v>
      </c>
      <c r="AI5" s="109" t="s">
        <v>994</v>
      </c>
      <c r="AJ5" s="109" t="s">
        <v>995</v>
      </c>
      <c r="AK5" s="109" t="s">
        <v>991</v>
      </c>
      <c r="AL5" s="109" t="s">
        <v>137</v>
      </c>
      <c r="AN5" s="228" t="s">
        <v>1059</v>
      </c>
      <c r="AO5" s="228" t="s">
        <v>1058</v>
      </c>
      <c r="AP5" s="228" t="s">
        <v>1061</v>
      </c>
    </row>
    <row r="6" spans="1:44" x14ac:dyDescent="0.2">
      <c r="A6" s="238">
        <f>Variables!F4</f>
        <v>100</v>
      </c>
      <c r="B6" s="85" t="s">
        <v>312</v>
      </c>
      <c r="C6" s="85" t="s">
        <v>1020</v>
      </c>
      <c r="D6" s="56"/>
      <c r="E6" s="56"/>
      <c r="I6" s="127"/>
      <c r="J6" s="127"/>
      <c r="K6" s="127"/>
      <c r="L6" s="128"/>
      <c r="V6" s="17">
        <f t="shared" ref="V6:V37" si="0">((SUM(B$24:B$26)*E24))*(L24*M24)</f>
        <v>-44182.417809042287</v>
      </c>
      <c r="W6" s="17">
        <f t="shared" ref="W6:W37" si="1">((B$27*G24))*(L24*M24)</f>
        <v>-4647.2036949993981</v>
      </c>
      <c r="X6" s="17">
        <f t="shared" ref="X6:X37" si="2">(((SUM(B$28,B$30:B$31,B$34,B$38,B$43,B$46:B$47,B$51:B$52,B$54,B$58,B$60,B$62:B$63)*H24))*(L24*M24))</f>
        <v>-278875.56465391757</v>
      </c>
      <c r="Y6" s="17">
        <f t="shared" ref="Y6:Y37" si="3">((SUM(B$29,B$32,B$35:B$37,B$42,B$44:B$45,B$50,B$53,B$56,B$59,B$61)*I24))*(L24*M24)</f>
        <v>-49114.005309344415</v>
      </c>
      <c r="Z6">
        <f t="shared" ref="Z6:Z37" si="4">((SUM(B$33,B$40,B$49,B$55,B$64)*J24))*(L24*M24)</f>
        <v>-3116.6355258984936</v>
      </c>
      <c r="AA6" s="17">
        <f>((SUM(B$39,B$41,B$48,B$57)*PSI_EtOH!K24))*(L24*M24)</f>
        <v>-8934.497080933952</v>
      </c>
      <c r="AB6" s="109" t="s">
        <v>979</v>
      </c>
      <c r="AC6" s="17">
        <f>SUM(B$24:B$26)</f>
        <v>2598965.7534730756</v>
      </c>
      <c r="AD6" s="221">
        <f>Variables!F55</f>
        <v>277800000000</v>
      </c>
      <c r="AE6" s="221">
        <f>AD6*$A$11</f>
        <v>8334000000000</v>
      </c>
      <c r="AF6" s="8">
        <f>AE6/$A$12</f>
        <v>1004.0963855421687</v>
      </c>
      <c r="AH6" s="8">
        <f t="shared" ref="AH6:AH37" si="5">((C$137*H137))*(M137*N137)</f>
        <v>-1657609.3700787402</v>
      </c>
      <c r="AI6" s="8">
        <f t="shared" ref="AI6:AI37" si="6">((C$138*I137))*(M137*N137)</f>
        <v>-688.7053605503595</v>
      </c>
      <c r="AJ6" s="8">
        <f t="shared" ref="AJ6:AJ37" si="7">((SUM(C$140:C$143,C$148:C$150)*J137))*(M137*N137)</f>
        <v>-6805.5248584538094</v>
      </c>
      <c r="AK6" s="8">
        <f t="shared" ref="AK6:AK37" si="8">((SUM(C$146:C$147,C$152:C$172)))*(F137*M137*N137)</f>
        <v>-11745.77851077683</v>
      </c>
      <c r="AL6" s="8">
        <f t="shared" ref="AL6:AL37" si="9">((SUM(C$144:C$145,C$151)*K137))*(M137*N137)</f>
        <v>-30.462930504611347</v>
      </c>
      <c r="AM6" s="109" t="s">
        <v>580</v>
      </c>
      <c r="AN6" s="8">
        <f>C$137</f>
        <v>8724259.8425196856</v>
      </c>
      <c r="AO6" s="8">
        <f>Variables!F66</f>
        <v>320000000000</v>
      </c>
      <c r="AP6" s="17">
        <f>AO6/$A$12</f>
        <v>38.554216867469883</v>
      </c>
    </row>
    <row r="7" spans="1:44" x14ac:dyDescent="0.2">
      <c r="A7" s="238">
        <f>Variables!F5</f>
        <v>10</v>
      </c>
      <c r="B7" s="85" t="s">
        <v>313</v>
      </c>
      <c r="C7" s="85" t="s">
        <v>1020</v>
      </c>
      <c r="D7" s="56"/>
      <c r="E7" s="56"/>
      <c r="I7" s="65"/>
      <c r="J7" s="65"/>
      <c r="K7" s="65"/>
      <c r="O7" s="80"/>
      <c r="P7" s="47"/>
      <c r="Q7" s="47"/>
      <c r="V7" s="17">
        <f t="shared" si="0"/>
        <v>-4418.241780904229</v>
      </c>
      <c r="W7" s="17">
        <f t="shared" si="1"/>
        <v>-464.72036949993981</v>
      </c>
      <c r="X7" s="17">
        <f t="shared" si="2"/>
        <v>-27887.556465391757</v>
      </c>
      <c r="Y7" s="17">
        <f t="shared" si="3"/>
        <v>-4911.4005309344411</v>
      </c>
      <c r="Z7">
        <f t="shared" si="4"/>
        <v>-311.66355258984936</v>
      </c>
      <c r="AA7" s="17">
        <f>((SUM(B$39,B$41,B$48,B$57)*PSI_EtOH!K25))*(L25*M25)</f>
        <v>-893.44970809339532</v>
      </c>
      <c r="AB7" s="109" t="s">
        <v>980</v>
      </c>
      <c r="AC7" s="17">
        <f>B$27</f>
        <v>357477.20730764599</v>
      </c>
      <c r="AD7" s="8">
        <f>Variables!F52</f>
        <v>1890000000</v>
      </c>
      <c r="AE7" s="221">
        <f t="shared" ref="AE7:AE11" si="10">AD7*$A$11</f>
        <v>56700000000</v>
      </c>
      <c r="AF7" s="8">
        <f t="shared" ref="AF7:AF11" si="11">AE7/$A$12</f>
        <v>6.831325301204819</v>
      </c>
      <c r="AH7" s="8">
        <f t="shared" si="5"/>
        <v>-1659354.222047244</v>
      </c>
      <c r="AI7" s="8">
        <f t="shared" si="6"/>
        <v>-68.870536055035956</v>
      </c>
      <c r="AJ7" s="8">
        <f t="shared" si="7"/>
        <v>-680.55248584538094</v>
      </c>
      <c r="AK7" s="8">
        <f t="shared" si="8"/>
        <v>-1174.5778510776831</v>
      </c>
      <c r="AL7" s="8">
        <f t="shared" si="9"/>
        <v>-3.0462930504611347</v>
      </c>
      <c r="AM7" s="109" t="s">
        <v>994</v>
      </c>
      <c r="AN7" s="8">
        <f>C$138</f>
        <v>62609.578231850865</v>
      </c>
      <c r="AO7" s="8">
        <f>Variables!F67</f>
        <v>78500000000</v>
      </c>
      <c r="AP7" s="17">
        <f t="shared" ref="AP7:AP10" si="12">AO7/$A$12</f>
        <v>9.4578313253012052</v>
      </c>
    </row>
    <row r="8" spans="1:44" x14ac:dyDescent="0.2">
      <c r="A8" s="238">
        <f>Variables!F6</f>
        <v>1</v>
      </c>
      <c r="B8" s="85" t="s">
        <v>316</v>
      </c>
      <c r="C8" s="85" t="s">
        <v>1020</v>
      </c>
      <c r="D8" s="56"/>
      <c r="E8" s="56"/>
      <c r="I8" s="8"/>
      <c r="J8" s="8"/>
      <c r="K8" s="8"/>
      <c r="O8" s="80"/>
      <c r="P8" s="47"/>
      <c r="R8" s="47"/>
      <c r="V8" s="17">
        <f t="shared" si="0"/>
        <v>-44442.314384389596</v>
      </c>
      <c r="W8" s="17">
        <f t="shared" si="1"/>
        <v>-4539.9605328071048</v>
      </c>
      <c r="X8" s="17">
        <f t="shared" si="2"/>
        <v>-275277.17027128639</v>
      </c>
      <c r="Y8" s="17">
        <f t="shared" si="3"/>
        <v>-47980.605186821085</v>
      </c>
      <c r="Z8">
        <f t="shared" si="4"/>
        <v>-3044.7131676085287</v>
      </c>
      <c r="AA8" s="17">
        <f>((SUM(B$39,B$41,B$48,B$57)*PSI_EtOH!K26))*(L26*M26)</f>
        <v>-8728.3163790662475</v>
      </c>
      <c r="AB8" s="109" t="s">
        <v>507</v>
      </c>
      <c r="AC8" s="17">
        <f>(SUM(B$28,B$30:B$31,B$34,B$38,B$43,B$46:B$47,B$51:B$52,B$54,B$58,B$60,B$62:B$63))</f>
        <v>8995985.9565779865</v>
      </c>
      <c r="AD8" s="8">
        <f>Variables!F49</f>
        <v>836200000000</v>
      </c>
      <c r="AE8" s="221">
        <f t="shared" si="10"/>
        <v>25086000000000</v>
      </c>
      <c r="AF8" s="8">
        <f t="shared" si="11"/>
        <v>3022.4096385542171</v>
      </c>
      <c r="AH8" s="8">
        <f t="shared" si="5"/>
        <v>-16591797.368503937</v>
      </c>
      <c r="AI8" s="8">
        <f t="shared" si="6"/>
        <v>-694.96631837354471</v>
      </c>
      <c r="AJ8" s="8">
        <f t="shared" si="7"/>
        <v>-6648.4742847971847</v>
      </c>
      <c r="AK8" s="8">
        <f t="shared" si="8"/>
        <v>-11745.77851077683</v>
      </c>
      <c r="AL8" s="8">
        <f t="shared" si="9"/>
        <v>-30.451130691468403</v>
      </c>
      <c r="AM8" s="109" t="s">
        <v>995</v>
      </c>
      <c r="AN8" s="8">
        <f>SUM(C$140:C$143,C$148:C$150)</f>
        <v>523501.91218875465</v>
      </c>
      <c r="AO8" s="8">
        <f>Variables!F68</f>
        <v>1190000000000</v>
      </c>
      <c r="AP8" s="17">
        <f t="shared" si="12"/>
        <v>143.37349397590361</v>
      </c>
    </row>
    <row r="9" spans="1:44" x14ac:dyDescent="0.2">
      <c r="A9" s="16">
        <f>PSI_OC!A9</f>
        <v>510949606.0462392</v>
      </c>
      <c r="B9" s="85" t="s">
        <v>27</v>
      </c>
      <c r="C9" s="85" t="s">
        <v>518</v>
      </c>
      <c r="D9" s="56"/>
      <c r="E9" s="56"/>
      <c r="V9" s="17">
        <f t="shared" si="0"/>
        <v>-44442.314384389596</v>
      </c>
      <c r="W9" s="17">
        <f t="shared" si="1"/>
        <v>-453352.59430755657</v>
      </c>
      <c r="X9" s="17">
        <f t="shared" si="2"/>
        <v>-275277.17027128639</v>
      </c>
      <c r="Y9" s="17">
        <f t="shared" si="3"/>
        <v>-4791260.1179469675</v>
      </c>
      <c r="Z9">
        <f t="shared" si="4"/>
        <v>-304039.78261111304</v>
      </c>
      <c r="AA9" s="17">
        <f>((SUM(B$39,B$41,B$48,B$57)*PSI_EtOH!K27))*(L27*M27)</f>
        <v>-871594.55369541841</v>
      </c>
      <c r="AB9" s="109" t="s">
        <v>981</v>
      </c>
      <c r="AC9" s="17">
        <f>(SUM(B$29,B$32,B$35:B$37,B$42,B$44:B$45,B$50,B$53,B$56,B$59,B$61))</f>
        <v>3778000.4084111089</v>
      </c>
      <c r="AD9" s="221">
        <f>Variables!F56</f>
        <v>24300000000</v>
      </c>
      <c r="AE9" s="221">
        <f t="shared" si="10"/>
        <v>729000000000</v>
      </c>
      <c r="AF9" s="8">
        <f t="shared" si="11"/>
        <v>87.831325301204814</v>
      </c>
      <c r="AH9" s="8">
        <f t="shared" si="5"/>
        <v>-165913611.55511814</v>
      </c>
      <c r="AI9" s="8">
        <f t="shared" si="6"/>
        <v>-69496.631837354464</v>
      </c>
      <c r="AJ9" s="8">
        <f t="shared" si="7"/>
        <v>-663905.12503777863</v>
      </c>
      <c r="AK9" s="8">
        <f t="shared" si="8"/>
        <v>-1178028.1735152239</v>
      </c>
      <c r="AL9" s="8">
        <f t="shared" si="9"/>
        <v>-3046.3818662589847</v>
      </c>
      <c r="AM9" s="109" t="s">
        <v>991</v>
      </c>
      <c r="AN9" s="8">
        <f>SUM(C$146:C$147,C$152:C$172)</f>
        <v>734111.15692355193</v>
      </c>
      <c r="AO9" s="8">
        <v>3200000000000</v>
      </c>
      <c r="AP9" s="17">
        <f t="shared" si="12"/>
        <v>385.54216867469881</v>
      </c>
    </row>
    <row r="10" spans="1:44" x14ac:dyDescent="0.2">
      <c r="A10" s="5">
        <v>6212833.29</v>
      </c>
      <c r="B10" s="85" t="s">
        <v>7</v>
      </c>
      <c r="C10" s="85" t="s">
        <v>205</v>
      </c>
      <c r="D10" s="56"/>
      <c r="E10" s="56"/>
      <c r="V10" s="17">
        <f t="shared" si="0"/>
        <v>-4449429.3699459061</v>
      </c>
      <c r="W10" s="17">
        <f t="shared" si="1"/>
        <v>-453281.09886609507</v>
      </c>
      <c r="X10" s="17">
        <f t="shared" si="2"/>
        <v>-2752771.7027128637</v>
      </c>
      <c r="Y10" s="17">
        <f t="shared" si="3"/>
        <v>-4790504.5178652862</v>
      </c>
      <c r="Z10">
        <f t="shared" si="4"/>
        <v>-303991.8343722531</v>
      </c>
      <c r="AA10" s="17">
        <f>((SUM(B$39,B$41,B$48,B$57)*PSI_EtOH!K28))*(L28*M28)</f>
        <v>-871457.09989417333</v>
      </c>
      <c r="AB10" s="109" t="s">
        <v>663</v>
      </c>
      <c r="AC10" s="17">
        <f>SUM(B$33,B$40,B$49,B$55,B$64)</f>
        <v>239741.19429988414</v>
      </c>
      <c r="AD10" s="8">
        <f>Variables!F48</f>
        <v>64400000000</v>
      </c>
      <c r="AE10" s="221">
        <f t="shared" si="10"/>
        <v>1932000000000</v>
      </c>
      <c r="AF10" s="8">
        <f t="shared" si="11"/>
        <v>232.77108433734941</v>
      </c>
      <c r="AH10" s="8">
        <f t="shared" si="5"/>
        <v>-16593542.22047244</v>
      </c>
      <c r="AI10" s="8">
        <f t="shared" si="6"/>
        <v>-69496.631837354464</v>
      </c>
      <c r="AJ10" s="8">
        <f t="shared" si="7"/>
        <v>-663800.42465534084</v>
      </c>
      <c r="AK10" s="8">
        <f t="shared" si="8"/>
        <v>-1178248.4068623006</v>
      </c>
      <c r="AL10" s="8">
        <f t="shared" si="9"/>
        <v>-3045.1130691468402</v>
      </c>
      <c r="AM10" s="109" t="s">
        <v>137</v>
      </c>
      <c r="AN10" s="8">
        <f>SUM(C$144:C$145,C$151)</f>
        <v>4229.3237071483891</v>
      </c>
      <c r="AO10" s="8">
        <f>Variables!F64</f>
        <v>332840000000</v>
      </c>
      <c r="AP10" s="17">
        <f t="shared" si="12"/>
        <v>40.101204819277108</v>
      </c>
    </row>
    <row r="11" spans="1:44" x14ac:dyDescent="0.2">
      <c r="A11" s="5">
        <v>30</v>
      </c>
      <c r="B11" s="85" t="s">
        <v>1056</v>
      </c>
      <c r="C11" s="85" t="s">
        <v>64</v>
      </c>
      <c r="D11" s="56"/>
      <c r="E11" s="56"/>
      <c r="V11" s="17">
        <f t="shared" si="0"/>
        <v>-44182.417809042287</v>
      </c>
      <c r="W11" s="17">
        <f t="shared" si="1"/>
        <v>-4533525.9430755656</v>
      </c>
      <c r="X11" s="17">
        <f t="shared" si="2"/>
        <v>-2752951622.4319954</v>
      </c>
      <c r="Y11" s="17">
        <f t="shared" si="3"/>
        <v>-47912601.179469682</v>
      </c>
      <c r="Z11">
        <f t="shared" si="4"/>
        <v>-3040397.8261111304</v>
      </c>
      <c r="AA11" s="17">
        <f>((SUM(B$39,B$41,B$48,B$57)*PSI_EtOH!K29))*(L29*M29)</f>
        <v>-8715945.536954185</v>
      </c>
      <c r="AB11" s="109" t="s">
        <v>982</v>
      </c>
      <c r="AC11" s="17">
        <f>(SUM(B$39,B$41,B$48,B$57))</f>
        <v>687269.00622568873</v>
      </c>
      <c r="AD11" s="8">
        <f>Variables!F53</f>
        <v>20800000000</v>
      </c>
      <c r="AE11" s="221">
        <f t="shared" si="10"/>
        <v>624000000000</v>
      </c>
      <c r="AF11" s="8">
        <f t="shared" si="11"/>
        <v>75.180722891566262</v>
      </c>
      <c r="AH11" s="8">
        <f t="shared" si="5"/>
        <v>-16593542.22047244</v>
      </c>
      <c r="AI11" s="8">
        <f t="shared" si="6"/>
        <v>-694966.31837354461</v>
      </c>
      <c r="AJ11" s="8">
        <f t="shared" si="7"/>
        <v>-6639051.2503777863</v>
      </c>
      <c r="AK11" s="8">
        <f t="shared" si="8"/>
        <v>-11780281.735152239</v>
      </c>
      <c r="AL11" s="8">
        <f t="shared" si="9"/>
        <v>-30463.818662589845</v>
      </c>
    </row>
    <row r="12" spans="1:44" x14ac:dyDescent="0.2">
      <c r="A12" s="238">
        <f>Variables!F9</f>
        <v>8300000000</v>
      </c>
      <c r="B12" s="85" t="s">
        <v>535</v>
      </c>
      <c r="C12" s="85" t="s">
        <v>1057</v>
      </c>
      <c r="D12" s="56"/>
      <c r="E12" s="56"/>
      <c r="V12" s="17">
        <f t="shared" si="0"/>
        <v>-44442.314384389596</v>
      </c>
      <c r="W12" s="17">
        <f t="shared" si="1"/>
        <v>-4533668.9339584894</v>
      </c>
      <c r="X12" s="17">
        <f t="shared" si="2"/>
        <v>-275277.17027128639</v>
      </c>
      <c r="Y12" s="17">
        <f t="shared" si="3"/>
        <v>-47980.605186821085</v>
      </c>
      <c r="Z12">
        <f t="shared" si="4"/>
        <v>-304039.78261111304</v>
      </c>
      <c r="AA12" s="17">
        <f>((SUM(B$39,B$41,B$48,B$57)*PSI_EtOH!K30))*(L30*M30)</f>
        <v>-8728.3163790662475</v>
      </c>
      <c r="AD12" s="109"/>
      <c r="AE12" s="17"/>
      <c r="AH12" s="8">
        <f t="shared" si="5"/>
        <v>-165913611.55511814</v>
      </c>
      <c r="AI12" s="8">
        <f t="shared" si="6"/>
        <v>-694991.36220483738</v>
      </c>
      <c r="AJ12" s="8">
        <f t="shared" si="7"/>
        <v>-66380.04246553409</v>
      </c>
      <c r="AK12" s="8">
        <f t="shared" si="8"/>
        <v>-11780061.501805162</v>
      </c>
      <c r="AL12" s="8">
        <f t="shared" si="9"/>
        <v>-30462.972797848419</v>
      </c>
      <c r="AO12" s="293"/>
    </row>
    <row r="13" spans="1:44" x14ac:dyDescent="0.2">
      <c r="A13" s="36"/>
      <c r="B13" s="56"/>
      <c r="C13" s="56"/>
      <c r="D13" s="56"/>
      <c r="E13" s="56"/>
      <c r="V13" s="17">
        <f t="shared" si="0"/>
        <v>-4418.241780904229</v>
      </c>
      <c r="W13" s="17">
        <f t="shared" si="1"/>
        <v>-464.72036949993981</v>
      </c>
      <c r="X13" s="17">
        <f t="shared" si="2"/>
        <v>-27887.556465391757</v>
      </c>
      <c r="Y13" s="17">
        <f t="shared" si="3"/>
        <v>-4911.4005309344411</v>
      </c>
      <c r="Z13">
        <f t="shared" si="4"/>
        <v>-311.66355258984936</v>
      </c>
      <c r="AA13" s="17">
        <f>((SUM(B$39,B$41,B$48,B$57)*PSI_EtOH!K31))*(L31*M31)</f>
        <v>-893.44970809339532</v>
      </c>
      <c r="AH13" s="8">
        <f t="shared" si="5"/>
        <v>-16591797.368503937</v>
      </c>
      <c r="AI13" s="8">
        <f t="shared" si="6"/>
        <v>-68.870536055035956</v>
      </c>
      <c r="AJ13" s="8">
        <f t="shared" si="7"/>
        <v>-680.55248584538094</v>
      </c>
      <c r="AK13" s="8">
        <f t="shared" si="8"/>
        <v>-1174.5778510776831</v>
      </c>
      <c r="AL13" s="8">
        <f t="shared" si="9"/>
        <v>-3.0462930504611347</v>
      </c>
    </row>
    <row r="14" spans="1:44" x14ac:dyDescent="0.2">
      <c r="A14" s="36"/>
      <c r="B14" s="56"/>
      <c r="C14" s="56"/>
      <c r="D14" s="56"/>
      <c r="E14" s="56"/>
      <c r="V14" s="17">
        <f t="shared" si="0"/>
        <v>-4418.241780904229</v>
      </c>
      <c r="W14" s="17">
        <f t="shared" si="1"/>
        <v>-464.72036949993981</v>
      </c>
      <c r="X14" s="17">
        <f t="shared" si="2"/>
        <v>-27887.556465391757</v>
      </c>
      <c r="Y14" s="17">
        <f t="shared" si="3"/>
        <v>-4911.4005309344411</v>
      </c>
      <c r="Z14">
        <f t="shared" si="4"/>
        <v>-311.66355258984936</v>
      </c>
      <c r="AA14" s="17">
        <f>((SUM(B$39,B$41,B$48,B$57)*PSI_EtOH!K32))*(L32*M32)</f>
        <v>-893.44970809339532</v>
      </c>
      <c r="AH14" s="8">
        <f t="shared" si="5"/>
        <v>-16591797.368503937</v>
      </c>
      <c r="AI14" s="8">
        <f t="shared" si="6"/>
        <v>-68.870536055035956</v>
      </c>
      <c r="AJ14" s="8">
        <f t="shared" si="7"/>
        <v>-680.55248584538094</v>
      </c>
      <c r="AK14" s="8">
        <f t="shared" si="8"/>
        <v>-1174.5778510776831</v>
      </c>
      <c r="AL14" s="8">
        <f t="shared" si="9"/>
        <v>-3.0462930504611347</v>
      </c>
    </row>
    <row r="15" spans="1:44" ht="16" thickBot="1" x14ac:dyDescent="0.25">
      <c r="V15" s="17">
        <f t="shared" si="0"/>
        <v>-444423.14384389593</v>
      </c>
      <c r="W15" s="17">
        <f t="shared" si="1"/>
        <v>0</v>
      </c>
      <c r="X15" s="17">
        <f t="shared" si="2"/>
        <v>-275295162.24319953</v>
      </c>
      <c r="Y15" s="17">
        <f t="shared" si="3"/>
        <v>0</v>
      </c>
      <c r="Z15">
        <f t="shared" si="4"/>
        <v>0</v>
      </c>
      <c r="AA15" s="17">
        <f>((SUM(B$39,B$41,B$48,B$57)*PSI_EtOH!K33))*(L33*M33)</f>
        <v>0</v>
      </c>
      <c r="AH15" s="8">
        <f t="shared" si="5"/>
        <v>0</v>
      </c>
      <c r="AI15" s="8">
        <f t="shared" si="6"/>
        <v>0</v>
      </c>
      <c r="AJ15" s="8">
        <f t="shared" si="7"/>
        <v>-6805.5248584538094</v>
      </c>
      <c r="AK15" s="8">
        <f t="shared" si="8"/>
        <v>0</v>
      </c>
      <c r="AL15" s="8">
        <f t="shared" si="9"/>
        <v>-304629.72797848418</v>
      </c>
    </row>
    <row r="16" spans="1:44" x14ac:dyDescent="0.2">
      <c r="A16" s="319" t="s">
        <v>655</v>
      </c>
      <c r="B16" s="320"/>
      <c r="C16" s="320"/>
      <c r="D16" s="320"/>
      <c r="E16" s="320"/>
      <c r="F16" s="320"/>
      <c r="G16" s="320"/>
      <c r="H16" s="320"/>
      <c r="I16" s="320"/>
      <c r="J16" s="320"/>
      <c r="K16" s="320"/>
      <c r="L16" s="320"/>
      <c r="M16" s="320"/>
      <c r="N16" s="320"/>
      <c r="O16" s="320"/>
      <c r="P16" s="320"/>
      <c r="Q16" s="320"/>
      <c r="R16" s="320"/>
      <c r="S16" s="320"/>
      <c r="T16" s="321"/>
      <c r="V16" s="17">
        <f t="shared" si="0"/>
        <v>-4449429.3699459061</v>
      </c>
      <c r="W16" s="17">
        <f t="shared" si="1"/>
        <v>0</v>
      </c>
      <c r="X16" s="17">
        <f t="shared" si="2"/>
        <v>-275295162.24319953</v>
      </c>
      <c r="Y16" s="17">
        <f t="shared" si="3"/>
        <v>0</v>
      </c>
      <c r="Z16">
        <f t="shared" si="4"/>
        <v>0</v>
      </c>
      <c r="AA16" s="17">
        <f>((SUM(B$39,B$41,B$48,B$57)*PSI_EtOH!K34))*(L34*M34)</f>
        <v>0</v>
      </c>
      <c r="AH16" s="8">
        <f t="shared" si="5"/>
        <v>0</v>
      </c>
      <c r="AI16" s="8">
        <f t="shared" si="6"/>
        <v>0</v>
      </c>
      <c r="AJ16" s="8">
        <f t="shared" si="7"/>
        <v>-6805.5248584538094</v>
      </c>
      <c r="AK16" s="8">
        <f t="shared" si="8"/>
        <v>0</v>
      </c>
      <c r="AL16" s="8">
        <f t="shared" si="9"/>
        <v>-304629.72797848418</v>
      </c>
    </row>
    <row r="17" spans="1:38" ht="16" thickBot="1" x14ac:dyDescent="0.25">
      <c r="A17" s="322"/>
      <c r="B17" s="323"/>
      <c r="C17" s="323"/>
      <c r="D17" s="323"/>
      <c r="E17" s="323"/>
      <c r="F17" s="323"/>
      <c r="G17" s="323"/>
      <c r="H17" s="323"/>
      <c r="I17" s="323"/>
      <c r="J17" s="323"/>
      <c r="K17" s="323"/>
      <c r="L17" s="323"/>
      <c r="M17" s="323"/>
      <c r="N17" s="323"/>
      <c r="O17" s="323"/>
      <c r="P17" s="323"/>
      <c r="Q17" s="323"/>
      <c r="R17" s="323"/>
      <c r="S17" s="323"/>
      <c r="T17" s="324"/>
      <c r="V17" s="17">
        <f t="shared" si="0"/>
        <v>0</v>
      </c>
      <c r="W17" s="17">
        <f t="shared" si="1"/>
        <v>0</v>
      </c>
      <c r="X17" s="17">
        <f t="shared" si="2"/>
        <v>0</v>
      </c>
      <c r="Y17" s="17">
        <f t="shared" si="3"/>
        <v>0</v>
      </c>
      <c r="Z17">
        <f t="shared" si="4"/>
        <v>0</v>
      </c>
      <c r="AA17" s="17">
        <f>((SUM(B$39,B$41,B$48,B$57)*PSI_EtOH!K35))*(L35*M35)</f>
        <v>0</v>
      </c>
      <c r="AD17" t="s">
        <v>1015</v>
      </c>
      <c r="AH17" s="8">
        <f t="shared" si="5"/>
        <v>0</v>
      </c>
      <c r="AI17" s="8">
        <f t="shared" si="6"/>
        <v>0</v>
      </c>
      <c r="AJ17" s="8">
        <f t="shared" si="7"/>
        <v>0</v>
      </c>
      <c r="AK17" s="8">
        <f t="shared" si="8"/>
        <v>0</v>
      </c>
      <c r="AL17" s="8">
        <f t="shared" si="9"/>
        <v>0</v>
      </c>
    </row>
    <row r="18" spans="1:38" x14ac:dyDescent="0.2">
      <c r="V18" s="17">
        <f t="shared" si="0"/>
        <v>445046.89562472946</v>
      </c>
      <c r="W18" s="17">
        <f t="shared" si="1"/>
        <v>45335.259430755657</v>
      </c>
      <c r="X18" s="17">
        <f t="shared" si="2"/>
        <v>2752951.6224319953</v>
      </c>
      <c r="Y18" s="17">
        <f t="shared" si="3"/>
        <v>479126.01179469679</v>
      </c>
      <c r="Z18">
        <f t="shared" si="4"/>
        <v>30403.978261111304</v>
      </c>
      <c r="AA18" s="17">
        <f>((SUM(B$39,B$41,B$48,B$57)*PSI_EtOH!K36))*(L36*M36)</f>
        <v>87159.455369541844</v>
      </c>
      <c r="AH18" s="8">
        <f t="shared" si="5"/>
        <v>16591361.155511813</v>
      </c>
      <c r="AI18" s="8">
        <f t="shared" si="6"/>
        <v>6949.6631837354462</v>
      </c>
      <c r="AJ18" s="8">
        <f t="shared" si="7"/>
        <v>66390.512503777863</v>
      </c>
      <c r="AK18" s="8">
        <f t="shared" si="8"/>
        <v>117802.81735152238</v>
      </c>
      <c r="AL18" s="8">
        <f t="shared" si="9"/>
        <v>304.63818662589847</v>
      </c>
    </row>
    <row r="19" spans="1:38" ht="15" customHeight="1" x14ac:dyDescent="0.2">
      <c r="A19" s="351" t="s">
        <v>657</v>
      </c>
      <c r="B19" s="351"/>
      <c r="C19" s="351"/>
      <c r="D19" s="351"/>
      <c r="E19" s="351"/>
      <c r="F19" s="351"/>
      <c r="G19" s="351"/>
      <c r="H19" s="351"/>
      <c r="I19" s="351"/>
      <c r="J19" s="351"/>
      <c r="K19" s="351"/>
      <c r="L19" s="351"/>
      <c r="M19" s="351"/>
      <c r="N19" s="351"/>
      <c r="O19" s="351"/>
      <c r="P19" s="351"/>
      <c r="Q19" s="351"/>
      <c r="R19" s="351"/>
      <c r="V19" s="17">
        <f t="shared" si="0"/>
        <v>-4418.241780904229</v>
      </c>
      <c r="W19" s="17">
        <f t="shared" si="1"/>
        <v>-464.72036949993981</v>
      </c>
      <c r="X19" s="17">
        <f t="shared" si="2"/>
        <v>-275295162.24319953</v>
      </c>
      <c r="Y19" s="17">
        <f t="shared" si="3"/>
        <v>-4911.4005309344411</v>
      </c>
      <c r="Z19">
        <f t="shared" si="4"/>
        <v>-311.66355258984936</v>
      </c>
      <c r="AA19" s="17">
        <f>((SUM(B$39,B$41,B$48,B$57)*PSI_EtOH!K37))*(L37*M37)</f>
        <v>-893.44970809339532</v>
      </c>
      <c r="AH19" s="8">
        <f t="shared" si="5"/>
        <v>-165760.93700787402</v>
      </c>
      <c r="AI19" s="8">
        <f t="shared" si="6"/>
        <v>-68.870536055035956</v>
      </c>
      <c r="AJ19" s="8">
        <f t="shared" si="7"/>
        <v>-680.55248584538094</v>
      </c>
      <c r="AK19" s="8">
        <f t="shared" si="8"/>
        <v>-1174.5778510776831</v>
      </c>
      <c r="AL19" s="8">
        <f t="shared" si="9"/>
        <v>-3.0462930504611347</v>
      </c>
    </row>
    <row r="20" spans="1:38" ht="15" customHeight="1" x14ac:dyDescent="0.2">
      <c r="A20" s="352"/>
      <c r="B20" s="352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2"/>
      <c r="P20" s="352"/>
      <c r="Q20" s="352"/>
      <c r="R20" s="352"/>
      <c r="V20" s="17">
        <f t="shared" si="0"/>
        <v>-4449429.3699459061</v>
      </c>
      <c r="W20" s="17">
        <f t="shared" si="1"/>
        <v>-4533525.9430755656</v>
      </c>
      <c r="X20" s="17">
        <f t="shared" si="2"/>
        <v>-275295162.24319953</v>
      </c>
      <c r="Y20" s="17">
        <f t="shared" si="3"/>
        <v>-47912601.179469682</v>
      </c>
      <c r="Z20">
        <f t="shared" si="4"/>
        <v>-3040397.8261111304</v>
      </c>
      <c r="AA20" s="17">
        <f>((SUM(B$39,B$41,B$48,B$57)*PSI_EtOH!K38))*(L38*M38)</f>
        <v>-8715945.536954185</v>
      </c>
      <c r="AH20" s="8">
        <f t="shared" si="5"/>
        <v>-16591369879.771656</v>
      </c>
      <c r="AI20" s="8">
        <f t="shared" si="6"/>
        <v>-694966.31837354461</v>
      </c>
      <c r="AJ20" s="8">
        <f t="shared" si="7"/>
        <v>-6639051.2503777863</v>
      </c>
      <c r="AK20" s="8">
        <f t="shared" si="8"/>
        <v>-11780281.735152239</v>
      </c>
      <c r="AL20" s="8">
        <f t="shared" si="9"/>
        <v>-30463.818662589845</v>
      </c>
    </row>
    <row r="21" spans="1:38" ht="15" customHeight="1" x14ac:dyDescent="0.2">
      <c r="A21" s="353" t="s">
        <v>8</v>
      </c>
      <c r="B21" s="354" t="s">
        <v>1023</v>
      </c>
      <c r="C21" s="353" t="s">
        <v>658</v>
      </c>
      <c r="D21" s="325" t="s">
        <v>661</v>
      </c>
      <c r="E21" s="326"/>
      <c r="F21" s="327"/>
      <c r="G21" s="79" t="s">
        <v>662</v>
      </c>
      <c r="H21" s="79" t="s">
        <v>507</v>
      </c>
      <c r="I21" s="78" t="s">
        <v>512</v>
      </c>
      <c r="J21" s="131" t="s">
        <v>663</v>
      </c>
      <c r="K21" s="131" t="s">
        <v>664</v>
      </c>
      <c r="L21" s="328" t="s">
        <v>421</v>
      </c>
      <c r="M21" s="329"/>
      <c r="N21" s="330"/>
      <c r="O21" s="334" t="s">
        <v>28</v>
      </c>
      <c r="P21" s="335"/>
      <c r="Q21" s="338" t="s">
        <v>420</v>
      </c>
      <c r="R21" s="339"/>
      <c r="V21" s="17">
        <f t="shared" si="0"/>
        <v>0</v>
      </c>
      <c r="W21" s="17">
        <f t="shared" si="1"/>
        <v>0</v>
      </c>
      <c r="X21" s="17">
        <f t="shared" si="2"/>
        <v>0</v>
      </c>
      <c r="Y21" s="17">
        <f t="shared" si="3"/>
        <v>0</v>
      </c>
      <c r="Z21">
        <f t="shared" si="4"/>
        <v>0</v>
      </c>
      <c r="AA21" s="17">
        <f>((SUM(B$39,B$41,B$48,B$57)*PSI_EtOH!K39))*(L39*M39)</f>
        <v>0</v>
      </c>
      <c r="AH21" s="8">
        <f t="shared" si="5"/>
        <v>0</v>
      </c>
      <c r="AI21" s="8">
        <f t="shared" si="6"/>
        <v>0</v>
      </c>
      <c r="AJ21" s="8">
        <f t="shared" si="7"/>
        <v>0</v>
      </c>
      <c r="AK21" s="8">
        <f t="shared" si="8"/>
        <v>0</v>
      </c>
      <c r="AL21" s="8">
        <f t="shared" si="9"/>
        <v>0</v>
      </c>
    </row>
    <row r="22" spans="1:38" x14ac:dyDescent="0.2">
      <c r="A22" s="353"/>
      <c r="B22" s="354"/>
      <c r="C22" s="353"/>
      <c r="D22" s="342" t="s">
        <v>660</v>
      </c>
      <c r="E22" s="343"/>
      <c r="F22" s="344"/>
      <c r="G22" s="134" t="s">
        <v>509</v>
      </c>
      <c r="H22" s="135" t="s">
        <v>506</v>
      </c>
      <c r="I22" s="1" t="s">
        <v>659</v>
      </c>
      <c r="J22" s="136" t="s">
        <v>502</v>
      </c>
      <c r="K22" s="137" t="s">
        <v>510</v>
      </c>
      <c r="L22" s="331"/>
      <c r="M22" s="332"/>
      <c r="N22" s="333"/>
      <c r="O22" s="336"/>
      <c r="P22" s="337"/>
      <c r="Q22" s="340"/>
      <c r="R22" s="341"/>
      <c r="V22" s="17">
        <f t="shared" si="0"/>
        <v>-444423.14384389593</v>
      </c>
      <c r="W22" s="17">
        <f t="shared" si="1"/>
        <v>-45399.605328071048</v>
      </c>
      <c r="X22" s="17">
        <f t="shared" si="2"/>
        <v>-2752771.7027128637</v>
      </c>
      <c r="Y22" s="17">
        <f t="shared" si="3"/>
        <v>-47912601.179469682</v>
      </c>
      <c r="Z22">
        <f t="shared" si="4"/>
        <v>-30447.131676085286</v>
      </c>
      <c r="AA22" s="17">
        <f>((SUM(B$39,B$41,B$48,B$57)*PSI_EtOH!K40))*(L40*M40)</f>
        <v>-87283.163790662482</v>
      </c>
      <c r="AH22" s="8">
        <f t="shared" si="5"/>
        <v>-16593542.22047244</v>
      </c>
      <c r="AI22" s="8">
        <f t="shared" si="6"/>
        <v>-6949.6631837354471</v>
      </c>
      <c r="AJ22" s="8">
        <f t="shared" si="7"/>
        <v>-66484.742847971851</v>
      </c>
      <c r="AK22" s="8">
        <f t="shared" si="8"/>
        <v>-117457.78510776832</v>
      </c>
      <c r="AL22" s="8">
        <f t="shared" si="9"/>
        <v>-304.51130691468404</v>
      </c>
    </row>
    <row r="23" spans="1:38" x14ac:dyDescent="0.2">
      <c r="A23" s="353"/>
      <c r="B23" s="354"/>
      <c r="C23" s="353"/>
      <c r="D23" s="6" t="s">
        <v>317</v>
      </c>
      <c r="E23" s="58" t="s">
        <v>319</v>
      </c>
      <c r="F23" s="58" t="s">
        <v>5</v>
      </c>
      <c r="G23" s="58" t="s">
        <v>319</v>
      </c>
      <c r="H23" s="58" t="s">
        <v>319</v>
      </c>
      <c r="I23" s="83" t="s">
        <v>319</v>
      </c>
      <c r="J23" s="58" t="s">
        <v>319</v>
      </c>
      <c r="K23" s="58" t="s">
        <v>319</v>
      </c>
      <c r="L23" s="64" t="s">
        <v>0</v>
      </c>
      <c r="M23" s="64" t="s">
        <v>499</v>
      </c>
      <c r="N23" s="64" t="s">
        <v>5</v>
      </c>
      <c r="O23" s="64" t="s">
        <v>0</v>
      </c>
      <c r="P23" s="58" t="s">
        <v>5</v>
      </c>
      <c r="Q23" s="64" t="s">
        <v>0</v>
      </c>
      <c r="R23" s="58" t="s">
        <v>5</v>
      </c>
      <c r="V23" s="17">
        <f t="shared" si="0"/>
        <v>0</v>
      </c>
      <c r="W23" s="17">
        <f t="shared" si="1"/>
        <v>0</v>
      </c>
      <c r="X23" s="17">
        <f t="shared" si="2"/>
        <v>0</v>
      </c>
      <c r="Y23" s="17">
        <f t="shared" si="3"/>
        <v>-47912601.179469682</v>
      </c>
      <c r="Z23">
        <f t="shared" si="4"/>
        <v>0</v>
      </c>
      <c r="AA23" s="17">
        <f>((SUM(B$39,B$41,B$48,B$57)*PSI_EtOH!K41))*(L41*M41)</f>
        <v>0</v>
      </c>
      <c r="AH23" s="8">
        <f t="shared" si="5"/>
        <v>0</v>
      </c>
      <c r="AI23" s="8">
        <f t="shared" si="6"/>
        <v>0</v>
      </c>
      <c r="AJ23" s="8">
        <f t="shared" si="7"/>
        <v>0</v>
      </c>
      <c r="AK23" s="8">
        <f t="shared" si="8"/>
        <v>0</v>
      </c>
      <c r="AL23" s="8">
        <f t="shared" si="9"/>
        <v>0</v>
      </c>
    </row>
    <row r="24" spans="1:38" x14ac:dyDescent="0.2">
      <c r="A24" s="20" t="s">
        <v>615</v>
      </c>
      <c r="B24" s="49">
        <v>415506.7400397922</v>
      </c>
      <c r="C24" s="132" t="s">
        <v>660</v>
      </c>
      <c r="D24" t="s">
        <v>225</v>
      </c>
      <c r="E24">
        <v>1.7000000000000001E-4</v>
      </c>
      <c r="F24" t="s">
        <v>338</v>
      </c>
      <c r="G24">
        <v>1.2999999999999999E-4</v>
      </c>
      <c r="H24">
        <v>3.1E-4</v>
      </c>
      <c r="I24">
        <v>1.2999999999999999E-4</v>
      </c>
      <c r="J24" s="88">
        <v>1.2999999999999999E-4</v>
      </c>
      <c r="K24">
        <v>1.2999999999999999E-4</v>
      </c>
      <c r="L24">
        <f>PSI_OC!$A$6</f>
        <v>100</v>
      </c>
      <c r="M24">
        <v>-1</v>
      </c>
      <c r="N24" t="s">
        <v>422</v>
      </c>
      <c r="O24" s="17">
        <f>((SUM(B$24:B$26)*E24)+(B$27*G24)+(SUM(B$28,B$30:B$31,B$34,B$38,B$43,B$46:B$47,B$51:B$52,B$54,B$58,B$60,B$62:B$63)*H24)+(SUM(B$29,B$32,B$35:B$37,B$42,B$44:B$45,B$50,B$53,B$56,B$59,B$61)*I24)+(SUM(B$33,B$40,B$49,B$55,B$64)*J24)+(SUM(B$39,B$41,B$48,B$57)*PSI_EtOH!K24))*(L24*M24)</f>
        <v>-388870.32407413615</v>
      </c>
      <c r="P24" t="s">
        <v>537</v>
      </c>
      <c r="Q24" s="17">
        <f>SUM(O24:O129)</f>
        <v>-15637004491.663231</v>
      </c>
      <c r="R24" t="s">
        <v>537</v>
      </c>
      <c r="V24" s="17">
        <f t="shared" si="0"/>
        <v>0</v>
      </c>
      <c r="W24" s="17">
        <f t="shared" si="1"/>
        <v>0</v>
      </c>
      <c r="X24" s="17">
        <f t="shared" si="2"/>
        <v>0</v>
      </c>
      <c r="Y24" s="17">
        <f t="shared" si="3"/>
        <v>0</v>
      </c>
      <c r="Z24">
        <f t="shared" si="4"/>
        <v>0</v>
      </c>
      <c r="AA24" s="17">
        <f>((SUM(B$39,B$41,B$48,B$57)*PSI_EtOH!K42))*(L42*M42)</f>
        <v>0</v>
      </c>
      <c r="AH24" s="8">
        <f t="shared" si="5"/>
        <v>0</v>
      </c>
      <c r="AI24" s="8">
        <f t="shared" si="6"/>
        <v>0</v>
      </c>
      <c r="AJ24" s="8">
        <f t="shared" si="7"/>
        <v>0</v>
      </c>
      <c r="AK24" s="8">
        <f t="shared" si="8"/>
        <v>0</v>
      </c>
      <c r="AL24" s="8">
        <f t="shared" si="9"/>
        <v>0</v>
      </c>
    </row>
    <row r="25" spans="1:38" x14ac:dyDescent="0.2">
      <c r="A25" s="24" t="s">
        <v>616</v>
      </c>
      <c r="B25" s="63">
        <v>2046067.4051047065</v>
      </c>
      <c r="C25" s="133" t="s">
        <v>660</v>
      </c>
      <c r="D25" t="s">
        <v>226</v>
      </c>
      <c r="E25">
        <v>1.7000000000000001E-4</v>
      </c>
      <c r="F25" t="s">
        <v>339</v>
      </c>
      <c r="G25">
        <v>1.2999999999999999E-4</v>
      </c>
      <c r="H25">
        <v>3.1E-4</v>
      </c>
      <c r="I25">
        <v>1.2999999999999999E-4</v>
      </c>
      <c r="J25" s="88">
        <v>1.2999999999999999E-4</v>
      </c>
      <c r="K25">
        <v>1.2999999999999999E-4</v>
      </c>
      <c r="L25">
        <f>PSI_OC!$A$7</f>
        <v>10</v>
      </c>
      <c r="M25">
        <v>-1</v>
      </c>
      <c r="N25" t="s">
        <v>423</v>
      </c>
      <c r="O25" s="17">
        <f>((SUM(B$24:B$26)*E25)+(B$27*G25)+(SUM(B$28,B$30:B$31,B$34,B$38,B$43,B$46:B$47,B$51:B$52,B$54,B$58,B$60,B$62:B$63)*H25)+(SUM(B$29,B$32,B$35:B$37,B$42,B$44:B$45,B$50,B$53,B$56,B$59,B$61)*I25)+(SUM(B$33,B$40,B$49,B$55,B$64)*J25)+(SUM(B$39,B$41,B$48,B$57)*PSI_EtOH!K25))*(L25*M25)</f>
        <v>-38887.032407413615</v>
      </c>
      <c r="P25" t="s">
        <v>537</v>
      </c>
      <c r="V25" s="17">
        <f t="shared" si="0"/>
        <v>0</v>
      </c>
      <c r="W25" s="17">
        <f t="shared" si="1"/>
        <v>0</v>
      </c>
      <c r="X25" s="17">
        <f t="shared" si="2"/>
        <v>0</v>
      </c>
      <c r="Y25" s="17">
        <f t="shared" si="3"/>
        <v>47905.045178652865</v>
      </c>
      <c r="Z25">
        <f t="shared" si="4"/>
        <v>0</v>
      </c>
      <c r="AA25" s="17">
        <f>((SUM(B$39,B$41,B$48,B$57)*PSI_EtOH!K43))*(L43*M43)</f>
        <v>0</v>
      </c>
      <c r="AH25" s="8">
        <f t="shared" si="5"/>
        <v>0</v>
      </c>
      <c r="AI25" s="8">
        <f t="shared" si="6"/>
        <v>0</v>
      </c>
      <c r="AJ25" s="8">
        <f t="shared" si="7"/>
        <v>0</v>
      </c>
      <c r="AK25" s="8">
        <f t="shared" si="8"/>
        <v>0</v>
      </c>
      <c r="AL25" s="8">
        <f t="shared" si="9"/>
        <v>0</v>
      </c>
    </row>
    <row r="26" spans="1:38" x14ac:dyDescent="0.2">
      <c r="A26" s="24" t="s">
        <v>617</v>
      </c>
      <c r="B26" s="63">
        <v>137391.60832857646</v>
      </c>
      <c r="C26" s="133" t="s">
        <v>660</v>
      </c>
      <c r="D26" t="s">
        <v>227</v>
      </c>
      <c r="E26">
        <v>1.7099999999999999E-3</v>
      </c>
      <c r="F26" t="s">
        <v>340</v>
      </c>
      <c r="G26">
        <v>1.2700000000000001E-3</v>
      </c>
      <c r="H26">
        <v>3.0599999999999998E-3</v>
      </c>
      <c r="I26">
        <v>1.2700000000000001E-3</v>
      </c>
      <c r="J26" s="88">
        <v>1.2700000000000001E-3</v>
      </c>
      <c r="K26">
        <v>1.2700000000000001E-3</v>
      </c>
      <c r="L26">
        <f>PSI_OC!$A$7</f>
        <v>10</v>
      </c>
      <c r="M26">
        <v>-1</v>
      </c>
      <c r="N26" t="s">
        <v>424</v>
      </c>
      <c r="O26" s="17">
        <f>((SUM(B$24:B$26)*E26)+(B$27*G26)+(SUM(B$28,B$30:B$31,B$34,B$38,B$43,B$46:B$47,B$51:B$52,B$54,B$58,B$60,B$62:B$63)*H26)+(SUM(B$29,B$32,B$35:B$37,B$42,B$44:B$45,B$50,B$53,B$56,B$59,B$61)*I26)+(SUM(B$33,B$40,B$49,B$55,B$64)*J26)+(SUM(B$39,B$41,B$48,B$57)*PSI_EtOH!K26))*(L26*M26)</f>
        <v>-384013.07992197888</v>
      </c>
      <c r="P26" t="s">
        <v>537</v>
      </c>
      <c r="V26" s="17">
        <f t="shared" si="0"/>
        <v>-44182.417809042287</v>
      </c>
      <c r="W26" s="17">
        <f t="shared" si="1"/>
        <v>-45336689.339584894</v>
      </c>
      <c r="X26" s="17">
        <f t="shared" si="2"/>
        <v>-2752771.7027128637</v>
      </c>
      <c r="Y26" s="17">
        <f t="shared" si="3"/>
        <v>-479141123.79633051</v>
      </c>
      <c r="Z26">
        <f t="shared" si="4"/>
        <v>-3040397.8261111304</v>
      </c>
      <c r="AA26" s="17">
        <f>((SUM(B$39,B$41,B$48,B$57)*PSI_EtOH!K44))*(L44*M44)</f>
        <v>-87162204.445566744</v>
      </c>
      <c r="AH26" s="8">
        <f t="shared" si="5"/>
        <v>-165917973.68503937</v>
      </c>
      <c r="AI26" s="8">
        <f t="shared" si="6"/>
        <v>-694966.31837354461</v>
      </c>
      <c r="AJ26" s="8">
        <f t="shared" si="7"/>
        <v>-663800.42465534084</v>
      </c>
      <c r="AK26" s="8">
        <f t="shared" si="8"/>
        <v>-117457.78510776832</v>
      </c>
      <c r="AL26" s="8">
        <f t="shared" si="9"/>
        <v>-3045.1130691468402</v>
      </c>
    </row>
    <row r="27" spans="1:38" x14ac:dyDescent="0.2">
      <c r="A27" s="24" t="s">
        <v>618</v>
      </c>
      <c r="B27" s="63">
        <v>357477.20730764599</v>
      </c>
      <c r="C27" s="134" t="s">
        <v>509</v>
      </c>
      <c r="D27" t="s">
        <v>228</v>
      </c>
      <c r="E27">
        <v>1.7099999999999999E-3</v>
      </c>
      <c r="F27" t="s">
        <v>341</v>
      </c>
      <c r="G27">
        <v>0.12681999999999999</v>
      </c>
      <c r="H27">
        <v>3.0599999999999998E-3</v>
      </c>
      <c r="I27">
        <v>0.12681999999999999</v>
      </c>
      <c r="J27" s="88">
        <v>0.12681999999999999</v>
      </c>
      <c r="K27">
        <v>0.12681999999999999</v>
      </c>
      <c r="L27">
        <f>PSI_OC!$A$7</f>
        <v>10</v>
      </c>
      <c r="M27">
        <v>-1</v>
      </c>
      <c r="N27" t="s">
        <v>425</v>
      </c>
      <c r="O27" s="17">
        <f>((SUM(B$24:B$26)*E27)+(B$27*G27)+(SUM(B$28,B$30:B$31,B$34,B$38,B$43,B$46:B$47,B$51:B$52,B$54,B$58,B$60,B$62:B$63)*H27)+(SUM(B$29,B$32,B$35:B$37,B$42,B$44:B$45,B$50,B$53,B$56,B$59,B$61)*I27)+(SUM(B$33,B$40,B$49,B$55,B$64)*J27)+(SUM(B$39,B$41,B$48,B$57)*PSI_EtOH!K27))*(L27*M27)</f>
        <v>-6739966.5332167326</v>
      </c>
      <c r="P27" t="s">
        <v>537</v>
      </c>
      <c r="V27" s="17">
        <f t="shared" si="0"/>
        <v>0</v>
      </c>
      <c r="W27" s="17">
        <f t="shared" si="1"/>
        <v>0</v>
      </c>
      <c r="X27" s="17">
        <f t="shared" si="2"/>
        <v>0</v>
      </c>
      <c r="Y27" s="17">
        <f t="shared" si="3"/>
        <v>0</v>
      </c>
      <c r="Z27">
        <f t="shared" si="4"/>
        <v>0</v>
      </c>
      <c r="AA27" s="17">
        <f>((SUM(B$39,B$41,B$48,B$57)*PSI_EtOH!K45))*(L45*M45)</f>
        <v>0</v>
      </c>
      <c r="AH27" s="8">
        <f t="shared" si="5"/>
        <v>0</v>
      </c>
      <c r="AI27" s="8">
        <f t="shared" si="6"/>
        <v>0</v>
      </c>
      <c r="AJ27" s="8">
        <f t="shared" si="7"/>
        <v>0</v>
      </c>
      <c r="AK27" s="8">
        <f t="shared" si="8"/>
        <v>0</v>
      </c>
      <c r="AL27" s="8">
        <f t="shared" si="9"/>
        <v>0</v>
      </c>
    </row>
    <row r="28" spans="1:38" x14ac:dyDescent="0.2">
      <c r="A28" s="24" t="s">
        <v>619</v>
      </c>
      <c r="B28" s="63">
        <v>973431.58475581906</v>
      </c>
      <c r="C28" s="135" t="s">
        <v>506</v>
      </c>
      <c r="D28" t="s">
        <v>229</v>
      </c>
      <c r="E28">
        <v>1.712E-2</v>
      </c>
      <c r="F28" t="s">
        <v>342</v>
      </c>
      <c r="G28">
        <v>1.268E-2</v>
      </c>
      <c r="H28">
        <v>3.0599999999999998E-3</v>
      </c>
      <c r="I28">
        <v>1.268E-2</v>
      </c>
      <c r="J28" s="88">
        <v>1.268E-2</v>
      </c>
      <c r="K28">
        <v>1.268E-2</v>
      </c>
      <c r="L28">
        <f>PSI_OC!$A$6</f>
        <v>100</v>
      </c>
      <c r="M28">
        <v>-1</v>
      </c>
      <c r="N28" t="s">
        <v>426</v>
      </c>
      <c r="O28" s="17">
        <f>((SUM(B$24:B$26)*E28)+(B$27*G28)+(SUM(B$28,B$30:B$31,B$34,B$38,B$43,B$46:B$47,B$51:B$52,B$54,B$58,B$60,B$62:B$63)*H28)+(SUM(B$29,B$32,B$35:B$37,B$42,B$44:B$45,B$50,B$53,B$56,B$59,B$61)*I28)+(SUM(B$33,B$40,B$49,B$55,B$64)*J28)+(SUM(B$39,B$41,B$48,B$57)*PSI_EtOH!K28))*(L28*M28)</f>
        <v>-13621435.623656576</v>
      </c>
      <c r="P28" t="s">
        <v>537</v>
      </c>
      <c r="V28" s="17">
        <f t="shared" si="0"/>
        <v>-44442.314384389596</v>
      </c>
      <c r="W28" s="17">
        <f t="shared" si="1"/>
        <v>-464.72036949993981</v>
      </c>
      <c r="X28" s="17">
        <f t="shared" si="2"/>
        <v>-27529516.224319953</v>
      </c>
      <c r="Y28" s="17">
        <f t="shared" si="3"/>
        <v>-4911.4005309344411</v>
      </c>
      <c r="Z28">
        <f t="shared" si="4"/>
        <v>-3044.7131676085287</v>
      </c>
      <c r="AA28" s="17">
        <f>((SUM(B$39,B$41,B$48,B$57)*PSI_EtOH!K46))*(L46*M46)</f>
        <v>-893.44970809339532</v>
      </c>
      <c r="AH28" s="8">
        <f t="shared" si="5"/>
        <v>-165760.93700787402</v>
      </c>
      <c r="AI28" s="8">
        <f t="shared" si="6"/>
        <v>-694.96631837354471</v>
      </c>
      <c r="AJ28" s="8">
        <f t="shared" si="7"/>
        <v>-680.55248584538094</v>
      </c>
      <c r="AK28" s="8">
        <f t="shared" si="8"/>
        <v>-1174.5778510776831</v>
      </c>
      <c r="AL28" s="8">
        <f t="shared" si="9"/>
        <v>-3.0462930504611347</v>
      </c>
    </row>
    <row r="29" spans="1:38" x14ac:dyDescent="0.2">
      <c r="A29" s="24" t="s">
        <v>620</v>
      </c>
      <c r="B29" s="63">
        <v>70046.490689342958</v>
      </c>
      <c r="C29" s="1" t="s">
        <v>659</v>
      </c>
      <c r="D29" t="s">
        <v>230</v>
      </c>
      <c r="E29">
        <v>1.7000000000000001E-4</v>
      </c>
      <c r="F29" t="s">
        <v>343</v>
      </c>
      <c r="G29">
        <v>0.12681999999999999</v>
      </c>
      <c r="H29">
        <v>3.0602</v>
      </c>
      <c r="I29">
        <v>0.12681999999999999</v>
      </c>
      <c r="J29" s="88">
        <v>0.12681999999999999</v>
      </c>
      <c r="K29">
        <v>0.12681999999999999</v>
      </c>
      <c r="L29">
        <f>PSI_OC!$A$6</f>
        <v>100</v>
      </c>
      <c r="M29">
        <v>-1</v>
      </c>
      <c r="N29" t="s">
        <v>427</v>
      </c>
      <c r="O29" s="17">
        <f>((SUM(B$24:B$26)*E29)+(B$27*G29)+(SUM(B$28,B$30:B$31,B$34,B$38,B$43,B$46:B$47,B$51:B$52,B$54,B$58,B$60,B$62:B$63)*H29)+(SUM(B$29,B$32,B$35:B$37,B$42,B$44:B$45,B$50,B$53,B$56,B$59,B$61)*I29)+(SUM(B$33,B$40,B$49,B$55,B$64)*J29)+(SUM(B$39,B$41,B$48,B$57)*PSI_EtOH!K29))*(L29*M29)</f>
        <v>-2817198275.3354149</v>
      </c>
      <c r="P29" t="s">
        <v>537</v>
      </c>
      <c r="V29" s="17">
        <f t="shared" si="0"/>
        <v>-44505729.148774333</v>
      </c>
      <c r="W29" s="17">
        <f t="shared" si="1"/>
        <v>-45328.109886609513</v>
      </c>
      <c r="X29" s="17">
        <f t="shared" si="2"/>
        <v>-2752771.7027128637</v>
      </c>
      <c r="Y29" s="17">
        <f t="shared" si="3"/>
        <v>-479050.45178652863</v>
      </c>
      <c r="Z29">
        <f t="shared" si="4"/>
        <v>-30399.183437225311</v>
      </c>
      <c r="AA29" s="17">
        <f>((SUM(B$39,B$41,B$48,B$57)*PSI_EtOH!K47))*(L47*M47)</f>
        <v>-87145.709989417344</v>
      </c>
      <c r="AH29" s="8">
        <f t="shared" si="5"/>
        <v>-165913611.55511814</v>
      </c>
      <c r="AI29" s="8">
        <f t="shared" si="6"/>
        <v>-6949.6631837354462</v>
      </c>
      <c r="AJ29" s="8">
        <f t="shared" si="7"/>
        <v>-66380.04246553409</v>
      </c>
      <c r="AK29" s="8">
        <f t="shared" si="8"/>
        <v>-117824.84068623006</v>
      </c>
      <c r="AL29" s="8">
        <f t="shared" si="9"/>
        <v>-304.51130691468398</v>
      </c>
    </row>
    <row r="30" spans="1:38" x14ac:dyDescent="0.2">
      <c r="A30" s="24" t="s">
        <v>621</v>
      </c>
      <c r="B30" s="63">
        <v>265923.82030041702</v>
      </c>
      <c r="C30" s="135" t="s">
        <v>506</v>
      </c>
      <c r="D30" t="s">
        <v>231</v>
      </c>
      <c r="E30">
        <v>1.7099999999999999E-3</v>
      </c>
      <c r="F30" t="s">
        <v>344</v>
      </c>
      <c r="G30">
        <v>1.26824</v>
      </c>
      <c r="H30">
        <v>3.0599999999999998E-3</v>
      </c>
      <c r="I30">
        <v>1.2700000000000001E-3</v>
      </c>
      <c r="J30" s="88">
        <v>0.12681999999999999</v>
      </c>
      <c r="K30">
        <v>1.2700000000000001E-3</v>
      </c>
      <c r="L30">
        <f>PSI_OC!$A$7</f>
        <v>10</v>
      </c>
      <c r="M30">
        <v>-1</v>
      </c>
      <c r="N30" t="s">
        <v>428</v>
      </c>
      <c r="O30" s="17">
        <f>((SUM(B$24:B$26)*E30)+(B$27*G30)+(SUM(B$28,B$30:B$31,B$34,B$38,B$43,B$46:B$47,B$51:B$52,B$54,B$58,B$60,B$62:B$63)*H30)+(SUM(B$29,B$32,B$35:B$37,B$42,B$44:B$45,B$50,B$53,B$56,B$59,B$61)*I30)+(SUM(B$33,B$40,B$49,B$55,B$64)*J30)+(SUM(B$39,B$41,B$48,B$57)*PSI_EtOH!K30))*(L30*M30)</f>
        <v>-5214137.1227911655</v>
      </c>
      <c r="P30" t="s">
        <v>537</v>
      </c>
      <c r="V30" s="17">
        <f t="shared" si="0"/>
        <v>-444942.93699459056</v>
      </c>
      <c r="W30" s="17">
        <f t="shared" si="1"/>
        <v>-4533668.9339584894</v>
      </c>
      <c r="X30" s="17">
        <f t="shared" si="2"/>
        <v>-27887.556465391757</v>
      </c>
      <c r="Y30" s="17">
        <f t="shared" si="3"/>
        <v>-47914112.379633047</v>
      </c>
      <c r="Z30">
        <f t="shared" si="4"/>
        <v>-3040493.7225888507</v>
      </c>
      <c r="AA30" s="17">
        <f>((SUM(B$39,B$41,B$48,B$57)*PSI_EtOH!K48))*(L48*M48)</f>
        <v>-8716220.4445566759</v>
      </c>
      <c r="AH30" s="8">
        <f t="shared" si="5"/>
        <v>-1659136987.9771657</v>
      </c>
      <c r="AI30" s="8">
        <f t="shared" si="6"/>
        <v>-694991.36220483738</v>
      </c>
      <c r="AJ30" s="8">
        <f t="shared" si="7"/>
        <v>-6639260.6511426624</v>
      </c>
      <c r="AK30" s="8">
        <f t="shared" si="8"/>
        <v>-11780061.501805162</v>
      </c>
      <c r="AL30" s="8">
        <f t="shared" si="9"/>
        <v>-30462.972797848419</v>
      </c>
    </row>
    <row r="31" spans="1:38" x14ac:dyDescent="0.2">
      <c r="A31" s="24" t="s">
        <v>622</v>
      </c>
      <c r="B31" s="63">
        <v>144134.71783296726</v>
      </c>
      <c r="C31" s="135" t="s">
        <v>506</v>
      </c>
      <c r="D31" t="s">
        <v>232</v>
      </c>
      <c r="E31">
        <v>1.7000000000000001E-4</v>
      </c>
      <c r="F31" t="s">
        <v>345</v>
      </c>
      <c r="G31">
        <v>1.2999999999999999E-4</v>
      </c>
      <c r="H31">
        <v>3.1E-4</v>
      </c>
      <c r="I31">
        <v>1.2999999999999999E-4</v>
      </c>
      <c r="J31" s="88">
        <v>1.2999999999999999E-4</v>
      </c>
      <c r="K31">
        <v>1.2999999999999999E-4</v>
      </c>
      <c r="L31">
        <f>PSI_OC!$A$7</f>
        <v>10</v>
      </c>
      <c r="M31">
        <v>-1</v>
      </c>
      <c r="N31" t="s">
        <v>429</v>
      </c>
      <c r="O31" s="17">
        <f>((SUM(B$24:B$26)*E31)+(B$27*G31)+(SUM(B$28,B$30:B$31,B$34,B$38,B$43,B$46:B$47,B$51:B$52,B$54,B$58,B$60,B$62:B$63)*H31)+(SUM(B$29,B$32,B$35:B$37,B$42,B$44:B$45,B$50,B$53,B$56,B$59,B$61)*I31)+(SUM(B$33,B$40,B$49,B$55,B$64)*J31)+(SUM(B$39,B$41,B$48,B$57)*PSI_EtOH!K31))*(L31*M31)</f>
        <v>-38887.032407413615</v>
      </c>
      <c r="P31" t="s">
        <v>537</v>
      </c>
      <c r="V31" s="17">
        <f t="shared" si="0"/>
        <v>-4450468.9562472943</v>
      </c>
      <c r="W31" s="17">
        <f t="shared" si="1"/>
        <v>-4533668.9339584894</v>
      </c>
      <c r="X31" s="17">
        <f t="shared" si="2"/>
        <v>-27529516.224319953</v>
      </c>
      <c r="Y31" s="17">
        <f t="shared" si="3"/>
        <v>-47914112.379633047</v>
      </c>
      <c r="Z31">
        <f t="shared" si="4"/>
        <v>-3040493.7225888507</v>
      </c>
      <c r="AA31" s="17">
        <f>((SUM(B$39,B$41,B$48,B$57)*PSI_EtOH!K49))*(L49*M49)</f>
        <v>-8716220.4445566759</v>
      </c>
      <c r="AH31" s="8">
        <f t="shared" si="5"/>
        <v>-16591797.368503937</v>
      </c>
      <c r="AI31" s="8">
        <f t="shared" si="6"/>
        <v>-694991.36220483738</v>
      </c>
      <c r="AJ31" s="8">
        <f t="shared" si="7"/>
        <v>-6639260.6511426624</v>
      </c>
      <c r="AK31" s="8">
        <f t="shared" si="8"/>
        <v>-11780061.501805162</v>
      </c>
      <c r="AL31" s="8">
        <f t="shared" si="9"/>
        <v>-30462.972797848419</v>
      </c>
    </row>
    <row r="32" spans="1:38" x14ac:dyDescent="0.2">
      <c r="A32" s="24" t="s">
        <v>623</v>
      </c>
      <c r="B32" s="63">
        <v>447467.91036869015</v>
      </c>
      <c r="C32" s="1" t="s">
        <v>659</v>
      </c>
      <c r="D32" t="s">
        <v>233</v>
      </c>
      <c r="E32">
        <v>1.7000000000000001E-4</v>
      </c>
      <c r="F32" t="s">
        <v>345</v>
      </c>
      <c r="G32">
        <v>1.2999999999999999E-4</v>
      </c>
      <c r="H32">
        <v>3.1E-4</v>
      </c>
      <c r="I32">
        <v>1.2999999999999999E-4</v>
      </c>
      <c r="J32" s="88">
        <v>1.2999999999999999E-4</v>
      </c>
      <c r="K32">
        <v>1.2999999999999999E-4</v>
      </c>
      <c r="L32">
        <f>PSI_OC!$A$7</f>
        <v>10</v>
      </c>
      <c r="M32">
        <v>-1</v>
      </c>
      <c r="N32" t="s">
        <v>429</v>
      </c>
      <c r="O32" s="17">
        <f>((SUM(B$24:B$26)*E32)+(B$27*G32)+(SUM(B$28,B$30:B$31,B$34,B$38,B$43,B$46:B$47,B$51:B$52,B$54,B$58,B$60,B$62:B$63)*H32)+(SUM(B$29,B$32,B$35:B$37,B$42,B$44:B$45,B$50,B$53,B$56,B$59,B$61)*I32)+(SUM(B$33,B$40,B$49,B$55,B$64)*J32)+(SUM(B$39,B$41,B$48,B$57)*PSI_EtOH!K32))*(L32*M32)</f>
        <v>-38887.032407413615</v>
      </c>
      <c r="P32" t="s">
        <v>537</v>
      </c>
      <c r="V32" s="17">
        <f t="shared" si="0"/>
        <v>-4450468.9562472943</v>
      </c>
      <c r="W32" s="17">
        <f t="shared" si="1"/>
        <v>-4533668.9339584894</v>
      </c>
      <c r="X32" s="17">
        <f t="shared" si="2"/>
        <v>-2752771.7027128637</v>
      </c>
      <c r="Y32" s="17">
        <f t="shared" si="3"/>
        <v>-47914112.379633047</v>
      </c>
      <c r="Z32">
        <f t="shared" si="4"/>
        <v>-3040493.7225888507</v>
      </c>
      <c r="AA32" s="17">
        <f>((SUM(B$39,B$41,B$48,B$57)*PSI_EtOH!K50))*(L50*M50)</f>
        <v>-8716220.4445566759</v>
      </c>
      <c r="AH32" s="8">
        <f t="shared" si="5"/>
        <v>-165913611.55511814</v>
      </c>
      <c r="AI32" s="8">
        <f t="shared" si="6"/>
        <v>-694991.36220483738</v>
      </c>
      <c r="AJ32" s="8">
        <f t="shared" si="7"/>
        <v>-6639260.6511426624</v>
      </c>
      <c r="AK32" s="8">
        <f t="shared" si="8"/>
        <v>-11780061.501805162</v>
      </c>
      <c r="AL32" s="8">
        <f t="shared" si="9"/>
        <v>-30462.972797848419</v>
      </c>
    </row>
    <row r="33" spans="1:38" x14ac:dyDescent="0.2">
      <c r="A33" s="24" t="s">
        <v>624</v>
      </c>
      <c r="B33" s="63">
        <v>99684.683592088943</v>
      </c>
      <c r="C33" s="136" t="s">
        <v>502</v>
      </c>
      <c r="D33" t="s">
        <v>320</v>
      </c>
      <c r="E33">
        <v>1.7099999999999999E-3</v>
      </c>
      <c r="F33" t="s">
        <v>344</v>
      </c>
      <c r="G33">
        <v>0</v>
      </c>
      <c r="H33">
        <v>0.30602000000000001</v>
      </c>
      <c r="I33">
        <v>0</v>
      </c>
      <c r="J33" s="88">
        <v>0</v>
      </c>
      <c r="K33">
        <v>0</v>
      </c>
      <c r="L33">
        <f>PSI_OC!$A$6</f>
        <v>100</v>
      </c>
      <c r="M33">
        <v>-1</v>
      </c>
      <c r="N33" t="s">
        <v>428</v>
      </c>
      <c r="O33" s="17">
        <f>((SUM(B$24:B$26)*E33)+(B$27*G33)+(SUM(B$28,B$30:B$31,B$34,B$38,B$43,B$46:B$47,B$51:B$52,B$54,B$58,B$60,B$62:B$63)*H33)+(SUM(B$29,B$32,B$35:B$37,B$42,B$44:B$45,B$50,B$53,B$56,B$59,B$61)*I33)+(SUM(B$33,B$40,B$49,B$55,B$64)*J33)+(SUM(B$39,B$41,B$48,B$57)*PSI_EtOH!K33))*(L33*M33)</f>
        <v>-275739585.38704342</v>
      </c>
      <c r="P33" t="s">
        <v>537</v>
      </c>
      <c r="V33" s="17">
        <f t="shared" si="0"/>
        <v>-4418.241780904229</v>
      </c>
      <c r="W33" s="17">
        <f t="shared" si="1"/>
        <v>-453352.59430755657</v>
      </c>
      <c r="X33" s="17">
        <f t="shared" si="2"/>
        <v>-27887.556465391757</v>
      </c>
      <c r="Y33" s="17">
        <f t="shared" si="3"/>
        <v>-4791260.1179469675</v>
      </c>
      <c r="Z33">
        <f t="shared" si="4"/>
        <v>-304039.78261111304</v>
      </c>
      <c r="AA33" s="17">
        <f>((SUM(B$39,B$41,B$48,B$57)*PSI_EtOH!K51))*(L51*M51)</f>
        <v>-871594.55369541841</v>
      </c>
      <c r="AH33" s="8">
        <f t="shared" si="5"/>
        <v>-1659136987.9771657</v>
      </c>
      <c r="AI33" s="8">
        <f t="shared" si="6"/>
        <v>-69496.631837354464</v>
      </c>
      <c r="AJ33" s="8">
        <f t="shared" si="7"/>
        <v>-663905.12503777863</v>
      </c>
      <c r="AK33" s="8">
        <f t="shared" si="8"/>
        <v>-1178028.1735152239</v>
      </c>
      <c r="AL33" s="8">
        <f t="shared" si="9"/>
        <v>-3046.3818662589847</v>
      </c>
    </row>
    <row r="34" spans="1:38" x14ac:dyDescent="0.2">
      <c r="A34" s="24" t="s">
        <v>625</v>
      </c>
      <c r="B34" s="63">
        <v>68299.980418446969</v>
      </c>
      <c r="C34" s="135" t="s">
        <v>506</v>
      </c>
      <c r="D34" t="s">
        <v>321</v>
      </c>
      <c r="E34">
        <v>1.712E-2</v>
      </c>
      <c r="F34" t="s">
        <v>344</v>
      </c>
      <c r="G34">
        <v>0</v>
      </c>
      <c r="H34">
        <v>0.30602000000000001</v>
      </c>
      <c r="I34">
        <v>0</v>
      </c>
      <c r="J34" s="88">
        <v>0</v>
      </c>
      <c r="K34">
        <v>0</v>
      </c>
      <c r="L34">
        <f>PSI_OC!$A$6</f>
        <v>100</v>
      </c>
      <c r="M34">
        <v>-1</v>
      </c>
      <c r="N34" t="s">
        <v>428</v>
      </c>
      <c r="O34" s="17">
        <f>((SUM(B$24:B$26)*E34)+(B$27*G34)+(SUM(B$28,B$30:B$31,B$34,B$38,B$43,B$46:B$47,B$51:B$52,B$54,B$58,B$60,B$62:B$63)*H34)+(SUM(B$29,B$32,B$35:B$37,B$42,B$44:B$45,B$50,B$53,B$56,B$59,B$61)*I34)+(SUM(B$33,B$40,B$49,B$55,B$64)*J34)+(SUM(B$39,B$41,B$48,B$57)*PSI_EtOH!K34))*(L34*M34)</f>
        <v>-279744591.61314547</v>
      </c>
      <c r="P34" t="s">
        <v>537</v>
      </c>
      <c r="V34" s="17">
        <f t="shared" si="0"/>
        <v>-444423.14384389593</v>
      </c>
      <c r="W34" s="17">
        <f t="shared" si="1"/>
        <v>-45399.605328071048</v>
      </c>
      <c r="X34" s="17">
        <f t="shared" si="2"/>
        <v>-2752771.7027128637</v>
      </c>
      <c r="Y34" s="17">
        <f t="shared" si="3"/>
        <v>-479806.05186821084</v>
      </c>
      <c r="Z34">
        <f t="shared" si="4"/>
        <v>-30447.131676085286</v>
      </c>
      <c r="AA34" s="17">
        <f>((SUM(B$39,B$41,B$48,B$57)*PSI_EtOH!K52))*(L52*M52)</f>
        <v>-87283.163790662482</v>
      </c>
      <c r="AH34" s="8">
        <f t="shared" si="5"/>
        <v>-16593542.22047244</v>
      </c>
      <c r="AI34" s="8">
        <f t="shared" si="6"/>
        <v>-6949.6631837354471</v>
      </c>
      <c r="AJ34" s="8">
        <f t="shared" si="7"/>
        <v>-66484.742847971851</v>
      </c>
      <c r="AK34" s="8">
        <f t="shared" si="8"/>
        <v>-117457.78510776832</v>
      </c>
      <c r="AL34" s="8">
        <f t="shared" si="9"/>
        <v>-304.51130691468404</v>
      </c>
    </row>
    <row r="35" spans="1:38" x14ac:dyDescent="0.2">
      <c r="A35" s="24" t="s">
        <v>626</v>
      </c>
      <c r="B35" s="63">
        <v>86218.365066465529</v>
      </c>
      <c r="C35" s="1" t="s">
        <v>659</v>
      </c>
      <c r="D35" t="s">
        <v>234</v>
      </c>
      <c r="E35">
        <v>1.712E-2</v>
      </c>
      <c r="F35" t="s">
        <v>344</v>
      </c>
      <c r="G35">
        <v>0</v>
      </c>
      <c r="H35">
        <v>0.30602000000000001</v>
      </c>
      <c r="I35">
        <v>0</v>
      </c>
      <c r="J35" s="88">
        <v>0</v>
      </c>
      <c r="K35">
        <v>0</v>
      </c>
      <c r="L35">
        <v>0</v>
      </c>
      <c r="M35">
        <v>0</v>
      </c>
      <c r="N35" t="s">
        <v>428</v>
      </c>
      <c r="O35" s="17">
        <f>((SUM(B$24:B$26)*E35)+(B$27*G35)+(SUM(B$28,B$30:B$31,B$34,B$38,B$43,B$46:B$47,B$51:B$52,B$54,B$58,B$60,B$62:B$63)*H35)+(SUM(B$29,B$32,B$35:B$37,B$42,B$44:B$45,B$50,B$53,B$56,B$59,B$61)*I35)+(SUM(B$33,B$40,B$49,B$55,B$64)*J35)+(SUM(B$39,B$41,B$48,B$57)*PSI_EtOH!K35))*(L35*M35)</f>
        <v>0</v>
      </c>
      <c r="P35" t="s">
        <v>537</v>
      </c>
      <c r="V35" s="17">
        <f t="shared" si="0"/>
        <v>-444423.14384389593</v>
      </c>
      <c r="W35" s="17">
        <f t="shared" si="1"/>
        <v>-45399.605328071048</v>
      </c>
      <c r="X35" s="17">
        <f t="shared" si="2"/>
        <v>-2752771.7027128637</v>
      </c>
      <c r="Y35" s="17">
        <f t="shared" si="3"/>
        <v>-479806.05186821084</v>
      </c>
      <c r="Z35">
        <f t="shared" si="4"/>
        <v>-30447.131676085286</v>
      </c>
      <c r="AA35" s="17">
        <f>((SUM(B$39,B$41,B$48,B$57)*PSI_EtOH!K53))*(L53*M53)</f>
        <v>-87283.163790662482</v>
      </c>
      <c r="AH35" s="8">
        <f t="shared" si="5"/>
        <v>-16593542.22047244</v>
      </c>
      <c r="AI35" s="8">
        <f t="shared" si="6"/>
        <v>-6949.6631837354471</v>
      </c>
      <c r="AJ35" s="8">
        <f t="shared" si="7"/>
        <v>-66484.742847971851</v>
      </c>
      <c r="AK35" s="8">
        <f t="shared" si="8"/>
        <v>-117457.78510776832</v>
      </c>
      <c r="AL35" s="8">
        <f t="shared" si="9"/>
        <v>-304.51130691468404</v>
      </c>
    </row>
    <row r="36" spans="1:38" x14ac:dyDescent="0.2">
      <c r="A36" s="24" t="s">
        <v>627</v>
      </c>
      <c r="B36" s="63">
        <v>841094.948675222</v>
      </c>
      <c r="C36" s="1" t="s">
        <v>659</v>
      </c>
      <c r="D36" t="s">
        <v>235</v>
      </c>
      <c r="E36">
        <v>0.17124</v>
      </c>
      <c r="F36" t="s">
        <v>346</v>
      </c>
      <c r="G36">
        <v>0.12681999999999999</v>
      </c>
      <c r="H36">
        <v>0.30602000000000001</v>
      </c>
      <c r="I36">
        <v>0.12681999999999999</v>
      </c>
      <c r="J36" s="88">
        <v>0.12681999999999999</v>
      </c>
      <c r="K36">
        <v>0.12681999999999999</v>
      </c>
      <c r="L36">
        <f>PSI_OC!$A$8</f>
        <v>1</v>
      </c>
      <c r="M36">
        <v>1</v>
      </c>
      <c r="N36" t="s">
        <v>430</v>
      </c>
      <c r="O36" s="17">
        <f>((SUM(B$24:B$26)*E36)+(B$27*G36)+(SUM(B$28,B$30:B$31,B$34,B$38,B$43,B$46:B$47,B$51:B$52,B$54,B$58,B$60,B$62:B$63)*H36)+(SUM(B$29,B$32,B$35:B$37,B$42,B$44:B$45,B$50,B$53,B$56,B$59,B$61)*I36)+(SUM(B$33,B$40,B$49,B$55,B$64)*J36)+(SUM(B$39,B$41,B$48,B$57)*PSI_EtOH!K36))*(L36*M36)</f>
        <v>3840023.2229128308</v>
      </c>
      <c r="P36" t="s">
        <v>537</v>
      </c>
      <c r="V36" s="17">
        <f t="shared" si="0"/>
        <v>44442.314384389596</v>
      </c>
      <c r="W36" s="17">
        <f t="shared" si="1"/>
        <v>4539.9605328071048</v>
      </c>
      <c r="X36" s="17">
        <f t="shared" si="2"/>
        <v>27529516.224319953</v>
      </c>
      <c r="Y36" s="17">
        <f t="shared" si="3"/>
        <v>47980.605186821085</v>
      </c>
      <c r="Z36">
        <f t="shared" si="4"/>
        <v>3044.7131676085287</v>
      </c>
      <c r="AA36" s="17">
        <f>((SUM(B$39,B$41,B$48,B$57)*PSI_EtOH!K54))*(L54*M54)</f>
        <v>8728.3163790662475</v>
      </c>
      <c r="AH36" s="8">
        <f t="shared" si="5"/>
        <v>165913611.55511814</v>
      </c>
      <c r="AI36" s="8">
        <f t="shared" si="6"/>
        <v>694.96631837354471</v>
      </c>
      <c r="AJ36" s="8">
        <f t="shared" si="7"/>
        <v>6648.4742847971847</v>
      </c>
      <c r="AK36" s="8">
        <f t="shared" si="8"/>
        <v>11745.77851077683</v>
      </c>
      <c r="AL36" s="8">
        <f t="shared" si="9"/>
        <v>30.451130691468403</v>
      </c>
    </row>
    <row r="37" spans="1:38" x14ac:dyDescent="0.2">
      <c r="A37" s="24" t="s">
        <v>628</v>
      </c>
      <c r="B37" s="63">
        <v>1214481.5525986482</v>
      </c>
      <c r="C37" s="1" t="s">
        <v>659</v>
      </c>
      <c r="D37" t="s">
        <v>236</v>
      </c>
      <c r="E37">
        <v>1.7000000000000001E-4</v>
      </c>
      <c r="F37" t="s">
        <v>347</v>
      </c>
      <c r="G37">
        <v>1.2999999999999999E-4</v>
      </c>
      <c r="H37">
        <v>3.0602</v>
      </c>
      <c r="I37">
        <v>1.2999999999999999E-4</v>
      </c>
      <c r="J37" s="88">
        <v>1.2999999999999999E-4</v>
      </c>
      <c r="K37">
        <v>1.2999999999999999E-4</v>
      </c>
      <c r="L37">
        <f>PSI_OC!$A$7</f>
        <v>10</v>
      </c>
      <c r="M37">
        <v>-1</v>
      </c>
      <c r="N37" t="s">
        <v>431</v>
      </c>
      <c r="O37" s="17">
        <f>((SUM(B$24:B$26)*E37)+(B$27*G37)+(SUM(B$28,B$30:B$31,B$34,B$38,B$43,B$46:B$47,B$51:B$52,B$54,B$58,B$60,B$62:B$63)*H37)+(SUM(B$29,B$32,B$35:B$37,B$42,B$44:B$45,B$50,B$53,B$56,B$59,B$61)*I37)+(SUM(B$33,B$40,B$49,B$55,B$64)*J37)+(SUM(B$39,B$41,B$48,B$57)*PSI_EtOH!K37))*(L37*M37)</f>
        <v>-275306161.71914154</v>
      </c>
      <c r="P37" t="s">
        <v>537</v>
      </c>
      <c r="V37" s="17">
        <f t="shared" si="0"/>
        <v>0</v>
      </c>
      <c r="W37" s="17">
        <f t="shared" si="1"/>
        <v>0</v>
      </c>
      <c r="X37" s="17">
        <f t="shared" si="2"/>
        <v>-278875.56465391757</v>
      </c>
      <c r="Y37" s="17">
        <f t="shared" si="3"/>
        <v>0</v>
      </c>
      <c r="Z37">
        <f t="shared" si="4"/>
        <v>0</v>
      </c>
      <c r="AA37" s="17">
        <f>((SUM(B$39,B$41,B$48,B$57)*PSI_EtOH!K55))*(L55*M55)</f>
        <v>0</v>
      </c>
      <c r="AH37" s="8">
        <f t="shared" si="5"/>
        <v>-16593542.22047244</v>
      </c>
      <c r="AI37" s="8">
        <f t="shared" si="6"/>
        <v>0</v>
      </c>
      <c r="AJ37" s="8">
        <f t="shared" si="7"/>
        <v>0</v>
      </c>
      <c r="AK37" s="8">
        <f t="shared" si="8"/>
        <v>0</v>
      </c>
      <c r="AL37" s="8">
        <f t="shared" si="9"/>
        <v>0</v>
      </c>
    </row>
    <row r="38" spans="1:38" x14ac:dyDescent="0.2">
      <c r="A38" s="24" t="s">
        <v>629</v>
      </c>
      <c r="B38" s="63">
        <v>78598.755792517521</v>
      </c>
      <c r="C38" s="135" t="s">
        <v>506</v>
      </c>
      <c r="D38" t="s">
        <v>237</v>
      </c>
      <c r="E38">
        <v>1.712E-2</v>
      </c>
      <c r="F38" t="s">
        <v>348</v>
      </c>
      <c r="G38">
        <v>0.12681999999999999</v>
      </c>
      <c r="H38">
        <v>0.30602000000000001</v>
      </c>
      <c r="I38">
        <v>0.12681999999999999</v>
      </c>
      <c r="J38" s="88">
        <v>0.12681999999999999</v>
      </c>
      <c r="K38">
        <v>0.12681999999999999</v>
      </c>
      <c r="L38">
        <f>PSI_OC!$A$6</f>
        <v>100</v>
      </c>
      <c r="M38">
        <v>-1</v>
      </c>
      <c r="N38" t="s">
        <v>432</v>
      </c>
      <c r="O38" s="17">
        <f>((SUM(B$24:B$26)*E38)+(B$27*G38)+(SUM(B$28,B$30:B$31,B$34,B$38,B$43,B$46:B$47,B$51:B$52,B$54,B$58,B$60,B$62:B$63)*H38)+(SUM(B$29,B$32,B$35:B$37,B$42,B$44:B$45,B$50,B$53,B$56,B$59,B$61)*I38)+(SUM(B$33,B$40,B$49,B$55,B$64)*J38)+(SUM(B$39,B$41,B$48,B$57)*PSI_EtOH!K38))*(L38*M38)</f>
        <v>-343947062.09875602</v>
      </c>
      <c r="P38" t="s">
        <v>537</v>
      </c>
      <c r="V38" s="17">
        <f t="shared" ref="V38:V69" si="13">((SUM(B$24:B$26)*E56))*(L56*M56)</f>
        <v>-444942.93699459056</v>
      </c>
      <c r="W38" s="17">
        <f t="shared" ref="W38:W69" si="14">((B$27*G56))*(L56*M56)</f>
        <v>-453352.59430755657</v>
      </c>
      <c r="X38" s="17">
        <f t="shared" ref="X38:X69" si="15">(((SUM(B$28,B$30:B$31,B$34,B$38,B$43,B$46:B$47,B$51:B$52,B$54,B$58,B$60,B$62:B$63)*H56))*(L56*M56))</f>
        <v>-275295162.24319953</v>
      </c>
      <c r="Y38" s="17">
        <f t="shared" ref="Y38:Y69" si="16">((SUM(B$29,B$32,B$35:B$37,B$42,B$44:B$45,B$50,B$53,B$56,B$59,B$61)*I56))*(L56*M56)</f>
        <v>-4791260.1179469675</v>
      </c>
      <c r="Z38">
        <f t="shared" ref="Z38:Z69" si="17">((SUM(B$33,B$40,B$49,B$55,B$64)*J56))*(L56*M56)</f>
        <v>-304039.78261111304</v>
      </c>
      <c r="AA38" s="17">
        <f>((SUM(B$39,B$41,B$48,B$57)*PSI_EtOH!K56))*(L56*M56)</f>
        <v>-871594.55369541841</v>
      </c>
      <c r="AH38" s="8">
        <f t="shared" ref="AH38:AH69" si="18">((C$137*H169))*(M169*N169)</f>
        <v>-165913611.55511814</v>
      </c>
      <c r="AI38" s="8">
        <f t="shared" ref="AI38:AI69" si="19">((C$138*I169))*(M169*N169)</f>
        <v>-69496.631837354464</v>
      </c>
      <c r="AJ38" s="8">
        <f t="shared" ref="AJ38:AJ69" si="20">((SUM(C$140:C$143,C$148:C$150)*J169))*(M169*N169)</f>
        <v>-663905.12503777863</v>
      </c>
      <c r="AK38" s="8">
        <f t="shared" ref="AK38:AK69" si="21">((SUM(C$146:C$147,C$152:C$172)))*(F169*M169*N169)</f>
        <v>-1178028.1735152239</v>
      </c>
      <c r="AL38" s="8">
        <f t="shared" ref="AL38:AL69" si="22">((SUM(C$144:C$145,C$151)*K169))*(M169*N169)</f>
        <v>-3046.3818662589847</v>
      </c>
    </row>
    <row r="39" spans="1:38" x14ac:dyDescent="0.2">
      <c r="A39" s="24" t="s">
        <v>630</v>
      </c>
      <c r="B39" s="63">
        <v>37055.931383008428</v>
      </c>
      <c r="C39" s="137" t="s">
        <v>510</v>
      </c>
      <c r="D39" t="s">
        <v>238</v>
      </c>
      <c r="E39">
        <v>0</v>
      </c>
      <c r="F39" t="s">
        <v>349</v>
      </c>
      <c r="G39">
        <v>0</v>
      </c>
      <c r="H39">
        <v>0</v>
      </c>
      <c r="I39">
        <v>0</v>
      </c>
      <c r="J39" s="88">
        <v>0</v>
      </c>
      <c r="K39">
        <v>0</v>
      </c>
      <c r="L39">
        <f>PSI_OC!$A$7</f>
        <v>10</v>
      </c>
      <c r="M39">
        <v>-1</v>
      </c>
      <c r="N39" t="s">
        <v>433</v>
      </c>
      <c r="O39" s="17">
        <f>((SUM(B$24:B$26)*E39)+(B$27*G39)+(SUM(B$28,B$30:B$31,B$34,B$38,B$43,B$46:B$47,B$51:B$52,B$54,B$58,B$60,B$62:B$63)*H39)+(SUM(B$29,B$32,B$35:B$37,B$42,B$44:B$45,B$50,B$53,B$56,B$59,B$61)*I39)+(SUM(B$33,B$40,B$49,B$55,B$64)*J39)+(SUM(B$39,B$41,B$48,B$57)*PSI_EtOH!K39))*(L39*M39)</f>
        <v>0</v>
      </c>
      <c r="P39" t="s">
        <v>537</v>
      </c>
      <c r="V39" s="17">
        <f t="shared" si="13"/>
        <v>-44442.314384389596</v>
      </c>
      <c r="W39" s="17">
        <f t="shared" si="14"/>
        <v>-45328.109886609513</v>
      </c>
      <c r="X39" s="17">
        <f t="shared" si="15"/>
        <v>-27529516.224319953</v>
      </c>
      <c r="Y39" s="17">
        <f t="shared" si="16"/>
        <v>-479050.45178652863</v>
      </c>
      <c r="Z39">
        <f t="shared" si="17"/>
        <v>-30399.183437225311</v>
      </c>
      <c r="AA39" s="17">
        <f>((SUM(B$39,B$41,B$48,B$57)*PSI_EtOH!K57))*(L57*M57)</f>
        <v>-87145.709989417344</v>
      </c>
      <c r="AH39" s="8">
        <f t="shared" si="18"/>
        <v>-16591797.368503937</v>
      </c>
      <c r="AI39" s="8">
        <f t="shared" si="19"/>
        <v>-6949.6631837354462</v>
      </c>
      <c r="AJ39" s="8">
        <f t="shared" si="20"/>
        <v>-66380.04246553409</v>
      </c>
      <c r="AK39" s="8">
        <f t="shared" si="21"/>
        <v>-117824.84068623006</v>
      </c>
      <c r="AL39" s="8">
        <f t="shared" si="22"/>
        <v>-304.51130691468398</v>
      </c>
    </row>
    <row r="40" spans="1:38" x14ac:dyDescent="0.2">
      <c r="A40" s="24" t="s">
        <v>631</v>
      </c>
      <c r="B40" s="63">
        <v>48634.447634768178</v>
      </c>
      <c r="C40" s="136" t="s">
        <v>502</v>
      </c>
      <c r="D40" t="s">
        <v>239</v>
      </c>
      <c r="E40">
        <v>1.7099999999999999E-3</v>
      </c>
      <c r="F40" t="s">
        <v>348</v>
      </c>
      <c r="G40">
        <v>1.2700000000000001E-3</v>
      </c>
      <c r="H40">
        <v>3.0599999999999998E-3</v>
      </c>
      <c r="I40">
        <v>0.12681999999999999</v>
      </c>
      <c r="J40" s="88">
        <v>1.2700000000000001E-3</v>
      </c>
      <c r="K40">
        <v>1.2700000000000001E-3</v>
      </c>
      <c r="L40">
        <f>PSI_OC!$A$6</f>
        <v>100</v>
      </c>
      <c r="M40">
        <v>-1</v>
      </c>
      <c r="N40" t="s">
        <v>432</v>
      </c>
      <c r="O40" s="17">
        <f>((SUM(B$24:B$26)*E40)+(B$27*G40)+(SUM(B$28,B$30:B$31,B$34,B$38,B$43,B$46:B$47,B$51:B$52,B$54,B$58,B$60,B$62:B$63)*H40)+(SUM(B$29,B$32,B$35:B$37,B$42,B$44:B$45,B$50,B$53,B$56,B$59,B$61)*I40)+(SUM(B$33,B$40,B$49,B$55,B$64)*J40)+(SUM(B$39,B$41,B$48,B$57)*PSI_EtOH!K40))*(L40*M40)</f>
        <v>-51272925.926821262</v>
      </c>
      <c r="P40" t="s">
        <v>537</v>
      </c>
      <c r="V40" s="17">
        <f t="shared" si="13"/>
        <v>-44182.417809042287</v>
      </c>
      <c r="W40" s="17">
        <f t="shared" si="14"/>
        <v>-45399.605328071048</v>
      </c>
      <c r="X40" s="17">
        <f t="shared" si="15"/>
        <v>-278875.56465391757</v>
      </c>
      <c r="Y40" s="17">
        <f t="shared" si="16"/>
        <v>-479806.05186821084</v>
      </c>
      <c r="Z40">
        <f t="shared" si="17"/>
        <v>-30447.131676085286</v>
      </c>
      <c r="AA40" s="17">
        <f>((SUM(B$39,B$41,B$48,B$57)*PSI_EtOH!K58))*(L58*M58)</f>
        <v>-87283.163790662482</v>
      </c>
      <c r="AH40" s="8">
        <f t="shared" si="18"/>
        <v>-165917973.68503937</v>
      </c>
      <c r="AI40" s="8">
        <f t="shared" si="19"/>
        <v>-6949.6631837354471</v>
      </c>
      <c r="AJ40" s="8">
        <f t="shared" si="20"/>
        <v>-66484.742847971851</v>
      </c>
      <c r="AK40" s="8">
        <f t="shared" si="21"/>
        <v>-117457.78510776832</v>
      </c>
      <c r="AL40" s="8">
        <f t="shared" si="22"/>
        <v>-304.51130691468404</v>
      </c>
    </row>
    <row r="41" spans="1:38" x14ac:dyDescent="0.2">
      <c r="A41" s="24" t="s">
        <v>632</v>
      </c>
      <c r="B41" s="63">
        <v>120035.59464686425</v>
      </c>
      <c r="C41" s="137" t="s">
        <v>510</v>
      </c>
      <c r="D41" t="s">
        <v>240</v>
      </c>
      <c r="E41">
        <v>0</v>
      </c>
      <c r="F41" t="s">
        <v>348</v>
      </c>
      <c r="G41">
        <v>0</v>
      </c>
      <c r="H41">
        <v>0</v>
      </c>
      <c r="I41">
        <v>0.12681999999999999</v>
      </c>
      <c r="J41" s="88">
        <v>0</v>
      </c>
      <c r="K41">
        <v>0</v>
      </c>
      <c r="L41">
        <f>PSI_OC!$A$6</f>
        <v>100</v>
      </c>
      <c r="M41">
        <v>-1</v>
      </c>
      <c r="N41" t="s">
        <v>432</v>
      </c>
      <c r="O41" s="17">
        <f>((SUM(B$24:B$26)*E41)+(B$27*G41)+(SUM(B$28,B$30:B$31,B$34,B$38,B$43,B$46:B$47,B$51:B$52,B$54,B$58,B$60,B$62:B$63)*H41)+(SUM(B$29,B$32,B$35:B$37,B$42,B$44:B$45,B$50,B$53,B$56,B$59,B$61)*I41)+(SUM(B$33,B$40,B$49,B$55,B$64)*J41)+(SUM(B$39,B$41,B$48,B$57)*PSI_EtOH!K41))*(L41*M41)</f>
        <v>-47912601.179469682</v>
      </c>
      <c r="P41" t="s">
        <v>537</v>
      </c>
      <c r="V41" s="17">
        <f t="shared" si="13"/>
        <v>-4418.241780904229</v>
      </c>
      <c r="W41" s="17">
        <f t="shared" si="14"/>
        <v>-4539.9605328071048</v>
      </c>
      <c r="X41" s="17">
        <f t="shared" si="15"/>
        <v>-275277.17027128639</v>
      </c>
      <c r="Y41" s="17">
        <f t="shared" si="16"/>
        <v>-47980.605186821085</v>
      </c>
      <c r="Z41">
        <f t="shared" si="17"/>
        <v>-3044.7131676085287</v>
      </c>
      <c r="AA41" s="17">
        <f>((SUM(B$39,B$41,B$48,B$57)*PSI_EtOH!K59))*(L59*M59)</f>
        <v>-8728.3163790662475</v>
      </c>
      <c r="AH41" s="8">
        <f t="shared" si="18"/>
        <v>-16591797.368503937</v>
      </c>
      <c r="AI41" s="8">
        <f t="shared" si="19"/>
        <v>-694.96631837354471</v>
      </c>
      <c r="AJ41" s="8">
        <f t="shared" si="20"/>
        <v>-6648.4742847971847</v>
      </c>
      <c r="AK41" s="8">
        <f t="shared" si="21"/>
        <v>-11745.77851077683</v>
      </c>
      <c r="AL41" s="8">
        <f t="shared" si="22"/>
        <v>-30.451130691468403</v>
      </c>
    </row>
    <row r="42" spans="1:38" x14ac:dyDescent="0.2">
      <c r="A42" s="20" t="s">
        <v>633</v>
      </c>
      <c r="B42" s="49">
        <f>104433.051827154*0.7</f>
        <v>73103.136279007798</v>
      </c>
      <c r="C42" s="1" t="s">
        <v>659</v>
      </c>
      <c r="D42" t="s">
        <v>241</v>
      </c>
      <c r="E42">
        <v>0</v>
      </c>
      <c r="F42" t="s">
        <v>350</v>
      </c>
      <c r="G42">
        <v>0</v>
      </c>
      <c r="H42">
        <v>0</v>
      </c>
      <c r="I42">
        <v>0</v>
      </c>
      <c r="J42" s="88">
        <v>0</v>
      </c>
      <c r="K42">
        <v>0</v>
      </c>
      <c r="L42">
        <f>PSI_OC!$A$6</f>
        <v>100</v>
      </c>
      <c r="M42">
        <v>-1</v>
      </c>
      <c r="N42" t="s">
        <v>434</v>
      </c>
      <c r="O42" s="17">
        <f>((SUM(B$24:B$26)*E42)+(B$27*G42)+(SUM(B$28,B$30:B$31,B$34,B$38,B$43,B$46:B$47,B$51:B$52,B$54,B$58,B$60,B$62:B$63)*H42)+(SUM(B$29,B$32,B$35:B$37,B$42,B$44:B$45,B$50,B$53,B$56,B$59,B$61)*I42)+(SUM(B$33,B$40,B$49,B$55,B$64)*J42)+(SUM(B$39,B$41,B$48,B$57)*PSI_EtOH!K42))*(L42*M42)</f>
        <v>0</v>
      </c>
      <c r="P42" t="s">
        <v>537</v>
      </c>
      <c r="V42" s="17">
        <f t="shared" si="13"/>
        <v>0</v>
      </c>
      <c r="W42" s="17">
        <f t="shared" si="14"/>
        <v>0</v>
      </c>
      <c r="X42" s="17">
        <f t="shared" si="15"/>
        <v>0</v>
      </c>
      <c r="Y42" s="17">
        <f t="shared" si="16"/>
        <v>0</v>
      </c>
      <c r="Z42">
        <f t="shared" si="17"/>
        <v>0</v>
      </c>
      <c r="AA42" s="17">
        <f>((SUM(B$39,B$41,B$48,B$57)*PSI_EtOH!K60))*(L60*M60)</f>
        <v>0</v>
      </c>
      <c r="AH42" s="8">
        <f t="shared" si="18"/>
        <v>-1659354.222047244</v>
      </c>
      <c r="AI42" s="8">
        <f t="shared" si="19"/>
        <v>0</v>
      </c>
      <c r="AJ42" s="8">
        <f t="shared" si="20"/>
        <v>0</v>
      </c>
      <c r="AK42" s="8">
        <f t="shared" si="21"/>
        <v>0</v>
      </c>
      <c r="AL42" s="8">
        <f t="shared" si="22"/>
        <v>0</v>
      </c>
    </row>
    <row r="43" spans="1:38" x14ac:dyDescent="0.2">
      <c r="A43" s="21"/>
      <c r="B43" s="46">
        <f>104433.051827154*0.3</f>
        <v>31329.9155481462</v>
      </c>
      <c r="C43" s="135" t="s">
        <v>506</v>
      </c>
      <c r="D43" t="s">
        <v>242</v>
      </c>
      <c r="E43">
        <v>0</v>
      </c>
      <c r="F43" t="s">
        <v>351</v>
      </c>
      <c r="G43">
        <v>0</v>
      </c>
      <c r="H43">
        <v>0</v>
      </c>
      <c r="I43">
        <v>1.268E-2</v>
      </c>
      <c r="J43" s="88">
        <v>0</v>
      </c>
      <c r="K43">
        <v>0</v>
      </c>
      <c r="L43">
        <f>PSI_OC!$A$8</f>
        <v>1</v>
      </c>
      <c r="M43">
        <v>1</v>
      </c>
      <c r="N43" t="s">
        <v>435</v>
      </c>
      <c r="O43" s="17">
        <f>((SUM(B$24:B$26)*E43)+(B$27*G43)+(SUM(B$28,B$30:B$31,B$34,B$38,B$43,B$46:B$47,B$51:B$52,B$54,B$58,B$60,B$62:B$63)*H43)+(SUM(B$29,B$32,B$35:B$37,B$42,B$44:B$45,B$50,B$53,B$56,B$59,B$61)*I43)+(SUM(B$33,B$40,B$49,B$55,B$64)*J43)+(SUM(B$39,B$41,B$48,B$57)*PSI_EtOH!K43))*(L43*M43)</f>
        <v>47905.045178652865</v>
      </c>
      <c r="P43" t="s">
        <v>537</v>
      </c>
      <c r="V43" s="17">
        <f t="shared" si="13"/>
        <v>-4418.241780904229</v>
      </c>
      <c r="W43" s="17">
        <f t="shared" si="14"/>
        <v>-4539.9605328071048</v>
      </c>
      <c r="X43" s="17">
        <f t="shared" si="15"/>
        <v>-27529516.224319953</v>
      </c>
      <c r="Y43" s="17">
        <f t="shared" si="16"/>
        <v>-47980.605186821085</v>
      </c>
      <c r="Z43">
        <f t="shared" si="17"/>
        <v>-3044.7131676085287</v>
      </c>
      <c r="AA43" s="17">
        <f>((SUM(B$39,B$41,B$48,B$57)*PSI_EtOH!K61))*(L61*M61)</f>
        <v>-8728.3163790662475</v>
      </c>
      <c r="AH43" s="8">
        <f t="shared" si="18"/>
        <v>-1659354.222047244</v>
      </c>
      <c r="AI43" s="8">
        <f t="shared" si="19"/>
        <v>-694.96631837354471</v>
      </c>
      <c r="AJ43" s="8">
        <f t="shared" si="20"/>
        <v>-6648.4742847971847</v>
      </c>
      <c r="AK43" s="8">
        <f t="shared" si="21"/>
        <v>-11745.77851077683</v>
      </c>
      <c r="AL43" s="8">
        <f t="shared" si="22"/>
        <v>-30.451130691468403</v>
      </c>
    </row>
    <row r="44" spans="1:38" x14ac:dyDescent="0.2">
      <c r="A44" s="24" t="s">
        <v>634</v>
      </c>
      <c r="B44" s="63">
        <v>524304.71905066923</v>
      </c>
      <c r="C44" s="4" t="s">
        <v>659</v>
      </c>
      <c r="D44" t="s">
        <v>243</v>
      </c>
      <c r="E44">
        <v>1.7000000000000001E-4</v>
      </c>
      <c r="F44" t="s">
        <v>352</v>
      </c>
      <c r="G44">
        <v>1.26824</v>
      </c>
      <c r="H44">
        <v>3.0599999999999998E-3</v>
      </c>
      <c r="I44">
        <v>1.26824</v>
      </c>
      <c r="J44" s="88">
        <v>0.12681999999999999</v>
      </c>
      <c r="K44">
        <v>1.26824</v>
      </c>
      <c r="L44">
        <f>PSI_OC!$A$6</f>
        <v>100</v>
      </c>
      <c r="M44">
        <v>-1</v>
      </c>
      <c r="N44" t="s">
        <v>436</v>
      </c>
      <c r="O44" s="17">
        <f>((SUM(B$24:B$26)*E44)+(B$27*G44)+(SUM(B$28,B$30:B$31,B$34,B$38,B$43,B$46:B$47,B$51:B$52,B$54,B$58,B$60,B$62:B$63)*H44)+(SUM(B$29,B$32,B$35:B$37,B$42,B$44:B$45,B$50,B$53,B$56,B$59,B$61)*I44)+(SUM(B$33,B$40,B$49,B$55,B$64)*J44)+(SUM(B$39,B$41,B$48,B$57)*PSI_EtOH!K44))*(L44*M44)</f>
        <v>-617477369.52811515</v>
      </c>
      <c r="P44" t="s">
        <v>537</v>
      </c>
      <c r="V44" s="17">
        <f t="shared" si="13"/>
        <v>-444423.14384389593</v>
      </c>
      <c r="W44" s="17">
        <f t="shared" si="14"/>
        <v>-45336689.339584894</v>
      </c>
      <c r="X44" s="17">
        <f t="shared" si="15"/>
        <v>-2752771.7027128637</v>
      </c>
      <c r="Y44" s="17">
        <f t="shared" si="16"/>
        <v>-479141123.79633051</v>
      </c>
      <c r="Z44">
        <f t="shared" si="17"/>
        <v>-30404937.225888506</v>
      </c>
      <c r="AA44" s="17">
        <f>((SUM(B$39,B$41,B$48,B$57)*PSI_EtOH!K62))*(L62*M62)</f>
        <v>-87162204.445566744</v>
      </c>
      <c r="AH44" s="8">
        <f t="shared" si="18"/>
        <v>-1659136115.5511813</v>
      </c>
      <c r="AI44" s="8">
        <f t="shared" si="19"/>
        <v>-6949913.6220483733</v>
      </c>
      <c r="AJ44" s="8">
        <f t="shared" si="20"/>
        <v>-66392606.511426628</v>
      </c>
      <c r="AK44" s="8">
        <f t="shared" si="21"/>
        <v>-117800615.01805161</v>
      </c>
      <c r="AL44" s="8">
        <f t="shared" si="22"/>
        <v>-304629.72797848418</v>
      </c>
    </row>
    <row r="45" spans="1:38" x14ac:dyDescent="0.2">
      <c r="A45" s="24" t="s">
        <v>635</v>
      </c>
      <c r="B45" s="63">
        <v>99094.176286591624</v>
      </c>
      <c r="C45" s="1" t="s">
        <v>659</v>
      </c>
      <c r="D45" t="s">
        <v>244</v>
      </c>
      <c r="E45">
        <v>1.712E-2</v>
      </c>
      <c r="F45" t="s">
        <v>353</v>
      </c>
      <c r="G45">
        <v>1.2700000000000001E-3</v>
      </c>
      <c r="H45">
        <v>3.0599999999999998E-3</v>
      </c>
      <c r="I45">
        <v>1.2700000000000001E-3</v>
      </c>
      <c r="J45" s="88">
        <v>1.2700000000000001E-3</v>
      </c>
      <c r="K45">
        <v>1.2700000000000001E-3</v>
      </c>
      <c r="L45">
        <v>0</v>
      </c>
      <c r="M45">
        <v>0</v>
      </c>
      <c r="N45" t="s">
        <v>437</v>
      </c>
      <c r="O45" s="17">
        <f>((SUM(B$24:B$26)*E45)+(B$27*G45)+(SUM(B$28,B$30:B$31,B$34,B$38,B$43,B$46:B$47,B$51:B$52,B$54,B$58,B$60,B$62:B$63)*H45)+(SUM(B$29,B$32,B$35:B$37,B$42,B$44:B$45,B$50,B$53,B$56,B$59,B$61)*I45)+(SUM(B$33,B$40,B$49,B$55,B$64)*J45)+(SUM(B$39,B$41,B$48,B$57)*PSI_EtOH!K45))*(L45*M45)</f>
        <v>0</v>
      </c>
      <c r="P45" t="s">
        <v>537</v>
      </c>
      <c r="V45" s="17">
        <f t="shared" si="13"/>
        <v>-4449429.3699459061</v>
      </c>
      <c r="W45" s="17">
        <f t="shared" si="14"/>
        <v>-4533525.9430755656</v>
      </c>
      <c r="X45" s="17">
        <f t="shared" si="15"/>
        <v>-2752771.7027128637</v>
      </c>
      <c r="Y45" s="17">
        <f t="shared" si="16"/>
        <v>-47912601.179469682</v>
      </c>
      <c r="Z45">
        <f t="shared" si="17"/>
        <v>-3040397.8261111304</v>
      </c>
      <c r="AA45" s="17">
        <f>((SUM(B$39,B$41,B$48,B$57)*PSI_EtOH!K63))*(L63*M63)</f>
        <v>-8715945.536954185</v>
      </c>
      <c r="AH45" s="8">
        <f t="shared" si="18"/>
        <v>-165917973.68503937</v>
      </c>
      <c r="AI45" s="8">
        <f t="shared" si="19"/>
        <v>-694966.31837354461</v>
      </c>
      <c r="AJ45" s="8">
        <f t="shared" si="20"/>
        <v>-6639051.2503777863</v>
      </c>
      <c r="AK45" s="8">
        <f t="shared" si="21"/>
        <v>-11780281.735152239</v>
      </c>
      <c r="AL45" s="8">
        <f t="shared" si="22"/>
        <v>-30463.818662589845</v>
      </c>
    </row>
    <row r="46" spans="1:38" x14ac:dyDescent="0.2">
      <c r="A46" s="24" t="s">
        <v>636</v>
      </c>
      <c r="B46" s="63">
        <v>3070.2324862208588</v>
      </c>
      <c r="C46" s="135" t="s">
        <v>506</v>
      </c>
      <c r="D46" t="s">
        <v>245</v>
      </c>
      <c r="E46">
        <v>1.7099999999999999E-3</v>
      </c>
      <c r="F46" t="s">
        <v>351</v>
      </c>
      <c r="G46">
        <v>1.2999999999999999E-4</v>
      </c>
      <c r="H46">
        <v>0.30602000000000001</v>
      </c>
      <c r="I46">
        <v>1.2999999999999999E-4</v>
      </c>
      <c r="J46" s="88">
        <v>1.2700000000000001E-3</v>
      </c>
      <c r="K46">
        <v>1.2999999999999999E-4</v>
      </c>
      <c r="L46">
        <f>PSI_OC!$A$7</f>
        <v>10</v>
      </c>
      <c r="M46">
        <v>-1</v>
      </c>
      <c r="N46" t="s">
        <v>435</v>
      </c>
      <c r="O46" s="17">
        <f>((SUM(B$24:B$26)*E46)+(B$27*G46)+(SUM(B$28,B$30:B$31,B$34,B$38,B$43,B$46:B$47,B$51:B$52,B$54,B$58,B$60,B$62:B$63)*H46)+(SUM(B$29,B$32,B$35:B$37,B$42,B$44:B$45,B$50,B$53,B$56,B$59,B$61)*I46)+(SUM(B$33,B$40,B$49,B$55,B$64)*J46)+(SUM(B$39,B$41,B$48,B$57)*PSI_EtOH!K46))*(L46*M46)</f>
        <v>-27583272.822480481</v>
      </c>
      <c r="P46" t="s">
        <v>537</v>
      </c>
      <c r="V46" s="17">
        <f t="shared" si="13"/>
        <v>0</v>
      </c>
      <c r="W46" s="17">
        <f t="shared" si="14"/>
        <v>0</v>
      </c>
      <c r="X46" s="17">
        <f t="shared" si="15"/>
        <v>0</v>
      </c>
      <c r="Y46" s="17">
        <f t="shared" si="16"/>
        <v>0</v>
      </c>
      <c r="Z46">
        <f t="shared" si="17"/>
        <v>0</v>
      </c>
      <c r="AA46" s="17">
        <f>((SUM(B$39,B$41,B$48,B$57)*PSI_EtOH!K64))*(L64*M64)</f>
        <v>0</v>
      </c>
      <c r="AH46" s="8">
        <f t="shared" si="18"/>
        <v>0</v>
      </c>
      <c r="AI46" s="8">
        <f t="shared" si="19"/>
        <v>0</v>
      </c>
      <c r="AJ46" s="8">
        <f t="shared" si="20"/>
        <v>0</v>
      </c>
      <c r="AK46" s="8">
        <f t="shared" si="21"/>
        <v>0</v>
      </c>
      <c r="AL46" s="8">
        <f t="shared" si="22"/>
        <v>0</v>
      </c>
    </row>
    <row r="47" spans="1:38" x14ac:dyDescent="0.2">
      <c r="A47" s="24" t="s">
        <v>637</v>
      </c>
      <c r="B47" s="63">
        <v>187895.82420534344</v>
      </c>
      <c r="C47" s="135" t="s">
        <v>506</v>
      </c>
      <c r="D47" t="s">
        <v>246</v>
      </c>
      <c r="E47">
        <v>1.71244</v>
      </c>
      <c r="F47" t="s">
        <v>354</v>
      </c>
      <c r="G47">
        <v>1.268E-2</v>
      </c>
      <c r="H47">
        <v>3.0599999999999999E-2</v>
      </c>
      <c r="I47">
        <v>1.268E-2</v>
      </c>
      <c r="J47" s="88">
        <v>1.268E-2</v>
      </c>
      <c r="K47">
        <v>1.268E-2</v>
      </c>
      <c r="L47">
        <f>PSI_OC!$A$7</f>
        <v>10</v>
      </c>
      <c r="M47">
        <v>-1</v>
      </c>
      <c r="N47" t="s">
        <v>438</v>
      </c>
      <c r="O47" s="17">
        <f>((SUM(B$24:B$26)*E47)+(B$27*G47)+(SUM(B$28,B$30:B$31,B$34,B$38,B$43,B$46:B$47,B$51:B$52,B$54,B$58,B$60,B$62:B$63)*H47)+(SUM(B$29,B$32,B$35:B$37,B$42,B$44:B$45,B$50,B$53,B$56,B$59,B$61)*I47)+(SUM(B$33,B$40,B$49,B$55,B$64)*J47)+(SUM(B$39,B$41,B$48,B$57)*PSI_EtOH!K47))*(L47*M47)</f>
        <v>-47900424.306586981</v>
      </c>
      <c r="P47" t="s">
        <v>537</v>
      </c>
      <c r="V47" s="17">
        <f t="shared" si="13"/>
        <v>-44182.417809042287</v>
      </c>
      <c r="W47" s="17">
        <f t="shared" si="14"/>
        <v>-453281.09886609507</v>
      </c>
      <c r="X47" s="17">
        <f t="shared" si="15"/>
        <v>-2752771.7027128637</v>
      </c>
      <c r="Y47" s="17">
        <f t="shared" si="16"/>
        <v>-4790504.5178652862</v>
      </c>
      <c r="Z47">
        <f t="shared" si="17"/>
        <v>-303991.8343722531</v>
      </c>
      <c r="AA47" s="17">
        <f>((SUM(B$39,B$41,B$48,B$57)*PSI_EtOH!K65))*(L65*M65)</f>
        <v>-871457.09989417333</v>
      </c>
      <c r="AH47" s="8">
        <f t="shared" si="18"/>
        <v>-1659136115.5511813</v>
      </c>
      <c r="AI47" s="8">
        <f t="shared" si="19"/>
        <v>-69496.631837354464</v>
      </c>
      <c r="AJ47" s="8">
        <f t="shared" si="20"/>
        <v>-663800.42465534084</v>
      </c>
      <c r="AK47" s="8">
        <f t="shared" si="21"/>
        <v>-1178248.4068623006</v>
      </c>
      <c r="AL47" s="8">
        <f t="shared" si="22"/>
        <v>-3045.1130691468402</v>
      </c>
    </row>
    <row r="48" spans="1:38" x14ac:dyDescent="0.2">
      <c r="A48" s="24" t="s">
        <v>638</v>
      </c>
      <c r="B48" s="63">
        <v>48363.717751269622</v>
      </c>
      <c r="C48" s="137" t="s">
        <v>510</v>
      </c>
      <c r="D48" t="s">
        <v>247</v>
      </c>
      <c r="E48">
        <v>1.712E-2</v>
      </c>
      <c r="F48" t="s">
        <v>354</v>
      </c>
      <c r="G48">
        <v>1.26824</v>
      </c>
      <c r="H48">
        <v>3.1E-4</v>
      </c>
      <c r="I48">
        <v>1.26824</v>
      </c>
      <c r="J48" s="88">
        <v>1.26824</v>
      </c>
      <c r="K48">
        <v>1.26824</v>
      </c>
      <c r="L48">
        <f>PSI_OC!$A$7</f>
        <v>10</v>
      </c>
      <c r="M48">
        <v>-1</v>
      </c>
      <c r="N48" t="s">
        <v>438</v>
      </c>
      <c r="O48" s="17">
        <f>((SUM(B$24:B$26)*E48)+(B$27*G48)+(SUM(B$28,B$30:B$31,B$34,B$38,B$43,B$46:B$47,B$51:B$52,B$54,B$58,B$60,B$62:B$63)*H48)+(SUM(B$29,B$32,B$35:B$37,B$42,B$44:B$45,B$50,B$53,B$56,B$59,B$61)*I48)+(SUM(B$33,B$40,B$49,B$55,B$64)*J48)+(SUM(B$39,B$41,B$48,B$57)*PSI_EtOH!K48))*(L48*M48)</f>
        <v>-64677325.974197052</v>
      </c>
      <c r="P48" t="s">
        <v>537</v>
      </c>
      <c r="V48" s="17">
        <f t="shared" si="13"/>
        <v>0</v>
      </c>
      <c r="W48" s="17">
        <f t="shared" si="14"/>
        <v>0</v>
      </c>
      <c r="X48" s="17">
        <f t="shared" si="15"/>
        <v>0</v>
      </c>
      <c r="Y48" s="17">
        <f t="shared" si="16"/>
        <v>0</v>
      </c>
      <c r="Z48">
        <f t="shared" si="17"/>
        <v>0</v>
      </c>
      <c r="AA48" s="17">
        <f>((SUM(B$39,B$41,B$48,B$57)*PSI_EtOH!K66))*(L66*M66)</f>
        <v>0</v>
      </c>
      <c r="AH48" s="8">
        <f t="shared" si="18"/>
        <v>0</v>
      </c>
      <c r="AI48" s="8">
        <f t="shared" si="19"/>
        <v>0</v>
      </c>
      <c r="AJ48" s="8">
        <f t="shared" si="20"/>
        <v>0</v>
      </c>
      <c r="AK48" s="8">
        <f t="shared" si="21"/>
        <v>0</v>
      </c>
      <c r="AL48" s="8">
        <f t="shared" si="22"/>
        <v>0</v>
      </c>
    </row>
    <row r="49" spans="1:38" x14ac:dyDescent="0.2">
      <c r="A49" s="24" t="s">
        <v>639</v>
      </c>
      <c r="B49" s="63">
        <v>16245.945678884762</v>
      </c>
      <c r="C49" s="136" t="s">
        <v>502</v>
      </c>
      <c r="D49" t="s">
        <v>248</v>
      </c>
      <c r="E49">
        <v>0.17124</v>
      </c>
      <c r="F49" t="s">
        <v>350</v>
      </c>
      <c r="G49">
        <v>1.26824</v>
      </c>
      <c r="H49">
        <v>0.30602000000000001</v>
      </c>
      <c r="I49">
        <v>1.26824</v>
      </c>
      <c r="J49" s="88">
        <v>1.26824</v>
      </c>
      <c r="K49">
        <v>1.26824</v>
      </c>
      <c r="L49">
        <f>PSI_OC!$A$7</f>
        <v>10</v>
      </c>
      <c r="M49">
        <v>-1</v>
      </c>
      <c r="N49" t="s">
        <v>434</v>
      </c>
      <c r="O49" s="17">
        <f>((SUM(B$24:B$26)*E49)+(B$27*G49)+(SUM(B$28,B$30:B$31,B$34,B$38,B$43,B$46:B$47,B$51:B$52,B$54,B$58,B$60,B$62:B$63)*H49)+(SUM(B$29,B$32,B$35:B$37,B$42,B$44:B$45,B$50,B$53,B$56,B$59,B$61)*I49)+(SUM(B$33,B$40,B$49,B$55,B$64)*J49)+(SUM(B$39,B$41,B$48,B$57)*PSI_EtOH!K49))*(L49*M49)</f>
        <v>-96184480.66130431</v>
      </c>
      <c r="P49" t="s">
        <v>537</v>
      </c>
      <c r="V49" s="17">
        <f t="shared" si="13"/>
        <v>-444423.14384389593</v>
      </c>
      <c r="W49" s="17">
        <f t="shared" si="14"/>
        <v>-4647.2036949993981</v>
      </c>
      <c r="X49" s="17">
        <f t="shared" si="15"/>
        <v>-275295162.24319953</v>
      </c>
      <c r="Y49" s="17">
        <f t="shared" si="16"/>
        <v>-49114.005309344415</v>
      </c>
      <c r="Z49">
        <f t="shared" si="17"/>
        <v>-3116.6355258984936</v>
      </c>
      <c r="AA49" s="17">
        <f>((SUM(B$39,B$41,B$48,B$57)*PSI_EtOH!K67))*(L67*M67)</f>
        <v>-8934.497080933952</v>
      </c>
      <c r="AH49" s="8">
        <f t="shared" si="18"/>
        <v>-165917973.68503937</v>
      </c>
      <c r="AI49" s="8">
        <f t="shared" si="19"/>
        <v>-688.7053605503595</v>
      </c>
      <c r="AJ49" s="8">
        <f t="shared" si="20"/>
        <v>-6805.5248584538094</v>
      </c>
      <c r="AK49" s="8">
        <f t="shared" si="21"/>
        <v>-11745.77851077683</v>
      </c>
      <c r="AL49" s="8">
        <f t="shared" si="22"/>
        <v>-30.462930504611347</v>
      </c>
    </row>
    <row r="50" spans="1:38" x14ac:dyDescent="0.2">
      <c r="A50" s="24" t="s">
        <v>640</v>
      </c>
      <c r="B50" s="63">
        <v>115851.77668140626</v>
      </c>
      <c r="C50" s="1" t="s">
        <v>659</v>
      </c>
      <c r="D50" t="s">
        <v>322</v>
      </c>
      <c r="E50">
        <v>0.17124</v>
      </c>
      <c r="F50" t="s">
        <v>355</v>
      </c>
      <c r="G50">
        <v>1.26824</v>
      </c>
      <c r="H50">
        <v>3.0599999999999999E-2</v>
      </c>
      <c r="I50">
        <v>1.26824</v>
      </c>
      <c r="J50" s="88">
        <v>1.26824</v>
      </c>
      <c r="K50">
        <v>1.26824</v>
      </c>
      <c r="L50">
        <f>PSI_OC!$A$7</f>
        <v>10</v>
      </c>
      <c r="M50">
        <v>-1</v>
      </c>
      <c r="N50" t="s">
        <v>439</v>
      </c>
      <c r="O50" s="17">
        <f>((SUM(B$24:B$26)*E50)+(B$27*G50)+(SUM(B$28,B$30:B$31,B$34,B$38,B$43,B$46:B$47,B$51:B$52,B$54,B$58,B$60,B$62:B$63)*H50)+(SUM(B$29,B$32,B$35:B$37,B$42,B$44:B$45,B$50,B$53,B$56,B$59,B$61)*I50)+(SUM(B$33,B$40,B$49,B$55,B$64)*J50)+(SUM(B$39,B$41,B$48,B$57)*PSI_EtOH!K50))*(L50*M50)</f>
        <v>-71407736.139697224</v>
      </c>
      <c r="P50" t="s">
        <v>537</v>
      </c>
      <c r="V50" s="17">
        <f t="shared" si="13"/>
        <v>0</v>
      </c>
      <c r="W50" s="17">
        <f t="shared" si="14"/>
        <v>0</v>
      </c>
      <c r="X50" s="17">
        <f t="shared" si="15"/>
        <v>0</v>
      </c>
      <c r="Y50" s="17">
        <f t="shared" si="16"/>
        <v>0</v>
      </c>
      <c r="Z50">
        <f t="shared" si="17"/>
        <v>0</v>
      </c>
      <c r="AA50" s="17">
        <f>((SUM(B$39,B$41,B$48,B$57)*PSI_EtOH!K68))*(L68*M68)</f>
        <v>0</v>
      </c>
      <c r="AH50" s="8">
        <f t="shared" si="18"/>
        <v>0</v>
      </c>
      <c r="AI50" s="8">
        <f t="shared" si="19"/>
        <v>0</v>
      </c>
      <c r="AJ50" s="8">
        <f t="shared" si="20"/>
        <v>0</v>
      </c>
      <c r="AK50" s="8">
        <f t="shared" si="21"/>
        <v>0</v>
      </c>
      <c r="AL50" s="8">
        <f t="shared" si="22"/>
        <v>0</v>
      </c>
    </row>
    <row r="51" spans="1:38" x14ac:dyDescent="0.2">
      <c r="A51" s="24" t="s">
        <v>641</v>
      </c>
      <c r="B51" s="63">
        <v>1977818.1000354141</v>
      </c>
      <c r="C51" s="135" t="s">
        <v>506</v>
      </c>
      <c r="D51" t="s">
        <v>249</v>
      </c>
      <c r="E51">
        <v>1.7000000000000001E-4</v>
      </c>
      <c r="F51" t="s">
        <v>356</v>
      </c>
      <c r="G51">
        <v>0.12681999999999999</v>
      </c>
      <c r="H51">
        <v>3.1E-4</v>
      </c>
      <c r="I51">
        <v>0.12681999999999999</v>
      </c>
      <c r="J51" s="88">
        <v>0.12681999999999999</v>
      </c>
      <c r="K51">
        <v>0.12681999999999999</v>
      </c>
      <c r="L51">
        <f>PSI_OC!$A$7</f>
        <v>10</v>
      </c>
      <c r="M51">
        <v>-1</v>
      </c>
      <c r="N51" t="s">
        <v>440</v>
      </c>
      <c r="O51" s="17">
        <f>((SUM(B$24:B$26)*E51)+(B$27*G51)+(SUM(B$28,B$30:B$31,B$34,B$38,B$43,B$46:B$47,B$51:B$52,B$54,B$58,B$60,B$62:B$63)*H51)+(SUM(B$29,B$32,B$35:B$37,B$42,B$44:B$45,B$50,B$53,B$56,B$59,B$61)*I51)+(SUM(B$33,B$40,B$49,B$55,B$64)*J51)+(SUM(B$39,B$41,B$48,B$57)*PSI_EtOH!K51))*(L51*M51)</f>
        <v>-6452552.8468073523</v>
      </c>
      <c r="P51" t="s">
        <v>537</v>
      </c>
      <c r="V51" s="17">
        <f t="shared" si="13"/>
        <v>-444423.14384389593</v>
      </c>
      <c r="W51" s="17">
        <f t="shared" si="14"/>
        <v>-4533525.9430755656</v>
      </c>
      <c r="X51" s="17">
        <f t="shared" si="15"/>
        <v>-278875.56465391757</v>
      </c>
      <c r="Y51" s="17">
        <f t="shared" si="16"/>
        <v>-47912601.179469682</v>
      </c>
      <c r="Z51">
        <f t="shared" si="17"/>
        <v>-3040397.8261111304</v>
      </c>
      <c r="AA51" s="17">
        <f>((SUM(B$39,B$41,B$48,B$57)*PSI_EtOH!K69))*(L69*M69)</f>
        <v>-8715945.536954185</v>
      </c>
      <c r="AH51" s="8">
        <f t="shared" si="18"/>
        <v>-16591369879.771656</v>
      </c>
      <c r="AI51" s="8">
        <f t="shared" si="19"/>
        <v>-694966.31837354461</v>
      </c>
      <c r="AJ51" s="8">
        <f t="shared" si="20"/>
        <v>-6639051.2503777863</v>
      </c>
      <c r="AK51" s="8">
        <f t="shared" si="21"/>
        <v>-11780281.735152239</v>
      </c>
      <c r="AL51" s="8">
        <f t="shared" si="22"/>
        <v>-30463.818662589845</v>
      </c>
    </row>
    <row r="52" spans="1:38" x14ac:dyDescent="0.2">
      <c r="A52" s="24" t="s">
        <v>642</v>
      </c>
      <c r="B52" s="63">
        <v>500291.834575227</v>
      </c>
      <c r="C52" s="135" t="s">
        <v>506</v>
      </c>
      <c r="D52" t="s">
        <v>323</v>
      </c>
      <c r="E52">
        <v>1.7099999999999999E-3</v>
      </c>
      <c r="F52" t="s">
        <v>357</v>
      </c>
      <c r="G52">
        <v>1.2700000000000001E-3</v>
      </c>
      <c r="H52">
        <v>3.0599999999999998E-3</v>
      </c>
      <c r="I52">
        <v>1.2700000000000001E-3</v>
      </c>
      <c r="J52" s="88">
        <v>1.2700000000000001E-3</v>
      </c>
      <c r="K52">
        <v>1.2700000000000001E-3</v>
      </c>
      <c r="L52">
        <f>PSI_OC!$A$6</f>
        <v>100</v>
      </c>
      <c r="M52">
        <v>-1</v>
      </c>
      <c r="N52" t="s">
        <v>441</v>
      </c>
      <c r="O52" s="17">
        <f>((SUM(B$24:B$26)*E52)+(B$27*G52)+(SUM(B$28,B$30:B$31,B$34,B$38,B$43,B$46:B$47,B$51:B$52,B$54,B$58,B$60,B$62:B$63)*H52)+(SUM(B$29,B$32,B$35:B$37,B$42,B$44:B$45,B$50,B$53,B$56,B$59,B$61)*I52)+(SUM(B$33,B$40,B$49,B$55,B$64)*J52)+(SUM(B$39,B$41,B$48,B$57)*PSI_EtOH!K52))*(L52*M52)</f>
        <v>-3840130.7992197885</v>
      </c>
      <c r="P52" t="s">
        <v>537</v>
      </c>
      <c r="V52" s="17">
        <f t="shared" si="13"/>
        <v>-44182.417809042287</v>
      </c>
      <c r="W52" s="17">
        <f t="shared" si="14"/>
        <v>-4647.2036949993981</v>
      </c>
      <c r="X52" s="17">
        <f t="shared" si="15"/>
        <v>-278875.56465391757</v>
      </c>
      <c r="Y52" s="17">
        <f t="shared" si="16"/>
        <v>-49114.005309344415</v>
      </c>
      <c r="Z52">
        <f t="shared" si="17"/>
        <v>-3116.6355258984936</v>
      </c>
      <c r="AA52" s="17">
        <f>((SUM(B$39,B$41,B$48,B$57)*PSI_EtOH!K70))*(L70*M70)</f>
        <v>-8934.497080933952</v>
      </c>
      <c r="AH52" s="8">
        <f t="shared" si="18"/>
        <v>-16593542.22047244</v>
      </c>
      <c r="AI52" s="8">
        <f t="shared" si="19"/>
        <v>-688.7053605503595</v>
      </c>
      <c r="AJ52" s="8">
        <f t="shared" si="20"/>
        <v>-6805.5248584538094</v>
      </c>
      <c r="AK52" s="8">
        <f t="shared" si="21"/>
        <v>-11745.77851077683</v>
      </c>
      <c r="AL52" s="8">
        <f t="shared" si="22"/>
        <v>-30.462930504611347</v>
      </c>
    </row>
    <row r="53" spans="1:38" x14ac:dyDescent="0.2">
      <c r="A53" s="24" t="s">
        <v>643</v>
      </c>
      <c r="B53" s="63">
        <v>123905.49673053206</v>
      </c>
      <c r="C53" s="1" t="s">
        <v>659</v>
      </c>
      <c r="D53" t="s">
        <v>324</v>
      </c>
      <c r="E53">
        <v>1.7099999999999999E-3</v>
      </c>
      <c r="F53" t="s">
        <v>357</v>
      </c>
      <c r="G53">
        <v>1.2700000000000001E-3</v>
      </c>
      <c r="H53">
        <v>3.0599999999999998E-3</v>
      </c>
      <c r="I53">
        <v>1.2700000000000001E-3</v>
      </c>
      <c r="J53" s="88">
        <v>1.2700000000000001E-3</v>
      </c>
      <c r="K53">
        <v>1.2700000000000001E-3</v>
      </c>
      <c r="L53">
        <f>PSI_OC!$A$6</f>
        <v>100</v>
      </c>
      <c r="M53">
        <v>-1</v>
      </c>
      <c r="N53" t="s">
        <v>441</v>
      </c>
      <c r="O53" s="17">
        <f>((SUM(B$24:B$26)*E53)+(B$27*G53)+(SUM(B$28,B$30:B$31,B$34,B$38,B$43,B$46:B$47,B$51:B$52,B$54,B$58,B$60,B$62:B$63)*H53)+(SUM(B$29,B$32,B$35:B$37,B$42,B$44:B$45,B$50,B$53,B$56,B$59,B$61)*I53)+(SUM(B$33,B$40,B$49,B$55,B$64)*J53)+(SUM(B$39,B$41,B$48,B$57)*PSI_EtOH!K53))*(L53*M53)</f>
        <v>-3840130.7992197885</v>
      </c>
      <c r="P53" t="s">
        <v>537</v>
      </c>
      <c r="V53" s="17">
        <f t="shared" si="13"/>
        <v>-44182.417809042287</v>
      </c>
      <c r="W53" s="17">
        <f t="shared" si="14"/>
        <v>-4647.2036949993981</v>
      </c>
      <c r="X53" s="17">
        <f t="shared" si="15"/>
        <v>-2752771.7027128637</v>
      </c>
      <c r="Y53" s="17">
        <f t="shared" si="16"/>
        <v>-49114.005309344415</v>
      </c>
      <c r="Z53">
        <f t="shared" si="17"/>
        <v>-3116.6355258984936</v>
      </c>
      <c r="AA53" s="17">
        <f>((SUM(B$39,B$41,B$48,B$57)*PSI_EtOH!K71))*(L71*M71)</f>
        <v>-8934.497080933952</v>
      </c>
      <c r="AH53" s="8">
        <f t="shared" si="18"/>
        <v>-16593542.22047244</v>
      </c>
      <c r="AI53" s="8">
        <f t="shared" si="19"/>
        <v>-688.7053605503595</v>
      </c>
      <c r="AJ53" s="8">
        <f t="shared" si="20"/>
        <v>-6805.5248584538094</v>
      </c>
      <c r="AK53" s="8">
        <f t="shared" si="21"/>
        <v>-11745.77851077683</v>
      </c>
      <c r="AL53" s="8">
        <f t="shared" si="22"/>
        <v>-30.462930504611347</v>
      </c>
    </row>
    <row r="54" spans="1:38" x14ac:dyDescent="0.2">
      <c r="A54" s="24" t="s">
        <v>644</v>
      </c>
      <c r="B54" s="63">
        <v>1759181.2293463228</v>
      </c>
      <c r="C54" s="135" t="s">
        <v>515</v>
      </c>
      <c r="D54" t="s">
        <v>250</v>
      </c>
      <c r="E54">
        <v>1.7099999999999999E-3</v>
      </c>
      <c r="F54" t="s">
        <v>358</v>
      </c>
      <c r="G54">
        <v>1.2700000000000001E-3</v>
      </c>
      <c r="H54">
        <v>0.30602000000000001</v>
      </c>
      <c r="I54">
        <v>1.2700000000000001E-3</v>
      </c>
      <c r="J54" s="88">
        <v>1.2700000000000001E-3</v>
      </c>
      <c r="K54">
        <v>1.2700000000000001E-3</v>
      </c>
      <c r="L54">
        <f>PSI_OC!$A$7</f>
        <v>10</v>
      </c>
      <c r="M54">
        <v>1</v>
      </c>
      <c r="N54" t="s">
        <v>442</v>
      </c>
      <c r="O54" s="17">
        <f>((SUM(B$24:B$26)*E54)+(B$27*G54)+(SUM(B$28,B$30:B$31,B$34,B$38,B$43,B$46:B$47,B$51:B$52,B$54,B$58,B$60,B$62:B$63)*H54)+(SUM(B$29,B$32,B$35:B$37,B$42,B$44:B$45,B$50,B$53,B$56,B$59,B$61)*I54)+(SUM(B$33,B$40,B$49,B$55,B$64)*J54)+(SUM(B$39,B$41,B$48,B$57)*PSI_EtOH!K54))*(L54*M54)</f>
        <v>27638252.133970648</v>
      </c>
      <c r="P54" t="s">
        <v>537</v>
      </c>
      <c r="V54" s="17">
        <f t="shared" si="13"/>
        <v>-44442.314384389596</v>
      </c>
      <c r="W54" s="17">
        <f t="shared" si="14"/>
        <v>-4539.9605328071048</v>
      </c>
      <c r="X54" s="17">
        <f t="shared" si="15"/>
        <v>-2752771.7027128637</v>
      </c>
      <c r="Y54" s="17">
        <f t="shared" si="16"/>
        <v>-47980.605186821085</v>
      </c>
      <c r="Z54">
        <f t="shared" si="17"/>
        <v>-3044.7131676085287</v>
      </c>
      <c r="AA54" s="17">
        <f>((SUM(B$39,B$41,B$48,B$57)*PSI_EtOH!K72))*(L72*M72)</f>
        <v>-8728.3163790662475</v>
      </c>
      <c r="AH54" s="8">
        <f t="shared" si="18"/>
        <v>-16591797.368503937</v>
      </c>
      <c r="AI54" s="8">
        <f t="shared" si="19"/>
        <v>-694.96631837354471</v>
      </c>
      <c r="AJ54" s="8">
        <f t="shared" si="20"/>
        <v>-6648.4742847971847</v>
      </c>
      <c r="AK54" s="8">
        <f t="shared" si="21"/>
        <v>-11745.77851077683</v>
      </c>
      <c r="AL54" s="8">
        <f t="shared" si="22"/>
        <v>-30.451130691468403</v>
      </c>
    </row>
    <row r="55" spans="1:38" x14ac:dyDescent="0.2">
      <c r="A55" s="24" t="s">
        <v>645</v>
      </c>
      <c r="B55" s="63">
        <v>59956.192589701255</v>
      </c>
      <c r="C55" s="136" t="s">
        <v>502</v>
      </c>
      <c r="D55" t="s">
        <v>251</v>
      </c>
      <c r="E55">
        <v>0</v>
      </c>
      <c r="F55" t="s">
        <v>359</v>
      </c>
      <c r="G55">
        <v>0</v>
      </c>
      <c r="H55">
        <v>3.1E-4</v>
      </c>
      <c r="I55">
        <v>0</v>
      </c>
      <c r="J55" s="88">
        <v>0</v>
      </c>
      <c r="K55">
        <v>0</v>
      </c>
      <c r="L55">
        <f>PSI_OC!$A$6</f>
        <v>100</v>
      </c>
      <c r="M55">
        <v>-1</v>
      </c>
      <c r="N55" t="s">
        <v>443</v>
      </c>
      <c r="O55" s="17">
        <f>((SUM(B$24:B$26)*E55)+(B$27*G55)+(SUM(B$28,B$30:B$31,B$34,B$38,B$43,B$46:B$47,B$51:B$52,B$54,B$58,B$60,B$62:B$63)*H55)+(SUM(B$29,B$32,B$35:B$37,B$42,B$44:B$45,B$50,B$53,B$56,B$59,B$61)*I55)+(SUM(B$33,B$40,B$49,B$55,B$64)*J55)+(SUM(B$39,B$41,B$48,B$57)*PSI_EtOH!K55))*(L55*M55)</f>
        <v>-278875.56465391757</v>
      </c>
      <c r="P55" t="s">
        <v>537</v>
      </c>
      <c r="V55" s="17">
        <f t="shared" si="13"/>
        <v>-44442.314384389596</v>
      </c>
      <c r="W55" s="17">
        <f t="shared" si="14"/>
        <v>-4539.9605328071048</v>
      </c>
      <c r="X55" s="17">
        <f t="shared" si="15"/>
        <v>-275277.17027128639</v>
      </c>
      <c r="Y55" s="17">
        <f t="shared" si="16"/>
        <v>-47980.605186821085</v>
      </c>
      <c r="Z55">
        <f t="shared" si="17"/>
        <v>-3044.7131676085287</v>
      </c>
      <c r="AA55" s="17">
        <f>((SUM(B$39,B$41,B$48,B$57)*PSI_EtOH!K73))*(L73*M73)</f>
        <v>-8728.3163790662475</v>
      </c>
      <c r="AH55" s="8">
        <f t="shared" si="18"/>
        <v>-165913611.55511814</v>
      </c>
      <c r="AI55" s="8">
        <f t="shared" si="19"/>
        <v>-694.96631837354471</v>
      </c>
      <c r="AJ55" s="8">
        <f t="shared" si="20"/>
        <v>-6648.4742847971847</v>
      </c>
      <c r="AK55" s="8">
        <f t="shared" si="21"/>
        <v>-11745.77851077683</v>
      </c>
      <c r="AL55" s="8">
        <f t="shared" si="22"/>
        <v>-30.451130691468403</v>
      </c>
    </row>
    <row r="56" spans="1:38" x14ac:dyDescent="0.2">
      <c r="A56" s="24" t="s">
        <v>646</v>
      </c>
      <c r="B56" s="63">
        <v>52663.999318486174</v>
      </c>
      <c r="C56" s="1" t="s">
        <v>659</v>
      </c>
      <c r="D56" t="s">
        <v>252</v>
      </c>
      <c r="E56">
        <v>1.712E-2</v>
      </c>
      <c r="F56" t="s">
        <v>360</v>
      </c>
      <c r="G56">
        <v>0.12681999999999999</v>
      </c>
      <c r="H56">
        <v>3.0602</v>
      </c>
      <c r="I56">
        <v>0.12681999999999999</v>
      </c>
      <c r="J56" s="88">
        <v>0.12681999999999999</v>
      </c>
      <c r="K56">
        <v>0.12681999999999999</v>
      </c>
      <c r="L56">
        <f>PSI_OC!$A$7</f>
        <v>10</v>
      </c>
      <c r="M56">
        <v>-1</v>
      </c>
      <c r="N56" t="s">
        <v>444</v>
      </c>
      <c r="O56" s="17">
        <f>((SUM(B$24:B$26)*E56)+(B$27*G56)+(SUM(B$28,B$30:B$31,B$34,B$38,B$43,B$46:B$47,B$51:B$52,B$54,B$58,B$60,B$62:B$63)*H56)+(SUM(B$29,B$32,B$35:B$37,B$42,B$44:B$45,B$50,B$53,B$56,B$59,B$61)*I56)+(SUM(B$33,B$40,B$49,B$55,B$64)*J56)+(SUM(B$39,B$41,B$48,B$57)*PSI_EtOH!K56))*(L56*M56)</f>
        <v>-282160352.22875518</v>
      </c>
      <c r="P56" t="s">
        <v>537</v>
      </c>
      <c r="V56" s="17">
        <f t="shared" si="13"/>
        <v>0</v>
      </c>
      <c r="W56" s="17">
        <f t="shared" si="14"/>
        <v>0</v>
      </c>
      <c r="X56" s="17">
        <f t="shared" si="15"/>
        <v>0</v>
      </c>
      <c r="Y56" s="17">
        <f t="shared" si="16"/>
        <v>0</v>
      </c>
      <c r="Z56">
        <f t="shared" si="17"/>
        <v>0</v>
      </c>
      <c r="AA56" s="17">
        <f>((SUM(B$39,B$41,B$48,B$57)*PSI_EtOH!K74))*(L74*M74)</f>
        <v>0</v>
      </c>
      <c r="AH56" s="8">
        <f t="shared" si="18"/>
        <v>0</v>
      </c>
      <c r="AI56" s="8">
        <f t="shared" si="19"/>
        <v>0</v>
      </c>
      <c r="AJ56" s="8">
        <f t="shared" si="20"/>
        <v>0</v>
      </c>
      <c r="AK56" s="8">
        <f t="shared" si="21"/>
        <v>0</v>
      </c>
      <c r="AL56" s="8">
        <f t="shared" si="22"/>
        <v>0</v>
      </c>
    </row>
    <row r="57" spans="1:38" x14ac:dyDescent="0.2">
      <c r="A57" s="24" t="s">
        <v>647</v>
      </c>
      <c r="B57" s="63">
        <v>481813.76244454645</v>
      </c>
      <c r="C57" s="137" t="s">
        <v>510</v>
      </c>
      <c r="D57" t="s">
        <v>253</v>
      </c>
      <c r="E57">
        <v>1.7099999999999999E-3</v>
      </c>
      <c r="F57" t="s">
        <v>361</v>
      </c>
      <c r="G57">
        <v>1.268E-2</v>
      </c>
      <c r="H57">
        <v>0.30602000000000001</v>
      </c>
      <c r="I57">
        <v>1.268E-2</v>
      </c>
      <c r="J57" s="88">
        <v>1.268E-2</v>
      </c>
      <c r="K57">
        <v>1.268E-2</v>
      </c>
      <c r="L57">
        <f>PSI_OC!$A$7</f>
        <v>10</v>
      </c>
      <c r="M57">
        <v>-1</v>
      </c>
      <c r="N57" t="s">
        <v>445</v>
      </c>
      <c r="O57" s="17">
        <f>((SUM(B$24:B$26)*E57)+(B$27*G57)+(SUM(B$28,B$30:B$31,B$34,B$38,B$43,B$46:B$47,B$51:B$52,B$54,B$58,B$60,B$62:B$63)*H57)+(SUM(B$29,B$32,B$35:B$37,B$42,B$44:B$45,B$50,B$53,B$56,B$59,B$61)*I57)+(SUM(B$33,B$40,B$49,B$55,B$64)*J57)+(SUM(B$39,B$41,B$48,B$57)*PSI_EtOH!K57))*(L57*M57)</f>
        <v>-28215881.99380412</v>
      </c>
      <c r="P57" t="s">
        <v>537</v>
      </c>
      <c r="V57" s="17">
        <f t="shared" si="13"/>
        <v>0</v>
      </c>
      <c r="W57" s="17">
        <f t="shared" si="14"/>
        <v>0</v>
      </c>
      <c r="X57" s="17">
        <f t="shared" si="15"/>
        <v>0</v>
      </c>
      <c r="Y57" s="17">
        <f t="shared" si="16"/>
        <v>0</v>
      </c>
      <c r="Z57">
        <f t="shared" si="17"/>
        <v>0</v>
      </c>
      <c r="AA57" s="17">
        <f>((SUM(B$39,B$41,B$48,B$57)*PSI_EtOH!K75))*(L75*M75)</f>
        <v>0</v>
      </c>
      <c r="AH57" s="8">
        <f t="shared" si="18"/>
        <v>0</v>
      </c>
      <c r="AI57" s="8">
        <f t="shared" si="19"/>
        <v>0</v>
      </c>
      <c r="AJ57" s="8">
        <f t="shared" si="20"/>
        <v>0</v>
      </c>
      <c r="AK57" s="8">
        <f t="shared" si="21"/>
        <v>0</v>
      </c>
      <c r="AL57" s="8">
        <f t="shared" si="22"/>
        <v>0</v>
      </c>
    </row>
    <row r="58" spans="1:38" x14ac:dyDescent="0.2">
      <c r="A58" s="24" t="s">
        <v>648</v>
      </c>
      <c r="B58" s="63">
        <v>1160903.9694858661</v>
      </c>
      <c r="C58" s="135" t="s">
        <v>506</v>
      </c>
      <c r="D58" t="s">
        <v>325</v>
      </c>
      <c r="E58">
        <v>1.7000000000000001E-4</v>
      </c>
      <c r="F58" t="s">
        <v>362</v>
      </c>
      <c r="G58">
        <v>1.2700000000000001E-3</v>
      </c>
      <c r="H58">
        <v>3.1E-4</v>
      </c>
      <c r="I58">
        <v>1.2700000000000001E-3</v>
      </c>
      <c r="J58" s="88">
        <v>1.2700000000000001E-3</v>
      </c>
      <c r="K58">
        <v>1.2700000000000001E-3</v>
      </c>
      <c r="L58">
        <f>PSI_OC!$A$6</f>
        <v>100</v>
      </c>
      <c r="M58">
        <v>-1</v>
      </c>
      <c r="N58" t="s">
        <v>446</v>
      </c>
      <c r="O58" s="17">
        <f>((SUM(B$24:B$26)*E58)+(B$27*G58)+(SUM(B$28,B$30:B$31,B$34,B$38,B$43,B$46:B$47,B$51:B$52,B$54,B$58,B$60,B$62:B$63)*H58)+(SUM(B$29,B$32,B$35:B$37,B$42,B$44:B$45,B$50,B$53,B$56,B$59,B$61)*I58)+(SUM(B$33,B$40,B$49,B$55,B$64)*J58)+(SUM(B$39,B$41,B$48,B$57)*PSI_EtOH!K58))*(L58*M58)</f>
        <v>-965993.93512598961</v>
      </c>
      <c r="P58" t="s">
        <v>537</v>
      </c>
      <c r="V58" s="17">
        <f t="shared" si="13"/>
        <v>-444942.93699459056</v>
      </c>
      <c r="W58" s="17">
        <f t="shared" si="14"/>
        <v>-453352.59430755657</v>
      </c>
      <c r="X58" s="17">
        <f t="shared" si="15"/>
        <v>-27529516.224319953</v>
      </c>
      <c r="Y58" s="17">
        <f t="shared" si="16"/>
        <v>-4791260.1179469675</v>
      </c>
      <c r="Z58">
        <f t="shared" si="17"/>
        <v>-304039.78261111304</v>
      </c>
      <c r="AA58" s="17">
        <f>((SUM(B$39,B$41,B$48,B$57)*PSI_EtOH!K76))*(L76*M76)</f>
        <v>-871594.55369541841</v>
      </c>
      <c r="AH58" s="8">
        <f t="shared" si="18"/>
        <v>-165760.93700787402</v>
      </c>
      <c r="AI58" s="8">
        <f t="shared" si="19"/>
        <v>-69496.631837354464</v>
      </c>
      <c r="AJ58" s="8">
        <f t="shared" si="20"/>
        <v>-663905.12503777863</v>
      </c>
      <c r="AK58" s="8">
        <f t="shared" si="21"/>
        <v>-1178028.1735152239</v>
      </c>
      <c r="AL58" s="8">
        <f t="shared" si="22"/>
        <v>-3046.3818662589847</v>
      </c>
    </row>
    <row r="59" spans="1:38" x14ac:dyDescent="0.2">
      <c r="A59" s="24" t="s">
        <v>649</v>
      </c>
      <c r="B59" s="63">
        <v>81592.27356791636</v>
      </c>
      <c r="C59" s="1" t="s">
        <v>659</v>
      </c>
      <c r="D59" t="s">
        <v>254</v>
      </c>
      <c r="E59">
        <v>1.7000000000000001E-4</v>
      </c>
      <c r="F59" t="s">
        <v>363</v>
      </c>
      <c r="G59">
        <v>1.2700000000000001E-3</v>
      </c>
      <c r="H59">
        <v>3.0599999999999998E-3</v>
      </c>
      <c r="I59">
        <v>1.2700000000000001E-3</v>
      </c>
      <c r="J59" s="88">
        <v>1.2700000000000001E-3</v>
      </c>
      <c r="K59">
        <v>1.2700000000000001E-3</v>
      </c>
      <c r="L59">
        <f>PSI_OC!$A$7</f>
        <v>10</v>
      </c>
      <c r="M59">
        <v>-1</v>
      </c>
      <c r="N59" t="s">
        <v>447</v>
      </c>
      <c r="O59" s="17">
        <f>((SUM(B$24:B$26)*E59)+(B$27*G59)+(SUM(B$28,B$30:B$31,B$34,B$38,B$43,B$46:B$47,B$51:B$52,B$54,B$58,B$60,B$62:B$63)*H59)+(SUM(B$29,B$32,B$35:B$37,B$42,B$44:B$45,B$50,B$53,B$56,B$59,B$61)*I59)+(SUM(B$33,B$40,B$49,B$55,B$64)*J59)+(SUM(B$39,B$41,B$48,B$57)*PSI_EtOH!K59))*(L59*M59)</f>
        <v>-343989.00731849356</v>
      </c>
      <c r="P59" t="s">
        <v>537</v>
      </c>
      <c r="V59" s="17">
        <f t="shared" si="13"/>
        <v>-44442.314384389596</v>
      </c>
      <c r="W59" s="17">
        <f t="shared" si="14"/>
        <v>-4539.9605328071048</v>
      </c>
      <c r="X59" s="17">
        <f t="shared" si="15"/>
        <v>-275277.17027128639</v>
      </c>
      <c r="Y59" s="17">
        <f t="shared" si="16"/>
        <v>-47980.605186821085</v>
      </c>
      <c r="Z59">
        <f t="shared" si="17"/>
        <v>-3044.7131676085287</v>
      </c>
      <c r="AA59" s="17">
        <f>((SUM(B$39,B$41,B$48,B$57)*PSI_EtOH!K77))*(L77*M77)</f>
        <v>-8728.3163790662475</v>
      </c>
      <c r="AH59" s="8">
        <f t="shared" si="18"/>
        <v>-1659136987.9771657</v>
      </c>
      <c r="AI59" s="8">
        <f t="shared" si="19"/>
        <v>-694.96631837354471</v>
      </c>
      <c r="AJ59" s="8">
        <f t="shared" si="20"/>
        <v>-6648.4742847971847</v>
      </c>
      <c r="AK59" s="8">
        <f t="shared" si="21"/>
        <v>-11745.77851077683</v>
      </c>
      <c r="AL59" s="8">
        <f t="shared" si="22"/>
        <v>-30.451130691468403</v>
      </c>
    </row>
    <row r="60" spans="1:38" x14ac:dyDescent="0.2">
      <c r="A60" s="24" t="s">
        <v>650</v>
      </c>
      <c r="B60" s="63">
        <v>1461271.6603016981</v>
      </c>
      <c r="C60" s="135" t="s">
        <v>506</v>
      </c>
      <c r="D60" t="s">
        <v>255</v>
      </c>
      <c r="E60">
        <v>0</v>
      </c>
      <c r="F60" t="s">
        <v>364</v>
      </c>
      <c r="G60">
        <v>0</v>
      </c>
      <c r="H60">
        <v>0</v>
      </c>
      <c r="I60">
        <v>0</v>
      </c>
      <c r="J60" s="88">
        <v>0</v>
      </c>
      <c r="K60">
        <v>0</v>
      </c>
      <c r="L60">
        <f>PSI_OC!$A$7</f>
        <v>10</v>
      </c>
      <c r="M60">
        <v>-1</v>
      </c>
      <c r="N60" t="s">
        <v>448</v>
      </c>
      <c r="O60" s="17">
        <f>((SUM(B$24:B$26)*E60)+(B$27*G60)+(SUM(B$28,B$30:B$31,B$34,B$38,B$43,B$46:B$47,B$51:B$52,B$54,B$58,B$60,B$62:B$63)*H60)+(SUM(B$29,B$32,B$35:B$37,B$42,B$44:B$45,B$50,B$53,B$56,B$59,B$61)*I60)+(SUM(B$33,B$40,B$49,B$55,B$64)*J60)+(SUM(B$39,B$41,B$48,B$57)*PSI_EtOH!K60))*(L60*M60)</f>
        <v>0</v>
      </c>
      <c r="P60" t="s">
        <v>537</v>
      </c>
      <c r="V60" s="17">
        <f t="shared" si="13"/>
        <v>-44442.314384389596</v>
      </c>
      <c r="W60" s="17">
        <f t="shared" si="14"/>
        <v>-4539.9605328071048</v>
      </c>
      <c r="X60" s="17">
        <f t="shared" si="15"/>
        <v>-275277.17027128639</v>
      </c>
      <c r="Y60" s="17">
        <f t="shared" si="16"/>
        <v>-47980.605186821085</v>
      </c>
      <c r="Z60">
        <f t="shared" si="17"/>
        <v>-3044.7131676085287</v>
      </c>
      <c r="AA60" s="17">
        <f>((SUM(B$39,B$41,B$48,B$57)*PSI_EtOH!K78))*(L78*M78)</f>
        <v>-8728.3163790662475</v>
      </c>
      <c r="AH60" s="8">
        <f t="shared" si="18"/>
        <v>-1659136987.9771657</v>
      </c>
      <c r="AI60" s="8">
        <f t="shared" si="19"/>
        <v>-694.96631837354471</v>
      </c>
      <c r="AJ60" s="8">
        <f t="shared" si="20"/>
        <v>-6648.4742847971847</v>
      </c>
      <c r="AK60" s="8">
        <f t="shared" si="21"/>
        <v>-11745.77851077683</v>
      </c>
      <c r="AL60" s="8">
        <f t="shared" si="22"/>
        <v>-30.451130691468403</v>
      </c>
    </row>
    <row r="61" spans="1:38" x14ac:dyDescent="0.2">
      <c r="A61" s="24" t="s">
        <v>651</v>
      </c>
      <c r="B61" s="63">
        <v>48175.563098130318</v>
      </c>
      <c r="C61" s="1" t="s">
        <v>659</v>
      </c>
      <c r="D61" t="s">
        <v>256</v>
      </c>
      <c r="E61">
        <v>1.7000000000000001E-4</v>
      </c>
      <c r="F61" t="s">
        <v>365</v>
      </c>
      <c r="G61">
        <v>1.2700000000000001E-3</v>
      </c>
      <c r="H61">
        <v>0.30602000000000001</v>
      </c>
      <c r="I61">
        <v>1.2700000000000001E-3</v>
      </c>
      <c r="J61" s="88">
        <v>1.2700000000000001E-3</v>
      </c>
      <c r="K61">
        <v>1.2700000000000001E-3</v>
      </c>
      <c r="L61">
        <f>PSI_OC!$A$7</f>
        <v>10</v>
      </c>
      <c r="M61">
        <v>-1</v>
      </c>
      <c r="N61" t="s">
        <v>449</v>
      </c>
      <c r="O61" s="17">
        <f>((SUM(B$24:B$26)*E61)+(B$27*G61)+(SUM(B$28,B$30:B$31,B$34,B$38,B$43,B$46:B$47,B$51:B$52,B$54,B$58,B$60,B$62:B$63)*H61)+(SUM(B$29,B$32,B$35:B$37,B$42,B$44:B$45,B$50,B$53,B$56,B$59,B$61)*I61)+(SUM(B$33,B$40,B$49,B$55,B$64)*J61)+(SUM(B$39,B$41,B$48,B$57)*PSI_EtOH!K61))*(L61*M61)</f>
        <v>-27598228.061367162</v>
      </c>
      <c r="P61" t="s">
        <v>537</v>
      </c>
      <c r="V61" s="17">
        <f t="shared" si="13"/>
        <v>0</v>
      </c>
      <c r="W61" s="17">
        <f t="shared" si="14"/>
        <v>0</v>
      </c>
      <c r="X61" s="17">
        <f t="shared" si="15"/>
        <v>0</v>
      </c>
      <c r="Y61" s="17">
        <f t="shared" si="16"/>
        <v>0</v>
      </c>
      <c r="Z61">
        <f t="shared" si="17"/>
        <v>0</v>
      </c>
      <c r="AA61" s="17">
        <f>((SUM(B$39,B$41,B$48,B$57)*PSI_EtOH!K79))*(L79*M79)</f>
        <v>0</v>
      </c>
      <c r="AH61" s="8">
        <f t="shared" si="18"/>
        <v>0</v>
      </c>
      <c r="AI61" s="8">
        <f t="shared" si="19"/>
        <v>0</v>
      </c>
      <c r="AJ61" s="8">
        <f t="shared" si="20"/>
        <v>0</v>
      </c>
      <c r="AK61" s="8">
        <f t="shared" si="21"/>
        <v>0</v>
      </c>
      <c r="AL61" s="8">
        <f t="shared" si="22"/>
        <v>0</v>
      </c>
    </row>
    <row r="62" spans="1:38" x14ac:dyDescent="0.2">
      <c r="A62" s="24" t="s">
        <v>652</v>
      </c>
      <c r="B62" s="63">
        <v>240979.15015392058</v>
      </c>
      <c r="C62" s="135" t="s">
        <v>506</v>
      </c>
      <c r="D62" t="s">
        <v>257</v>
      </c>
      <c r="E62">
        <v>1.7099999999999999E-3</v>
      </c>
      <c r="F62" t="s">
        <v>366</v>
      </c>
      <c r="G62">
        <v>1.26824</v>
      </c>
      <c r="H62">
        <v>3.0599999999999998E-3</v>
      </c>
      <c r="I62">
        <v>1.26824</v>
      </c>
      <c r="J62" s="88">
        <v>1.26824</v>
      </c>
      <c r="K62">
        <v>1.26824</v>
      </c>
      <c r="L62">
        <f>PSI_OC!$A$6</f>
        <v>100</v>
      </c>
      <c r="M62">
        <v>-1</v>
      </c>
      <c r="N62" t="s">
        <v>450</v>
      </c>
      <c r="O62" s="17">
        <f>((SUM(B$24:B$26)*E62)+(B$27*G62)+(SUM(B$28,B$30:B$31,B$34,B$38,B$43,B$46:B$47,B$51:B$52,B$54,B$58,B$60,B$62:B$63)*H62)+(SUM(B$29,B$32,B$35:B$37,B$42,B$44:B$45,B$50,B$53,B$56,B$59,B$61)*I62)+(SUM(B$33,B$40,B$49,B$55,B$64)*J62)+(SUM(B$39,B$41,B$48,B$57)*PSI_EtOH!K62))*(L62*M62)</f>
        <v>-645242149.65392745</v>
      </c>
      <c r="P62" t="s">
        <v>537</v>
      </c>
      <c r="V62" s="17">
        <f t="shared" si="13"/>
        <v>0</v>
      </c>
      <c r="W62" s="17">
        <f t="shared" si="14"/>
        <v>-45399.605328071048</v>
      </c>
      <c r="X62" s="17">
        <f t="shared" si="15"/>
        <v>0</v>
      </c>
      <c r="Y62" s="17">
        <f t="shared" si="16"/>
        <v>-479806.05186821084</v>
      </c>
      <c r="Z62">
        <f t="shared" si="17"/>
        <v>-30447.131676085286</v>
      </c>
      <c r="AA62" s="17">
        <f>((SUM(B$39,B$41,B$48,B$57)*PSI_EtOH!K80))*(L80*M80)</f>
        <v>-87283.163790662482</v>
      </c>
      <c r="AH62" s="8">
        <f t="shared" si="18"/>
        <v>-16593542.22047244</v>
      </c>
      <c r="AI62" s="8">
        <f t="shared" si="19"/>
        <v>-6949.6631837354471</v>
      </c>
      <c r="AJ62" s="8">
        <f t="shared" si="20"/>
        <v>-66484.742847971851</v>
      </c>
      <c r="AK62" s="8">
        <f t="shared" si="21"/>
        <v>-117457.78510776832</v>
      </c>
      <c r="AL62" s="8">
        <f t="shared" si="22"/>
        <v>-304.51130691468404</v>
      </c>
    </row>
    <row r="63" spans="1:38" x14ac:dyDescent="0.2">
      <c r="A63" s="24" t="s">
        <v>653</v>
      </c>
      <c r="B63" s="63">
        <v>142855.18133966115</v>
      </c>
      <c r="C63" s="135" t="s">
        <v>506</v>
      </c>
      <c r="D63" t="s">
        <v>258</v>
      </c>
      <c r="E63">
        <v>1.712E-2</v>
      </c>
      <c r="F63" t="s">
        <v>367</v>
      </c>
      <c r="G63">
        <v>0.12681999999999999</v>
      </c>
      <c r="H63">
        <v>3.0599999999999998E-3</v>
      </c>
      <c r="I63">
        <v>0.12681999999999999</v>
      </c>
      <c r="J63" s="88">
        <v>0.12681999999999999</v>
      </c>
      <c r="K63">
        <v>0.12681999999999999</v>
      </c>
      <c r="L63">
        <f>PSI_OC!$A$6</f>
        <v>100</v>
      </c>
      <c r="M63">
        <v>-1</v>
      </c>
      <c r="N63" t="s">
        <v>451</v>
      </c>
      <c r="O63" s="17">
        <f>((SUM(B$24:B$26)*E63)+(B$27*G63)+(SUM(B$28,B$30:B$31,B$34,B$38,B$43,B$46:B$47,B$51:B$52,B$54,B$58,B$60,B$62:B$63)*H63)+(SUM(B$29,B$32,B$35:B$37,B$42,B$44:B$45,B$50,B$53,B$56,B$59,B$61)*I63)+(SUM(B$33,B$40,B$49,B$55,B$64)*J63)+(SUM(B$39,B$41,B$48,B$57)*PSI_EtOH!K63))*(L63*M63)</f>
        <v>-71404671.558269337</v>
      </c>
      <c r="P63" t="s">
        <v>537</v>
      </c>
      <c r="V63" s="17">
        <f t="shared" si="13"/>
        <v>0</v>
      </c>
      <c r="W63" s="17">
        <f t="shared" si="14"/>
        <v>0</v>
      </c>
      <c r="X63" s="17">
        <f t="shared" si="15"/>
        <v>0</v>
      </c>
      <c r="Y63" s="17">
        <f t="shared" si="16"/>
        <v>0</v>
      </c>
      <c r="Z63">
        <f t="shared" si="17"/>
        <v>0</v>
      </c>
      <c r="AA63" s="17">
        <f>((SUM(B$39,B$41,B$48,B$57)*PSI_EtOH!K81))*(L81*M81)</f>
        <v>0</v>
      </c>
      <c r="AH63" s="8">
        <f t="shared" si="18"/>
        <v>0</v>
      </c>
      <c r="AI63" s="8">
        <f t="shared" si="19"/>
        <v>0</v>
      </c>
      <c r="AJ63" s="8">
        <f t="shared" si="20"/>
        <v>0</v>
      </c>
      <c r="AK63" s="8">
        <f t="shared" si="21"/>
        <v>0</v>
      </c>
      <c r="AL63" s="8">
        <f t="shared" si="22"/>
        <v>0</v>
      </c>
    </row>
    <row r="64" spans="1:38" x14ac:dyDescent="0.2">
      <c r="A64" s="21" t="s">
        <v>654</v>
      </c>
      <c r="B64" s="46">
        <v>15219.924804440978</v>
      </c>
      <c r="C64" s="136" t="s">
        <v>502</v>
      </c>
      <c r="D64" t="s">
        <v>326</v>
      </c>
      <c r="E64">
        <v>1.7099999999999999E-3</v>
      </c>
      <c r="F64" t="s">
        <v>365</v>
      </c>
      <c r="G64">
        <v>1.2700000000000001E-3</v>
      </c>
      <c r="H64">
        <v>3.0599999999999998E-3</v>
      </c>
      <c r="I64">
        <v>1.2700000000000001E-3</v>
      </c>
      <c r="J64" s="88">
        <v>1.2700000000000001E-3</v>
      </c>
      <c r="K64">
        <v>1.2700000000000001E-3</v>
      </c>
      <c r="L64">
        <v>0</v>
      </c>
      <c r="M64">
        <v>0</v>
      </c>
      <c r="N64" t="s">
        <v>449</v>
      </c>
      <c r="O64" s="17">
        <f>((SUM(B$24:B$26)*E64)+(B$27*G64)+(SUM(B$28,B$30:B$31,B$34,B$38,B$43,B$46:B$47,B$51:B$52,B$54,B$58,B$60,B$62:B$63)*H64)+(SUM(B$29,B$32,B$35:B$37,B$42,B$44:B$45,B$50,B$53,B$56,B$59,B$61)*I64)+(SUM(B$33,B$40,B$49,B$55,B$64)*J64)+(SUM(B$39,B$41,B$48,B$57)*PSI_EtOH!K64))*(L64*M64)</f>
        <v>0</v>
      </c>
      <c r="P64" t="s">
        <v>537</v>
      </c>
      <c r="V64" s="17">
        <f t="shared" si="13"/>
        <v>0</v>
      </c>
      <c r="W64" s="17">
        <f t="shared" si="14"/>
        <v>0</v>
      </c>
      <c r="X64" s="17">
        <f t="shared" si="15"/>
        <v>0</v>
      </c>
      <c r="Y64" s="17">
        <f t="shared" si="16"/>
        <v>0</v>
      </c>
      <c r="Z64">
        <f t="shared" si="17"/>
        <v>0</v>
      </c>
      <c r="AA64" s="17">
        <f>((SUM(B$39,B$41,B$48,B$57)*PSI_EtOH!K82))*(L82*M82)</f>
        <v>0</v>
      </c>
      <c r="AH64" s="8">
        <f t="shared" si="18"/>
        <v>0</v>
      </c>
      <c r="AI64" s="8">
        <f t="shared" si="19"/>
        <v>0</v>
      </c>
      <c r="AJ64" s="8">
        <f t="shared" si="20"/>
        <v>0</v>
      </c>
      <c r="AK64" s="8">
        <f t="shared" si="21"/>
        <v>0</v>
      </c>
      <c r="AL64" s="8">
        <f t="shared" si="22"/>
        <v>0</v>
      </c>
    </row>
    <row r="65" spans="4:38" x14ac:dyDescent="0.2">
      <c r="D65" t="s">
        <v>259</v>
      </c>
      <c r="E65">
        <v>1.7000000000000001E-4</v>
      </c>
      <c r="F65" t="s">
        <v>368</v>
      </c>
      <c r="G65">
        <v>1.268E-2</v>
      </c>
      <c r="H65">
        <v>3.0599999999999998E-3</v>
      </c>
      <c r="I65">
        <v>1.268E-2</v>
      </c>
      <c r="J65" s="88">
        <v>1.268E-2</v>
      </c>
      <c r="K65">
        <v>1.268E-2</v>
      </c>
      <c r="L65">
        <f>PSI_OC!$A$6</f>
        <v>100</v>
      </c>
      <c r="M65">
        <v>-1</v>
      </c>
      <c r="N65" t="s">
        <v>452</v>
      </c>
      <c r="O65" s="17">
        <f>((SUM(B$24:B$26)*E65)+(B$27*G65)+(SUM(B$28,B$30:B$31,B$34,B$38,B$43,B$46:B$47,B$51:B$52,B$54,B$58,B$60,B$62:B$63)*H65)+(SUM(B$29,B$32,B$35:B$37,B$42,B$44:B$45,B$50,B$53,B$56,B$59,B$61)*I65)+(SUM(B$33,B$40,B$49,B$55,B$64)*J65)+(SUM(B$39,B$41,B$48,B$57)*PSI_EtOH!K65))*(L65*M65)</f>
        <v>-9216188.6715197135</v>
      </c>
      <c r="P65" t="s">
        <v>537</v>
      </c>
      <c r="V65" s="17">
        <f t="shared" si="13"/>
        <v>-4418.241780904229</v>
      </c>
      <c r="W65" s="17">
        <f t="shared" si="14"/>
        <v>-464.72036949993981</v>
      </c>
      <c r="X65" s="17">
        <f t="shared" si="15"/>
        <v>-275295162.24319953</v>
      </c>
      <c r="Y65" s="17">
        <f t="shared" si="16"/>
        <v>-4911.4005309344411</v>
      </c>
      <c r="Z65">
        <f t="shared" si="17"/>
        <v>-311.66355258984936</v>
      </c>
      <c r="AA65" s="17">
        <f>((SUM(B$39,B$41,B$48,B$57)*PSI_EtOH!K83))*(L83*M83)</f>
        <v>-893.44970809339532</v>
      </c>
      <c r="AH65" s="8">
        <f t="shared" si="18"/>
        <v>-1659354.222047244</v>
      </c>
      <c r="AI65" s="8">
        <f t="shared" si="19"/>
        <v>-68.870536055035956</v>
      </c>
      <c r="AJ65" s="8">
        <f t="shared" si="20"/>
        <v>-680.55248584538094</v>
      </c>
      <c r="AK65" s="8">
        <f t="shared" si="21"/>
        <v>-1174.5778510776831</v>
      </c>
      <c r="AL65" s="8">
        <f t="shared" si="22"/>
        <v>-3.0462930504611347</v>
      </c>
    </row>
    <row r="66" spans="4:38" x14ac:dyDescent="0.2">
      <c r="D66" t="s">
        <v>260</v>
      </c>
      <c r="E66">
        <v>0</v>
      </c>
      <c r="F66" t="s">
        <v>368</v>
      </c>
      <c r="G66">
        <v>0</v>
      </c>
      <c r="H66">
        <v>3.0599999999999998E-3</v>
      </c>
      <c r="I66">
        <v>0</v>
      </c>
      <c r="J66" s="88">
        <v>0</v>
      </c>
      <c r="K66">
        <v>0</v>
      </c>
      <c r="L66">
        <v>0</v>
      </c>
      <c r="M66">
        <v>0</v>
      </c>
      <c r="N66" t="s">
        <v>452</v>
      </c>
      <c r="O66" s="17">
        <f>((SUM(B$24:B$26)*E66)+(B$27*G66)+(SUM(B$28,B$30:B$31,B$34,B$38,B$43,B$46:B$47,B$51:B$52,B$54,B$58,B$60,B$62:B$63)*H66)+(SUM(B$29,B$32,B$35:B$37,B$42,B$44:B$45,B$50,B$53,B$56,B$59,B$61)*I66)+(SUM(B$33,B$40,B$49,B$55,B$64)*J66)+(SUM(B$39,B$41,B$48,B$57)*PSI_EtOH!K66))*(L66*M66)</f>
        <v>0</v>
      </c>
      <c r="P66" t="s">
        <v>537</v>
      </c>
      <c r="V66" s="17">
        <f t="shared" si="13"/>
        <v>0</v>
      </c>
      <c r="W66" s="17">
        <f t="shared" si="14"/>
        <v>0</v>
      </c>
      <c r="X66" s="17">
        <f t="shared" si="15"/>
        <v>0</v>
      </c>
      <c r="Y66" s="17">
        <f t="shared" si="16"/>
        <v>0</v>
      </c>
      <c r="Z66">
        <f t="shared" si="17"/>
        <v>0</v>
      </c>
      <c r="AA66" s="17">
        <f>((SUM(B$39,B$41,B$48,B$57)*PSI_EtOH!K84))*(L84*M84)</f>
        <v>0</v>
      </c>
      <c r="AH66" s="8">
        <f t="shared" si="18"/>
        <v>0</v>
      </c>
      <c r="AI66" s="8">
        <f t="shared" si="19"/>
        <v>0</v>
      </c>
      <c r="AJ66" s="8">
        <f t="shared" si="20"/>
        <v>0</v>
      </c>
      <c r="AK66" s="8">
        <f t="shared" si="21"/>
        <v>0</v>
      </c>
      <c r="AL66" s="8">
        <f t="shared" si="22"/>
        <v>0</v>
      </c>
    </row>
    <row r="67" spans="4:38" x14ac:dyDescent="0.2">
      <c r="D67" t="s">
        <v>327</v>
      </c>
      <c r="E67">
        <v>1.7099999999999999E-3</v>
      </c>
      <c r="F67" t="s">
        <v>368</v>
      </c>
      <c r="G67">
        <v>1.2999999999999999E-4</v>
      </c>
      <c r="H67">
        <v>0.30602000000000001</v>
      </c>
      <c r="I67">
        <v>1.2999999999999999E-4</v>
      </c>
      <c r="J67" s="88">
        <v>1.2999999999999999E-4</v>
      </c>
      <c r="K67">
        <v>1.2999999999999999E-4</v>
      </c>
      <c r="L67">
        <f>PSI_OC!$A$6</f>
        <v>100</v>
      </c>
      <c r="M67">
        <v>-1</v>
      </c>
      <c r="N67" t="s">
        <v>452</v>
      </c>
      <c r="O67" s="17">
        <f>((SUM(B$24:B$26)*E67)+(B$27*G67)+(SUM(B$28,B$30:B$31,B$34,B$38,B$43,B$46:B$47,B$51:B$52,B$54,B$58,B$60,B$62:B$63)*H67)+(SUM(B$29,B$32,B$35:B$37,B$42,B$44:B$45,B$50,B$53,B$56,B$59,B$61)*I67)+(SUM(B$33,B$40,B$49,B$55,B$64)*J67)+(SUM(B$39,B$41,B$48,B$57)*PSI_EtOH!K67))*(L67*M67)</f>
        <v>-275805397.72865462</v>
      </c>
      <c r="P67" t="s">
        <v>537</v>
      </c>
      <c r="V67" s="17">
        <f t="shared" si="13"/>
        <v>-444423.14384389593</v>
      </c>
      <c r="W67" s="17">
        <f t="shared" si="14"/>
        <v>-45336689.339584894</v>
      </c>
      <c r="X67" s="17">
        <f t="shared" si="15"/>
        <v>-2752771.7027128637</v>
      </c>
      <c r="Y67" s="17">
        <f t="shared" si="16"/>
        <v>-479141123.79633051</v>
      </c>
      <c r="Z67">
        <f t="shared" si="17"/>
        <v>-30404937.225888506</v>
      </c>
      <c r="AA67" s="17">
        <f>((SUM(B$39,B$41,B$48,B$57)*PSI_EtOH!K85))*(L85*M85)</f>
        <v>-87162204.445566744</v>
      </c>
      <c r="AH67" s="8">
        <f t="shared" si="18"/>
        <v>-1657609.3700787402</v>
      </c>
      <c r="AI67" s="8">
        <f t="shared" si="19"/>
        <v>-6949913.6220483733</v>
      </c>
      <c r="AJ67" s="8">
        <f t="shared" si="20"/>
        <v>-66392606.511426628</v>
      </c>
      <c r="AK67" s="8">
        <f t="shared" si="21"/>
        <v>-117800615.01805161</v>
      </c>
      <c r="AL67" s="8">
        <f t="shared" si="22"/>
        <v>-304629.72797848418</v>
      </c>
    </row>
    <row r="68" spans="4:38" x14ac:dyDescent="0.2">
      <c r="D68" t="s">
        <v>328</v>
      </c>
      <c r="E68">
        <v>1.7000000000000001E-4</v>
      </c>
      <c r="F68" t="s">
        <v>368</v>
      </c>
      <c r="G68">
        <v>1.2999999999999999E-4</v>
      </c>
      <c r="H68">
        <v>0.30602000000000001</v>
      </c>
      <c r="I68">
        <v>1.2999999999999999E-4</v>
      </c>
      <c r="J68" s="88">
        <v>1.2999999999999999E-4</v>
      </c>
      <c r="K68">
        <v>1.2999999999999999E-4</v>
      </c>
      <c r="L68">
        <v>0</v>
      </c>
      <c r="M68">
        <v>0</v>
      </c>
      <c r="N68" t="s">
        <v>452</v>
      </c>
      <c r="O68" s="17">
        <f>((SUM(B$24:B$26)*E68)+(B$27*G68)+(SUM(B$28,B$30:B$31,B$34,B$38,B$43,B$46:B$47,B$51:B$52,B$54,B$58,B$60,B$62:B$63)*H68)+(SUM(B$29,B$32,B$35:B$37,B$42,B$44:B$45,B$50,B$53,B$56,B$59,B$61)*I68)+(SUM(B$33,B$40,B$49,B$55,B$64)*J68)+(SUM(B$39,B$41,B$48,B$57)*PSI_EtOH!K68))*(L68*M68)</f>
        <v>0</v>
      </c>
      <c r="P68" t="s">
        <v>537</v>
      </c>
      <c r="V68" s="17">
        <f t="shared" si="13"/>
        <v>-444423.14384389593</v>
      </c>
      <c r="W68" s="17">
        <f t="shared" si="14"/>
        <v>-45336689.339584894</v>
      </c>
      <c r="X68" s="17">
        <f t="shared" si="15"/>
        <v>-2752771.7027128637</v>
      </c>
      <c r="Y68" s="17">
        <f t="shared" si="16"/>
        <v>-479141123.79633051</v>
      </c>
      <c r="Z68">
        <f t="shared" si="17"/>
        <v>-30404937.225888506</v>
      </c>
      <c r="AA68" s="17">
        <f>((SUM(B$39,B$41,B$48,B$57)*PSI_EtOH!K86))*(L86*M86)</f>
        <v>-87162204.445566744</v>
      </c>
      <c r="AH68" s="8">
        <f t="shared" si="18"/>
        <v>-1659136115.5511813</v>
      </c>
      <c r="AI68" s="8">
        <f t="shared" si="19"/>
        <v>-6949913.6220483733</v>
      </c>
      <c r="AJ68" s="8">
        <f t="shared" si="20"/>
        <v>-66392606.511426628</v>
      </c>
      <c r="AK68" s="8">
        <f t="shared" si="21"/>
        <v>-117800615.01805161</v>
      </c>
      <c r="AL68" s="8">
        <f t="shared" si="22"/>
        <v>-304629.72797848418</v>
      </c>
    </row>
    <row r="69" spans="4:38" x14ac:dyDescent="0.2">
      <c r="D69" t="s">
        <v>261</v>
      </c>
      <c r="E69">
        <v>1.7099999999999999E-3</v>
      </c>
      <c r="F69" t="s">
        <v>369</v>
      </c>
      <c r="G69">
        <v>0.12681999999999999</v>
      </c>
      <c r="H69">
        <v>3.1E-4</v>
      </c>
      <c r="I69">
        <v>0.12681999999999999</v>
      </c>
      <c r="J69" s="88">
        <v>0.12681999999999999</v>
      </c>
      <c r="K69">
        <v>0.12681999999999999</v>
      </c>
      <c r="L69">
        <f>PSI_OC!$A$6</f>
        <v>100</v>
      </c>
      <c r="M69">
        <v>-1</v>
      </c>
      <c r="N69" t="s">
        <v>453</v>
      </c>
      <c r="O69" s="17">
        <f>((SUM(B$24:B$26)*E69)+(B$27*G69)+(SUM(B$28,B$30:B$31,B$34,B$38,B$43,B$46:B$47,B$51:B$52,B$54,B$58,B$60,B$62:B$63)*H69)+(SUM(B$29,B$32,B$35:B$37,B$42,B$44:B$45,B$50,B$53,B$56,B$59,B$61)*I69)+(SUM(B$33,B$40,B$49,B$55,B$64)*J69)+(SUM(B$39,B$41,B$48,B$57)*PSI_EtOH!K69))*(L69*M69)</f>
        <v>-64925769.194108374</v>
      </c>
      <c r="P69" t="s">
        <v>537</v>
      </c>
      <c r="V69" s="17">
        <f t="shared" si="13"/>
        <v>-44182.417809042287</v>
      </c>
      <c r="W69" s="17">
        <f t="shared" si="14"/>
        <v>-45399.605328071048</v>
      </c>
      <c r="X69" s="17">
        <f t="shared" si="15"/>
        <v>-278875.56465391757</v>
      </c>
      <c r="Y69" s="17">
        <f t="shared" si="16"/>
        <v>-479806.05186821084</v>
      </c>
      <c r="Z69">
        <f t="shared" si="17"/>
        <v>-30447.131676085286</v>
      </c>
      <c r="AA69" s="17">
        <f>((SUM(B$39,B$41,B$48,B$57)*PSI_EtOH!K87))*(L87*M87)</f>
        <v>-87283.163790662482</v>
      </c>
      <c r="AH69" s="8">
        <f t="shared" si="18"/>
        <v>-165917973.68503937</v>
      </c>
      <c r="AI69" s="8">
        <f t="shared" si="19"/>
        <v>-6949.6631837354471</v>
      </c>
      <c r="AJ69" s="8">
        <f t="shared" si="20"/>
        <v>-66484.742847971851</v>
      </c>
      <c r="AK69" s="8">
        <f t="shared" si="21"/>
        <v>-117457.78510776832</v>
      </c>
      <c r="AL69" s="8">
        <f t="shared" si="22"/>
        <v>-304.51130691468404</v>
      </c>
    </row>
    <row r="70" spans="4:38" x14ac:dyDescent="0.2">
      <c r="D70" t="s">
        <v>263</v>
      </c>
      <c r="E70">
        <v>1.7000000000000001E-4</v>
      </c>
      <c r="F70" t="s">
        <v>370</v>
      </c>
      <c r="G70">
        <v>1.2999999999999999E-4</v>
      </c>
      <c r="H70">
        <v>3.1E-4</v>
      </c>
      <c r="I70">
        <v>1.2999999999999999E-4</v>
      </c>
      <c r="J70" s="88">
        <v>1.2999999999999999E-4</v>
      </c>
      <c r="K70">
        <v>1.2999999999999999E-4</v>
      </c>
      <c r="L70">
        <f>PSI_OC!$A$6</f>
        <v>100</v>
      </c>
      <c r="M70">
        <v>-1</v>
      </c>
      <c r="N70" t="s">
        <v>454</v>
      </c>
      <c r="O70" s="17">
        <f>((SUM(B$24:B$26)*E70)+(B$27*G70)+(SUM(B$28,B$30:B$31,B$34,B$38,B$43,B$46:B$47,B$51:B$52,B$54,B$58,B$60,B$62:B$63)*H70)+(SUM(B$29,B$32,B$35:B$37,B$42,B$44:B$45,B$50,B$53,B$56,B$59,B$61)*I70)+(SUM(B$33,B$40,B$49,B$55,B$64)*J70)+(SUM(B$39,B$41,B$48,B$57)*PSI_EtOH!K70))*(L70*M70)</f>
        <v>-388870.32407413615</v>
      </c>
      <c r="P70" t="s">
        <v>537</v>
      </c>
      <c r="V70" s="17">
        <f t="shared" ref="V70:V101" si="23">((SUM(B$24:B$26)*E88))*(L88*M88)</f>
        <v>-445057291.48774332</v>
      </c>
      <c r="W70" s="17">
        <f t="shared" ref="W70:W101" si="24">((B$27*G88))*(L88*M88)</f>
        <v>-45336689.339584894</v>
      </c>
      <c r="X70" s="17">
        <f t="shared" ref="X70:X101" si="25">(((SUM(B$28,B$30:B$31,B$34,B$38,B$43,B$46:B$47,B$51:B$52,B$54,B$58,B$60,B$62:B$63)*H88))*(L88*M88))</f>
        <v>-2752951622.4319954</v>
      </c>
      <c r="Y70" s="17">
        <f t="shared" ref="Y70:Y101" si="26">((SUM(B$29,B$32,B$35:B$37,B$42,B$44:B$45,B$50,B$53,B$56,B$59,B$61)*I88))*(L88*M88)</f>
        <v>-479141123.79633051</v>
      </c>
      <c r="Z70">
        <f t="shared" ref="Z70:Z101" si="27">((SUM(B$33,B$40,B$49,B$55,B$64)*J88))*(L88*M88)</f>
        <v>-30404937.225888506</v>
      </c>
      <c r="AA70" s="17">
        <f>((SUM(B$39,B$41,B$48,B$57)*PSI_EtOH!K88))*(L88*M88)</f>
        <v>-87162204.445566744</v>
      </c>
      <c r="AH70" s="8">
        <f t="shared" ref="AH70:AH101" si="28">((C$137*H201))*(M201*N201)</f>
        <v>-1657609.3700787402</v>
      </c>
      <c r="AI70" s="8">
        <f t="shared" ref="AI70:AI101" si="29">((C$138*I201))*(M201*N201)</f>
        <v>-6949913.6220483733</v>
      </c>
      <c r="AJ70" s="8">
        <f t="shared" ref="AJ70:AJ101" si="30">((SUM(C$140:C$143,C$148:C$150)*J201))*(M201*N201)</f>
        <v>-66392606.511426628</v>
      </c>
      <c r="AK70" s="8">
        <f t="shared" ref="AK70:AK101" si="31">((SUM(C$146:C$147,C$152:C$172)))*(F201*M201*N201)</f>
        <v>-117800615.01805161</v>
      </c>
      <c r="AL70" s="8">
        <f t="shared" ref="AL70:AL101" si="32">((SUM(C$144:C$145,C$151)*K201))*(M201*N201)</f>
        <v>-304629.72797848418</v>
      </c>
    </row>
    <row r="71" spans="4:38" x14ac:dyDescent="0.2">
      <c r="D71" t="s">
        <v>262</v>
      </c>
      <c r="E71">
        <v>1.7000000000000001E-4</v>
      </c>
      <c r="F71" t="s">
        <v>370</v>
      </c>
      <c r="G71">
        <v>1.2999999999999999E-4</v>
      </c>
      <c r="H71">
        <v>3.0599999999999998E-3</v>
      </c>
      <c r="I71">
        <v>1.2999999999999999E-4</v>
      </c>
      <c r="J71" s="88">
        <v>1.2999999999999999E-4</v>
      </c>
      <c r="K71">
        <v>1.2999999999999999E-4</v>
      </c>
      <c r="L71">
        <f>PSI_OC!$A$6</f>
        <v>100</v>
      </c>
      <c r="M71">
        <v>-1</v>
      </c>
      <c r="N71" t="s">
        <v>454</v>
      </c>
      <c r="O71" s="17">
        <f>((SUM(B$24:B$26)*E71)+(B$27*G71)+(SUM(B$28,B$30:B$31,B$34,B$38,B$43,B$46:B$47,B$51:B$52,B$54,B$58,B$60,B$62:B$63)*H71)+(SUM(B$29,B$32,B$35:B$37,B$42,B$44:B$45,B$50,B$53,B$56,B$59,B$61)*I71)+(SUM(B$33,B$40,B$49,B$55,B$64)*J71)+(SUM(B$39,B$41,B$48,B$57)*PSI_EtOH!K71))*(L71*M71)</f>
        <v>-2862766.4621330821</v>
      </c>
      <c r="P71" t="s">
        <v>537</v>
      </c>
      <c r="V71" s="17">
        <f t="shared" si="23"/>
        <v>-4418.241780904229</v>
      </c>
      <c r="W71" s="17">
        <f t="shared" si="24"/>
        <v>-464.72036949993981</v>
      </c>
      <c r="X71" s="17">
        <f t="shared" si="25"/>
        <v>-27887.556465391757</v>
      </c>
      <c r="Y71" s="17">
        <f t="shared" si="26"/>
        <v>-4911.4005309344411</v>
      </c>
      <c r="Z71">
        <f t="shared" si="27"/>
        <v>-311.66355258984936</v>
      </c>
      <c r="AA71" s="17">
        <f>((SUM(B$39,B$41,B$48,B$57)*PSI_EtOH!K89))*(L89*M89)</f>
        <v>-893.44970809339532</v>
      </c>
      <c r="AH71" s="8">
        <f t="shared" si="28"/>
        <v>-165913611.55511814</v>
      </c>
      <c r="AI71" s="8">
        <f t="shared" si="29"/>
        <v>-68.870536055035956</v>
      </c>
      <c r="AJ71" s="8">
        <f t="shared" si="30"/>
        <v>-680.55248584538094</v>
      </c>
      <c r="AK71" s="8">
        <f t="shared" si="31"/>
        <v>-1174.5778510776831</v>
      </c>
      <c r="AL71" s="8">
        <f t="shared" si="32"/>
        <v>-3.0462930504611347</v>
      </c>
    </row>
    <row r="72" spans="4:38" x14ac:dyDescent="0.2">
      <c r="D72" t="s">
        <v>264</v>
      </c>
      <c r="E72">
        <v>1.7099999999999999E-3</v>
      </c>
      <c r="F72" t="s">
        <v>371</v>
      </c>
      <c r="G72">
        <v>1.2700000000000001E-3</v>
      </c>
      <c r="H72">
        <v>3.0599999999999999E-2</v>
      </c>
      <c r="I72">
        <v>1.2700000000000001E-3</v>
      </c>
      <c r="J72" s="88">
        <v>1.2700000000000001E-3</v>
      </c>
      <c r="K72">
        <v>1.2700000000000001E-3</v>
      </c>
      <c r="L72">
        <f>PSI_OC!$A$7</f>
        <v>10</v>
      </c>
      <c r="M72">
        <v>-1</v>
      </c>
      <c r="N72" t="s">
        <v>455</v>
      </c>
      <c r="O72" s="17">
        <f>((SUM(B$24:B$26)*E72)+(B$27*G72)+(SUM(B$28,B$30:B$31,B$34,B$38,B$43,B$46:B$47,B$51:B$52,B$54,B$58,B$60,B$62:B$63)*H72)+(SUM(B$29,B$32,B$35:B$37,B$42,B$44:B$45,B$50,B$53,B$56,B$59,B$61)*I72)+(SUM(B$33,B$40,B$49,B$55,B$64)*J72)+(SUM(B$39,B$41,B$48,B$57)*PSI_EtOH!K72))*(L72*M72)</f>
        <v>-2861507.6123635564</v>
      </c>
      <c r="P72" t="s">
        <v>537</v>
      </c>
      <c r="V72" s="17">
        <f t="shared" si="23"/>
        <v>-4418.241780904229</v>
      </c>
      <c r="W72" s="17">
        <f t="shared" si="24"/>
        <v>-464.72036949993981</v>
      </c>
      <c r="X72" s="17">
        <f t="shared" si="25"/>
        <v>-27887.556465391757</v>
      </c>
      <c r="Y72" s="17">
        <f t="shared" si="26"/>
        <v>-4911.4005309344411</v>
      </c>
      <c r="Z72">
        <f t="shared" si="27"/>
        <v>-311.66355258984936</v>
      </c>
      <c r="AA72" s="17">
        <f>((SUM(B$39,B$41,B$48,B$57)*PSI_EtOH!K90))*(L90*M90)</f>
        <v>-893.44970809339532</v>
      </c>
      <c r="AH72" s="8">
        <f t="shared" si="28"/>
        <v>-165913611.55511814</v>
      </c>
      <c r="AI72" s="8">
        <f t="shared" si="29"/>
        <v>-68.870536055035956</v>
      </c>
      <c r="AJ72" s="8">
        <f t="shared" si="30"/>
        <v>-680.55248584538094</v>
      </c>
      <c r="AK72" s="8">
        <f t="shared" si="31"/>
        <v>-1174.5778510776831</v>
      </c>
      <c r="AL72" s="8">
        <f t="shared" si="32"/>
        <v>-3.0462930504611347</v>
      </c>
    </row>
    <row r="73" spans="4:38" x14ac:dyDescent="0.2">
      <c r="D73" t="s">
        <v>265</v>
      </c>
      <c r="E73">
        <v>1.7099999999999999E-3</v>
      </c>
      <c r="F73" t="s">
        <v>371</v>
      </c>
      <c r="G73">
        <v>1.2700000000000001E-3</v>
      </c>
      <c r="H73">
        <v>3.0599999999999998E-3</v>
      </c>
      <c r="I73">
        <v>1.2700000000000001E-3</v>
      </c>
      <c r="J73" s="88">
        <v>1.2700000000000001E-3</v>
      </c>
      <c r="K73">
        <v>1.2700000000000001E-3</v>
      </c>
      <c r="L73">
        <f>PSI_OC!$A$7</f>
        <v>10</v>
      </c>
      <c r="M73">
        <v>-1</v>
      </c>
      <c r="N73" t="s">
        <v>455</v>
      </c>
      <c r="O73" s="17">
        <f>((SUM(B$24:B$26)*E73)+(B$27*G73)+(SUM(B$28,B$30:B$31,B$34,B$38,B$43,B$46:B$47,B$51:B$52,B$54,B$58,B$60,B$62:B$63)*H73)+(SUM(B$29,B$32,B$35:B$37,B$42,B$44:B$45,B$50,B$53,B$56,B$59,B$61)*I73)+(SUM(B$33,B$40,B$49,B$55,B$64)*J73)+(SUM(B$39,B$41,B$48,B$57)*PSI_EtOH!K73))*(L73*M73)</f>
        <v>-384013.07992197888</v>
      </c>
      <c r="P73" t="s">
        <v>537</v>
      </c>
      <c r="V73" s="17">
        <f t="shared" si="23"/>
        <v>0</v>
      </c>
      <c r="W73" s="17">
        <f t="shared" si="24"/>
        <v>0</v>
      </c>
      <c r="X73" s="17">
        <f t="shared" si="25"/>
        <v>0</v>
      </c>
      <c r="Y73" s="17">
        <f t="shared" si="26"/>
        <v>0</v>
      </c>
      <c r="Z73">
        <f t="shared" si="27"/>
        <v>0</v>
      </c>
      <c r="AA73" s="17">
        <f>((SUM(B$39,B$41,B$48,B$57)*PSI_EtOH!K91))*(L91*M91)</f>
        <v>0</v>
      </c>
      <c r="AH73" s="8">
        <f t="shared" si="28"/>
        <v>0</v>
      </c>
      <c r="AI73" s="8">
        <f t="shared" si="29"/>
        <v>0</v>
      </c>
      <c r="AJ73" s="8">
        <f t="shared" si="30"/>
        <v>0</v>
      </c>
      <c r="AK73" s="8">
        <f t="shared" si="31"/>
        <v>0</v>
      </c>
      <c r="AL73" s="8">
        <f t="shared" si="32"/>
        <v>0</v>
      </c>
    </row>
    <row r="74" spans="4:38" x14ac:dyDescent="0.2">
      <c r="D74" t="s">
        <v>266</v>
      </c>
      <c r="E74">
        <v>1.7000000000000001E-4</v>
      </c>
      <c r="F74" t="s">
        <v>371</v>
      </c>
      <c r="G74">
        <v>1.2700000000000001E-3</v>
      </c>
      <c r="H74">
        <v>3.0599999999999999E-2</v>
      </c>
      <c r="I74">
        <v>1.2700000000000001E-3</v>
      </c>
      <c r="J74" s="88">
        <v>1.2700000000000001E-3</v>
      </c>
      <c r="K74">
        <v>1.2700000000000001E-3</v>
      </c>
      <c r="L74">
        <v>0</v>
      </c>
      <c r="M74">
        <v>0</v>
      </c>
      <c r="N74" t="s">
        <v>455</v>
      </c>
      <c r="O74" s="17">
        <f>((SUM(B$24:B$26)*E74)+(B$27*G74)+(SUM(B$28,B$30:B$31,B$34,B$38,B$43,B$46:B$47,B$51:B$52,B$54,B$58,B$60,B$62:B$63)*H74)+(SUM(B$29,B$32,B$35:B$37,B$42,B$44:B$45,B$50,B$53,B$56,B$59,B$61)*I74)+(SUM(B$33,B$40,B$49,B$55,B$64)*J74)+(SUM(B$39,B$41,B$48,B$57)*PSI_EtOH!K74))*(L74*M74)</f>
        <v>0</v>
      </c>
      <c r="P74" t="s">
        <v>537</v>
      </c>
      <c r="V74" s="17">
        <f t="shared" si="23"/>
        <v>0</v>
      </c>
      <c r="W74" s="17">
        <f t="shared" si="24"/>
        <v>0</v>
      </c>
      <c r="X74" s="17">
        <f t="shared" si="25"/>
        <v>0</v>
      </c>
      <c r="Y74" s="17">
        <f t="shared" si="26"/>
        <v>0</v>
      </c>
      <c r="Z74">
        <f t="shared" si="27"/>
        <v>0</v>
      </c>
      <c r="AA74" s="17">
        <f>((SUM(B$39,B$41,B$48,B$57)*PSI_EtOH!K92))*(L92*M92)</f>
        <v>0</v>
      </c>
      <c r="AH74" s="8">
        <f t="shared" si="28"/>
        <v>0</v>
      </c>
      <c r="AI74" s="8">
        <f t="shared" si="29"/>
        <v>0</v>
      </c>
      <c r="AJ74" s="8">
        <f t="shared" si="30"/>
        <v>0</v>
      </c>
      <c r="AK74" s="8">
        <f t="shared" si="31"/>
        <v>0</v>
      </c>
      <c r="AL74" s="8">
        <f t="shared" si="32"/>
        <v>0</v>
      </c>
    </row>
    <row r="75" spans="4:38" x14ac:dyDescent="0.2">
      <c r="D75" t="s">
        <v>267</v>
      </c>
      <c r="E75">
        <v>1.712E-2</v>
      </c>
      <c r="F75" t="s">
        <v>372</v>
      </c>
      <c r="G75">
        <v>1.2999999999999999E-4</v>
      </c>
      <c r="H75">
        <v>3.0599999999999998E-3</v>
      </c>
      <c r="I75">
        <v>1.2999999999999999E-4</v>
      </c>
      <c r="J75" s="88">
        <v>1.2999999999999999E-4</v>
      </c>
      <c r="K75">
        <v>1.2999999999999999E-4</v>
      </c>
      <c r="L75">
        <v>0</v>
      </c>
      <c r="M75">
        <v>0</v>
      </c>
      <c r="N75" t="s">
        <v>456</v>
      </c>
      <c r="O75" s="17">
        <f>((SUM(B$24:B$26)*E75)+(B$27*G75)+(SUM(B$28,B$30:B$31,B$34,B$38,B$43,B$46:B$47,B$51:B$52,B$54,B$58,B$60,B$62:B$63)*H75)+(SUM(B$29,B$32,B$35:B$37,B$42,B$44:B$45,B$50,B$53,B$56,B$59,B$61)*I75)+(SUM(B$33,B$40,B$49,B$55,B$64)*J75)+(SUM(B$39,B$41,B$48,B$57)*PSI_EtOH!K75))*(L75*M75)</f>
        <v>0</v>
      </c>
      <c r="P75" t="s">
        <v>537</v>
      </c>
      <c r="V75" s="17">
        <f t="shared" si="23"/>
        <v>-4418.241780904229</v>
      </c>
      <c r="W75" s="17">
        <f t="shared" si="24"/>
        <v>-464.72036949993981</v>
      </c>
      <c r="X75" s="17">
        <f t="shared" si="25"/>
        <v>-27887.556465391757</v>
      </c>
      <c r="Y75" s="17">
        <f t="shared" si="26"/>
        <v>-4911.4005309344411</v>
      </c>
      <c r="Z75">
        <f t="shared" si="27"/>
        <v>-311.66355258984936</v>
      </c>
      <c r="AA75" s="17">
        <f>((SUM(B$39,B$41,B$48,B$57)*PSI_EtOH!K93))*(L93*M93)</f>
        <v>-893.44970809339532</v>
      </c>
      <c r="AH75" s="8">
        <f t="shared" si="28"/>
        <v>-165760.93700787402</v>
      </c>
      <c r="AI75" s="8">
        <f t="shared" si="29"/>
        <v>-68.870536055035956</v>
      </c>
      <c r="AJ75" s="8">
        <f t="shared" si="30"/>
        <v>-680.55248584538094</v>
      </c>
      <c r="AK75" s="8">
        <f t="shared" si="31"/>
        <v>-1174.5778510776831</v>
      </c>
      <c r="AL75" s="8">
        <f t="shared" si="32"/>
        <v>-3.0462930504611347</v>
      </c>
    </row>
    <row r="76" spans="4:38" x14ac:dyDescent="0.2">
      <c r="D76" t="s">
        <v>329</v>
      </c>
      <c r="E76">
        <v>1.712E-2</v>
      </c>
      <c r="F76" s="75" t="s">
        <v>373</v>
      </c>
      <c r="G76">
        <v>0.12681999999999999</v>
      </c>
      <c r="H76">
        <v>0.30602000000000001</v>
      </c>
      <c r="I76">
        <v>0.12681999999999999</v>
      </c>
      <c r="J76" s="88">
        <v>0.12681999999999999</v>
      </c>
      <c r="K76">
        <v>0.12681999999999999</v>
      </c>
      <c r="L76">
        <f>PSI_OC!$A$7</f>
        <v>10</v>
      </c>
      <c r="M76">
        <v>-1</v>
      </c>
      <c r="N76" t="s">
        <v>457</v>
      </c>
      <c r="O76" s="17">
        <f>((SUM(B$24:B$26)*E76)+(B$27*G76)+(SUM(B$28,B$30:B$31,B$34,B$38,B$43,B$46:B$47,B$51:B$52,B$54,B$58,B$60,B$62:B$63)*H76)+(SUM(B$29,B$32,B$35:B$37,B$42,B$44:B$45,B$50,B$53,B$56,B$59,B$61)*I76)+(SUM(B$33,B$40,B$49,B$55,B$64)*J76)+(SUM(B$39,B$41,B$48,B$57)*PSI_EtOH!K76))*(L76*M76)</f>
        <v>-34394706.209875599</v>
      </c>
      <c r="P76" t="s">
        <v>537</v>
      </c>
      <c r="V76" s="17">
        <f t="shared" si="23"/>
        <v>0</v>
      </c>
      <c r="W76" s="17">
        <f t="shared" si="24"/>
        <v>0</v>
      </c>
      <c r="X76" s="17">
        <f t="shared" si="25"/>
        <v>0</v>
      </c>
      <c r="Y76" s="17">
        <f t="shared" si="26"/>
        <v>0</v>
      </c>
      <c r="Z76">
        <f t="shared" si="27"/>
        <v>0</v>
      </c>
      <c r="AA76" s="17">
        <f>((SUM(B$39,B$41,B$48,B$57)*PSI_EtOH!K94))*(L94*M94)</f>
        <v>0</v>
      </c>
      <c r="AH76" s="8">
        <f t="shared" si="28"/>
        <v>0</v>
      </c>
      <c r="AI76" s="8">
        <f t="shared" si="29"/>
        <v>0</v>
      </c>
      <c r="AJ76" s="8">
        <f t="shared" si="30"/>
        <v>0</v>
      </c>
      <c r="AK76" s="8">
        <f t="shared" si="31"/>
        <v>0</v>
      </c>
      <c r="AL76" s="8">
        <f t="shared" si="32"/>
        <v>0</v>
      </c>
    </row>
    <row r="77" spans="4:38" x14ac:dyDescent="0.2">
      <c r="D77" t="s">
        <v>314</v>
      </c>
      <c r="E77">
        <v>1.7099999999999999E-3</v>
      </c>
      <c r="F77" s="75" t="s">
        <v>374</v>
      </c>
      <c r="G77">
        <v>1.2700000000000001E-3</v>
      </c>
      <c r="H77">
        <v>3.0599999999999998E-3</v>
      </c>
      <c r="I77">
        <v>1.2700000000000001E-3</v>
      </c>
      <c r="J77" s="88">
        <v>1.2700000000000001E-3</v>
      </c>
      <c r="K77">
        <v>1.2700000000000001E-3</v>
      </c>
      <c r="L77">
        <f>PSI_OC!$A$7</f>
        <v>10</v>
      </c>
      <c r="M77">
        <v>-1</v>
      </c>
      <c r="N77" t="s">
        <v>458</v>
      </c>
      <c r="O77" s="17">
        <f>((SUM(B$24:B$26)*E77)+(B$27*G77)+(SUM(B$28,B$30:B$31,B$34,B$38,B$43,B$46:B$47,B$51:B$52,B$54,B$58,B$60,B$62:B$63)*H77)+(SUM(B$29,B$32,B$35:B$37,B$42,B$44:B$45,B$50,B$53,B$56,B$59,B$61)*I77)+(SUM(B$33,B$40,B$49,B$55,B$64)*J77)+(SUM(B$39,B$41,B$48,B$57)*PSI_EtOH!K77))*(L77*M77)</f>
        <v>-384013.07992197888</v>
      </c>
      <c r="P77" t="s">
        <v>537</v>
      </c>
      <c r="V77" s="17">
        <f t="shared" si="23"/>
        <v>0</v>
      </c>
      <c r="W77" s="17">
        <f t="shared" si="24"/>
        <v>0</v>
      </c>
      <c r="X77" s="17">
        <f t="shared" si="25"/>
        <v>0</v>
      </c>
      <c r="Y77" s="17">
        <f t="shared" si="26"/>
        <v>0</v>
      </c>
      <c r="Z77">
        <f t="shared" si="27"/>
        <v>0</v>
      </c>
      <c r="AA77" s="17">
        <f>((SUM(B$39,B$41,B$48,B$57)*PSI_EtOH!K95))*(L95*M95)</f>
        <v>0</v>
      </c>
      <c r="AH77" s="8">
        <f t="shared" si="28"/>
        <v>0</v>
      </c>
      <c r="AI77" s="8">
        <f t="shared" si="29"/>
        <v>0</v>
      </c>
      <c r="AJ77" s="8">
        <f t="shared" si="30"/>
        <v>0</v>
      </c>
      <c r="AK77" s="8">
        <f t="shared" si="31"/>
        <v>0</v>
      </c>
      <c r="AL77" s="8">
        <f t="shared" si="32"/>
        <v>0</v>
      </c>
    </row>
    <row r="78" spans="4:38" x14ac:dyDescent="0.2">
      <c r="D78" t="s">
        <v>268</v>
      </c>
      <c r="E78">
        <v>1.7099999999999999E-3</v>
      </c>
      <c r="F78" s="75" t="s">
        <v>374</v>
      </c>
      <c r="G78">
        <v>1.2700000000000001E-3</v>
      </c>
      <c r="H78">
        <v>3.0599999999999998E-3</v>
      </c>
      <c r="I78">
        <v>1.2700000000000001E-3</v>
      </c>
      <c r="J78" s="88">
        <v>1.2700000000000001E-3</v>
      </c>
      <c r="K78">
        <v>1.2700000000000001E-3</v>
      </c>
      <c r="L78">
        <f>PSI_OC!$A$7</f>
        <v>10</v>
      </c>
      <c r="M78">
        <v>-1</v>
      </c>
      <c r="N78" t="s">
        <v>458</v>
      </c>
      <c r="O78" s="17">
        <f>((SUM(B$24:B$26)*E78)+(B$27*G78)+(SUM(B$28,B$30:B$31,B$34,B$38,B$43,B$46:B$47,B$51:B$52,B$54,B$58,B$60,B$62:B$63)*H78)+(SUM(B$29,B$32,B$35:B$37,B$42,B$44:B$45,B$50,B$53,B$56,B$59,B$61)*I78)+(SUM(B$33,B$40,B$49,B$55,B$64)*J78)+(SUM(B$39,B$41,B$48,B$57)*PSI_EtOH!K78))*(L78*M78)</f>
        <v>-384013.07992197888</v>
      </c>
      <c r="P78" t="s">
        <v>537</v>
      </c>
      <c r="V78" s="17">
        <f t="shared" si="23"/>
        <v>-44442.314384389596</v>
      </c>
      <c r="W78" s="17">
        <f t="shared" si="24"/>
        <v>-4539.9605328071048</v>
      </c>
      <c r="X78" s="17">
        <f t="shared" si="25"/>
        <v>-275277.17027128639</v>
      </c>
      <c r="Y78" s="17">
        <f t="shared" si="26"/>
        <v>-4791260.1179469675</v>
      </c>
      <c r="Z78">
        <f t="shared" si="27"/>
        <v>-3044.7131676085287</v>
      </c>
      <c r="AA78" s="17">
        <f>((SUM(B$39,B$41,B$48,B$57)*PSI_EtOH!K96))*(L96*M96)</f>
        <v>-8728.3163790662475</v>
      </c>
      <c r="AH78" s="8">
        <f t="shared" si="28"/>
        <v>-1659354.222047244</v>
      </c>
      <c r="AI78" s="8">
        <f t="shared" si="29"/>
        <v>-694.96631837354471</v>
      </c>
      <c r="AJ78" s="8">
        <f t="shared" si="30"/>
        <v>-6648.4742847971847</v>
      </c>
      <c r="AK78" s="8">
        <f t="shared" si="31"/>
        <v>-11745.77851077683</v>
      </c>
      <c r="AL78" s="8">
        <f t="shared" si="32"/>
        <v>-30.451130691468403</v>
      </c>
    </row>
    <row r="79" spans="4:38" x14ac:dyDescent="0.2">
      <c r="D79" t="s">
        <v>269</v>
      </c>
      <c r="E79">
        <v>1.7000000000000001E-4</v>
      </c>
      <c r="F79" s="75" t="s">
        <v>374</v>
      </c>
      <c r="G79">
        <v>1.2700000000000001E-3</v>
      </c>
      <c r="H79">
        <v>3.0599999999999998E-3</v>
      </c>
      <c r="I79">
        <v>1.2700000000000001E-3</v>
      </c>
      <c r="J79" s="88">
        <v>1.2700000000000001E-3</v>
      </c>
      <c r="K79">
        <v>1.2700000000000001E-3</v>
      </c>
      <c r="L79">
        <v>0</v>
      </c>
      <c r="M79">
        <v>0</v>
      </c>
      <c r="N79" t="s">
        <v>458</v>
      </c>
      <c r="O79" s="17">
        <f>((SUM(B$24:B$26)*E79)+(B$27*G79)+(SUM(B$28,B$30:B$31,B$34,B$38,B$43,B$46:B$47,B$51:B$52,B$54,B$58,B$60,B$62:B$63)*H79)+(SUM(B$29,B$32,B$35:B$37,B$42,B$44:B$45,B$50,B$53,B$56,B$59,B$61)*I79)+(SUM(B$33,B$40,B$49,B$55,B$64)*J79)+(SUM(B$39,B$41,B$48,B$57)*PSI_EtOH!K79))*(L79*M79)</f>
        <v>0</v>
      </c>
      <c r="P79" t="s">
        <v>537</v>
      </c>
      <c r="V79" s="17">
        <f t="shared" si="23"/>
        <v>-4418.241780904229</v>
      </c>
      <c r="W79" s="17">
        <f t="shared" si="24"/>
        <v>-464.72036949993981</v>
      </c>
      <c r="X79" s="17">
        <f t="shared" si="25"/>
        <v>-275295162.24319953</v>
      </c>
      <c r="Y79" s="17">
        <f t="shared" si="26"/>
        <v>-4911.4005309344411</v>
      </c>
      <c r="Z79">
        <f t="shared" si="27"/>
        <v>-311.66355258984936</v>
      </c>
      <c r="AA79" s="17">
        <f>((SUM(B$39,B$41,B$48,B$57)*PSI_EtOH!K97))*(L97*M97)</f>
        <v>-893.44970809339532</v>
      </c>
      <c r="AH79" s="8">
        <f t="shared" si="28"/>
        <v>-165760.93700787402</v>
      </c>
      <c r="AI79" s="8">
        <f t="shared" si="29"/>
        <v>-68.870536055035956</v>
      </c>
      <c r="AJ79" s="8">
        <f t="shared" si="30"/>
        <v>-680.55248584538094</v>
      </c>
      <c r="AK79" s="8">
        <f t="shared" si="31"/>
        <v>-1174.5778510776831</v>
      </c>
      <c r="AL79" s="8">
        <f t="shared" si="32"/>
        <v>-3.0462930504611347</v>
      </c>
    </row>
    <row r="80" spans="4:38" x14ac:dyDescent="0.2">
      <c r="D80" t="s">
        <v>270</v>
      </c>
      <c r="E80">
        <v>0</v>
      </c>
      <c r="F80" s="75" t="s">
        <v>375</v>
      </c>
      <c r="G80">
        <v>1.2700000000000001E-3</v>
      </c>
      <c r="H80">
        <v>0</v>
      </c>
      <c r="I80">
        <v>1.2700000000000001E-3</v>
      </c>
      <c r="J80" s="88">
        <v>1.2700000000000001E-3</v>
      </c>
      <c r="K80">
        <v>1.2700000000000001E-3</v>
      </c>
      <c r="L80">
        <f>PSI_OC!$A$6</f>
        <v>100</v>
      </c>
      <c r="M80">
        <v>-1</v>
      </c>
      <c r="N80" t="s">
        <v>459</v>
      </c>
      <c r="O80" s="17">
        <f>((SUM(B$24:B$26)*E80)+(B$27*G80)+(SUM(B$28,B$30:B$31,B$34,B$38,B$43,B$46:B$47,B$51:B$52,B$54,B$58,B$60,B$62:B$63)*H80)+(SUM(B$29,B$32,B$35:B$37,B$42,B$44:B$45,B$50,B$53,B$56,B$59,B$61)*I80)+(SUM(B$33,B$40,B$49,B$55,B$64)*J80)+(SUM(B$39,B$41,B$48,B$57)*PSI_EtOH!K80))*(L80*M80)</f>
        <v>-642935.95266302966</v>
      </c>
      <c r="P80" t="s">
        <v>537</v>
      </c>
      <c r="V80" s="17">
        <f t="shared" si="23"/>
        <v>-444942.93699459056</v>
      </c>
      <c r="W80" s="17">
        <f t="shared" si="24"/>
        <v>-4539.9605328071048</v>
      </c>
      <c r="X80" s="17">
        <f t="shared" si="25"/>
        <v>-275277.17027128639</v>
      </c>
      <c r="Y80" s="17">
        <f t="shared" si="26"/>
        <v>-47980.605186821085</v>
      </c>
      <c r="Z80">
        <f t="shared" si="27"/>
        <v>-3044.7131676085287</v>
      </c>
      <c r="AA80" s="17">
        <f>((SUM(B$39,B$41,B$48,B$57)*PSI_EtOH!K98))*(L98*M98)</f>
        <v>-8728.3163790662475</v>
      </c>
      <c r="AH80" s="8">
        <f t="shared" si="28"/>
        <v>-16591797.368503937</v>
      </c>
      <c r="AI80" s="8">
        <f t="shared" si="29"/>
        <v>-694.96631837354471</v>
      </c>
      <c r="AJ80" s="8">
        <f t="shared" si="30"/>
        <v>-6648.4742847971847</v>
      </c>
      <c r="AK80" s="8">
        <f t="shared" si="31"/>
        <v>-11745.77851077683</v>
      </c>
      <c r="AL80" s="8">
        <f t="shared" si="32"/>
        <v>-30.451130691468403</v>
      </c>
    </row>
    <row r="81" spans="4:38" x14ac:dyDescent="0.2">
      <c r="D81" t="s">
        <v>271</v>
      </c>
      <c r="E81">
        <v>0.17124</v>
      </c>
      <c r="F81" s="75" t="s">
        <v>376</v>
      </c>
      <c r="G81">
        <v>0.12681999999999999</v>
      </c>
      <c r="H81">
        <v>3.0602</v>
      </c>
      <c r="I81">
        <v>0.12681999999999999</v>
      </c>
      <c r="J81" s="88">
        <v>0.12681999999999999</v>
      </c>
      <c r="K81">
        <v>0.12681999999999999</v>
      </c>
      <c r="L81">
        <v>0</v>
      </c>
      <c r="M81">
        <v>0</v>
      </c>
      <c r="N81" t="s">
        <v>460</v>
      </c>
      <c r="O81" s="17">
        <f>((SUM(B$24:B$26)*E81)+(B$27*G81)+(SUM(B$28,B$30:B$31,B$34,B$38,B$43,B$46:B$47,B$51:B$52,B$54,B$58,B$60,B$62:B$63)*H81)+(SUM(B$29,B$32,B$35:B$37,B$42,B$44:B$45,B$50,B$53,B$56,B$59,B$61)*I81)+(SUM(B$33,B$40,B$49,B$55,B$64)*J81)+(SUM(B$39,B$41,B$48,B$57)*PSI_EtOH!K81))*(L81*M81)</f>
        <v>0</v>
      </c>
      <c r="P81" t="s">
        <v>537</v>
      </c>
      <c r="V81" s="17">
        <f t="shared" si="23"/>
        <v>-444423.14384389593</v>
      </c>
      <c r="W81" s="17">
        <f t="shared" si="24"/>
        <v>-453281.09886609507</v>
      </c>
      <c r="X81" s="17">
        <f t="shared" si="25"/>
        <v>-2752771.7027128637</v>
      </c>
      <c r="Y81" s="17">
        <f t="shared" si="26"/>
        <v>-4790504.5178652862</v>
      </c>
      <c r="Z81">
        <f t="shared" si="27"/>
        <v>-303991.8343722531</v>
      </c>
      <c r="AA81" s="17">
        <f>((SUM(B$39,B$41,B$48,B$57)*PSI_EtOH!K99))*(L99*M99)</f>
        <v>-871457.09989417333</v>
      </c>
      <c r="AH81" s="8">
        <f t="shared" si="28"/>
        <v>-1659136115.5511813</v>
      </c>
      <c r="AI81" s="8">
        <f t="shared" si="29"/>
        <v>-69496.631837354464</v>
      </c>
      <c r="AJ81" s="8">
        <f t="shared" si="30"/>
        <v>-663800.42465534084</v>
      </c>
      <c r="AK81" s="8">
        <f t="shared" si="31"/>
        <v>-1178248.4068623006</v>
      </c>
      <c r="AL81" s="8">
        <f t="shared" si="32"/>
        <v>-3045.1130691468402</v>
      </c>
    </row>
    <row r="82" spans="4:38" x14ac:dyDescent="0.2">
      <c r="D82" t="s">
        <v>272</v>
      </c>
      <c r="E82">
        <v>0</v>
      </c>
      <c r="F82" t="s">
        <v>377</v>
      </c>
      <c r="G82">
        <v>1.26824</v>
      </c>
      <c r="H82">
        <v>3.0599999999999998E-3</v>
      </c>
      <c r="I82">
        <v>1.26824</v>
      </c>
      <c r="J82" s="88">
        <v>1.26824</v>
      </c>
      <c r="K82">
        <v>1.26824</v>
      </c>
      <c r="L82">
        <v>0</v>
      </c>
      <c r="M82">
        <v>0</v>
      </c>
      <c r="N82" t="s">
        <v>461</v>
      </c>
      <c r="O82" s="17">
        <f>((SUM(B$24:B$26)*E82)+(B$27*G82)+(SUM(B$28,B$30:B$31,B$34,B$38,B$43,B$46:B$47,B$51:B$52,B$54,B$58,B$60,B$62:B$63)*H82)+(SUM(B$29,B$32,B$35:B$37,B$42,B$44:B$45,B$50,B$53,B$56,B$59,B$61)*I82)+(SUM(B$33,B$40,B$49,B$55,B$64)*J82)+(SUM(B$39,B$41,B$48,B$57)*PSI_EtOH!K82))*(L82*M82)</f>
        <v>0</v>
      </c>
      <c r="P82" t="s">
        <v>537</v>
      </c>
      <c r="V82" s="17">
        <f t="shared" si="23"/>
        <v>-444423.14384389593</v>
      </c>
      <c r="W82" s="17">
        <f t="shared" si="24"/>
        <v>-45399.605328071048</v>
      </c>
      <c r="X82" s="17">
        <f t="shared" si="25"/>
        <v>-2752771.7027128637</v>
      </c>
      <c r="Y82" s="17">
        <f t="shared" si="26"/>
        <v>-479806.05186821084</v>
      </c>
      <c r="Z82">
        <f t="shared" si="27"/>
        <v>-30447.131676085286</v>
      </c>
      <c r="AA82" s="17">
        <f>((SUM(B$39,B$41,B$48,B$57)*PSI_EtOH!K100))*(L100*M100)</f>
        <v>-87283.163790662482</v>
      </c>
      <c r="AH82" s="8">
        <f t="shared" si="28"/>
        <v>-16593542.22047244</v>
      </c>
      <c r="AI82" s="8">
        <f t="shared" si="29"/>
        <v>-6949.6631837354471</v>
      </c>
      <c r="AJ82" s="8">
        <f t="shared" si="30"/>
        <v>-66484.742847971851</v>
      </c>
      <c r="AK82" s="8">
        <f t="shared" si="31"/>
        <v>-117457.78510776832</v>
      </c>
      <c r="AL82" s="8">
        <f t="shared" si="32"/>
        <v>-304.51130691468404</v>
      </c>
    </row>
    <row r="83" spans="4:38" x14ac:dyDescent="0.2">
      <c r="D83" t="s">
        <v>273</v>
      </c>
      <c r="E83">
        <v>1.7000000000000001E-4</v>
      </c>
      <c r="F83" t="s">
        <v>378</v>
      </c>
      <c r="G83">
        <v>1.2999999999999999E-4</v>
      </c>
      <c r="H83">
        <v>3.0602</v>
      </c>
      <c r="I83">
        <v>1.2999999999999999E-4</v>
      </c>
      <c r="J83" s="88">
        <v>1.2999999999999999E-4</v>
      </c>
      <c r="K83">
        <v>1.2999999999999999E-4</v>
      </c>
      <c r="L83">
        <f>PSI_OC!$A$7</f>
        <v>10</v>
      </c>
      <c r="M83">
        <v>-1</v>
      </c>
      <c r="N83" t="s">
        <v>462</v>
      </c>
      <c r="O83" s="17">
        <f>((SUM(B$24:B$26)*E83)+(B$27*G83)+(SUM(B$28,B$30:B$31,B$34,B$38,B$43,B$46:B$47,B$51:B$52,B$54,B$58,B$60,B$62:B$63)*H83)+(SUM(B$29,B$32,B$35:B$37,B$42,B$44:B$45,B$50,B$53,B$56,B$59,B$61)*I83)+(SUM(B$33,B$40,B$49,B$55,B$64)*J83)+(SUM(B$39,B$41,B$48,B$57)*PSI_EtOH!K83))*(L83*M83)</f>
        <v>-275306161.71914154</v>
      </c>
      <c r="P83" t="s">
        <v>537</v>
      </c>
      <c r="V83" s="17">
        <f t="shared" si="23"/>
        <v>-444423.14384389593</v>
      </c>
      <c r="W83" s="17">
        <f t="shared" si="24"/>
        <v>-45399.605328071048</v>
      </c>
      <c r="X83" s="17">
        <f t="shared" si="25"/>
        <v>-2752771.7027128637</v>
      </c>
      <c r="Y83" s="17">
        <f t="shared" si="26"/>
        <v>-479806.05186821084</v>
      </c>
      <c r="Z83">
        <f t="shared" si="27"/>
        <v>-30447.131676085286</v>
      </c>
      <c r="AA83" s="17">
        <f>((SUM(B$39,B$41,B$48,B$57)*PSI_EtOH!K101))*(L101*M101)</f>
        <v>-87283.163790662482</v>
      </c>
      <c r="AH83" s="8">
        <f t="shared" si="28"/>
        <v>-16593542.22047244</v>
      </c>
      <c r="AI83" s="8">
        <f t="shared" si="29"/>
        <v>-6949.6631837354471</v>
      </c>
      <c r="AJ83" s="8">
        <f t="shared" si="30"/>
        <v>-66484.742847971851</v>
      </c>
      <c r="AK83" s="8">
        <f t="shared" si="31"/>
        <v>-117457.78510776832</v>
      </c>
      <c r="AL83" s="8">
        <f t="shared" si="32"/>
        <v>-304.51130691468404</v>
      </c>
    </row>
    <row r="84" spans="4:38" x14ac:dyDescent="0.2">
      <c r="D84" t="s">
        <v>274</v>
      </c>
      <c r="E84">
        <v>1.7000000000000001E-4</v>
      </c>
      <c r="F84" t="s">
        <v>379</v>
      </c>
      <c r="G84">
        <v>1.2999999999999999E-4</v>
      </c>
      <c r="H84">
        <v>3.1E-4</v>
      </c>
      <c r="I84">
        <v>1.2999999999999999E-4</v>
      </c>
      <c r="J84" s="88">
        <v>1.2999999999999999E-4</v>
      </c>
      <c r="K84">
        <v>1.2999999999999999E-4</v>
      </c>
      <c r="L84">
        <v>0</v>
      </c>
      <c r="M84">
        <v>0</v>
      </c>
      <c r="N84" t="s">
        <v>463</v>
      </c>
      <c r="O84" s="17">
        <f>((SUM(B$24:B$26)*E84)+(B$27*G84)+(SUM(B$28,B$30:B$31,B$34,B$38,B$43,B$46:B$47,B$51:B$52,B$54,B$58,B$60,B$62:B$63)*H84)+(SUM(B$29,B$32,B$35:B$37,B$42,B$44:B$45,B$50,B$53,B$56,B$59,B$61)*I84)+(SUM(B$33,B$40,B$49,B$55,B$64)*J84)+(SUM(B$39,B$41,B$48,B$57)*PSI_EtOH!K84))*(L84*M84)</f>
        <v>0</v>
      </c>
      <c r="P84" t="s">
        <v>537</v>
      </c>
      <c r="V84" s="17">
        <f t="shared" si="23"/>
        <v>-44442.314384389596</v>
      </c>
      <c r="W84" s="17">
        <f t="shared" si="24"/>
        <v>-4539.9605328071048</v>
      </c>
      <c r="X84" s="17">
        <f t="shared" si="25"/>
        <v>-275277.17027128639</v>
      </c>
      <c r="Y84" s="17">
        <f t="shared" si="26"/>
        <v>-47980.605186821085</v>
      </c>
      <c r="Z84">
        <f t="shared" si="27"/>
        <v>-3044.7131676085287</v>
      </c>
      <c r="AA84" s="17">
        <f>((SUM(B$39,B$41,B$48,B$57)*PSI_EtOH!K102))*(L102*M102)</f>
        <v>-8728.3163790662475</v>
      </c>
      <c r="AH84" s="8">
        <f t="shared" si="28"/>
        <v>-1659354.222047244</v>
      </c>
      <c r="AI84" s="8">
        <f t="shared" si="29"/>
        <v>-694.96631837354471</v>
      </c>
      <c r="AJ84" s="8">
        <f t="shared" si="30"/>
        <v>-6648.4742847971847</v>
      </c>
      <c r="AK84" s="8">
        <f t="shared" si="31"/>
        <v>-11745.77851077683</v>
      </c>
      <c r="AL84" s="8">
        <f t="shared" si="32"/>
        <v>-30.451130691468403</v>
      </c>
    </row>
    <row r="85" spans="4:38" x14ac:dyDescent="0.2">
      <c r="D85" t="s">
        <v>275</v>
      </c>
      <c r="E85">
        <v>1.7099999999999999E-3</v>
      </c>
      <c r="F85" t="s">
        <v>377</v>
      </c>
      <c r="G85">
        <v>1.26824</v>
      </c>
      <c r="H85">
        <v>3.0599999999999998E-3</v>
      </c>
      <c r="I85">
        <v>1.26824</v>
      </c>
      <c r="J85" s="88">
        <v>1.26824</v>
      </c>
      <c r="K85">
        <v>1.26824</v>
      </c>
      <c r="L85">
        <f>PSI_OC!$A$6</f>
        <v>100</v>
      </c>
      <c r="M85">
        <v>-1</v>
      </c>
      <c r="N85" t="s">
        <v>461</v>
      </c>
      <c r="O85" s="17">
        <f>((SUM(B$24:B$26)*E85)+(B$27*G85)+(SUM(B$28,B$30:B$31,B$34,B$38,B$43,B$46:B$47,B$51:B$52,B$54,B$58,B$60,B$62:B$63)*H85)+(SUM(B$29,B$32,B$35:B$37,B$42,B$44:B$45,B$50,B$53,B$56,B$59,B$61)*I85)+(SUM(B$33,B$40,B$49,B$55,B$64)*J85)+(SUM(B$39,B$41,B$48,B$57)*PSI_EtOH!K85))*(L85*M85)</f>
        <v>-645242149.65392745</v>
      </c>
      <c r="P85" t="s">
        <v>537</v>
      </c>
      <c r="V85" s="17">
        <f t="shared" si="23"/>
        <v>0</v>
      </c>
      <c r="W85" s="17">
        <f t="shared" si="24"/>
        <v>0</v>
      </c>
      <c r="X85" s="17">
        <f t="shared" si="25"/>
        <v>0</v>
      </c>
      <c r="Y85" s="17">
        <f t="shared" si="26"/>
        <v>0</v>
      </c>
      <c r="Z85">
        <f t="shared" si="27"/>
        <v>0</v>
      </c>
      <c r="AA85" s="17">
        <f>((SUM(B$39,B$41,B$48,B$57)*PSI_EtOH!K103))*(L103*M103)</f>
        <v>0</v>
      </c>
      <c r="AH85" s="8">
        <f t="shared" si="28"/>
        <v>0</v>
      </c>
      <c r="AI85" s="8">
        <f t="shared" si="29"/>
        <v>0</v>
      </c>
      <c r="AJ85" s="8">
        <f t="shared" si="30"/>
        <v>0</v>
      </c>
      <c r="AK85" s="8">
        <f t="shared" si="31"/>
        <v>0</v>
      </c>
      <c r="AL85" s="8">
        <f t="shared" si="32"/>
        <v>0</v>
      </c>
    </row>
    <row r="86" spans="4:38" x14ac:dyDescent="0.2">
      <c r="D86" t="s">
        <v>276</v>
      </c>
      <c r="E86">
        <v>1.7099999999999999E-3</v>
      </c>
      <c r="F86" t="s">
        <v>377</v>
      </c>
      <c r="G86">
        <v>1.26824</v>
      </c>
      <c r="H86">
        <v>3.0599999999999998E-3</v>
      </c>
      <c r="I86">
        <v>1.26824</v>
      </c>
      <c r="J86" s="88">
        <v>1.26824</v>
      </c>
      <c r="K86">
        <v>1.26824</v>
      </c>
      <c r="L86">
        <f>PSI_OC!$A$6</f>
        <v>100</v>
      </c>
      <c r="M86">
        <v>-1</v>
      </c>
      <c r="N86" t="s">
        <v>461</v>
      </c>
      <c r="O86" s="17">
        <f>((SUM(B$24:B$26)*E86)+(B$27*G86)+(SUM(B$28,B$30:B$31,B$34,B$38,B$43,B$46:B$47,B$51:B$52,B$54,B$58,B$60,B$62:B$63)*H86)+(SUM(B$29,B$32,B$35:B$37,B$42,B$44:B$45,B$50,B$53,B$56,B$59,B$61)*I86)+(SUM(B$33,B$40,B$49,B$55,B$64)*J86)+(SUM(B$39,B$41,B$48,B$57)*PSI_EtOH!K86))*(L86*M86)</f>
        <v>-645242149.65392745</v>
      </c>
      <c r="P86" t="s">
        <v>537</v>
      </c>
      <c r="V86" s="17">
        <f t="shared" si="23"/>
        <v>-44442.314384389596</v>
      </c>
      <c r="W86" s="17">
        <f t="shared" si="24"/>
        <v>-4539.9605328071048</v>
      </c>
      <c r="X86" s="17">
        <f t="shared" si="25"/>
        <v>-275277.17027128639</v>
      </c>
      <c r="Y86" s="17">
        <f t="shared" si="26"/>
        <v>-47980.605186821085</v>
      </c>
      <c r="Z86">
        <f t="shared" si="27"/>
        <v>-3044.7131676085287</v>
      </c>
      <c r="AA86" s="17">
        <f>((SUM(B$39,B$41,B$48,B$57)*PSI_EtOH!K104))*(L104*M104)</f>
        <v>-8728.3163790662475</v>
      </c>
      <c r="AH86" s="8">
        <f t="shared" si="28"/>
        <v>-1659354.222047244</v>
      </c>
      <c r="AI86" s="8">
        <f t="shared" si="29"/>
        <v>-694.96631837354471</v>
      </c>
      <c r="AJ86" s="8">
        <f t="shared" si="30"/>
        <v>-6648.4742847971847</v>
      </c>
      <c r="AK86" s="8">
        <f t="shared" si="31"/>
        <v>-11745.77851077683</v>
      </c>
      <c r="AL86" s="8">
        <f t="shared" si="32"/>
        <v>-304.51130691468398</v>
      </c>
    </row>
    <row r="87" spans="4:38" x14ac:dyDescent="0.2">
      <c r="D87" t="s">
        <v>277</v>
      </c>
      <c r="E87">
        <v>1.7000000000000001E-4</v>
      </c>
      <c r="F87" t="s">
        <v>380</v>
      </c>
      <c r="G87">
        <v>1.2700000000000001E-3</v>
      </c>
      <c r="H87">
        <v>3.1E-4</v>
      </c>
      <c r="I87">
        <v>1.2700000000000001E-3</v>
      </c>
      <c r="J87" s="88">
        <v>1.2700000000000001E-3</v>
      </c>
      <c r="K87">
        <v>1.2700000000000001E-3</v>
      </c>
      <c r="L87">
        <f>PSI_OC!$A$6</f>
        <v>100</v>
      </c>
      <c r="M87">
        <v>-1</v>
      </c>
      <c r="N87" t="s">
        <v>464</v>
      </c>
      <c r="O87" s="17">
        <f>((SUM(B$24:B$26)*E87)+(B$27*G87)+(SUM(B$28,B$30:B$31,B$34,B$38,B$43,B$46:B$47,B$51:B$52,B$54,B$58,B$60,B$62:B$63)*H87)+(SUM(B$29,B$32,B$35:B$37,B$42,B$44:B$45,B$50,B$53,B$56,B$59,B$61)*I87)+(SUM(B$33,B$40,B$49,B$55,B$64)*J87)+(SUM(B$39,B$41,B$48,B$57)*PSI_EtOH!K87))*(L87*M87)</f>
        <v>-965993.93512598961</v>
      </c>
      <c r="P87" t="s">
        <v>537</v>
      </c>
      <c r="V87" s="17">
        <f t="shared" si="23"/>
        <v>-44442.314384389596</v>
      </c>
      <c r="W87" s="17">
        <f t="shared" si="24"/>
        <v>-4539.9605328071048</v>
      </c>
      <c r="X87" s="17">
        <f t="shared" si="25"/>
        <v>-27529516.224319953</v>
      </c>
      <c r="Y87" s="17">
        <f t="shared" si="26"/>
        <v>-47980.605186821085</v>
      </c>
      <c r="Z87">
        <f t="shared" si="27"/>
        <v>-3044.7131676085287</v>
      </c>
      <c r="AA87" s="17">
        <f>((SUM(B$39,B$41,B$48,B$57)*PSI_EtOH!K105))*(L105*M105)</f>
        <v>-8728.3163790662475</v>
      </c>
      <c r="AH87" s="8">
        <f t="shared" si="28"/>
        <v>-165760.93700787402</v>
      </c>
      <c r="AI87" s="8">
        <f t="shared" si="29"/>
        <v>-694.96631837354471</v>
      </c>
      <c r="AJ87" s="8">
        <f t="shared" si="30"/>
        <v>-6648.4742847971847</v>
      </c>
      <c r="AK87" s="8">
        <f t="shared" si="31"/>
        <v>-11745.77851077683</v>
      </c>
      <c r="AL87" s="8">
        <f t="shared" si="32"/>
        <v>-30.451130691468403</v>
      </c>
    </row>
    <row r="88" spans="4:38" x14ac:dyDescent="0.2">
      <c r="D88" t="s">
        <v>278</v>
      </c>
      <c r="E88">
        <v>1.71244</v>
      </c>
      <c r="F88" t="s">
        <v>381</v>
      </c>
      <c r="G88">
        <v>1.26824</v>
      </c>
      <c r="H88">
        <v>3.0602</v>
      </c>
      <c r="I88">
        <v>1.26824</v>
      </c>
      <c r="J88" s="88">
        <v>1.26824</v>
      </c>
      <c r="K88">
        <v>1.26824</v>
      </c>
      <c r="L88">
        <f>PSI_OC!$A$6</f>
        <v>100</v>
      </c>
      <c r="M88">
        <v>-1</v>
      </c>
      <c r="N88" t="s">
        <v>465</v>
      </c>
      <c r="O88" s="17">
        <f>((SUM(B$24:B$26)*E88)+(B$27*G88)+(SUM(B$28,B$30:B$31,B$34,B$38,B$43,B$46:B$47,B$51:B$52,B$54,B$58,B$60,B$62:B$63)*H88)+(SUM(B$29,B$32,B$35:B$37,B$42,B$44:B$45,B$50,B$53,B$56,B$59,B$61)*I88)+(SUM(B$33,B$40,B$49,B$55,B$64)*J88)+(SUM(B$39,B$41,B$48,B$57)*PSI_EtOH!K88))*(L88*M88)</f>
        <v>-3840053868.7271094</v>
      </c>
      <c r="P88" t="s">
        <v>537</v>
      </c>
      <c r="V88" s="17">
        <f t="shared" si="23"/>
        <v>-4418.241780904229</v>
      </c>
      <c r="W88" s="17">
        <f t="shared" si="24"/>
        <v>-464.72036949993981</v>
      </c>
      <c r="X88" s="17">
        <f t="shared" si="25"/>
        <v>-27887.556465391757</v>
      </c>
      <c r="Y88" s="17">
        <f t="shared" si="26"/>
        <v>-4911.4005309344411</v>
      </c>
      <c r="Z88">
        <f t="shared" si="27"/>
        <v>-311.66355258984936</v>
      </c>
      <c r="AA88" s="17">
        <f>((SUM(B$39,B$41,B$48,B$57)*PSI_EtOH!K106))*(L106*M106)</f>
        <v>-893.44970809339532</v>
      </c>
      <c r="AH88" s="8">
        <f t="shared" si="28"/>
        <v>-16591797.368503937</v>
      </c>
      <c r="AI88" s="8">
        <f t="shared" si="29"/>
        <v>-68.870536055035956</v>
      </c>
      <c r="AJ88" s="8">
        <f t="shared" si="30"/>
        <v>-680.55248584538094</v>
      </c>
      <c r="AK88" s="8">
        <f t="shared" si="31"/>
        <v>-1174.5778510776831</v>
      </c>
      <c r="AL88" s="8">
        <f t="shared" si="32"/>
        <v>-3.0462930504611347</v>
      </c>
    </row>
    <row r="89" spans="4:38" x14ac:dyDescent="0.2">
      <c r="D89" t="s">
        <v>330</v>
      </c>
      <c r="E89">
        <v>1.7000000000000001E-4</v>
      </c>
      <c r="F89" t="s">
        <v>382</v>
      </c>
      <c r="G89">
        <v>1.2999999999999999E-4</v>
      </c>
      <c r="H89">
        <v>3.1E-4</v>
      </c>
      <c r="I89">
        <v>1.2999999999999999E-4</v>
      </c>
      <c r="J89" s="88">
        <v>1.2999999999999999E-4</v>
      </c>
      <c r="K89">
        <v>1.2999999999999999E-4</v>
      </c>
      <c r="L89">
        <f>PSI_OC!$A$7</f>
        <v>10</v>
      </c>
      <c r="M89">
        <v>-1</v>
      </c>
      <c r="N89" t="s">
        <v>466</v>
      </c>
      <c r="O89" s="17">
        <f>((SUM(B$24:B$26)*E89)+(B$27*G89)+(SUM(B$28,B$30:B$31,B$34,B$38,B$43,B$46:B$47,B$51:B$52,B$54,B$58,B$60,B$62:B$63)*H89)+(SUM(B$29,B$32,B$35:B$37,B$42,B$44:B$45,B$50,B$53,B$56,B$59,B$61)*I89)+(SUM(B$33,B$40,B$49,B$55,B$64)*J89)+(SUM(B$39,B$41,B$48,B$57)*PSI_EtOH!K89))*(L89*M89)</f>
        <v>-38887.032407413615</v>
      </c>
      <c r="P89" t="s">
        <v>537</v>
      </c>
      <c r="V89" s="17">
        <f t="shared" si="23"/>
        <v>-441.82417809042289</v>
      </c>
      <c r="W89" s="17">
        <f t="shared" si="24"/>
        <v>-46.472036949993978</v>
      </c>
      <c r="X89" s="17">
        <f t="shared" si="25"/>
        <v>-2788.7556465391758</v>
      </c>
      <c r="Y89" s="17">
        <f t="shared" si="26"/>
        <v>-491.14005309344412</v>
      </c>
      <c r="Z89">
        <f t="shared" si="27"/>
        <v>-31.166355258984936</v>
      </c>
      <c r="AA89" s="17">
        <f>((SUM(B$39,B$41,B$48,B$57)*PSI_EtOH!K107))*(L107*M107)</f>
        <v>-89.344970809339529</v>
      </c>
      <c r="AH89" s="8">
        <f t="shared" si="28"/>
        <v>-165935.4222047244</v>
      </c>
      <c r="AI89" s="8">
        <f t="shared" si="29"/>
        <v>-6.8870536055035956</v>
      </c>
      <c r="AJ89" s="8">
        <f t="shared" si="30"/>
        <v>-68.055248584538091</v>
      </c>
      <c r="AK89" s="8">
        <f t="shared" si="31"/>
        <v>-117.45778510776832</v>
      </c>
      <c r="AL89" s="8">
        <f t="shared" si="32"/>
        <v>-0.30462930504611346</v>
      </c>
    </row>
    <row r="90" spans="4:38" x14ac:dyDescent="0.2">
      <c r="D90" t="s">
        <v>279</v>
      </c>
      <c r="E90">
        <v>1.7000000000000001E-4</v>
      </c>
      <c r="F90" t="s">
        <v>382</v>
      </c>
      <c r="G90">
        <v>1.2999999999999999E-4</v>
      </c>
      <c r="H90">
        <v>3.1E-4</v>
      </c>
      <c r="I90">
        <v>1.2999999999999999E-4</v>
      </c>
      <c r="J90" s="88">
        <v>1.2999999999999999E-4</v>
      </c>
      <c r="K90">
        <v>1.2999999999999999E-4</v>
      </c>
      <c r="L90">
        <f>PSI_OC!$A$7</f>
        <v>10</v>
      </c>
      <c r="M90">
        <v>-1</v>
      </c>
      <c r="N90" t="s">
        <v>466</v>
      </c>
      <c r="O90" s="17">
        <f>((SUM(B$24:B$26)*E90)+(B$27*G90)+(SUM(B$28,B$30:B$31,B$34,B$38,B$43,B$46:B$47,B$51:B$52,B$54,B$58,B$60,B$62:B$63)*H90)+(SUM(B$29,B$32,B$35:B$37,B$42,B$44:B$45,B$50,B$53,B$56,B$59,B$61)*I90)+(SUM(B$33,B$40,B$49,B$55,B$64)*J90)+(SUM(B$39,B$41,B$48,B$57)*PSI_EtOH!K90))*(L90*M90)</f>
        <v>-38887.032407413615</v>
      </c>
      <c r="P90" t="s">
        <v>537</v>
      </c>
      <c r="V90" s="17">
        <f t="shared" si="23"/>
        <v>-444423.14384389593</v>
      </c>
      <c r="W90" s="17">
        <f t="shared" si="24"/>
        <v>-453281.09886609507</v>
      </c>
      <c r="X90" s="17">
        <f t="shared" si="25"/>
        <v>-2752771.7027128637</v>
      </c>
      <c r="Y90" s="17">
        <f t="shared" si="26"/>
        <v>-4790504.5178652862</v>
      </c>
      <c r="Z90">
        <f t="shared" si="27"/>
        <v>-303991.8343722531</v>
      </c>
      <c r="AA90" s="17">
        <f>((SUM(B$39,B$41,B$48,B$57)*PSI_EtOH!K108))*(L108*M108)</f>
        <v>-871457.09989417333</v>
      </c>
      <c r="AH90" s="8">
        <f t="shared" si="28"/>
        <v>-16593542.22047244</v>
      </c>
      <c r="AI90" s="8">
        <f t="shared" si="29"/>
        <v>-6949913.6220483733</v>
      </c>
      <c r="AJ90" s="8">
        <f t="shared" si="30"/>
        <v>-663800.42465534084</v>
      </c>
      <c r="AK90" s="8">
        <f t="shared" si="31"/>
        <v>-11780281.735152239</v>
      </c>
      <c r="AL90" s="8">
        <f t="shared" si="32"/>
        <v>-304629.72797848418</v>
      </c>
    </row>
    <row r="91" spans="4:38" x14ac:dyDescent="0.2">
      <c r="D91" t="s">
        <v>280</v>
      </c>
      <c r="E91">
        <v>1.7000000000000001E-4</v>
      </c>
      <c r="F91" t="s">
        <v>382</v>
      </c>
      <c r="G91">
        <v>1.2999999999999999E-4</v>
      </c>
      <c r="H91">
        <v>3.0599999999999998E-3</v>
      </c>
      <c r="I91">
        <v>1.2999999999999999E-4</v>
      </c>
      <c r="J91" s="88">
        <v>1.2999999999999999E-4</v>
      </c>
      <c r="K91">
        <v>1.2999999999999999E-4</v>
      </c>
      <c r="L91">
        <v>0</v>
      </c>
      <c r="M91">
        <v>0</v>
      </c>
      <c r="N91" t="s">
        <v>466</v>
      </c>
      <c r="O91" s="17">
        <f>((SUM(B$24:B$26)*E91)+(B$27*G91)+(SUM(B$28,B$30:B$31,B$34,B$38,B$43,B$46:B$47,B$51:B$52,B$54,B$58,B$60,B$62:B$63)*H91)+(SUM(B$29,B$32,B$35:B$37,B$42,B$44:B$45,B$50,B$53,B$56,B$59,B$61)*I91)+(SUM(B$33,B$40,B$49,B$55,B$64)*J91)+(SUM(B$39,B$41,B$48,B$57)*PSI_EtOH!K91))*(L91*M91)</f>
        <v>0</v>
      </c>
      <c r="P91" t="s">
        <v>537</v>
      </c>
      <c r="V91" s="17">
        <f t="shared" si="23"/>
        <v>-4450468.9562472943</v>
      </c>
      <c r="W91" s="17">
        <f t="shared" si="24"/>
        <v>-4533668.9339584894</v>
      </c>
      <c r="X91" s="17">
        <f t="shared" si="25"/>
        <v>-275277.17027128639</v>
      </c>
      <c r="Y91" s="17">
        <f t="shared" si="26"/>
        <v>-47914112.379633047</v>
      </c>
      <c r="Z91">
        <f t="shared" si="27"/>
        <v>-3040493.7225888507</v>
      </c>
      <c r="AA91" s="17">
        <f>((SUM(B$39,B$41,B$48,B$57)*PSI_EtOH!K109))*(L109*M109)</f>
        <v>-8716220.4445566759</v>
      </c>
      <c r="AH91" s="8">
        <f t="shared" si="28"/>
        <v>-165913611.55511814</v>
      </c>
      <c r="AI91" s="8">
        <f t="shared" si="29"/>
        <v>-69496.631837354464</v>
      </c>
      <c r="AJ91" s="8">
        <f t="shared" si="30"/>
        <v>-6639260.6511426624</v>
      </c>
      <c r="AK91" s="8">
        <f t="shared" si="31"/>
        <v>-11780061.501805162</v>
      </c>
      <c r="AL91" s="8">
        <f t="shared" si="32"/>
        <v>-3046.3818662589847</v>
      </c>
    </row>
    <row r="92" spans="4:38" x14ac:dyDescent="0.2">
      <c r="D92" t="s">
        <v>331</v>
      </c>
      <c r="E92">
        <v>1.7099999999999999E-3</v>
      </c>
      <c r="F92" t="s">
        <v>383</v>
      </c>
      <c r="G92">
        <v>1.2700000000000001E-3</v>
      </c>
      <c r="H92">
        <v>3.0599999999999998E-3</v>
      </c>
      <c r="I92">
        <v>1.2700000000000001E-3</v>
      </c>
      <c r="J92" s="88">
        <v>1.2700000000000001E-3</v>
      </c>
      <c r="K92">
        <v>1.2700000000000001E-3</v>
      </c>
      <c r="L92">
        <v>0</v>
      </c>
      <c r="M92">
        <v>0</v>
      </c>
      <c r="N92" t="s">
        <v>467</v>
      </c>
      <c r="O92" s="17">
        <f>((SUM(B$24:B$26)*E92)+(B$27*G92)+(SUM(B$28,B$30:B$31,B$34,B$38,B$43,B$46:B$47,B$51:B$52,B$54,B$58,B$60,B$62:B$63)*H92)+(SUM(B$29,B$32,B$35:B$37,B$42,B$44:B$45,B$50,B$53,B$56,B$59,B$61)*I92)+(SUM(B$33,B$40,B$49,B$55,B$64)*J92)+(SUM(B$39,B$41,B$48,B$57)*PSI_EtOH!K92))*(L92*M92)</f>
        <v>0</v>
      </c>
      <c r="P92" t="s">
        <v>537</v>
      </c>
      <c r="V92" s="17">
        <f t="shared" si="23"/>
        <v>-441.82417809042289</v>
      </c>
      <c r="W92" s="17">
        <f t="shared" si="24"/>
        <v>-46.472036949993978</v>
      </c>
      <c r="X92" s="17">
        <f t="shared" si="25"/>
        <v>-2788.7556465391758</v>
      </c>
      <c r="Y92" s="17">
        <f t="shared" si="26"/>
        <v>-491.14005309344412</v>
      </c>
      <c r="Z92">
        <f t="shared" si="27"/>
        <v>-31.166355258984936</v>
      </c>
      <c r="AA92" s="17">
        <f>((SUM(B$39,B$41,B$48,B$57)*PSI_EtOH!K110))*(L110*M110)</f>
        <v>-89.344970809339529</v>
      </c>
      <c r="AH92" s="8">
        <f t="shared" si="28"/>
        <v>-16591361.155511813</v>
      </c>
      <c r="AI92" s="8">
        <f t="shared" si="29"/>
        <v>-6.8870536055035956</v>
      </c>
      <c r="AJ92" s="8">
        <f t="shared" si="30"/>
        <v>-68.055248584538091</v>
      </c>
      <c r="AK92" s="8">
        <f t="shared" si="31"/>
        <v>-117.45778510776832</v>
      </c>
      <c r="AL92" s="8">
        <f t="shared" si="32"/>
        <v>-0.30462930504611346</v>
      </c>
    </row>
    <row r="93" spans="4:38" x14ac:dyDescent="0.2">
      <c r="D93" t="s">
        <v>281</v>
      </c>
      <c r="E93">
        <v>1.7000000000000001E-4</v>
      </c>
      <c r="F93" t="s">
        <v>384</v>
      </c>
      <c r="G93">
        <v>1.2999999999999999E-4</v>
      </c>
      <c r="H93">
        <v>3.1E-4</v>
      </c>
      <c r="I93">
        <v>1.2999999999999999E-4</v>
      </c>
      <c r="J93" s="88">
        <v>1.2999999999999999E-4</v>
      </c>
      <c r="K93">
        <v>1.2999999999999999E-4</v>
      </c>
      <c r="L93">
        <f>PSI_OC!$A$7</f>
        <v>10</v>
      </c>
      <c r="M93">
        <v>-1</v>
      </c>
      <c r="N93" t="s">
        <v>468</v>
      </c>
      <c r="O93" s="17">
        <f>((SUM(B$24:B$26)*E93)+(B$27*G93)+(SUM(B$28,B$30:B$31,B$34,B$38,B$43,B$46:B$47,B$51:B$52,B$54,B$58,B$60,B$62:B$63)*H93)+(SUM(B$29,B$32,B$35:B$37,B$42,B$44:B$45,B$50,B$53,B$56,B$59,B$61)*I93)+(SUM(B$33,B$40,B$49,B$55,B$64)*J93)+(SUM(B$39,B$41,B$48,B$57)*PSI_EtOH!K93))*(L93*M93)</f>
        <v>-38887.032407413615</v>
      </c>
      <c r="P93" t="s">
        <v>537</v>
      </c>
      <c r="V93" s="17">
        <f t="shared" si="23"/>
        <v>-44182.417809042287</v>
      </c>
      <c r="W93" s="17">
        <f t="shared" si="24"/>
        <v>-45399.605328071048</v>
      </c>
      <c r="X93" s="17">
        <f t="shared" si="25"/>
        <v>0</v>
      </c>
      <c r="Y93" s="17">
        <f t="shared" si="26"/>
        <v>-479806.05186821084</v>
      </c>
      <c r="Z93">
        <f t="shared" si="27"/>
        <v>-30447.131676085286</v>
      </c>
      <c r="AA93" s="17">
        <f>((SUM(B$39,B$41,B$48,B$57)*PSI_EtOH!K111))*(L111*M111)</f>
        <v>-87283.163790662482</v>
      </c>
      <c r="AH93" s="8">
        <f t="shared" si="28"/>
        <v>-165917973.68503937</v>
      </c>
      <c r="AI93" s="8">
        <f t="shared" si="29"/>
        <v>-6949.6631837354471</v>
      </c>
      <c r="AJ93" s="8">
        <f t="shared" si="30"/>
        <v>-66484.742847971851</v>
      </c>
      <c r="AK93" s="8">
        <f t="shared" si="31"/>
        <v>-117457.78510776832</v>
      </c>
      <c r="AL93" s="8">
        <f t="shared" si="32"/>
        <v>-304.51130691468404</v>
      </c>
    </row>
    <row r="94" spans="4:38" x14ac:dyDescent="0.2">
      <c r="D94" t="s">
        <v>282</v>
      </c>
      <c r="E94">
        <v>1.712E-2</v>
      </c>
      <c r="F94" t="s">
        <v>385</v>
      </c>
      <c r="G94">
        <v>0.12681999999999999</v>
      </c>
      <c r="H94">
        <v>0.30602000000000001</v>
      </c>
      <c r="I94">
        <v>0.12681999999999999</v>
      </c>
      <c r="J94" s="88">
        <v>0.12681999999999999</v>
      </c>
      <c r="K94">
        <v>0.12681999999999999</v>
      </c>
      <c r="L94">
        <v>0</v>
      </c>
      <c r="M94">
        <v>0</v>
      </c>
      <c r="N94" t="s">
        <v>469</v>
      </c>
      <c r="O94" s="17">
        <f>((SUM(B$24:B$26)*E94)+(B$27*G94)+(SUM(B$28,B$30:B$31,B$34,B$38,B$43,B$46:B$47,B$51:B$52,B$54,B$58,B$60,B$62:B$63)*H94)+(SUM(B$29,B$32,B$35:B$37,B$42,B$44:B$45,B$50,B$53,B$56,B$59,B$61)*I94)+(SUM(B$33,B$40,B$49,B$55,B$64)*J94)+(SUM(B$39,B$41,B$48,B$57)*PSI_EtOH!K94))*(L94*M94)</f>
        <v>0</v>
      </c>
      <c r="P94" t="s">
        <v>537</v>
      </c>
      <c r="V94" s="17">
        <f t="shared" si="23"/>
        <v>-44182.417809042287</v>
      </c>
      <c r="W94" s="17">
        <f t="shared" si="24"/>
        <v>-4647.2036949993981</v>
      </c>
      <c r="X94" s="17">
        <f t="shared" si="25"/>
        <v>-278875.56465391757</v>
      </c>
      <c r="Y94" s="17">
        <f t="shared" si="26"/>
        <v>-49114.005309344415</v>
      </c>
      <c r="Z94">
        <f t="shared" si="27"/>
        <v>-3116.6355258984936</v>
      </c>
      <c r="AA94" s="17">
        <f>((SUM(B$39,B$41,B$48,B$57)*PSI_EtOH!K112))*(L112*M112)</f>
        <v>-8934.497080933952</v>
      </c>
      <c r="AH94" s="8">
        <f t="shared" si="28"/>
        <v>-16591369879.771656</v>
      </c>
      <c r="AI94" s="8">
        <f t="shared" si="29"/>
        <v>-688.7053605503595</v>
      </c>
      <c r="AJ94" s="8">
        <f t="shared" si="30"/>
        <v>-6805.5248584538094</v>
      </c>
      <c r="AK94" s="8">
        <f t="shared" si="31"/>
        <v>-11745.77851077683</v>
      </c>
      <c r="AL94" s="8">
        <f t="shared" si="32"/>
        <v>-30.462930504611347</v>
      </c>
    </row>
    <row r="95" spans="4:38" x14ac:dyDescent="0.2">
      <c r="D95" t="s">
        <v>332</v>
      </c>
      <c r="E95">
        <v>1.712E-2</v>
      </c>
      <c r="F95" t="s">
        <v>386</v>
      </c>
      <c r="G95">
        <v>1.268E-2</v>
      </c>
      <c r="H95">
        <v>3.0599999999999998E-3</v>
      </c>
      <c r="I95">
        <v>1.268E-2</v>
      </c>
      <c r="J95" s="88">
        <v>1.268E-2</v>
      </c>
      <c r="K95">
        <v>1.268E-2</v>
      </c>
      <c r="L95">
        <v>0</v>
      </c>
      <c r="M95">
        <v>0</v>
      </c>
      <c r="N95" t="s">
        <v>470</v>
      </c>
      <c r="O95" s="17">
        <f>((SUM(B$24:B$26)*E95)+(B$27*G95)+(SUM(B$28,B$30:B$31,B$34,B$38,B$43,B$46:B$47,B$51:B$52,B$54,B$58,B$60,B$62:B$63)*H95)+(SUM(B$29,B$32,B$35:B$37,B$42,B$44:B$45,B$50,B$53,B$56,B$59,B$61)*I95)+(SUM(B$33,B$40,B$49,B$55,B$64)*J95)+(SUM(B$39,B$41,B$48,B$57)*PSI_EtOH!K95))*(L95*M95)</f>
        <v>0</v>
      </c>
      <c r="P95" t="s">
        <v>537</v>
      </c>
      <c r="V95" s="17">
        <f t="shared" si="23"/>
        <v>-44442.314384389596</v>
      </c>
      <c r="W95" s="17">
        <f t="shared" si="24"/>
        <v>-4533668.9339584894</v>
      </c>
      <c r="X95" s="17">
        <f t="shared" si="25"/>
        <v>-275277.17027128639</v>
      </c>
      <c r="Y95" s="17">
        <f t="shared" si="26"/>
        <v>-47980.605186821085</v>
      </c>
      <c r="Z95">
        <f t="shared" si="27"/>
        <v>-3040493.7225888507</v>
      </c>
      <c r="AA95" s="17">
        <f>((SUM(B$39,B$41,B$48,B$57)*PSI_EtOH!K113))*(L113*M113)</f>
        <v>-8716220.4445566759</v>
      </c>
      <c r="AH95" s="8">
        <f t="shared" si="28"/>
        <v>-1659354.222047244</v>
      </c>
      <c r="AI95" s="8">
        <f t="shared" si="29"/>
        <v>-694991.36220483738</v>
      </c>
      <c r="AJ95" s="8">
        <f t="shared" si="30"/>
        <v>-6639260.6511426624</v>
      </c>
      <c r="AK95" s="8">
        <f t="shared" si="31"/>
        <v>-11780061.501805162</v>
      </c>
      <c r="AL95" s="8">
        <f t="shared" si="32"/>
        <v>-30462.972797848419</v>
      </c>
    </row>
    <row r="96" spans="4:38" x14ac:dyDescent="0.2">
      <c r="D96" t="s">
        <v>283</v>
      </c>
      <c r="E96">
        <v>1.7099999999999999E-3</v>
      </c>
      <c r="F96" t="s">
        <v>387</v>
      </c>
      <c r="G96">
        <v>1.2700000000000001E-3</v>
      </c>
      <c r="H96">
        <v>3.0599999999999998E-3</v>
      </c>
      <c r="I96">
        <v>0.12681999999999999</v>
      </c>
      <c r="J96" s="88">
        <v>1.2700000000000001E-3</v>
      </c>
      <c r="K96">
        <v>1.2700000000000001E-3</v>
      </c>
      <c r="L96">
        <f>PSI_OC!$A$7</f>
        <v>10</v>
      </c>
      <c r="M96">
        <v>-1</v>
      </c>
      <c r="N96" t="s">
        <v>471</v>
      </c>
      <c r="O96" s="17">
        <f>((SUM(B$24:B$26)*E96)+(B$27*G96)+(SUM(B$28,B$30:B$31,B$34,B$38,B$43,B$46:B$47,B$51:B$52,B$54,B$58,B$60,B$62:B$63)*H96)+(SUM(B$29,B$32,B$35:B$37,B$42,B$44:B$45,B$50,B$53,B$56,B$59,B$61)*I96)+(SUM(B$33,B$40,B$49,B$55,B$64)*J96)+(SUM(B$39,B$41,B$48,B$57)*PSI_EtOH!K96))*(L96*M96)</f>
        <v>-5127292.592682126</v>
      </c>
      <c r="P96" t="s">
        <v>537</v>
      </c>
      <c r="V96" s="17">
        <f t="shared" si="23"/>
        <v>-4418.241780904229</v>
      </c>
      <c r="W96" s="17">
        <f t="shared" si="24"/>
        <v>-464.72036949993981</v>
      </c>
      <c r="X96" s="17">
        <f t="shared" si="25"/>
        <v>-275277.17027128639</v>
      </c>
      <c r="Y96" s="17">
        <f t="shared" si="26"/>
        <v>-4911.4005309344411</v>
      </c>
      <c r="Z96">
        <f t="shared" si="27"/>
        <v>-311.66355258984936</v>
      </c>
      <c r="AA96" s="17">
        <f>((SUM(B$39,B$41,B$48,B$57)*PSI_EtOH!K114))*(L114*M114)</f>
        <v>-893.44970809339532</v>
      </c>
      <c r="AH96" s="8">
        <f t="shared" si="28"/>
        <v>-165760.93700787402</v>
      </c>
      <c r="AI96" s="8">
        <f t="shared" si="29"/>
        <v>-68.870536055035956</v>
      </c>
      <c r="AJ96" s="8">
        <f t="shared" si="30"/>
        <v>-680.55248584538094</v>
      </c>
      <c r="AK96" s="8">
        <f t="shared" si="31"/>
        <v>-1174.5778510776831</v>
      </c>
      <c r="AL96" s="8">
        <f t="shared" si="32"/>
        <v>-3.0462930504611347</v>
      </c>
    </row>
    <row r="97" spans="4:38" x14ac:dyDescent="0.2">
      <c r="D97" t="s">
        <v>284</v>
      </c>
      <c r="E97">
        <v>1.7000000000000001E-4</v>
      </c>
      <c r="F97" t="s">
        <v>388</v>
      </c>
      <c r="G97">
        <v>1.2999999999999999E-4</v>
      </c>
      <c r="H97">
        <v>3.0602</v>
      </c>
      <c r="I97">
        <v>1.2999999999999999E-4</v>
      </c>
      <c r="J97" s="88">
        <v>1.2999999999999999E-4</v>
      </c>
      <c r="K97">
        <v>1.2999999999999999E-4</v>
      </c>
      <c r="L97">
        <f>PSI_OC!$A$7</f>
        <v>10</v>
      </c>
      <c r="M97">
        <v>-1</v>
      </c>
      <c r="N97" t="s">
        <v>472</v>
      </c>
      <c r="O97" s="17">
        <f>((SUM(B$24:B$26)*E97)+(B$27*G97)+(SUM(B$28,B$30:B$31,B$34,B$38,B$43,B$46:B$47,B$51:B$52,B$54,B$58,B$60,B$62:B$63)*H97)+(SUM(B$29,B$32,B$35:B$37,B$42,B$44:B$45,B$50,B$53,B$56,B$59,B$61)*I97)+(SUM(B$33,B$40,B$49,B$55,B$64)*J97)+(SUM(B$39,B$41,B$48,B$57)*PSI_EtOH!K97))*(L97*M97)</f>
        <v>-275306161.71914154</v>
      </c>
      <c r="P97" t="s">
        <v>537</v>
      </c>
      <c r="V97" s="17">
        <f t="shared" si="23"/>
        <v>-44442.314384389596</v>
      </c>
      <c r="W97" s="17">
        <f t="shared" si="24"/>
        <v>-464.72036949993981</v>
      </c>
      <c r="X97" s="17">
        <f t="shared" si="25"/>
        <v>-275277.17027128639</v>
      </c>
      <c r="Y97" s="17">
        <f t="shared" si="26"/>
        <v>-47914112.379633047</v>
      </c>
      <c r="Z97">
        <f t="shared" si="27"/>
        <v>-3044.7131676085287</v>
      </c>
      <c r="AA97" s="17">
        <f>((SUM(B$39,B$41,B$48,B$57)*PSI_EtOH!K115))*(L115*M115)</f>
        <v>-893.44970809339532</v>
      </c>
      <c r="AH97" s="8">
        <f t="shared" si="28"/>
        <v>-165760.93700787402</v>
      </c>
      <c r="AI97" s="8">
        <f t="shared" si="29"/>
        <v>-68.870536055035956</v>
      </c>
      <c r="AJ97" s="8">
        <f t="shared" si="30"/>
        <v>-680.55248584538094</v>
      </c>
      <c r="AK97" s="8">
        <f t="shared" si="31"/>
        <v>-1178028.1735152239</v>
      </c>
      <c r="AL97" s="8">
        <f t="shared" si="32"/>
        <v>-3.0462930504611347</v>
      </c>
    </row>
    <row r="98" spans="4:38" x14ac:dyDescent="0.2">
      <c r="D98" t="s">
        <v>285</v>
      </c>
      <c r="E98">
        <v>1.712E-2</v>
      </c>
      <c r="F98" t="s">
        <v>389</v>
      </c>
      <c r="G98">
        <v>1.2700000000000001E-3</v>
      </c>
      <c r="H98">
        <v>3.0599999999999998E-3</v>
      </c>
      <c r="I98">
        <v>1.2700000000000001E-3</v>
      </c>
      <c r="J98" s="88">
        <v>1.2700000000000001E-3</v>
      </c>
      <c r="K98">
        <v>1.2700000000000001E-3</v>
      </c>
      <c r="L98">
        <f>PSI_OC!$A$7</f>
        <v>10</v>
      </c>
      <c r="M98">
        <v>-1</v>
      </c>
      <c r="N98" t="s">
        <v>473</v>
      </c>
      <c r="O98" s="17">
        <f>((SUM(B$24:B$26)*E98)+(B$27*G98)+(SUM(B$28,B$30:B$31,B$34,B$38,B$43,B$46:B$47,B$51:B$52,B$54,B$58,B$60,B$62:B$63)*H98)+(SUM(B$29,B$32,B$35:B$37,B$42,B$44:B$45,B$50,B$53,B$56,B$59,B$61)*I98)+(SUM(B$33,B$40,B$49,B$55,B$64)*J98)+(SUM(B$39,B$41,B$48,B$57)*PSI_EtOH!K98))*(L98*M98)</f>
        <v>-784513.70253217989</v>
      </c>
      <c r="P98" t="s">
        <v>537</v>
      </c>
      <c r="V98" s="17">
        <f t="shared" si="23"/>
        <v>-4418.241780904229</v>
      </c>
      <c r="W98" s="17">
        <f t="shared" si="24"/>
        <v>-464.72036949993981</v>
      </c>
      <c r="X98" s="17">
        <f t="shared" si="25"/>
        <v>-27529516.224319953</v>
      </c>
      <c r="Y98" s="17">
        <f t="shared" si="26"/>
        <v>-4911.4005309344411</v>
      </c>
      <c r="Z98">
        <f t="shared" si="27"/>
        <v>-311.66355258984936</v>
      </c>
      <c r="AA98" s="17">
        <f>((SUM(B$39,B$41,B$48,B$57)*PSI_EtOH!K116))*(L116*M116)</f>
        <v>-893.44970809339532</v>
      </c>
      <c r="AH98" s="8">
        <f t="shared" si="28"/>
        <v>-1659354.222047244</v>
      </c>
      <c r="AI98" s="8">
        <f t="shared" si="29"/>
        <v>-68.870536055035956</v>
      </c>
      <c r="AJ98" s="8">
        <f t="shared" si="30"/>
        <v>-680.55248584538094</v>
      </c>
      <c r="AK98" s="8">
        <f t="shared" si="31"/>
        <v>-1174.5778510776831</v>
      </c>
      <c r="AL98" s="8">
        <f t="shared" si="32"/>
        <v>-3.0462930504611347</v>
      </c>
    </row>
    <row r="99" spans="4:38" x14ac:dyDescent="0.2">
      <c r="D99" t="s">
        <v>286</v>
      </c>
      <c r="E99">
        <v>1.7099999999999999E-3</v>
      </c>
      <c r="F99" t="s">
        <v>390</v>
      </c>
      <c r="G99">
        <v>1.268E-2</v>
      </c>
      <c r="H99">
        <v>3.0599999999999998E-3</v>
      </c>
      <c r="I99">
        <v>1.268E-2</v>
      </c>
      <c r="J99" s="88">
        <v>1.268E-2</v>
      </c>
      <c r="K99">
        <v>1.268E-2</v>
      </c>
      <c r="L99">
        <f>PSI_OC!$A$6</f>
        <v>100</v>
      </c>
      <c r="M99">
        <v>-1</v>
      </c>
      <c r="N99" t="s">
        <v>474</v>
      </c>
      <c r="O99" s="17">
        <f>((SUM(B$24:B$26)*E99)+(B$27*G99)+(SUM(B$28,B$30:B$31,B$34,B$38,B$43,B$46:B$47,B$51:B$52,B$54,B$58,B$60,B$62:B$63)*H99)+(SUM(B$29,B$32,B$35:B$37,B$42,B$44:B$45,B$50,B$53,B$56,B$59,B$61)*I99)+(SUM(B$33,B$40,B$49,B$55,B$64)*J99)+(SUM(B$39,B$41,B$48,B$57)*PSI_EtOH!K99))*(L99*M99)</f>
        <v>-9616429.3975545689</v>
      </c>
      <c r="P99" t="s">
        <v>537</v>
      </c>
      <c r="V99" s="17">
        <f t="shared" si="23"/>
        <v>-44442.314384389596</v>
      </c>
      <c r="W99" s="17">
        <f t="shared" si="24"/>
        <v>-453352.59430755657</v>
      </c>
      <c r="X99" s="17">
        <f t="shared" si="25"/>
        <v>-275277.17027128639</v>
      </c>
      <c r="Y99" s="17">
        <f t="shared" si="26"/>
        <v>-47980.605186821085</v>
      </c>
      <c r="Z99">
        <f t="shared" si="27"/>
        <v>-304039.78261111304</v>
      </c>
      <c r="AA99" s="17">
        <f>((SUM(B$39,B$41,B$48,B$57)*PSI_EtOH!K117))*(L117*M117)</f>
        <v>-871594.55369541841</v>
      </c>
      <c r="AH99" s="8">
        <f t="shared" si="28"/>
        <v>-16591797.368503937</v>
      </c>
      <c r="AI99" s="8">
        <f t="shared" si="29"/>
        <v>-69496.631837354464</v>
      </c>
      <c r="AJ99" s="8">
        <f t="shared" si="30"/>
        <v>-663905.12503777863</v>
      </c>
      <c r="AK99" s="8">
        <f t="shared" si="31"/>
        <v>-1178028.1735152239</v>
      </c>
      <c r="AL99" s="8">
        <f t="shared" si="32"/>
        <v>-3046.3818662589847</v>
      </c>
    </row>
    <row r="100" spans="4:38" x14ac:dyDescent="0.2">
      <c r="D100" t="s">
        <v>287</v>
      </c>
      <c r="E100">
        <v>1.7099999999999999E-3</v>
      </c>
      <c r="F100" t="s">
        <v>391</v>
      </c>
      <c r="G100">
        <v>1.2700000000000001E-3</v>
      </c>
      <c r="H100">
        <v>3.0599999999999998E-3</v>
      </c>
      <c r="I100">
        <v>1.2700000000000001E-3</v>
      </c>
      <c r="J100" s="88">
        <v>1.2700000000000001E-3</v>
      </c>
      <c r="K100">
        <v>1.2700000000000001E-3</v>
      </c>
      <c r="L100">
        <f>PSI_OC!$A$6</f>
        <v>100</v>
      </c>
      <c r="M100">
        <v>-1</v>
      </c>
      <c r="N100" t="s">
        <v>475</v>
      </c>
      <c r="O100" s="17">
        <f>((SUM(B$24:B$26)*E100)+(B$27*G100)+(SUM(B$28,B$30:B$31,B$34,B$38,B$43,B$46:B$47,B$51:B$52,B$54,B$58,B$60,B$62:B$63)*H100)+(SUM(B$29,B$32,B$35:B$37,B$42,B$44:B$45,B$50,B$53,B$56,B$59,B$61)*I100)+(SUM(B$33,B$40,B$49,B$55,B$64)*J100)+(SUM(B$39,B$41,B$48,B$57)*PSI_EtOH!K100))*(L100*M100)</f>
        <v>-3840130.7992197885</v>
      </c>
      <c r="P100" t="s">
        <v>537</v>
      </c>
      <c r="V100" s="17">
        <f t="shared" si="23"/>
        <v>-444423.14384389593</v>
      </c>
      <c r="W100" s="17">
        <f t="shared" si="24"/>
        <v>-45399.605328071048</v>
      </c>
      <c r="X100" s="17">
        <f t="shared" si="25"/>
        <v>-275295162.24319953</v>
      </c>
      <c r="Y100" s="17">
        <f t="shared" si="26"/>
        <v>-49114.005309344415</v>
      </c>
      <c r="Z100">
        <f t="shared" si="27"/>
        <v>-30447.131676085286</v>
      </c>
      <c r="AA100" s="17">
        <f>((SUM(B$39,B$41,B$48,B$57)*PSI_EtOH!K118))*(L118*M118)</f>
        <v>-87283.163790662482</v>
      </c>
      <c r="AH100" s="8">
        <f t="shared" si="28"/>
        <v>-165917973.68503937</v>
      </c>
      <c r="AI100" s="8">
        <f t="shared" si="29"/>
        <v>-6949.6631837354471</v>
      </c>
      <c r="AJ100" s="8">
        <f t="shared" si="30"/>
        <v>-66484.742847971851</v>
      </c>
      <c r="AK100" s="8">
        <f t="shared" si="31"/>
        <v>-117457.78510776832</v>
      </c>
      <c r="AL100" s="8">
        <f t="shared" si="32"/>
        <v>-304.51130691468404</v>
      </c>
    </row>
    <row r="101" spans="4:38" x14ac:dyDescent="0.2">
      <c r="D101" t="s">
        <v>288</v>
      </c>
      <c r="E101">
        <v>1.7099999999999999E-3</v>
      </c>
      <c r="F101" t="s">
        <v>392</v>
      </c>
      <c r="G101">
        <v>1.2700000000000001E-3</v>
      </c>
      <c r="H101">
        <v>3.0599999999999998E-3</v>
      </c>
      <c r="I101">
        <v>1.2700000000000001E-3</v>
      </c>
      <c r="J101" s="88">
        <v>1.2700000000000001E-3</v>
      </c>
      <c r="K101">
        <v>1.2700000000000001E-3</v>
      </c>
      <c r="L101">
        <f>PSI_OC!$A$6</f>
        <v>100</v>
      </c>
      <c r="M101">
        <v>-1</v>
      </c>
      <c r="N101" t="s">
        <v>476</v>
      </c>
      <c r="O101" s="17">
        <f>((SUM(B$24:B$26)*E101)+(B$27*G101)+(SUM(B$28,B$30:B$31,B$34,B$38,B$43,B$46:B$47,B$51:B$52,B$54,B$58,B$60,B$62:B$63)*H101)+(SUM(B$29,B$32,B$35:B$37,B$42,B$44:B$45,B$50,B$53,B$56,B$59,B$61)*I101)+(SUM(B$33,B$40,B$49,B$55,B$64)*J101)+(SUM(B$39,B$41,B$48,B$57)*PSI_EtOH!K101))*(L101*M101)</f>
        <v>-3840130.7992197885</v>
      </c>
      <c r="P101" t="s">
        <v>537</v>
      </c>
      <c r="V101" s="17">
        <f t="shared" si="23"/>
        <v>-44182.417809042287</v>
      </c>
      <c r="W101" s="17">
        <f t="shared" si="24"/>
        <v>-45399.605328071048</v>
      </c>
      <c r="X101" s="17">
        <f t="shared" si="25"/>
        <v>-2752771.7027128637</v>
      </c>
      <c r="Y101" s="17">
        <f t="shared" si="26"/>
        <v>-47912601.179469682</v>
      </c>
      <c r="Z101">
        <f t="shared" si="27"/>
        <v>-30447.131676085286</v>
      </c>
      <c r="AA101" s="17">
        <f>((SUM(B$39,B$41,B$48,B$57)*PSI_EtOH!K119))*(L119*M119)</f>
        <v>-87283.163790662482</v>
      </c>
      <c r="AH101" s="8">
        <f t="shared" si="28"/>
        <v>-165917973.68503937</v>
      </c>
      <c r="AI101" s="8">
        <f t="shared" si="29"/>
        <v>-6949.6631837354471</v>
      </c>
      <c r="AJ101" s="8">
        <f t="shared" si="30"/>
        <v>-66484.742847971851</v>
      </c>
      <c r="AK101" s="8">
        <f t="shared" si="31"/>
        <v>-117457.78510776832</v>
      </c>
      <c r="AL101" s="8">
        <f t="shared" si="32"/>
        <v>-304.51130691468404</v>
      </c>
    </row>
    <row r="102" spans="4:38" x14ac:dyDescent="0.2">
      <c r="D102" t="s">
        <v>333</v>
      </c>
      <c r="E102">
        <v>1.7099999999999999E-3</v>
      </c>
      <c r="F102" t="s">
        <v>340</v>
      </c>
      <c r="G102">
        <v>1.2700000000000001E-3</v>
      </c>
      <c r="H102">
        <v>3.0599999999999998E-3</v>
      </c>
      <c r="I102">
        <v>1.2700000000000001E-3</v>
      </c>
      <c r="J102" s="88">
        <v>1.2700000000000001E-3</v>
      </c>
      <c r="K102">
        <v>1.2700000000000001E-3</v>
      </c>
      <c r="L102">
        <f>PSI_OC!$A$7</f>
        <v>10</v>
      </c>
      <c r="M102">
        <v>-1</v>
      </c>
      <c r="N102" t="s">
        <v>424</v>
      </c>
      <c r="O102" s="17">
        <f>((SUM(B$24:B$26)*E102)+(B$27*G102)+(SUM(B$28,B$30:B$31,B$34,B$38,B$43,B$46:B$47,B$51:B$52,B$54,B$58,B$60,B$62:B$63)*H102)+(SUM(B$29,B$32,B$35:B$37,B$42,B$44:B$45,B$50,B$53,B$56,B$59,B$61)*I102)+(SUM(B$33,B$40,B$49,B$55,B$64)*J102)+(SUM(B$39,B$41,B$48,B$57)*PSI_EtOH!K102))*(L102*M102)</f>
        <v>-384013.07992197888</v>
      </c>
      <c r="P102" t="s">
        <v>537</v>
      </c>
      <c r="V102" s="17">
        <f t="shared" ref="V102:V111" si="33">((SUM(B$24:B$26)*E120))*(L120*M120)</f>
        <v>-44442.314384389596</v>
      </c>
      <c r="W102" s="17">
        <f t="shared" ref="W102:W111" si="34">((B$27*G120))*(L120*M120)</f>
        <v>-4539.9605328071048</v>
      </c>
      <c r="X102" s="17">
        <f t="shared" ref="X102:X111" si="35">(((SUM(B$28,B$30:B$31,B$34,B$38,B$43,B$46:B$47,B$51:B$52,B$54,B$58,B$60,B$62:B$63)*H120))*(L120*M120))</f>
        <v>-275277.17027128639</v>
      </c>
      <c r="Y102" s="17">
        <f t="shared" ref="Y102:Y111" si="36">((SUM(B$29,B$32,B$35:B$37,B$42,B$44:B$45,B$50,B$53,B$56,B$59,B$61)*I120))*(L120*M120)</f>
        <v>-47980.605186821085</v>
      </c>
      <c r="Z102">
        <f t="shared" ref="Z102:Z111" si="37">((SUM(B$33,B$40,B$49,B$55,B$64)*J120))*(L120*M120)</f>
        <v>-3044.7131676085287</v>
      </c>
      <c r="AA102" s="17">
        <f>((SUM(B$39,B$41,B$48,B$57)*PSI_EtOH!K120))*(L120*M120)</f>
        <v>-8728.3163790662475</v>
      </c>
      <c r="AH102" s="8">
        <f t="shared" ref="AH102:AH111" si="38">((C$137*H233))*(M233*N233)</f>
        <v>-165913611.55511814</v>
      </c>
      <c r="AI102" s="8">
        <f t="shared" ref="AI102:AI111" si="39">((C$138*I233))*(M233*N233)</f>
        <v>-694.96631837354471</v>
      </c>
      <c r="AJ102" s="8">
        <f t="shared" ref="AJ102:AJ111" si="40">((SUM(C$140:C$143,C$148:C$150)*J233))*(M233*N233)</f>
        <v>-6648.4742847971847</v>
      </c>
      <c r="AK102" s="8">
        <f t="shared" ref="AK102:AK111" si="41">((SUM(C$146:C$147,C$152:C$172)))*(F233*M233*N233)</f>
        <v>-11745.77851077683</v>
      </c>
      <c r="AL102" s="8">
        <f t="shared" ref="AL102:AL111" si="42">((SUM(C$144:C$145,C$151)*K233))*(M233*N233)</f>
        <v>-30.451130691468403</v>
      </c>
    </row>
    <row r="103" spans="4:38" x14ac:dyDescent="0.2">
      <c r="D103" t="s">
        <v>334</v>
      </c>
      <c r="E103">
        <v>1.712E-2</v>
      </c>
      <c r="F103" t="s">
        <v>393</v>
      </c>
      <c r="G103">
        <v>1.268E-2</v>
      </c>
      <c r="H103">
        <v>3.0599999999999999E-2</v>
      </c>
      <c r="I103">
        <v>1.268E-2</v>
      </c>
      <c r="J103" s="88">
        <v>1.268E-2</v>
      </c>
      <c r="K103">
        <v>1.268E-2</v>
      </c>
      <c r="L103">
        <v>0</v>
      </c>
      <c r="M103">
        <v>0</v>
      </c>
      <c r="N103" t="s">
        <v>477</v>
      </c>
      <c r="O103" s="17">
        <f>((SUM(B$24:B$26)*E103)+(B$27*G103)+(SUM(B$28,B$30:B$31,B$34,B$38,B$43,B$46:B$47,B$51:B$52,B$54,B$58,B$60,B$62:B$63)*H103)+(SUM(B$29,B$32,B$35:B$37,B$42,B$44:B$45,B$50,B$53,B$56,B$59,B$61)*I103)+(SUM(B$33,B$40,B$49,B$55,B$64)*J103)+(SUM(B$39,B$41,B$48,B$57)*PSI_EtOH!K103))*(L103*M103)</f>
        <v>0</v>
      </c>
      <c r="P103" t="s">
        <v>537</v>
      </c>
      <c r="V103" s="17">
        <f t="shared" si="33"/>
        <v>-444423.14384389593</v>
      </c>
      <c r="W103" s="17">
        <f t="shared" si="34"/>
        <v>-45336689.339584894</v>
      </c>
      <c r="X103" s="17">
        <f t="shared" si="35"/>
        <v>-2752951622.4319954</v>
      </c>
      <c r="Y103" s="17">
        <f t="shared" si="36"/>
        <v>-479806.05186821084</v>
      </c>
      <c r="Z103">
        <f t="shared" si="37"/>
        <v>-30404937.225888506</v>
      </c>
      <c r="AA103" s="17">
        <f>((SUM(B$39,B$41,B$48,B$57)*PSI_EtOH!K121))*(L121*M121)</f>
        <v>-87162204.445566744</v>
      </c>
      <c r="AH103" s="8">
        <f t="shared" si="38"/>
        <v>-1657609.3700787402</v>
      </c>
      <c r="AI103" s="8">
        <f t="shared" si="39"/>
        <v>-6949913.6220483733</v>
      </c>
      <c r="AJ103" s="8">
        <f t="shared" si="40"/>
        <v>-66392606.511426628</v>
      </c>
      <c r="AK103" s="8">
        <f t="shared" si="41"/>
        <v>-117800615.01805161</v>
      </c>
      <c r="AL103" s="8">
        <f t="shared" si="42"/>
        <v>-304629.72797848418</v>
      </c>
    </row>
    <row r="104" spans="4:38" x14ac:dyDescent="0.2">
      <c r="D104" t="s">
        <v>335</v>
      </c>
      <c r="E104">
        <v>1.7099999999999999E-3</v>
      </c>
      <c r="F104" t="s">
        <v>394</v>
      </c>
      <c r="G104">
        <v>1.2700000000000001E-3</v>
      </c>
      <c r="H104">
        <v>3.0599999999999998E-3</v>
      </c>
      <c r="I104">
        <v>1.2700000000000001E-3</v>
      </c>
      <c r="J104" s="88">
        <v>1.2700000000000001E-3</v>
      </c>
      <c r="K104">
        <v>1.2700000000000001E-3</v>
      </c>
      <c r="L104">
        <f>PSI_OC!$A$7</f>
        <v>10</v>
      </c>
      <c r="M104">
        <v>-1</v>
      </c>
      <c r="N104" t="s">
        <v>478</v>
      </c>
      <c r="O104" s="17">
        <f>((SUM(B$24:B$26)*E104)+(B$27*G104)+(SUM(B$28,B$30:B$31,B$34,B$38,B$43,B$46:B$47,B$51:B$52,B$54,B$58,B$60,B$62:B$63)*H104)+(SUM(B$29,B$32,B$35:B$37,B$42,B$44:B$45,B$50,B$53,B$56,B$59,B$61)*I104)+(SUM(B$33,B$40,B$49,B$55,B$64)*J104)+(SUM(B$39,B$41,B$48,B$57)*PSI_EtOH!K104))*(L104*M104)</f>
        <v>-384013.07992197888</v>
      </c>
      <c r="P104" t="s">
        <v>537</v>
      </c>
      <c r="V104" s="17">
        <f t="shared" si="33"/>
        <v>-4418.241780904229</v>
      </c>
      <c r="W104" s="17">
        <f t="shared" si="34"/>
        <v>-4539.9605328071048</v>
      </c>
      <c r="X104" s="17">
        <f t="shared" si="35"/>
        <v>-275277.17027128639</v>
      </c>
      <c r="Y104" s="17">
        <f t="shared" si="36"/>
        <v>-47980.605186821085</v>
      </c>
      <c r="Z104">
        <f t="shared" si="37"/>
        <v>-3044.7131676085287</v>
      </c>
      <c r="AA104" s="17">
        <f>((SUM(B$39,B$41,B$48,B$57)*PSI_EtOH!K122))*(L122*M122)</f>
        <v>-8728.3163790662475</v>
      </c>
      <c r="AH104" s="8">
        <f t="shared" si="38"/>
        <v>-165913611.55511814</v>
      </c>
      <c r="AI104" s="8">
        <f t="shared" si="39"/>
        <v>-694.96631837354471</v>
      </c>
      <c r="AJ104" s="8">
        <f t="shared" si="40"/>
        <v>-6648.4742847971847</v>
      </c>
      <c r="AK104" s="8">
        <f t="shared" si="41"/>
        <v>-11745.77851077683</v>
      </c>
      <c r="AL104" s="8">
        <f t="shared" si="42"/>
        <v>-30.451130691468403</v>
      </c>
    </row>
    <row r="105" spans="4:38" x14ac:dyDescent="0.2">
      <c r="D105" t="s">
        <v>289</v>
      </c>
      <c r="E105">
        <v>1.7099999999999999E-3</v>
      </c>
      <c r="F105" t="s">
        <v>395</v>
      </c>
      <c r="G105">
        <v>1.2700000000000001E-3</v>
      </c>
      <c r="H105">
        <v>0.30602000000000001</v>
      </c>
      <c r="I105">
        <v>1.2700000000000001E-3</v>
      </c>
      <c r="J105" s="88">
        <v>1.2700000000000001E-3</v>
      </c>
      <c r="K105">
        <v>1.2700000000000001E-3</v>
      </c>
      <c r="L105">
        <f>PSI_OC!$A$7</f>
        <v>10</v>
      </c>
      <c r="M105">
        <v>-1</v>
      </c>
      <c r="N105" t="s">
        <v>479</v>
      </c>
      <c r="O105" s="17">
        <f>((SUM(B$24:B$26)*E105)+(B$27*G105)+(SUM(B$28,B$30:B$31,B$34,B$38,B$43,B$46:B$47,B$51:B$52,B$54,B$58,B$60,B$62:B$63)*H105)+(SUM(B$29,B$32,B$35:B$37,B$42,B$44:B$45,B$50,B$53,B$56,B$59,B$61)*I105)+(SUM(B$33,B$40,B$49,B$55,B$64)*J105)+(SUM(B$39,B$41,B$48,B$57)*PSI_EtOH!K105))*(L105*M105)</f>
        <v>-27638252.133970648</v>
      </c>
      <c r="P105" t="s">
        <v>537</v>
      </c>
      <c r="V105" s="17">
        <f t="shared" si="33"/>
        <v>-44494.293699459056</v>
      </c>
      <c r="W105" s="17">
        <f t="shared" si="34"/>
        <v>-453.99605328071044</v>
      </c>
      <c r="X105" s="17">
        <f t="shared" si="35"/>
        <v>-27527.717027128638</v>
      </c>
      <c r="Y105" s="17">
        <f t="shared" si="36"/>
        <v>-4791411.2379633049</v>
      </c>
      <c r="Z105">
        <f t="shared" si="37"/>
        <v>-304.47131676085286</v>
      </c>
      <c r="AA105" s="17">
        <f>((SUM(B$39,B$41,B$48,B$57)*PSI_EtOH!K123))*(L123*M123)</f>
        <v>-872.83163790662479</v>
      </c>
      <c r="AH105" s="8">
        <f t="shared" si="38"/>
        <v>-1659179.7368503937</v>
      </c>
      <c r="AI105" s="8">
        <f t="shared" si="39"/>
        <v>-69.496631837354471</v>
      </c>
      <c r="AJ105" s="8">
        <f t="shared" si="40"/>
        <v>-664.84742847971847</v>
      </c>
      <c r="AK105" s="8">
        <f t="shared" si="41"/>
        <v>-11782.484068623007</v>
      </c>
      <c r="AL105" s="8">
        <f t="shared" si="42"/>
        <v>-3.0451130691468404</v>
      </c>
    </row>
    <row r="106" spans="4:38" x14ac:dyDescent="0.2">
      <c r="D106" t="s">
        <v>290</v>
      </c>
      <c r="E106">
        <v>1.7000000000000001E-4</v>
      </c>
      <c r="F106" t="s">
        <v>396</v>
      </c>
      <c r="G106">
        <v>1.2999999999999999E-4</v>
      </c>
      <c r="H106">
        <v>3.1E-4</v>
      </c>
      <c r="I106">
        <v>1.2999999999999999E-4</v>
      </c>
      <c r="J106" s="88">
        <v>1.2999999999999999E-4</v>
      </c>
      <c r="K106">
        <v>1.2999999999999999E-4</v>
      </c>
      <c r="L106">
        <f>PSI_OC!$A$7</f>
        <v>10</v>
      </c>
      <c r="M106">
        <v>-1</v>
      </c>
      <c r="N106" t="s">
        <v>480</v>
      </c>
      <c r="O106" s="17">
        <f>((SUM(B$24:B$26)*E106)+(B$27*G106)+(SUM(B$28,B$30:B$31,B$34,B$38,B$43,B$46:B$47,B$51:B$52,B$54,B$58,B$60,B$62:B$63)*H106)+(SUM(B$29,B$32,B$35:B$37,B$42,B$44:B$45,B$50,B$53,B$56,B$59,B$61)*I106)+(SUM(B$33,B$40,B$49,B$55,B$64)*J106)+(SUM(B$39,B$41,B$48,B$57)*PSI_EtOH!K106))*(L106*M106)</f>
        <v>-38887.032407413615</v>
      </c>
      <c r="P106" t="s">
        <v>537</v>
      </c>
      <c r="V106" s="17">
        <f t="shared" si="33"/>
        <v>-4444.2314384389592</v>
      </c>
      <c r="W106" s="17">
        <f t="shared" si="34"/>
        <v>-453.99605328071044</v>
      </c>
      <c r="X106" s="17">
        <f t="shared" si="35"/>
        <v>-27527.717027128638</v>
      </c>
      <c r="Y106" s="17">
        <f t="shared" si="36"/>
        <v>-4798.0605186821085</v>
      </c>
      <c r="Z106">
        <f t="shared" si="37"/>
        <v>-304.47131676085286</v>
      </c>
      <c r="AA106" s="17">
        <f>((SUM(B$39,B$41,B$48,B$57)*PSI_EtOH!K124))*(L124*M124)</f>
        <v>-872.83163790662479</v>
      </c>
      <c r="AH106" s="8">
        <f t="shared" si="38"/>
        <v>-1659179.7368503937</v>
      </c>
      <c r="AI106" s="8">
        <f t="shared" si="39"/>
        <v>-69.496631837354471</v>
      </c>
      <c r="AJ106" s="8">
        <f t="shared" si="40"/>
        <v>-664.84742847971847</v>
      </c>
      <c r="AK106" s="8">
        <f t="shared" si="41"/>
        <v>-11782.484068623007</v>
      </c>
      <c r="AL106" s="8">
        <f t="shared" si="42"/>
        <v>-3.0451130691468404</v>
      </c>
    </row>
    <row r="107" spans="4:38" x14ac:dyDescent="0.2">
      <c r="D107" t="s">
        <v>291</v>
      </c>
      <c r="E107">
        <v>1.7000000000000001E-4</v>
      </c>
      <c r="F107" t="s">
        <v>397</v>
      </c>
      <c r="G107">
        <v>1.2999999999999999E-4</v>
      </c>
      <c r="H107">
        <v>3.1E-4</v>
      </c>
      <c r="I107">
        <v>1.2999999999999999E-4</v>
      </c>
      <c r="J107" s="88">
        <v>1.2999999999999999E-4</v>
      </c>
      <c r="K107">
        <v>1.2999999999999999E-4</v>
      </c>
      <c r="L107">
        <f>PSI_OC!$A$8</f>
        <v>1</v>
      </c>
      <c r="M107">
        <v>-1</v>
      </c>
      <c r="N107" t="s">
        <v>481</v>
      </c>
      <c r="O107" s="17">
        <f>((SUM(B$24:B$26)*E107)+(B$27*G107)+(SUM(B$28,B$30:B$31,B$34,B$38,B$43,B$46:B$47,B$51:B$52,B$54,B$58,B$60,B$62:B$63)*H107)+(SUM(B$29,B$32,B$35:B$37,B$42,B$44:B$45,B$50,B$53,B$56,B$59,B$61)*I107)+(SUM(B$33,B$40,B$49,B$55,B$64)*J107)+(SUM(B$39,B$41,B$48,B$57)*PSI_EtOH!K107))*(L107*M107)</f>
        <v>-3888.7032407413612</v>
      </c>
      <c r="P107" t="s">
        <v>537</v>
      </c>
      <c r="V107" s="17">
        <f t="shared" si="33"/>
        <v>0</v>
      </c>
      <c r="W107" s="17">
        <f t="shared" si="34"/>
        <v>0</v>
      </c>
      <c r="X107" s="17">
        <f t="shared" si="35"/>
        <v>0</v>
      </c>
      <c r="Y107" s="17">
        <f t="shared" si="36"/>
        <v>0</v>
      </c>
      <c r="Z107">
        <f t="shared" si="37"/>
        <v>0</v>
      </c>
      <c r="AA107" s="17">
        <f>((SUM(B$39,B$41,B$48,B$57)*PSI_EtOH!K125))*(L125*M125)</f>
        <v>0</v>
      </c>
      <c r="AH107" s="8">
        <f t="shared" si="38"/>
        <v>0</v>
      </c>
      <c r="AI107" s="8">
        <f t="shared" si="39"/>
        <v>0</v>
      </c>
      <c r="AJ107" s="8">
        <f t="shared" si="40"/>
        <v>0</v>
      </c>
      <c r="AK107" s="8">
        <f t="shared" si="41"/>
        <v>0</v>
      </c>
      <c r="AL107" s="8">
        <f t="shared" si="42"/>
        <v>0</v>
      </c>
    </row>
    <row r="108" spans="4:38" x14ac:dyDescent="0.2">
      <c r="D108" t="s">
        <v>292</v>
      </c>
      <c r="E108">
        <v>1.7099999999999999E-3</v>
      </c>
      <c r="F108" t="s">
        <v>360</v>
      </c>
      <c r="G108">
        <v>1.268E-2</v>
      </c>
      <c r="H108">
        <v>3.0599999999999998E-3</v>
      </c>
      <c r="I108">
        <v>1.268E-2</v>
      </c>
      <c r="J108" s="88">
        <v>1.268E-2</v>
      </c>
      <c r="K108">
        <v>1.268E-2</v>
      </c>
      <c r="L108">
        <f>PSI_OC!$A$6</f>
        <v>100</v>
      </c>
      <c r="M108">
        <v>-1</v>
      </c>
      <c r="N108" t="s">
        <v>444</v>
      </c>
      <c r="O108" s="17">
        <f>((SUM(B$24:B$26)*E108)+(B$27*G108)+(SUM(B$28,B$30:B$31,B$34,B$38,B$43,B$46:B$47,B$51:B$52,B$54,B$58,B$60,B$62:B$63)*H108)+(SUM(B$29,B$32,B$35:B$37,B$42,B$44:B$45,B$50,B$53,B$56,B$59,B$61)*I108)+(SUM(B$33,B$40,B$49,B$55,B$64)*J108)+(SUM(B$39,B$41,B$48,B$57)*PSI_EtOH!K108))*(L108*M108)</f>
        <v>-9616429.3975545689</v>
      </c>
      <c r="P108" t="s">
        <v>537</v>
      </c>
      <c r="V108" s="17">
        <f t="shared" si="33"/>
        <v>-44442.314384389596</v>
      </c>
      <c r="W108" s="17">
        <f t="shared" si="34"/>
        <v>-4539.9605328071048</v>
      </c>
      <c r="X108" s="17">
        <f t="shared" si="35"/>
        <v>-275277.17027128639</v>
      </c>
      <c r="Y108" s="17">
        <f t="shared" si="36"/>
        <v>-47980.605186821085</v>
      </c>
      <c r="Z108">
        <f t="shared" si="37"/>
        <v>-3044.7131676085287</v>
      </c>
      <c r="AA108" s="17">
        <f>((SUM(B$39,B$41,B$48,B$57)*PSI_EtOH!K126))*(L126*M126)</f>
        <v>-8728.3163790662475</v>
      </c>
      <c r="AH108" s="8">
        <f t="shared" si="38"/>
        <v>-1659354.222047244</v>
      </c>
      <c r="AI108" s="8">
        <f t="shared" si="39"/>
        <v>-694.96631837354471</v>
      </c>
      <c r="AJ108" s="8">
        <f t="shared" si="40"/>
        <v>-6648.4742847971847</v>
      </c>
      <c r="AK108" s="8">
        <f t="shared" si="41"/>
        <v>-11745.77851077683</v>
      </c>
      <c r="AL108" s="8">
        <f t="shared" si="42"/>
        <v>-30.451130691468403</v>
      </c>
    </row>
    <row r="109" spans="4:38" x14ac:dyDescent="0.2">
      <c r="D109" t="s">
        <v>293</v>
      </c>
      <c r="E109">
        <v>0.17124</v>
      </c>
      <c r="F109" t="s">
        <v>398</v>
      </c>
      <c r="G109">
        <v>1.26824</v>
      </c>
      <c r="H109">
        <v>3.0599999999999998E-3</v>
      </c>
      <c r="I109">
        <v>1.26824</v>
      </c>
      <c r="J109" s="88">
        <v>1.26824</v>
      </c>
      <c r="K109">
        <v>1.26824</v>
      </c>
      <c r="L109">
        <f>PSI_OC!$A$7</f>
        <v>10</v>
      </c>
      <c r="M109">
        <v>-1</v>
      </c>
      <c r="N109" t="s">
        <v>482</v>
      </c>
      <c r="O109" s="17">
        <f>((SUM(B$24:B$26)*E109)+(B$27*G109)+(SUM(B$28,B$30:B$31,B$34,B$38,B$43,B$46:B$47,B$51:B$52,B$54,B$58,B$60,B$62:B$63)*H109)+(SUM(B$29,B$32,B$35:B$37,B$42,B$44:B$45,B$50,B$53,B$56,B$59,B$61)*I109)+(SUM(B$33,B$40,B$49,B$55,B$64)*J109)+(SUM(B$39,B$41,B$48,B$57)*PSI_EtOH!K109))*(L109*M109)</f>
        <v>-68930241.607255638</v>
      </c>
      <c r="P109" t="s">
        <v>537</v>
      </c>
      <c r="V109" s="17">
        <f t="shared" si="33"/>
        <v>-44442.314384389596</v>
      </c>
      <c r="W109" s="17">
        <f t="shared" si="34"/>
        <v>-4539.9605328071048</v>
      </c>
      <c r="X109" s="17">
        <f t="shared" si="35"/>
        <v>-275277.17027128639</v>
      </c>
      <c r="Y109" s="17">
        <f t="shared" si="36"/>
        <v>-4791260.1179469675</v>
      </c>
      <c r="Z109">
        <f t="shared" si="37"/>
        <v>-3044.7131676085287</v>
      </c>
      <c r="AA109" s="17">
        <f>((SUM(B$39,B$41,B$48,B$57)*PSI_EtOH!K127))*(L127*M127)</f>
        <v>-8728.3163790662475</v>
      </c>
      <c r="AH109" s="8">
        <f t="shared" si="38"/>
        <v>-16591797.368503937</v>
      </c>
      <c r="AI109" s="8">
        <f t="shared" si="39"/>
        <v>-694.96631837354471</v>
      </c>
      <c r="AJ109" s="8">
        <f t="shared" si="40"/>
        <v>-6648.4742847971847</v>
      </c>
      <c r="AK109" s="8">
        <f t="shared" si="41"/>
        <v>-11745.77851077683</v>
      </c>
      <c r="AL109" s="8">
        <f t="shared" si="42"/>
        <v>-30.451130691468403</v>
      </c>
    </row>
    <row r="110" spans="4:38" x14ac:dyDescent="0.2">
      <c r="D110" t="s">
        <v>294</v>
      </c>
      <c r="E110">
        <v>1.7000000000000001E-4</v>
      </c>
      <c r="F110" t="s">
        <v>399</v>
      </c>
      <c r="G110">
        <v>1.2999999999999999E-4</v>
      </c>
      <c r="H110">
        <v>3.1E-4</v>
      </c>
      <c r="I110">
        <v>1.2999999999999999E-4</v>
      </c>
      <c r="J110" s="88">
        <v>1.2999999999999999E-4</v>
      </c>
      <c r="K110">
        <v>1.2999999999999999E-4</v>
      </c>
      <c r="L110">
        <f>PSI_OC!$A$8</f>
        <v>1</v>
      </c>
      <c r="M110">
        <v>-1</v>
      </c>
      <c r="N110" t="s">
        <v>483</v>
      </c>
      <c r="O110" s="17">
        <f>((SUM(B$24:B$26)*E110)+(B$27*G110)+(SUM(B$28,B$30:B$31,B$34,B$38,B$43,B$46:B$47,B$51:B$52,B$54,B$58,B$60,B$62:B$63)*H110)+(SUM(B$29,B$32,B$35:B$37,B$42,B$44:B$45,B$50,B$53,B$56,B$59,B$61)*I110)+(SUM(B$33,B$40,B$49,B$55,B$64)*J110)+(SUM(B$39,B$41,B$48,B$57)*PSI_EtOH!K110))*(L110*M110)</f>
        <v>-3888.7032407413612</v>
      </c>
      <c r="P110" t="s">
        <v>537</v>
      </c>
      <c r="V110" s="17">
        <f t="shared" si="33"/>
        <v>0</v>
      </c>
      <c r="W110" s="17">
        <f t="shared" si="34"/>
        <v>0</v>
      </c>
      <c r="X110" s="17">
        <f t="shared" si="35"/>
        <v>0</v>
      </c>
      <c r="Y110" s="17">
        <f t="shared" si="36"/>
        <v>0</v>
      </c>
      <c r="Z110">
        <f t="shared" si="37"/>
        <v>0</v>
      </c>
      <c r="AA110" s="17">
        <f>((SUM(B$39,B$41,B$48,B$57)*PSI_EtOH!K128))*(L128*M128)</f>
        <v>0</v>
      </c>
      <c r="AH110" s="8">
        <f t="shared" si="38"/>
        <v>0</v>
      </c>
      <c r="AI110" s="8">
        <f t="shared" si="39"/>
        <v>0</v>
      </c>
      <c r="AJ110" s="8">
        <f t="shared" si="40"/>
        <v>0</v>
      </c>
      <c r="AK110" s="8">
        <f t="shared" si="41"/>
        <v>0</v>
      </c>
      <c r="AL110" s="8">
        <f t="shared" si="42"/>
        <v>0</v>
      </c>
    </row>
    <row r="111" spans="4:38" x14ac:dyDescent="0.2">
      <c r="D111" t="s">
        <v>336</v>
      </c>
      <c r="E111">
        <v>1.7000000000000001E-4</v>
      </c>
      <c r="F111" t="s">
        <v>400</v>
      </c>
      <c r="G111">
        <v>1.2700000000000001E-3</v>
      </c>
      <c r="H111">
        <v>0</v>
      </c>
      <c r="I111">
        <v>1.2700000000000001E-3</v>
      </c>
      <c r="J111" s="88">
        <v>1.2700000000000001E-3</v>
      </c>
      <c r="K111">
        <v>1.2700000000000001E-3</v>
      </c>
      <c r="L111">
        <f>PSI_OC!$A$6</f>
        <v>100</v>
      </c>
      <c r="M111">
        <v>-1</v>
      </c>
      <c r="N111" t="s">
        <v>484</v>
      </c>
      <c r="O111" s="17">
        <f>((SUM(B$24:B$26)*E111)+(B$27*G111)+(SUM(B$28,B$30:B$31,B$34,B$38,B$43,B$46:B$47,B$51:B$52,B$54,B$58,B$60,B$62:B$63)*H111)+(SUM(B$29,B$32,B$35:B$37,B$42,B$44:B$45,B$50,B$53,B$56,B$59,B$61)*I111)+(SUM(B$33,B$40,B$49,B$55,B$64)*J111)+(SUM(B$39,B$41,B$48,B$57)*PSI_EtOH!K111))*(L111*M111)</f>
        <v>-687118.37047207193</v>
      </c>
      <c r="P111" t="s">
        <v>537</v>
      </c>
      <c r="V111" s="17">
        <f t="shared" si="33"/>
        <v>-44442.314384389596</v>
      </c>
      <c r="W111" s="17">
        <f t="shared" si="34"/>
        <v>-4539.9605328071048</v>
      </c>
      <c r="X111" s="17">
        <f t="shared" si="35"/>
        <v>-27887.556465391757</v>
      </c>
      <c r="Y111" s="17">
        <f t="shared" si="36"/>
        <v>-47980.605186821085</v>
      </c>
      <c r="Z111">
        <f t="shared" si="37"/>
        <v>-3044.7131676085287</v>
      </c>
      <c r="AA111" s="17">
        <f>((SUM(B$39,B$41,B$48,B$57)*PSI_EtOH!K129))*(L129*M129)</f>
        <v>-8728.3163790662475</v>
      </c>
      <c r="AH111" s="8">
        <f t="shared" si="38"/>
        <v>-16591797.368503937</v>
      </c>
      <c r="AI111" s="8">
        <f t="shared" si="39"/>
        <v>-694.96631837354471</v>
      </c>
      <c r="AJ111" s="8">
        <f t="shared" si="40"/>
        <v>-6648.4742847971847</v>
      </c>
      <c r="AK111" s="8">
        <f t="shared" si="41"/>
        <v>-11745.77851077683</v>
      </c>
      <c r="AL111" s="8">
        <f t="shared" si="42"/>
        <v>-30.451130691468403</v>
      </c>
    </row>
    <row r="112" spans="4:38" x14ac:dyDescent="0.2">
      <c r="D112" t="s">
        <v>295</v>
      </c>
      <c r="E112">
        <v>1.7000000000000001E-4</v>
      </c>
      <c r="F112" t="s">
        <v>401</v>
      </c>
      <c r="G112">
        <v>1.2999999999999999E-4</v>
      </c>
      <c r="H112">
        <v>3.1E-4</v>
      </c>
      <c r="I112">
        <v>1.2999999999999999E-4</v>
      </c>
      <c r="J112" s="88">
        <v>1.2999999999999999E-4</v>
      </c>
      <c r="K112">
        <v>1.2999999999999999E-4</v>
      </c>
      <c r="L112">
        <f>PSI_OC!$A$6</f>
        <v>100</v>
      </c>
      <c r="M112">
        <v>-1</v>
      </c>
      <c r="N112" t="s">
        <v>485</v>
      </c>
      <c r="O112" s="17">
        <f>((SUM(B$24:B$26)*E112)+(B$27*G112)+(SUM(B$28,B$30:B$31,B$34,B$38,B$43,B$46:B$47,B$51:B$52,B$54,B$58,B$60,B$62:B$63)*H112)+(SUM(B$29,B$32,B$35:B$37,B$42,B$44:B$45,B$50,B$53,B$56,B$59,B$61)*I112)+(SUM(B$33,B$40,B$49,B$55,B$64)*J112)+(SUM(B$39,B$41,B$48,B$57)*PSI_EtOH!K112))*(L112*M112)</f>
        <v>-388870.32407413615</v>
      </c>
      <c r="P112" t="s">
        <v>537</v>
      </c>
    </row>
    <row r="113" spans="4:27" x14ac:dyDescent="0.2">
      <c r="D113" t="s">
        <v>296</v>
      </c>
      <c r="E113">
        <v>1.7099999999999999E-3</v>
      </c>
      <c r="F113" t="s">
        <v>402</v>
      </c>
      <c r="G113">
        <v>1.26824</v>
      </c>
      <c r="H113">
        <v>3.0599999999999998E-3</v>
      </c>
      <c r="I113">
        <v>1.2700000000000001E-3</v>
      </c>
      <c r="J113" s="88">
        <v>1.26824</v>
      </c>
      <c r="K113">
        <v>1.26824</v>
      </c>
      <c r="L113">
        <f>PSI_OC!$A$7</f>
        <v>10</v>
      </c>
      <c r="M113">
        <v>-1</v>
      </c>
      <c r="N113" t="s">
        <v>486</v>
      </c>
      <c r="O113" s="17">
        <f>((SUM(B$24:B$26)*E113)+(B$27*G113)+(SUM(B$28,B$30:B$31,B$34,B$38,B$43,B$46:B$47,B$51:B$52,B$54,B$58,B$60,B$62:B$63)*H113)+(SUM(B$29,B$32,B$35:B$37,B$42,B$44:B$45,B$50,B$53,B$56,B$59,B$61)*I113)+(SUM(B$33,B$40,B$49,B$55,B$64)*J113)+(SUM(B$39,B$41,B$48,B$57)*PSI_EtOH!K113))*(L113*M113)</f>
        <v>-16658083.190946512</v>
      </c>
      <c r="P113" t="s">
        <v>537</v>
      </c>
    </row>
    <row r="114" spans="4:27" x14ac:dyDescent="0.2">
      <c r="D114" t="s">
        <v>297</v>
      </c>
      <c r="E114">
        <v>1.7000000000000001E-4</v>
      </c>
      <c r="F114" t="s">
        <v>403</v>
      </c>
      <c r="G114">
        <v>1.2999999999999999E-4</v>
      </c>
      <c r="H114">
        <v>3.0599999999999998E-3</v>
      </c>
      <c r="I114">
        <v>1.2999999999999999E-4</v>
      </c>
      <c r="J114" s="88">
        <v>1.2999999999999999E-4</v>
      </c>
      <c r="K114">
        <v>1.2999999999999999E-4</v>
      </c>
      <c r="L114">
        <f>PSI_OC!$A$7</f>
        <v>10</v>
      </c>
      <c r="M114">
        <v>-1</v>
      </c>
      <c r="N114" t="s">
        <v>487</v>
      </c>
      <c r="O114" s="17">
        <f>((SUM(B$24:B$26)*E114)+(B$27*G114)+(SUM(B$28,B$30:B$31,B$34,B$38,B$43,B$46:B$47,B$51:B$52,B$54,B$58,B$60,B$62:B$63)*H114)+(SUM(B$29,B$32,B$35:B$37,B$42,B$44:B$45,B$50,B$53,B$56,B$59,B$61)*I114)+(SUM(B$33,B$40,B$49,B$55,B$64)*J114)+(SUM(B$39,B$41,B$48,B$57)*PSI_EtOH!K114))*(L114*M114)</f>
        <v>-286276.64621330821</v>
      </c>
      <c r="P114" t="s">
        <v>537</v>
      </c>
    </row>
    <row r="115" spans="4:27" x14ac:dyDescent="0.2">
      <c r="D115" t="s">
        <v>298</v>
      </c>
      <c r="E115">
        <v>1.7099999999999999E-3</v>
      </c>
      <c r="F115" t="s">
        <v>394</v>
      </c>
      <c r="G115">
        <v>1.2999999999999999E-4</v>
      </c>
      <c r="H115">
        <v>3.0599999999999998E-3</v>
      </c>
      <c r="I115">
        <v>1.26824</v>
      </c>
      <c r="J115" s="88">
        <v>1.2700000000000001E-3</v>
      </c>
      <c r="K115">
        <v>1.2999999999999999E-4</v>
      </c>
      <c r="L115">
        <f>PSI_OC!$A$7</f>
        <v>10</v>
      </c>
      <c r="M115">
        <v>-1</v>
      </c>
      <c r="N115" t="s">
        <v>478</v>
      </c>
      <c r="O115" s="17">
        <f>((SUM(B$24:B$26)*E115)+(B$27*G115)+(SUM(B$28,B$30:B$31,B$34,B$38,B$43,B$46:B$47,B$51:B$52,B$54,B$58,B$60,B$62:B$63)*H115)+(SUM(B$29,B$32,B$35:B$37,B$42,B$44:B$45,B$50,B$53,B$56,B$59,B$61)*I115)+(SUM(B$33,B$40,B$49,B$55,B$64)*J115)+(SUM(B$39,B$41,B$48,B$57)*PSI_EtOH!K115))*(L115*M115)</f>
        <v>-48238234.747533917</v>
      </c>
      <c r="P115" t="s">
        <v>537</v>
      </c>
    </row>
    <row r="116" spans="4:27" x14ac:dyDescent="0.2">
      <c r="D116" t="s">
        <v>299</v>
      </c>
      <c r="E116">
        <v>1.7000000000000001E-4</v>
      </c>
      <c r="F116" t="s">
        <v>404</v>
      </c>
      <c r="G116">
        <v>1.2999999999999999E-4</v>
      </c>
      <c r="H116">
        <v>0.30602000000000001</v>
      </c>
      <c r="I116">
        <v>1.2999999999999999E-4</v>
      </c>
      <c r="J116" s="88">
        <v>1.2999999999999999E-4</v>
      </c>
      <c r="K116">
        <v>1.2999999999999999E-4</v>
      </c>
      <c r="L116">
        <f>PSI_OC!$A$7</f>
        <v>10</v>
      </c>
      <c r="M116">
        <v>-1</v>
      </c>
      <c r="N116" t="s">
        <v>488</v>
      </c>
      <c r="O116" s="17">
        <f>((SUM(B$24:B$26)*E116)+(B$27*G116)+(SUM(B$28,B$30:B$31,B$34,B$38,B$43,B$46:B$47,B$51:B$52,B$54,B$58,B$60,B$62:B$63)*H116)+(SUM(B$29,B$32,B$35:B$37,B$42,B$44:B$45,B$50,B$53,B$56,B$59,B$61)*I116)+(SUM(B$33,B$40,B$49,B$55,B$64)*J116)+(SUM(B$39,B$41,B$48,B$57)*PSI_EtOH!K116))*(L116*M116)</f>
        <v>-27540515.700261973</v>
      </c>
      <c r="P116" t="s">
        <v>537</v>
      </c>
      <c r="V116" s="17">
        <f>((SUM(B$24:B$26)*E130))*(L130*M130)</f>
        <v>0</v>
      </c>
      <c r="W116" s="17">
        <f>((B$27*G130))*(L130*M130)</f>
        <v>0</v>
      </c>
      <c r="X116" s="17">
        <f>(((SUM(B$28,B$30:B$31,B$34,B$38,B$43,B$46:B$47,B$51:B$52,B$54,B$58,B$60,B$62:B$63)*H130))*(L130*M130))</f>
        <v>0</v>
      </c>
      <c r="Y116" s="17">
        <f>((SUM(B$29,B$32,B$35:B$37,B$42,B$44:B$45,B$50,B$53,B$56,B$59,B$61)*I130))*(L130*M130)</f>
        <v>0</v>
      </c>
      <c r="Z116">
        <f>((SUM(B$33,B$40,B$49,B$55,B$64)*J130))*(L130*M130)</f>
        <v>0</v>
      </c>
      <c r="AA116" s="17">
        <f>((SUM(B$39,B$41,B$48,B$57)*PSI_EtOH!K130))*(L130*M130)</f>
        <v>0</v>
      </c>
    </row>
    <row r="117" spans="4:27" x14ac:dyDescent="0.2">
      <c r="D117" t="s">
        <v>300</v>
      </c>
      <c r="E117">
        <v>1.7099999999999999E-3</v>
      </c>
      <c r="F117" t="s">
        <v>405</v>
      </c>
      <c r="G117">
        <v>0.12681999999999999</v>
      </c>
      <c r="H117">
        <v>3.0599999999999998E-3</v>
      </c>
      <c r="I117">
        <v>1.2700000000000001E-3</v>
      </c>
      <c r="J117" s="88">
        <v>0.12681999999999999</v>
      </c>
      <c r="K117">
        <v>0.12681999999999999</v>
      </c>
      <c r="L117">
        <f>PSI_OC!$A$7</f>
        <v>10</v>
      </c>
      <c r="M117">
        <v>-1</v>
      </c>
      <c r="N117" t="s">
        <v>489</v>
      </c>
      <c r="O117" s="17">
        <f>((SUM(B$24:B$26)*E117)+(B$27*G117)+(SUM(B$28,B$30:B$31,B$34,B$38,B$43,B$46:B$47,B$51:B$52,B$54,B$58,B$60,B$62:B$63)*H117)+(SUM(B$29,B$32,B$35:B$37,B$42,B$44:B$45,B$50,B$53,B$56,B$59,B$61)*I117)+(SUM(B$33,B$40,B$49,B$55,B$64)*J117)+(SUM(B$39,B$41,B$48,B$57)*PSI_EtOH!K117))*(L117*M117)</f>
        <v>-1996687.0204565851</v>
      </c>
      <c r="P117" t="s">
        <v>537</v>
      </c>
    </row>
    <row r="118" spans="4:27" x14ac:dyDescent="0.2">
      <c r="D118" t="s">
        <v>301</v>
      </c>
      <c r="E118">
        <v>1.7099999999999999E-3</v>
      </c>
      <c r="F118" t="s">
        <v>406</v>
      </c>
      <c r="G118">
        <v>1.2700000000000001E-3</v>
      </c>
      <c r="H118">
        <v>0.30602000000000001</v>
      </c>
      <c r="I118">
        <v>1.2999999999999999E-4</v>
      </c>
      <c r="J118" s="88">
        <v>1.2700000000000001E-3</v>
      </c>
      <c r="K118">
        <v>1.2700000000000001E-3</v>
      </c>
      <c r="L118">
        <f>PSI_OC!$A$6</f>
        <v>100</v>
      </c>
      <c r="M118">
        <v>-1</v>
      </c>
      <c r="N118" t="s">
        <v>490</v>
      </c>
      <c r="O118" s="17">
        <f>((SUM(B$24:B$26)*E118)+(B$27*G118)+(SUM(B$28,B$30:B$31,B$34,B$38,B$43,B$46:B$47,B$51:B$52,B$54,B$58,B$60,B$62:B$63)*H118)+(SUM(B$29,B$32,B$35:B$37,B$42,B$44:B$45,B$50,B$53,B$56,B$59,B$61)*I118)+(SUM(B$33,B$40,B$49,B$55,B$64)*J118)+(SUM(B$39,B$41,B$48,B$57)*PSI_EtOH!K118))*(L118*M118)</f>
        <v>-275951829.29314762</v>
      </c>
      <c r="P118" t="s">
        <v>537</v>
      </c>
    </row>
    <row r="119" spans="4:27" x14ac:dyDescent="0.2">
      <c r="D119" t="s">
        <v>302</v>
      </c>
      <c r="E119">
        <v>1.7000000000000001E-4</v>
      </c>
      <c r="F119" t="s">
        <v>407</v>
      </c>
      <c r="G119">
        <v>1.2700000000000001E-3</v>
      </c>
      <c r="H119">
        <v>3.0599999999999998E-3</v>
      </c>
      <c r="I119">
        <v>0.12681999999999999</v>
      </c>
      <c r="J119" s="88">
        <v>1.2700000000000001E-3</v>
      </c>
      <c r="K119">
        <v>1.2700000000000001E-3</v>
      </c>
      <c r="L119">
        <f>PSI_OC!$A$6</f>
        <v>100</v>
      </c>
      <c r="M119">
        <v>-1</v>
      </c>
      <c r="N119" t="s">
        <v>491</v>
      </c>
      <c r="O119" s="17">
        <f>((SUM(B$24:B$26)*E119)+(B$27*G119)+(SUM(B$28,B$30:B$31,B$34,B$38,B$43,B$46:B$47,B$51:B$52,B$54,B$58,B$60,B$62:B$63)*H119)+(SUM(B$29,B$32,B$35:B$37,B$42,B$44:B$45,B$50,B$53,B$56,B$59,B$61)*I119)+(SUM(B$33,B$40,B$49,B$55,B$64)*J119)+(SUM(B$39,B$41,B$48,B$57)*PSI_EtOH!K119))*(L119*M119)</f>
        <v>-50872685.200786404</v>
      </c>
      <c r="P119" t="s">
        <v>537</v>
      </c>
    </row>
    <row r="120" spans="4:27" x14ac:dyDescent="0.2">
      <c r="D120" t="s">
        <v>303</v>
      </c>
      <c r="E120">
        <v>1.7099999999999999E-3</v>
      </c>
      <c r="F120" t="s">
        <v>408</v>
      </c>
      <c r="G120">
        <v>1.2700000000000001E-3</v>
      </c>
      <c r="H120">
        <v>3.0599999999999998E-3</v>
      </c>
      <c r="I120">
        <v>1.2700000000000001E-3</v>
      </c>
      <c r="J120" s="88">
        <v>1.2700000000000001E-3</v>
      </c>
      <c r="K120">
        <v>1.2700000000000001E-3</v>
      </c>
      <c r="L120">
        <f>PSI_OC!$A$7</f>
        <v>10</v>
      </c>
      <c r="M120">
        <v>-1</v>
      </c>
      <c r="N120" t="s">
        <v>492</v>
      </c>
      <c r="O120" s="17">
        <f>((SUM(B$24:B$26)*E120)+(B$27*G120)+(SUM(B$28,B$30:B$31,B$34,B$38,B$43,B$46:B$47,B$51:B$52,B$54,B$58,B$60,B$62:B$63)*H120)+(SUM(B$29,B$32,B$35:B$37,B$42,B$44:B$45,B$50,B$53,B$56,B$59,B$61)*I120)+(SUM(B$33,B$40,B$49,B$55,B$64)*J120)+(SUM(B$39,B$41,B$48,B$57)*PSI_EtOH!K120))*(L120*M120)</f>
        <v>-384013.07992197888</v>
      </c>
      <c r="P120" t="s">
        <v>537</v>
      </c>
    </row>
    <row r="121" spans="4:27" x14ac:dyDescent="0.2">
      <c r="D121" t="s">
        <v>304</v>
      </c>
      <c r="E121">
        <v>1.7099999999999999E-3</v>
      </c>
      <c r="F121" t="s">
        <v>409</v>
      </c>
      <c r="G121">
        <v>1.26824</v>
      </c>
      <c r="H121">
        <v>3.0602</v>
      </c>
      <c r="I121">
        <v>1.2700000000000001E-3</v>
      </c>
      <c r="J121" s="88">
        <v>1.26824</v>
      </c>
      <c r="K121">
        <v>1.26824</v>
      </c>
      <c r="L121">
        <f>PSI_OC!$A$6</f>
        <v>100</v>
      </c>
      <c r="M121">
        <v>-1</v>
      </c>
      <c r="N121" t="s">
        <v>493</v>
      </c>
      <c r="O121" s="17">
        <f>((SUM(B$24:B$26)*E121)+(B$27*G121)+(SUM(B$28,B$30:B$31,B$34,B$38,B$43,B$46:B$47,B$51:B$52,B$54,B$58,B$60,B$62:B$63)*H121)+(SUM(B$29,B$32,B$35:B$37,B$42,B$44:B$45,B$50,B$53,B$56,B$59,B$61)*I121)+(SUM(B$33,B$40,B$49,B$55,B$64)*J121)+(SUM(B$39,B$41,B$48,B$57)*PSI_EtOH!K121))*(L121*M121)</f>
        <v>-2916779682.6387477</v>
      </c>
      <c r="P121" t="s">
        <v>537</v>
      </c>
    </row>
    <row r="122" spans="4:27" x14ac:dyDescent="0.2">
      <c r="D122" t="s">
        <v>305</v>
      </c>
      <c r="E122">
        <v>1.7000000000000001E-4</v>
      </c>
      <c r="F122" t="s">
        <v>410</v>
      </c>
      <c r="G122">
        <v>1.2700000000000001E-3</v>
      </c>
      <c r="H122">
        <v>3.0599999999999998E-3</v>
      </c>
      <c r="I122">
        <v>1.2700000000000001E-3</v>
      </c>
      <c r="J122" s="88">
        <v>1.2700000000000001E-3</v>
      </c>
      <c r="K122">
        <v>1.2700000000000001E-3</v>
      </c>
      <c r="L122">
        <f>PSI_OC!$A$7</f>
        <v>10</v>
      </c>
      <c r="M122">
        <v>-1</v>
      </c>
      <c r="N122" t="s">
        <v>494</v>
      </c>
      <c r="O122" s="17">
        <f>((SUM(B$24:B$26)*E122)+(B$27*G122)+(SUM(B$28,B$30:B$31,B$34,B$38,B$43,B$46:B$47,B$51:B$52,B$54,B$58,B$60,B$62:B$63)*H122)+(SUM(B$29,B$32,B$35:B$37,B$42,B$44:B$45,B$50,B$53,B$56,B$59,B$61)*I122)+(SUM(B$33,B$40,B$49,B$55,B$64)*J122)+(SUM(B$39,B$41,B$48,B$57)*PSI_EtOH!K122))*(L122*M122)</f>
        <v>-343989.00731849356</v>
      </c>
      <c r="P122" t="s">
        <v>537</v>
      </c>
    </row>
    <row r="123" spans="4:27" x14ac:dyDescent="0.2">
      <c r="D123" t="s">
        <v>306</v>
      </c>
      <c r="E123">
        <v>1.712E-2</v>
      </c>
      <c r="F123" t="s">
        <v>411</v>
      </c>
      <c r="G123">
        <v>1.2700000000000001E-3</v>
      </c>
      <c r="H123">
        <v>3.0599999999999998E-3</v>
      </c>
      <c r="I123">
        <v>1.26824</v>
      </c>
      <c r="J123" s="88">
        <v>1.2700000000000001E-3</v>
      </c>
      <c r="K123">
        <v>1.2700000000000001E-3</v>
      </c>
      <c r="L123">
        <f>PSI_OC!$A$8</f>
        <v>1</v>
      </c>
      <c r="M123">
        <v>-1</v>
      </c>
      <c r="N123" t="s">
        <v>495</v>
      </c>
      <c r="O123" s="17">
        <f>((SUM(B$24:B$26)*E123)+(B$27*G123)+(SUM(B$28,B$30:B$31,B$34,B$38,B$43,B$46:B$47,B$51:B$52,B$54,B$58,B$60,B$62:B$63)*H123)+(SUM(B$29,B$32,B$35:B$37,B$42,B$44:B$45,B$50,B$53,B$56,B$59,B$61)*I123)+(SUM(B$33,B$40,B$49,B$55,B$64)*J123)+(SUM(B$39,B$41,B$48,B$57)*PSI_EtOH!K123))*(L123*M123)</f>
        <v>-4865064.5476978403</v>
      </c>
      <c r="P123" t="s">
        <v>537</v>
      </c>
    </row>
    <row r="124" spans="4:27" x14ac:dyDescent="0.2">
      <c r="D124" t="s">
        <v>307</v>
      </c>
      <c r="E124">
        <v>1.7099999999999999E-3</v>
      </c>
      <c r="F124" t="s">
        <v>411</v>
      </c>
      <c r="G124">
        <v>1.2700000000000001E-3</v>
      </c>
      <c r="H124">
        <v>3.0599999999999998E-3</v>
      </c>
      <c r="I124">
        <v>1.2700000000000001E-3</v>
      </c>
      <c r="J124" s="88">
        <v>1.2700000000000001E-3</v>
      </c>
      <c r="K124">
        <v>1.2700000000000001E-3</v>
      </c>
      <c r="L124">
        <f>PSI_OC!$A$8</f>
        <v>1</v>
      </c>
      <c r="M124">
        <v>-1</v>
      </c>
      <c r="N124" t="s">
        <v>495</v>
      </c>
      <c r="O124" s="17">
        <f>((SUM(B$24:B$26)*E124)+(B$27*G124)+(SUM(B$28,B$30:B$31,B$34,B$38,B$43,B$46:B$47,B$51:B$52,B$54,B$58,B$60,B$62:B$63)*H124)+(SUM(B$29,B$32,B$35:B$37,B$42,B$44:B$45,B$50,B$53,B$56,B$59,B$61)*I124)+(SUM(B$33,B$40,B$49,B$55,B$64)*J124)+(SUM(B$39,B$41,B$48,B$57)*PSI_EtOH!K124))*(L124*M124)</f>
        <v>-38401.307992197886</v>
      </c>
      <c r="P124" t="s">
        <v>537</v>
      </c>
    </row>
    <row r="125" spans="4:27" x14ac:dyDescent="0.2">
      <c r="D125" t="s">
        <v>337</v>
      </c>
      <c r="E125">
        <v>0.17124</v>
      </c>
      <c r="F125" t="s">
        <v>412</v>
      </c>
      <c r="G125">
        <v>0.12681999999999999</v>
      </c>
      <c r="H125">
        <v>3.0599999999999998E-3</v>
      </c>
      <c r="I125">
        <v>1.2700000000000001E-3</v>
      </c>
      <c r="J125" s="88">
        <v>0.12681999999999999</v>
      </c>
      <c r="K125">
        <v>0.12681999999999999</v>
      </c>
      <c r="L125">
        <v>0</v>
      </c>
      <c r="M125">
        <v>0</v>
      </c>
      <c r="N125" t="s">
        <v>496</v>
      </c>
      <c r="O125" s="17">
        <f>((SUM(B$24:B$26)*E125)+(B$27*G125)+(SUM(B$28,B$30:B$31,B$34,B$38,B$43,B$46:B$47,B$51:B$52,B$54,B$58,B$60,B$62:B$63)*H125)+(SUM(B$29,B$32,B$35:B$37,B$42,B$44:B$45,B$50,B$53,B$56,B$59,B$61)*I125)+(SUM(B$33,B$40,B$49,B$55,B$64)*J125)+(SUM(B$39,B$41,B$48,B$57)*PSI_EtOH!K125))*(L125*M125)</f>
        <v>0</v>
      </c>
      <c r="P125" t="s">
        <v>537</v>
      </c>
    </row>
    <row r="126" spans="4:27" x14ac:dyDescent="0.2">
      <c r="D126" t="s">
        <v>308</v>
      </c>
      <c r="E126">
        <v>1.7099999999999999E-3</v>
      </c>
      <c r="F126" t="s">
        <v>413</v>
      </c>
      <c r="G126">
        <v>1.2700000000000001E-3</v>
      </c>
      <c r="H126">
        <v>3.0599999999999998E-3</v>
      </c>
      <c r="I126">
        <v>1.2700000000000001E-3</v>
      </c>
      <c r="J126" s="88">
        <v>1.2700000000000001E-3</v>
      </c>
      <c r="K126">
        <v>1.2700000000000001E-3</v>
      </c>
      <c r="L126">
        <f>PSI_OC!$A$7</f>
        <v>10</v>
      </c>
      <c r="M126">
        <v>-1</v>
      </c>
      <c r="N126" t="s">
        <v>497</v>
      </c>
      <c r="O126" s="17">
        <f>((SUM(B$24:B$26)*E126)+(B$27*G126)+(SUM(B$28,B$30:B$31,B$34,B$38,B$43,B$46:B$47,B$51:B$52,B$54,B$58,B$60,B$62:B$63)*H126)+(SUM(B$29,B$32,B$35:B$37,B$42,B$44:B$45,B$50,B$53,B$56,B$59,B$61)*I126)+(SUM(B$33,B$40,B$49,B$55,B$64)*J126)+(SUM(B$39,B$41,B$48,B$57)*PSI_EtOH!K126))*(L126*M126)</f>
        <v>-384013.07992197888</v>
      </c>
      <c r="P126" t="s">
        <v>537</v>
      </c>
    </row>
    <row r="127" spans="4:27" x14ac:dyDescent="0.2">
      <c r="D127" t="s">
        <v>309</v>
      </c>
      <c r="E127">
        <v>1.7099999999999999E-3</v>
      </c>
      <c r="F127" t="s">
        <v>413</v>
      </c>
      <c r="G127">
        <v>1.2700000000000001E-3</v>
      </c>
      <c r="H127">
        <v>3.0599999999999998E-3</v>
      </c>
      <c r="I127">
        <v>0.12681999999999999</v>
      </c>
      <c r="J127" s="88">
        <v>1.2700000000000001E-3</v>
      </c>
      <c r="K127">
        <v>1.2700000000000001E-3</v>
      </c>
      <c r="L127">
        <f>PSI_OC!$A$7</f>
        <v>10</v>
      </c>
      <c r="M127">
        <v>-1</v>
      </c>
      <c r="N127" t="s">
        <v>497</v>
      </c>
      <c r="O127" s="17">
        <f>((SUM(B$24:B$26)*E127)+(B$27*G127)+(SUM(B$28,B$30:B$31,B$34,B$38,B$43,B$46:B$47,B$51:B$52,B$54,B$58,B$60,B$62:B$63)*H127)+(SUM(B$29,B$32,B$35:B$37,B$42,B$44:B$45,B$50,B$53,B$56,B$59,B$61)*I127)+(SUM(B$33,B$40,B$49,B$55,B$64)*J127)+(SUM(B$39,B$41,B$48,B$57)*PSI_EtOH!K127))*(L127*M127)</f>
        <v>-5127292.592682126</v>
      </c>
      <c r="P127" t="s">
        <v>537</v>
      </c>
    </row>
    <row r="128" spans="4:27" x14ac:dyDescent="0.2">
      <c r="D128" t="s">
        <v>310</v>
      </c>
      <c r="E128">
        <v>1.7099999999999999E-3</v>
      </c>
      <c r="F128" t="s">
        <v>413</v>
      </c>
      <c r="G128">
        <v>1.2700000000000001E-3</v>
      </c>
      <c r="H128">
        <v>3.0599999999999998E-3</v>
      </c>
      <c r="I128">
        <v>1.2700000000000001E-3</v>
      </c>
      <c r="J128" s="88">
        <v>1.2700000000000001E-3</v>
      </c>
      <c r="K128">
        <v>1.2700000000000001E-3</v>
      </c>
      <c r="L128">
        <v>0</v>
      </c>
      <c r="M128">
        <v>0</v>
      </c>
      <c r="N128" t="s">
        <v>497</v>
      </c>
      <c r="O128" s="17">
        <f>((SUM(B$24:B$26)*E128)+(B$27*G128)+(SUM(B$28,B$30:B$31,B$34,B$38,B$43,B$46:B$47,B$51:B$52,B$54,B$58,B$60,B$62:B$63)*H128)+(SUM(B$29,B$32,B$35:B$37,B$42,B$44:B$45,B$50,B$53,B$56,B$59,B$61)*I128)+(SUM(B$33,B$40,B$49,B$55,B$64)*J128)+(SUM(B$39,B$41,B$48,B$57)*PSI_EtOH!K128))*(L128*M128)</f>
        <v>0</v>
      </c>
      <c r="P128" t="s">
        <v>537</v>
      </c>
    </row>
    <row r="129" spans="1:19" x14ac:dyDescent="0.2">
      <c r="D129" t="s">
        <v>311</v>
      </c>
      <c r="E129">
        <v>1.7099999999999999E-3</v>
      </c>
      <c r="F129" t="s">
        <v>414</v>
      </c>
      <c r="G129">
        <v>1.2700000000000001E-3</v>
      </c>
      <c r="H129">
        <v>3.1E-4</v>
      </c>
      <c r="I129">
        <v>1.2700000000000001E-3</v>
      </c>
      <c r="J129" s="88">
        <v>1.2700000000000001E-3</v>
      </c>
      <c r="K129">
        <v>1.2700000000000001E-3</v>
      </c>
      <c r="L129">
        <f>PSI_OC!$A$7</f>
        <v>10</v>
      </c>
      <c r="M129">
        <v>-1</v>
      </c>
      <c r="N129" t="s">
        <v>498</v>
      </c>
      <c r="O129" s="17">
        <f>((SUM(B$24:B$26)*E129)+(B$27*G129)+(SUM(B$28,B$30:B$31,B$34,B$38,B$43,B$46:B$47,B$51:B$52,B$54,B$58,B$60,B$62:B$63)*H129)+(SUM(B$29,B$32,B$35:B$37,B$42,B$44:B$45,B$50,B$53,B$56,B$59,B$61)*I129)+(SUM(B$33,B$40,B$49,B$55,B$64)*J129)+(SUM(B$39,B$41,B$48,B$57)*PSI_EtOH!K129))*(L129*M129)</f>
        <v>-136623.46611608434</v>
      </c>
      <c r="P129" t="s">
        <v>537</v>
      </c>
    </row>
    <row r="132" spans="1:19" ht="15" customHeight="1" x14ac:dyDescent="0.2">
      <c r="A132" s="351" t="s">
        <v>665</v>
      </c>
      <c r="B132" s="351"/>
      <c r="C132" s="351"/>
      <c r="D132" s="351"/>
      <c r="E132" s="351"/>
      <c r="F132" s="351"/>
      <c r="G132" s="351"/>
      <c r="H132" s="351"/>
      <c r="I132" s="351"/>
      <c r="J132" s="351"/>
      <c r="K132" s="351"/>
      <c r="L132" s="351"/>
      <c r="M132" s="351"/>
      <c r="N132" s="351"/>
      <c r="O132" s="351"/>
      <c r="P132" s="351"/>
      <c r="Q132" s="351"/>
      <c r="R132" s="351"/>
      <c r="S132" s="351"/>
    </row>
    <row r="133" spans="1:19" ht="15" customHeight="1" x14ac:dyDescent="0.2">
      <c r="A133" s="352"/>
      <c r="B133" s="352"/>
      <c r="C133" s="352"/>
      <c r="D133" s="352"/>
      <c r="E133" s="352"/>
      <c r="F133" s="352"/>
      <c r="G133" s="352"/>
      <c r="H133" s="352"/>
      <c r="I133" s="352"/>
      <c r="J133" s="352"/>
      <c r="K133" s="352"/>
      <c r="L133" s="352"/>
      <c r="M133" s="352"/>
      <c r="N133" s="352"/>
      <c r="O133" s="352"/>
      <c r="P133" s="352"/>
      <c r="Q133" s="352"/>
      <c r="R133" s="352"/>
      <c r="S133" s="352"/>
    </row>
    <row r="134" spans="1:19" ht="15" customHeight="1" x14ac:dyDescent="0.2">
      <c r="A134" s="353" t="s">
        <v>913</v>
      </c>
      <c r="B134" s="348" t="s">
        <v>1198</v>
      </c>
      <c r="C134" s="353" t="s">
        <v>1030</v>
      </c>
      <c r="D134" s="353" t="s">
        <v>658</v>
      </c>
      <c r="E134" s="325" t="s">
        <v>661</v>
      </c>
      <c r="F134" s="326"/>
      <c r="G134" s="327"/>
      <c r="H134" s="79" t="s">
        <v>670</v>
      </c>
      <c r="I134" s="79" t="s">
        <v>671</v>
      </c>
      <c r="J134" s="78" t="s">
        <v>529</v>
      </c>
      <c r="K134" s="131" t="s">
        <v>34</v>
      </c>
      <c r="L134" s="131"/>
      <c r="M134" s="328" t="s">
        <v>421</v>
      </c>
      <c r="N134" s="329"/>
      <c r="O134" s="330"/>
      <c r="P134" s="334" t="s">
        <v>28</v>
      </c>
      <c r="Q134" s="335"/>
      <c r="R134" s="338" t="s">
        <v>420</v>
      </c>
      <c r="S134" s="339"/>
    </row>
    <row r="135" spans="1:19" ht="15" customHeight="1" x14ac:dyDescent="0.2">
      <c r="A135" s="353"/>
      <c r="B135" s="349"/>
      <c r="C135" s="353"/>
      <c r="D135" s="353"/>
      <c r="E135" s="345" t="s">
        <v>522</v>
      </c>
      <c r="F135" s="346"/>
      <c r="G135" s="347"/>
      <c r="H135" s="140" t="s">
        <v>668</v>
      </c>
      <c r="I135" s="139" t="s">
        <v>667</v>
      </c>
      <c r="J135" s="141" t="s">
        <v>524</v>
      </c>
      <c r="K135" s="134" t="s">
        <v>527</v>
      </c>
      <c r="L135" s="137"/>
      <c r="M135" s="331"/>
      <c r="N135" s="332"/>
      <c r="O135" s="333"/>
      <c r="P135" s="336"/>
      <c r="Q135" s="337"/>
      <c r="R135" s="340"/>
      <c r="S135" s="341"/>
    </row>
    <row r="136" spans="1:19" x14ac:dyDescent="0.2">
      <c r="A136" s="353"/>
      <c r="B136" s="350"/>
      <c r="C136" s="353"/>
      <c r="D136" s="353"/>
      <c r="E136" s="6" t="s">
        <v>317</v>
      </c>
      <c r="F136" s="58" t="s">
        <v>319</v>
      </c>
      <c r="G136" s="58" t="s">
        <v>5</v>
      </c>
      <c r="H136" s="58" t="s">
        <v>319</v>
      </c>
      <c r="I136" s="58" t="s">
        <v>319</v>
      </c>
      <c r="J136" s="83" t="s">
        <v>319</v>
      </c>
      <c r="K136" s="58" t="s">
        <v>319</v>
      </c>
      <c r="L136" s="58"/>
      <c r="M136" s="64" t="s">
        <v>0</v>
      </c>
      <c r="N136" s="64" t="s">
        <v>499</v>
      </c>
      <c r="O136" s="64" t="s">
        <v>5</v>
      </c>
      <c r="P136" s="64" t="s">
        <v>0</v>
      </c>
      <c r="Q136" s="58" t="s">
        <v>5</v>
      </c>
      <c r="R136" s="64" t="s">
        <v>0</v>
      </c>
      <c r="S136" s="58" t="s">
        <v>5</v>
      </c>
    </row>
    <row r="137" spans="1:19" x14ac:dyDescent="0.2">
      <c r="A137" t="s">
        <v>580</v>
      </c>
      <c r="B137" s="17">
        <v>1090.5324803149606</v>
      </c>
      <c r="C137" s="45">
        <f>B137*Variables!F$12</f>
        <v>8724259.8425196856</v>
      </c>
      <c r="D137" s="140" t="s">
        <v>668</v>
      </c>
      <c r="E137" t="s">
        <v>225</v>
      </c>
      <c r="F137" s="100">
        <v>1.6000000000000001E-4</v>
      </c>
      <c r="G137" t="s">
        <v>338</v>
      </c>
      <c r="H137">
        <v>1.9E-3</v>
      </c>
      <c r="I137">
        <v>1.1E-4</v>
      </c>
      <c r="J137">
        <v>1.2999999999999999E-4</v>
      </c>
      <c r="K137" s="8">
        <v>7.2027900000000002E-5</v>
      </c>
      <c r="M137">
        <f>PSI_OC!$A$6</f>
        <v>100</v>
      </c>
      <c r="N137">
        <v>-1</v>
      </c>
      <c r="O137" t="s">
        <v>422</v>
      </c>
      <c r="P137" s="8">
        <f>((C$137*H137)+(C$137*I137)+(SUM(C$140:C$143,C$148:C$150)*J137)+(SUM(C$146:C$147,C$152:C$172))+(SUM(C$144:C$145,C$151)*K137))*(M137*N137)</f>
        <v>-75171527.908490613</v>
      </c>
      <c r="Q137" t="s">
        <v>538</v>
      </c>
      <c r="R137" s="69">
        <f>SUM(P137:P242)</f>
        <v>-76643302074.153259</v>
      </c>
      <c r="S137" t="s">
        <v>538</v>
      </c>
    </row>
    <row r="138" spans="1:19" x14ac:dyDescent="0.2">
      <c r="A138" t="s">
        <v>581</v>
      </c>
      <c r="B138" s="17">
        <v>7.8261972789813576</v>
      </c>
      <c r="C138" s="45">
        <f>B138*Variables!F$12</f>
        <v>62609.578231850865</v>
      </c>
      <c r="D138" s="139" t="s">
        <v>669</v>
      </c>
      <c r="E138" t="s">
        <v>226</v>
      </c>
      <c r="F138" s="100">
        <v>1.6000000000000001E-4</v>
      </c>
      <c r="G138" t="s">
        <v>339</v>
      </c>
      <c r="H138">
        <v>1.9019999999999999E-2</v>
      </c>
      <c r="I138">
        <v>1.1E-4</v>
      </c>
      <c r="J138">
        <v>1.2999999999999999E-4</v>
      </c>
      <c r="K138" s="8">
        <v>7.2027900000000002E-5</v>
      </c>
      <c r="M138">
        <f>PSI_OC!$A$7</f>
        <v>10</v>
      </c>
      <c r="N138">
        <v>-1</v>
      </c>
      <c r="O138" t="s">
        <v>423</v>
      </c>
      <c r="P138" s="8">
        <f t="shared" ref="P138:P201" si="43">((C$137*H138)+(C$137*I138)+(SUM(C$140:C$143,C$148:C$150)*J138)+(SUM(C$146:C$147,C$152:C$172))+(SUM(C$144:C$145,C$151)*K138))*(M138*N138)</f>
        <v>-9010746.0758884307</v>
      </c>
      <c r="Q138" t="s">
        <v>538</v>
      </c>
    </row>
    <row r="139" spans="1:19" x14ac:dyDescent="0.2">
      <c r="A139" t="s">
        <v>582</v>
      </c>
      <c r="B139" s="17">
        <v>0</v>
      </c>
      <c r="C139" s="45">
        <f>B139*Variables!F$12</f>
        <v>0</v>
      </c>
      <c r="D139" s="139" t="s">
        <v>669</v>
      </c>
      <c r="E139" t="s">
        <v>227</v>
      </c>
      <c r="F139" s="100">
        <v>1.6000000000000001E-3</v>
      </c>
      <c r="G139" t="s">
        <v>340</v>
      </c>
      <c r="H139">
        <v>0.19017999999999999</v>
      </c>
      <c r="I139">
        <v>1.1100000000000001E-3</v>
      </c>
      <c r="J139">
        <v>1.2700000000000001E-3</v>
      </c>
      <c r="K139">
        <v>7.2000000000000005E-4</v>
      </c>
      <c r="M139">
        <f>PSI_OC!$A$7</f>
        <v>10</v>
      </c>
      <c r="N139">
        <v>-1</v>
      </c>
      <c r="O139" t="s">
        <v>424</v>
      </c>
      <c r="P139" s="8">
        <f t="shared" si="43"/>
        <v>-24036427.147406913</v>
      </c>
      <c r="Q139" t="s">
        <v>538</v>
      </c>
    </row>
    <row r="140" spans="1:19" x14ac:dyDescent="0.2">
      <c r="A140" t="s">
        <v>583</v>
      </c>
      <c r="B140" s="17">
        <v>13.436732793045197</v>
      </c>
      <c r="C140" s="45">
        <f>B140*Variables!F$12</f>
        <v>107493.86234436158</v>
      </c>
      <c r="D140" s="136" t="s">
        <v>524</v>
      </c>
      <c r="E140" t="s">
        <v>228</v>
      </c>
      <c r="F140" s="100">
        <v>0.16047</v>
      </c>
      <c r="G140" t="s">
        <v>341</v>
      </c>
      <c r="H140">
        <v>1.9017500000000001</v>
      </c>
      <c r="I140">
        <v>0.111</v>
      </c>
      <c r="J140">
        <v>0.12681999999999999</v>
      </c>
      <c r="K140">
        <v>7.2029999999999997E-2</v>
      </c>
      <c r="M140">
        <f>PSI_OC!$A$7</f>
        <v>10</v>
      </c>
      <c r="N140">
        <v>-1</v>
      </c>
      <c r="O140" t="s">
        <v>425</v>
      </c>
      <c r="P140" s="8">
        <f t="shared" si="43"/>
        <v>-183605603.05645451</v>
      </c>
      <c r="Q140" t="s">
        <v>538</v>
      </c>
    </row>
    <row r="141" spans="1:19" x14ac:dyDescent="0.2">
      <c r="A141" t="s">
        <v>584</v>
      </c>
      <c r="B141" s="17">
        <v>5.2577260795741951</v>
      </c>
      <c r="C141" s="45">
        <f>B141*Variables!F$12</f>
        <v>42061.80863659356</v>
      </c>
      <c r="D141" s="136" t="s">
        <v>524</v>
      </c>
      <c r="E141" t="s">
        <v>229</v>
      </c>
      <c r="F141" s="100">
        <v>1.6049999999999998E-2</v>
      </c>
      <c r="G141" t="s">
        <v>342</v>
      </c>
      <c r="H141">
        <v>1.9019999999999999E-2</v>
      </c>
      <c r="I141">
        <v>1.11E-2</v>
      </c>
      <c r="J141">
        <v>1.268E-2</v>
      </c>
      <c r="K141">
        <v>7.1999999999999998E-3</v>
      </c>
      <c r="M141">
        <f>PSI_OC!$A$6</f>
        <v>100</v>
      </c>
      <c r="N141">
        <v>-1</v>
      </c>
      <c r="O141" t="s">
        <v>426</v>
      </c>
      <c r="P141" s="8">
        <f t="shared" si="43"/>
        <v>-100355431.87574896</v>
      </c>
      <c r="Q141" t="s">
        <v>538</v>
      </c>
    </row>
    <row r="142" spans="1:19" x14ac:dyDescent="0.2">
      <c r="A142" t="s">
        <v>585</v>
      </c>
      <c r="B142" s="17">
        <v>1.061762753156084</v>
      </c>
      <c r="C142" s="45">
        <f>B142*Variables!F$12</f>
        <v>8494.1020252486724</v>
      </c>
      <c r="D142" s="136" t="s">
        <v>524</v>
      </c>
      <c r="E142" t="s">
        <v>230</v>
      </c>
      <c r="F142" s="100">
        <v>0.16047</v>
      </c>
      <c r="G142" t="s">
        <v>343</v>
      </c>
      <c r="H142">
        <v>1.9019999999999999E-2</v>
      </c>
      <c r="I142">
        <v>0.111</v>
      </c>
      <c r="J142">
        <v>0.12681999999999999</v>
      </c>
      <c r="K142">
        <v>7.2029999999999997E-2</v>
      </c>
      <c r="M142">
        <f>PSI_OC!$A$6</f>
        <v>100</v>
      </c>
      <c r="N142">
        <v>-1</v>
      </c>
      <c r="O142" t="s">
        <v>427</v>
      </c>
      <c r="P142" s="8">
        <f t="shared" si="43"/>
        <v>-193513457.23383653</v>
      </c>
      <c r="Q142" t="s">
        <v>538</v>
      </c>
    </row>
    <row r="143" spans="1:19" x14ac:dyDescent="0.2">
      <c r="A143" t="s">
        <v>586</v>
      </c>
      <c r="B143" s="17">
        <v>3.5178016315762362</v>
      </c>
      <c r="C143" s="45">
        <f>B143*Variables!F$12</f>
        <v>28142.413052609889</v>
      </c>
      <c r="D143" s="136" t="s">
        <v>524</v>
      </c>
      <c r="E143" t="s">
        <v>231</v>
      </c>
      <c r="F143" s="100">
        <v>1.60467</v>
      </c>
      <c r="G143" t="s">
        <v>344</v>
      </c>
      <c r="H143">
        <v>1.9017500000000001</v>
      </c>
      <c r="I143">
        <v>1.1100399999999999</v>
      </c>
      <c r="J143">
        <v>1.268E-2</v>
      </c>
      <c r="K143">
        <v>0.72028000000000003</v>
      </c>
      <c r="M143">
        <f>PSI_OC!$A$7</f>
        <v>10</v>
      </c>
      <c r="N143">
        <v>-1</v>
      </c>
      <c r="O143" t="s">
        <v>428</v>
      </c>
      <c r="P143" s="8">
        <f t="shared" si="43"/>
        <v>-270194340.09552252</v>
      </c>
      <c r="Q143" t="s">
        <v>538</v>
      </c>
    </row>
    <row r="144" spans="1:19" x14ac:dyDescent="0.2">
      <c r="A144" t="s">
        <v>587</v>
      </c>
      <c r="B144" s="17">
        <v>3.7110842214964204E-2</v>
      </c>
      <c r="C144" s="45">
        <f>B144*Variables!F$12</f>
        <v>296.88673771971361</v>
      </c>
      <c r="D144" s="134" t="s">
        <v>527</v>
      </c>
      <c r="E144" t="s">
        <v>232</v>
      </c>
      <c r="F144" s="100">
        <v>1.6000000000000001E-4</v>
      </c>
      <c r="G144" t="s">
        <v>345</v>
      </c>
      <c r="H144">
        <v>0.19017999999999999</v>
      </c>
      <c r="I144">
        <v>1.1E-4</v>
      </c>
      <c r="J144">
        <v>1.2999999999999999E-4</v>
      </c>
      <c r="K144" s="8">
        <v>7.2027900000000002E-5</v>
      </c>
      <c r="M144">
        <f>PSI_OC!$A$7</f>
        <v>10</v>
      </c>
      <c r="N144">
        <v>-1</v>
      </c>
      <c r="O144" t="s">
        <v>429</v>
      </c>
      <c r="P144" s="8">
        <f t="shared" si="43"/>
        <v>-23943189.222345125</v>
      </c>
      <c r="Q144" t="s">
        <v>538</v>
      </c>
    </row>
    <row r="145" spans="1:17" x14ac:dyDescent="0.2">
      <c r="A145" t="s">
        <v>588</v>
      </c>
      <c r="B145" s="17">
        <v>0.47970431007794462</v>
      </c>
      <c r="C145" s="45">
        <f>B145*Variables!F$12</f>
        <v>3837.634480623557</v>
      </c>
      <c r="D145" s="134" t="s">
        <v>527</v>
      </c>
      <c r="E145" t="s">
        <v>233</v>
      </c>
      <c r="F145" s="100">
        <v>1.6000000000000001E-4</v>
      </c>
      <c r="G145" t="s">
        <v>345</v>
      </c>
      <c r="H145">
        <v>0.19017999999999999</v>
      </c>
      <c r="I145">
        <v>1.1E-4</v>
      </c>
      <c r="J145">
        <v>1.2999999999999999E-4</v>
      </c>
      <c r="K145" s="8">
        <v>7.2027900000000002E-5</v>
      </c>
      <c r="M145">
        <f>PSI_OC!$A$7</f>
        <v>10</v>
      </c>
      <c r="N145">
        <v>-1</v>
      </c>
      <c r="O145" t="s">
        <v>429</v>
      </c>
      <c r="P145" s="8">
        <f t="shared" si="43"/>
        <v>-23943189.222345125</v>
      </c>
      <c r="Q145" t="s">
        <v>538</v>
      </c>
    </row>
    <row r="146" spans="1:17" x14ac:dyDescent="0.2">
      <c r="A146" t="s">
        <v>589</v>
      </c>
      <c r="B146" s="17">
        <v>1.7729938363093383</v>
      </c>
      <c r="C146" s="45">
        <f>B146*Variables!F$12</f>
        <v>14183.950690474707</v>
      </c>
      <c r="D146" s="138" t="s">
        <v>522</v>
      </c>
      <c r="E146" t="s">
        <v>320</v>
      </c>
      <c r="F146" s="100">
        <v>0</v>
      </c>
      <c r="G146" t="s">
        <v>344</v>
      </c>
      <c r="H146">
        <v>0</v>
      </c>
      <c r="I146">
        <v>0</v>
      </c>
      <c r="J146">
        <v>1.2999999999999999E-4</v>
      </c>
      <c r="K146">
        <v>0.72028000000000003</v>
      </c>
      <c r="M146">
        <f>PSI_OC!$A$6</f>
        <v>100</v>
      </c>
      <c r="N146">
        <v>-1</v>
      </c>
      <c r="O146" t="s">
        <v>428</v>
      </c>
      <c r="P146" s="8">
        <f t="shared" si="43"/>
        <v>-73722550.945192128</v>
      </c>
      <c r="Q146" t="s">
        <v>538</v>
      </c>
    </row>
    <row r="147" spans="1:17" x14ac:dyDescent="0.2">
      <c r="A147" t="s">
        <v>590</v>
      </c>
      <c r="B147" s="17">
        <v>0.47318773061690539</v>
      </c>
      <c r="C147" s="45">
        <f>B147*Variables!F$12</f>
        <v>3785.5018449352433</v>
      </c>
      <c r="D147" s="138" t="s">
        <v>522</v>
      </c>
      <c r="E147" t="s">
        <v>321</v>
      </c>
      <c r="F147" s="100">
        <v>0</v>
      </c>
      <c r="G147" t="s">
        <v>344</v>
      </c>
      <c r="H147">
        <v>0</v>
      </c>
      <c r="I147">
        <v>0</v>
      </c>
      <c r="J147">
        <v>1.2999999999999999E-4</v>
      </c>
      <c r="K147">
        <v>0.72028000000000003</v>
      </c>
      <c r="M147">
        <f>PSI_OC!$A$6</f>
        <v>100</v>
      </c>
      <c r="N147">
        <v>-1</v>
      </c>
      <c r="O147" t="s">
        <v>428</v>
      </c>
      <c r="P147" s="8">
        <f t="shared" si="43"/>
        <v>-73722550.945192128</v>
      </c>
      <c r="Q147" t="s">
        <v>538</v>
      </c>
    </row>
    <row r="148" spans="1:17" x14ac:dyDescent="0.2">
      <c r="A148" t="s">
        <v>591</v>
      </c>
      <c r="B148" s="17">
        <v>33.813518833048199</v>
      </c>
      <c r="C148" s="45">
        <f>B148*Variables!F$12</f>
        <v>270508.15066438558</v>
      </c>
      <c r="D148" s="136" t="s">
        <v>524</v>
      </c>
      <c r="E148" t="s">
        <v>234</v>
      </c>
      <c r="F148" s="100">
        <v>0</v>
      </c>
      <c r="G148" t="s">
        <v>344</v>
      </c>
      <c r="H148">
        <v>0</v>
      </c>
      <c r="I148">
        <v>0</v>
      </c>
      <c r="J148">
        <v>1.2999999999999999E-4</v>
      </c>
      <c r="K148">
        <v>0.72028000000000003</v>
      </c>
      <c r="M148">
        <v>0</v>
      </c>
      <c r="N148">
        <v>0</v>
      </c>
      <c r="O148" t="s">
        <v>428</v>
      </c>
      <c r="P148" s="8">
        <f t="shared" si="43"/>
        <v>0</v>
      </c>
      <c r="Q148" t="s">
        <v>538</v>
      </c>
    </row>
    <row r="149" spans="1:17" x14ac:dyDescent="0.2">
      <c r="A149" t="s">
        <v>65</v>
      </c>
      <c r="B149" s="17">
        <v>2.2255596241644824</v>
      </c>
      <c r="C149" s="45">
        <f>B149*Variables!F$12</f>
        <v>17804.47699331586</v>
      </c>
      <c r="D149" s="136" t="s">
        <v>524</v>
      </c>
      <c r="E149" t="s">
        <v>235</v>
      </c>
      <c r="F149" s="100">
        <v>0.16047</v>
      </c>
      <c r="G149" t="s">
        <v>346</v>
      </c>
      <c r="H149">
        <v>1.9017500000000001</v>
      </c>
      <c r="I149">
        <v>0.111</v>
      </c>
      <c r="J149">
        <v>0.12681999999999999</v>
      </c>
      <c r="K149">
        <v>7.2029999999999997E-2</v>
      </c>
      <c r="M149">
        <f>PSI_OC!$A$8</f>
        <v>1</v>
      </c>
      <c r="N149">
        <v>1</v>
      </c>
      <c r="O149" t="s">
        <v>430</v>
      </c>
      <c r="P149" s="8">
        <f t="shared" si="43"/>
        <v>18360560.305645451</v>
      </c>
      <c r="Q149" t="s">
        <v>538</v>
      </c>
    </row>
    <row r="150" spans="1:17" x14ac:dyDescent="0.2">
      <c r="A150" t="s">
        <v>592</v>
      </c>
      <c r="B150" s="17">
        <v>6.1246373090299491</v>
      </c>
      <c r="C150" s="45">
        <f>B150*Variables!F$12</f>
        <v>48997.098472239595</v>
      </c>
      <c r="D150" s="136" t="s">
        <v>524</v>
      </c>
      <c r="E150" t="s">
        <v>236</v>
      </c>
      <c r="F150" s="100">
        <v>1.6000000000000001E-4</v>
      </c>
      <c r="G150" t="s">
        <v>347</v>
      </c>
      <c r="H150">
        <v>1.9E-3</v>
      </c>
      <c r="I150">
        <v>1.1E-4</v>
      </c>
      <c r="J150">
        <v>1.2999999999999999E-4</v>
      </c>
      <c r="K150" s="8">
        <v>7.2027900000000002E-5</v>
      </c>
      <c r="M150">
        <f>PSI_OC!$A$7</f>
        <v>10</v>
      </c>
      <c r="N150">
        <v>-1</v>
      </c>
      <c r="O150" t="s">
        <v>431</v>
      </c>
      <c r="P150" s="8">
        <f t="shared" si="43"/>
        <v>-7517152.7908490608</v>
      </c>
      <c r="Q150" t="s">
        <v>538</v>
      </c>
    </row>
    <row r="151" spans="1:17" x14ac:dyDescent="0.2">
      <c r="A151" t="s">
        <v>593</v>
      </c>
      <c r="B151" s="17">
        <v>1.1850311100639811E-2</v>
      </c>
      <c r="C151" s="45">
        <f>B151*Variables!F$12</f>
        <v>94.802488805118486</v>
      </c>
      <c r="D151" s="134" t="s">
        <v>527</v>
      </c>
      <c r="E151" t="s">
        <v>237</v>
      </c>
      <c r="F151" s="100">
        <v>0.16047</v>
      </c>
      <c r="G151" t="s">
        <v>348</v>
      </c>
      <c r="H151">
        <v>19.017510000000001</v>
      </c>
      <c r="I151">
        <v>0.111</v>
      </c>
      <c r="J151">
        <v>0.12681999999999999</v>
      </c>
      <c r="K151">
        <v>7.2029999999999997E-2</v>
      </c>
      <c r="M151">
        <f>PSI_OC!$A$6</f>
        <v>100</v>
      </c>
      <c r="N151">
        <v>-1</v>
      </c>
      <c r="O151" t="s">
        <v>432</v>
      </c>
      <c r="P151" s="8">
        <f t="shared" si="43"/>
        <v>-16768289794.785019</v>
      </c>
      <c r="Q151" t="s">
        <v>538</v>
      </c>
    </row>
    <row r="152" spans="1:17" x14ac:dyDescent="0.2">
      <c r="A152" t="s">
        <v>594</v>
      </c>
      <c r="B152" s="17">
        <v>0.74718270425721045</v>
      </c>
      <c r="C152" s="45">
        <f>B152*Variables!F$12</f>
        <v>5977.461634057684</v>
      </c>
      <c r="D152" s="138" t="s">
        <v>522</v>
      </c>
      <c r="E152" t="s">
        <v>238</v>
      </c>
      <c r="F152" s="100">
        <v>0</v>
      </c>
      <c r="G152" t="s">
        <v>349</v>
      </c>
      <c r="H152">
        <v>0</v>
      </c>
      <c r="I152">
        <v>0</v>
      </c>
      <c r="J152">
        <v>0</v>
      </c>
      <c r="K152">
        <v>0</v>
      </c>
      <c r="M152">
        <f>PSI_OC!$A$7</f>
        <v>10</v>
      </c>
      <c r="N152">
        <v>-1</v>
      </c>
      <c r="O152" t="s">
        <v>433</v>
      </c>
      <c r="P152" s="8">
        <f t="shared" si="43"/>
        <v>-7341111.5692355195</v>
      </c>
      <c r="Q152" t="s">
        <v>538</v>
      </c>
    </row>
    <row r="153" spans="1:17" x14ac:dyDescent="0.2">
      <c r="A153" t="s">
        <v>595</v>
      </c>
      <c r="B153" s="17">
        <v>9.6260742602358604</v>
      </c>
      <c r="C153" s="45">
        <f>B153*Variables!F$12</f>
        <v>77008.594081886884</v>
      </c>
      <c r="D153" s="138" t="s">
        <v>522</v>
      </c>
      <c r="E153" t="s">
        <v>239</v>
      </c>
      <c r="F153" s="100">
        <v>1.6000000000000001E-3</v>
      </c>
      <c r="G153" t="s">
        <v>348</v>
      </c>
      <c r="H153">
        <v>1.9019999999999999E-2</v>
      </c>
      <c r="I153">
        <v>1.1100000000000001E-3</v>
      </c>
      <c r="J153">
        <v>1.2700000000000001E-3</v>
      </c>
      <c r="K153">
        <v>7.2000000000000005E-4</v>
      </c>
      <c r="M153">
        <f>PSI_OC!$A$6</f>
        <v>100</v>
      </c>
      <c r="N153">
        <v>-1</v>
      </c>
      <c r="O153" t="s">
        <v>432</v>
      </c>
      <c r="P153" s="8">
        <f t="shared" si="43"/>
        <v>-91039840.009502202</v>
      </c>
      <c r="Q153" t="s">
        <v>538</v>
      </c>
    </row>
    <row r="154" spans="1:17" x14ac:dyDescent="0.2">
      <c r="A154" t="s">
        <v>596</v>
      </c>
      <c r="B154" s="17">
        <v>0</v>
      </c>
      <c r="C154" s="45">
        <f>B154*Variables!F$12</f>
        <v>0</v>
      </c>
      <c r="D154" s="138" t="s">
        <v>522</v>
      </c>
      <c r="E154" t="s">
        <v>240</v>
      </c>
      <c r="F154" s="100">
        <v>0</v>
      </c>
      <c r="G154" t="s">
        <v>348</v>
      </c>
      <c r="H154">
        <v>0</v>
      </c>
      <c r="I154">
        <v>0</v>
      </c>
      <c r="J154">
        <v>0</v>
      </c>
      <c r="K154">
        <v>0</v>
      </c>
      <c r="M154">
        <f>PSI_OC!$A$6</f>
        <v>100</v>
      </c>
      <c r="N154">
        <v>-1</v>
      </c>
      <c r="O154" t="s">
        <v>432</v>
      </c>
      <c r="P154" s="8">
        <f t="shared" si="43"/>
        <v>-73411115.692355186</v>
      </c>
      <c r="Q154" t="s">
        <v>538</v>
      </c>
    </row>
    <row r="155" spans="1:17" x14ac:dyDescent="0.2">
      <c r="A155" t="s">
        <v>597</v>
      </c>
      <c r="B155" s="17">
        <v>5.0328065370641486</v>
      </c>
      <c r="C155" s="45">
        <f>B155*Variables!F$12</f>
        <v>40262.452296513191</v>
      </c>
      <c r="D155" s="138" t="s">
        <v>522</v>
      </c>
      <c r="E155" t="s">
        <v>241</v>
      </c>
      <c r="F155" s="100">
        <v>0</v>
      </c>
      <c r="G155" t="s">
        <v>350</v>
      </c>
      <c r="H155">
        <v>0</v>
      </c>
      <c r="I155">
        <v>0</v>
      </c>
      <c r="J155">
        <v>0</v>
      </c>
      <c r="K155">
        <v>0</v>
      </c>
      <c r="M155">
        <f>PSI_OC!$A$6</f>
        <v>100</v>
      </c>
      <c r="N155">
        <v>-1</v>
      </c>
      <c r="O155" t="s">
        <v>434</v>
      </c>
      <c r="P155" s="8">
        <f t="shared" si="43"/>
        <v>-73411115.692355186</v>
      </c>
      <c r="Q155" t="s">
        <v>538</v>
      </c>
    </row>
    <row r="156" spans="1:17" x14ac:dyDescent="0.2">
      <c r="A156" t="s">
        <v>598</v>
      </c>
      <c r="B156" s="17">
        <v>0</v>
      </c>
      <c r="C156" s="45">
        <f>B156*Variables!F$12</f>
        <v>0</v>
      </c>
      <c r="D156" s="138" t="s">
        <v>522</v>
      </c>
      <c r="E156" t="s">
        <v>242</v>
      </c>
      <c r="F156" s="100">
        <v>0</v>
      </c>
      <c r="G156" t="s">
        <v>351</v>
      </c>
      <c r="H156">
        <v>0</v>
      </c>
      <c r="I156">
        <v>0</v>
      </c>
      <c r="J156">
        <v>0</v>
      </c>
      <c r="K156">
        <v>0</v>
      </c>
      <c r="M156">
        <f>PSI_OC!$A$8</f>
        <v>1</v>
      </c>
      <c r="N156">
        <v>1</v>
      </c>
      <c r="O156" t="s">
        <v>435</v>
      </c>
      <c r="P156" s="8">
        <f t="shared" si="43"/>
        <v>734111.15692355193</v>
      </c>
      <c r="Q156" t="s">
        <v>538</v>
      </c>
    </row>
    <row r="157" spans="1:17" x14ac:dyDescent="0.2">
      <c r="A157" t="s">
        <v>599</v>
      </c>
      <c r="B157" s="17">
        <v>1.0024045951846898</v>
      </c>
      <c r="C157" s="45">
        <f>B157*Variables!F$12</f>
        <v>8019.2367614775185</v>
      </c>
      <c r="D157" s="138" t="s">
        <v>522</v>
      </c>
      <c r="E157" t="s">
        <v>243</v>
      </c>
      <c r="F157" s="100">
        <v>1.6000000000000001E-3</v>
      </c>
      <c r="G157" t="s">
        <v>352</v>
      </c>
      <c r="H157">
        <v>0.19017999999999999</v>
      </c>
      <c r="I157">
        <v>0.111</v>
      </c>
      <c r="J157">
        <v>1.268E-2</v>
      </c>
      <c r="K157">
        <v>7.1999999999999998E-3</v>
      </c>
      <c r="M157">
        <f>PSI_OC!$A$6</f>
        <v>100</v>
      </c>
      <c r="N157">
        <v>-1</v>
      </c>
      <c r="O157" t="s">
        <v>436</v>
      </c>
      <c r="P157" s="8">
        <f t="shared" si="43"/>
        <v>-336835219.16708755</v>
      </c>
      <c r="Q157" t="s">
        <v>538</v>
      </c>
    </row>
    <row r="158" spans="1:17" x14ac:dyDescent="0.2">
      <c r="A158" t="s">
        <v>600</v>
      </c>
      <c r="B158" s="17">
        <v>0</v>
      </c>
      <c r="C158" s="45">
        <f>B158*Variables!F$12</f>
        <v>0</v>
      </c>
      <c r="D158" s="138" t="s">
        <v>522</v>
      </c>
      <c r="E158" t="s">
        <v>244</v>
      </c>
      <c r="F158" s="100">
        <v>1.6000000000000001E-3</v>
      </c>
      <c r="G158" t="s">
        <v>353</v>
      </c>
      <c r="H158">
        <v>1.9019999999999999E-2</v>
      </c>
      <c r="I158">
        <v>1.1100000000000001E-3</v>
      </c>
      <c r="J158">
        <v>1.2700000000000001E-3</v>
      </c>
      <c r="K158">
        <v>7.2000000000000005E-4</v>
      </c>
      <c r="M158">
        <v>0</v>
      </c>
      <c r="N158">
        <v>0</v>
      </c>
      <c r="O158" t="s">
        <v>437</v>
      </c>
      <c r="P158" s="8">
        <f t="shared" si="43"/>
        <v>0</v>
      </c>
      <c r="Q158" t="s">
        <v>538</v>
      </c>
    </row>
    <row r="159" spans="1:17" x14ac:dyDescent="0.2">
      <c r="A159" t="s">
        <v>601</v>
      </c>
      <c r="B159" s="17">
        <v>0</v>
      </c>
      <c r="C159" s="45">
        <f>B159*Variables!F$12</f>
        <v>0</v>
      </c>
      <c r="D159" s="138" t="s">
        <v>522</v>
      </c>
      <c r="E159" t="s">
        <v>245</v>
      </c>
      <c r="F159" s="100">
        <v>1.6000000000000001E-4</v>
      </c>
      <c r="G159" t="s">
        <v>351</v>
      </c>
      <c r="H159">
        <v>1.9E-3</v>
      </c>
      <c r="I159">
        <v>1.1100000000000001E-3</v>
      </c>
      <c r="J159">
        <v>1.2999999999999999E-4</v>
      </c>
      <c r="K159" s="8">
        <v>7.2027900000000002E-5</v>
      </c>
      <c r="M159">
        <f>PSI_OC!$A$7</f>
        <v>10</v>
      </c>
      <c r="N159">
        <v>-1</v>
      </c>
      <c r="O159" t="s">
        <v>435</v>
      </c>
      <c r="P159" s="8">
        <f t="shared" si="43"/>
        <v>-7604395.3892742572</v>
      </c>
      <c r="Q159" t="s">
        <v>538</v>
      </c>
    </row>
    <row r="160" spans="1:17" x14ac:dyDescent="0.2">
      <c r="A160" t="s">
        <v>602</v>
      </c>
      <c r="B160" s="17">
        <v>0</v>
      </c>
      <c r="C160" s="45">
        <f>B160*Variables!F$12</f>
        <v>0</v>
      </c>
      <c r="D160" s="138" t="s">
        <v>522</v>
      </c>
      <c r="E160" t="s">
        <v>246</v>
      </c>
      <c r="F160" s="100">
        <v>1.6049999999999998E-2</v>
      </c>
      <c r="G160" t="s">
        <v>354</v>
      </c>
      <c r="H160">
        <v>1.9017500000000001</v>
      </c>
      <c r="I160">
        <v>1.11E-2</v>
      </c>
      <c r="J160">
        <v>1.268E-2</v>
      </c>
      <c r="K160">
        <v>7.1999999999999998E-3</v>
      </c>
      <c r="M160">
        <f>PSI_OC!$A$7</f>
        <v>10</v>
      </c>
      <c r="N160">
        <v>-1</v>
      </c>
      <c r="O160" t="s">
        <v>438</v>
      </c>
      <c r="P160" s="8">
        <f t="shared" si="43"/>
        <v>-174289800.5206458</v>
      </c>
      <c r="Q160" t="s">
        <v>538</v>
      </c>
    </row>
    <row r="161" spans="1:17" x14ac:dyDescent="0.2">
      <c r="A161" t="s">
        <v>603</v>
      </c>
      <c r="B161" s="17">
        <v>21.4878893494806</v>
      </c>
      <c r="C161" s="45">
        <f>B161*Variables!F$12</f>
        <v>171903.1147958448</v>
      </c>
      <c r="D161" s="138" t="s">
        <v>522</v>
      </c>
      <c r="E161" t="s">
        <v>247</v>
      </c>
      <c r="F161" s="100">
        <v>1.60467</v>
      </c>
      <c r="G161" t="s">
        <v>354</v>
      </c>
      <c r="H161">
        <v>19.017510000000001</v>
      </c>
      <c r="I161">
        <v>1.1100399999999999</v>
      </c>
      <c r="J161">
        <v>1.26824</v>
      </c>
      <c r="K161">
        <v>0.72028000000000003</v>
      </c>
      <c r="M161">
        <f>PSI_OC!$A$7</f>
        <v>10</v>
      </c>
      <c r="N161">
        <v>-1</v>
      </c>
      <c r="O161" t="s">
        <v>438</v>
      </c>
      <c r="P161" s="8">
        <f t="shared" si="43"/>
        <v>-1769990597.1262469</v>
      </c>
      <c r="Q161" t="s">
        <v>538</v>
      </c>
    </row>
    <row r="162" spans="1:17" x14ac:dyDescent="0.2">
      <c r="A162" t="s">
        <v>604</v>
      </c>
      <c r="B162" s="17">
        <v>4.451664294674238</v>
      </c>
      <c r="C162" s="45">
        <f>B162*Variables!F$12</f>
        <v>35613.314357393901</v>
      </c>
      <c r="D162" s="138" t="s">
        <v>522</v>
      </c>
      <c r="E162" t="s">
        <v>248</v>
      </c>
      <c r="F162" s="100">
        <v>1.60467</v>
      </c>
      <c r="G162" t="s">
        <v>350</v>
      </c>
      <c r="H162">
        <v>0.19017999999999999</v>
      </c>
      <c r="I162">
        <v>1.1100399999999999</v>
      </c>
      <c r="J162">
        <v>1.26824</v>
      </c>
      <c r="K162">
        <v>0.72028000000000003</v>
      </c>
      <c r="M162">
        <f>PSI_OC!$A$7</f>
        <v>10</v>
      </c>
      <c r="N162">
        <v>-1</v>
      </c>
      <c r="O162" t="s">
        <v>434</v>
      </c>
      <c r="P162" s="8">
        <f t="shared" si="43"/>
        <v>-127445406.51758546</v>
      </c>
      <c r="Q162" t="s">
        <v>538</v>
      </c>
    </row>
    <row r="163" spans="1:17" x14ac:dyDescent="0.2">
      <c r="A163" t="s">
        <v>605</v>
      </c>
      <c r="B163" s="17">
        <v>2.0282563844628023</v>
      </c>
      <c r="C163" s="45">
        <f>B163*Variables!F$12</f>
        <v>16226.051075702419</v>
      </c>
      <c r="D163" s="138" t="s">
        <v>522</v>
      </c>
      <c r="E163" t="s">
        <v>322</v>
      </c>
      <c r="F163" s="100">
        <v>1.60467</v>
      </c>
      <c r="G163" t="s">
        <v>355</v>
      </c>
      <c r="H163">
        <v>1.9017500000000001</v>
      </c>
      <c r="I163">
        <v>1.1100399999999999</v>
      </c>
      <c r="J163">
        <v>1.26824</v>
      </c>
      <c r="K163">
        <v>0.72028000000000003</v>
      </c>
      <c r="M163">
        <f>PSI_OC!$A$7</f>
        <v>10</v>
      </c>
      <c r="N163">
        <v>-1</v>
      </c>
      <c r="O163" t="s">
        <v>439</v>
      </c>
      <c r="P163" s="8">
        <f t="shared" si="43"/>
        <v>-276767220.70419967</v>
      </c>
      <c r="Q163" t="s">
        <v>538</v>
      </c>
    </row>
    <row r="164" spans="1:17" x14ac:dyDescent="0.2">
      <c r="A164" t="s">
        <v>606</v>
      </c>
      <c r="B164" s="17">
        <v>10.04965506847444</v>
      </c>
      <c r="C164" s="45">
        <f>B164*Variables!F$12</f>
        <v>80397.240547795518</v>
      </c>
      <c r="D164" s="138" t="s">
        <v>522</v>
      </c>
      <c r="E164" t="s">
        <v>249</v>
      </c>
      <c r="F164" s="100">
        <v>0.16047</v>
      </c>
      <c r="G164" t="s">
        <v>356</v>
      </c>
      <c r="H164">
        <v>19.017510000000001</v>
      </c>
      <c r="I164">
        <v>0.111</v>
      </c>
      <c r="J164">
        <v>0.12681999999999999</v>
      </c>
      <c r="K164">
        <v>7.2029999999999997E-2</v>
      </c>
      <c r="M164">
        <f>PSI_OC!$A$7</f>
        <v>10</v>
      </c>
      <c r="N164">
        <v>-1</v>
      </c>
      <c r="O164" t="s">
        <v>440</v>
      </c>
      <c r="P164" s="8">
        <f t="shared" si="43"/>
        <v>-1676828979.478502</v>
      </c>
      <c r="Q164" t="s">
        <v>538</v>
      </c>
    </row>
    <row r="165" spans="1:17" x14ac:dyDescent="0.2">
      <c r="A165" t="s">
        <v>607</v>
      </c>
      <c r="B165" s="17">
        <v>4.3452550390974292</v>
      </c>
      <c r="C165" s="45">
        <f>B165*Variables!F$12</f>
        <v>34762.040312779434</v>
      </c>
      <c r="D165" s="138" t="s">
        <v>522</v>
      </c>
      <c r="E165" t="s">
        <v>323</v>
      </c>
      <c r="F165" s="100">
        <v>1.6000000000000001E-3</v>
      </c>
      <c r="G165" t="s">
        <v>357</v>
      </c>
      <c r="H165">
        <v>1.9019999999999999E-2</v>
      </c>
      <c r="I165">
        <v>1.1100000000000001E-3</v>
      </c>
      <c r="J165">
        <v>1.2700000000000001E-3</v>
      </c>
      <c r="K165">
        <v>7.2000000000000005E-4</v>
      </c>
      <c r="M165">
        <f>PSI_OC!$A$6</f>
        <v>100</v>
      </c>
      <c r="N165">
        <v>-1</v>
      </c>
      <c r="O165" t="s">
        <v>441</v>
      </c>
      <c r="P165" s="8">
        <f t="shared" si="43"/>
        <v>-91039840.009502202</v>
      </c>
      <c r="Q165" t="s">
        <v>538</v>
      </c>
    </row>
    <row r="166" spans="1:17" x14ac:dyDescent="0.2">
      <c r="A166" t="s">
        <v>608</v>
      </c>
      <c r="B166" s="17">
        <v>0.49462981097324499</v>
      </c>
      <c r="C166" s="45">
        <f>B166*Variables!F$12</f>
        <v>3957.0384877859601</v>
      </c>
      <c r="D166" s="138" t="s">
        <v>522</v>
      </c>
      <c r="E166" t="s">
        <v>324</v>
      </c>
      <c r="F166" s="100">
        <v>1.6000000000000001E-3</v>
      </c>
      <c r="G166" t="s">
        <v>357</v>
      </c>
      <c r="H166">
        <v>1.9019999999999999E-2</v>
      </c>
      <c r="I166">
        <v>1.1100000000000001E-3</v>
      </c>
      <c r="J166">
        <v>1.2700000000000001E-3</v>
      </c>
      <c r="K166">
        <v>7.2000000000000005E-4</v>
      </c>
      <c r="M166">
        <f>PSI_OC!$A$6</f>
        <v>100</v>
      </c>
      <c r="N166">
        <v>-1</v>
      </c>
      <c r="O166" t="s">
        <v>441</v>
      </c>
      <c r="P166" s="8">
        <f t="shared" si="43"/>
        <v>-91039840.009502202</v>
      </c>
      <c r="Q166" t="s">
        <v>538</v>
      </c>
    </row>
    <row r="167" spans="1:17" x14ac:dyDescent="0.2">
      <c r="A167" t="s">
        <v>609</v>
      </c>
      <c r="B167" s="17">
        <v>2.0473151420140621</v>
      </c>
      <c r="C167" s="45">
        <f>B167*Variables!F$12</f>
        <v>16378.521136112497</v>
      </c>
      <c r="D167" s="138" t="s">
        <v>522</v>
      </c>
      <c r="E167" t="s">
        <v>250</v>
      </c>
      <c r="F167" s="100">
        <v>1.6000000000000001E-3</v>
      </c>
      <c r="G167" t="s">
        <v>358</v>
      </c>
      <c r="H167">
        <v>1.9017500000000001</v>
      </c>
      <c r="I167">
        <v>1.1100000000000001E-3</v>
      </c>
      <c r="J167">
        <v>1.2700000000000001E-3</v>
      </c>
      <c r="K167">
        <v>7.2000000000000005E-4</v>
      </c>
      <c r="M167">
        <f>PSI_OC!$A$7</f>
        <v>10</v>
      </c>
      <c r="N167">
        <v>1</v>
      </c>
      <c r="O167" t="s">
        <v>442</v>
      </c>
      <c r="P167" s="8">
        <f t="shared" si="43"/>
        <v>173358241.33402109</v>
      </c>
      <c r="Q167" t="s">
        <v>538</v>
      </c>
    </row>
    <row r="168" spans="1:17" x14ac:dyDescent="0.2">
      <c r="A168" t="s">
        <v>610</v>
      </c>
      <c r="B168" s="17">
        <v>19.564617069681571</v>
      </c>
      <c r="C168" s="45">
        <f>B168*Variables!F$12</f>
        <v>156516.93655745257</v>
      </c>
      <c r="D168" s="138" t="s">
        <v>522</v>
      </c>
      <c r="E168" t="s">
        <v>251</v>
      </c>
      <c r="F168" s="100">
        <v>0</v>
      </c>
      <c r="G168" t="s">
        <v>359</v>
      </c>
      <c r="H168">
        <v>1.9019999999999999E-2</v>
      </c>
      <c r="I168">
        <v>0</v>
      </c>
      <c r="J168">
        <v>0</v>
      </c>
      <c r="K168">
        <v>0</v>
      </c>
      <c r="M168">
        <f>PSI_OC!$A$6</f>
        <v>100</v>
      </c>
      <c r="N168">
        <v>-1</v>
      </c>
      <c r="O168" t="s">
        <v>443</v>
      </c>
      <c r="P168" s="8">
        <f t="shared" si="43"/>
        <v>-90004657.912827626</v>
      </c>
      <c r="Q168" t="s">
        <v>538</v>
      </c>
    </row>
    <row r="169" spans="1:17" x14ac:dyDescent="0.2">
      <c r="A169" t="s">
        <v>611</v>
      </c>
      <c r="B169" s="17">
        <v>1.0875500505143398</v>
      </c>
      <c r="C169" s="45">
        <f>B169*Variables!F$12</f>
        <v>8700.4004041147182</v>
      </c>
      <c r="D169" s="138" t="s">
        <v>522</v>
      </c>
      <c r="E169" t="s">
        <v>252</v>
      </c>
      <c r="F169" s="100">
        <v>0.16047</v>
      </c>
      <c r="G169" t="s">
        <v>360</v>
      </c>
      <c r="H169">
        <v>1.9017500000000001</v>
      </c>
      <c r="I169">
        <v>0.111</v>
      </c>
      <c r="J169">
        <v>0.12681999999999999</v>
      </c>
      <c r="K169">
        <v>7.2029999999999997E-2</v>
      </c>
      <c r="M169">
        <f>PSI_OC!$A$7</f>
        <v>10</v>
      </c>
      <c r="N169">
        <v>-1</v>
      </c>
      <c r="O169" t="s">
        <v>444</v>
      </c>
      <c r="P169" s="8">
        <f t="shared" si="43"/>
        <v>-183605603.05645451</v>
      </c>
      <c r="Q169" t="s">
        <v>538</v>
      </c>
    </row>
    <row r="170" spans="1:17" x14ac:dyDescent="0.2">
      <c r="A170" t="s">
        <v>612</v>
      </c>
      <c r="B170" s="17">
        <v>1.0477945306434522</v>
      </c>
      <c r="C170" s="45">
        <f>B170*Variables!F$12</f>
        <v>8382.3562451476173</v>
      </c>
      <c r="D170" s="138" t="s">
        <v>522</v>
      </c>
      <c r="E170" t="s">
        <v>253</v>
      </c>
      <c r="F170" s="100">
        <v>1.6049999999999998E-2</v>
      </c>
      <c r="G170" t="s">
        <v>361</v>
      </c>
      <c r="H170">
        <v>0.19017999999999999</v>
      </c>
      <c r="I170">
        <v>1.11E-2</v>
      </c>
      <c r="J170">
        <v>1.268E-2</v>
      </c>
      <c r="K170">
        <v>7.1999999999999998E-3</v>
      </c>
      <c r="M170">
        <f>PSI_OC!$A$7</f>
        <v>10</v>
      </c>
      <c r="N170">
        <v>-1</v>
      </c>
      <c r="O170" t="s">
        <v>445</v>
      </c>
      <c r="P170" s="8">
        <f t="shared" si="43"/>
        <v>-24967986.334031593</v>
      </c>
      <c r="Q170" t="s">
        <v>538</v>
      </c>
    </row>
    <row r="171" spans="1:17" x14ac:dyDescent="0.2">
      <c r="A171" t="s">
        <v>613</v>
      </c>
      <c r="B171" s="17">
        <v>3.3397325730882574</v>
      </c>
      <c r="C171" s="45">
        <f>B171*Variables!F$12</f>
        <v>26717.860584706061</v>
      </c>
      <c r="D171" s="138" t="s">
        <v>522</v>
      </c>
      <c r="E171" t="s">
        <v>325</v>
      </c>
      <c r="F171" s="100">
        <v>1.6000000000000001E-3</v>
      </c>
      <c r="G171" t="s">
        <v>362</v>
      </c>
      <c r="H171">
        <v>0.19017999999999999</v>
      </c>
      <c r="I171">
        <v>1.1100000000000001E-3</v>
      </c>
      <c r="J171">
        <v>1.2700000000000001E-3</v>
      </c>
      <c r="K171">
        <v>7.2000000000000005E-4</v>
      </c>
      <c r="M171">
        <f>PSI_OC!$A$6</f>
        <v>100</v>
      </c>
      <c r="N171">
        <v>-1</v>
      </c>
      <c r="O171" t="s">
        <v>446</v>
      </c>
      <c r="P171" s="8">
        <f t="shared" si="43"/>
        <v>-240364271.47406912</v>
      </c>
      <c r="Q171" t="s">
        <v>538</v>
      </c>
    </row>
    <row r="172" spans="1:17" x14ac:dyDescent="0.2">
      <c r="A172" t="s">
        <v>614</v>
      </c>
      <c r="B172" s="17">
        <v>3.1648856386713926</v>
      </c>
      <c r="C172" s="45">
        <f>B172*Variables!F$12</f>
        <v>25319.085109371143</v>
      </c>
      <c r="D172" s="138" t="s">
        <v>522</v>
      </c>
      <c r="E172" t="s">
        <v>254</v>
      </c>
      <c r="F172" s="100">
        <v>1.6000000000000001E-3</v>
      </c>
      <c r="G172" t="s">
        <v>363</v>
      </c>
      <c r="H172">
        <v>0.19017999999999999</v>
      </c>
      <c r="I172">
        <v>1.1100000000000001E-3</v>
      </c>
      <c r="J172">
        <v>1.2700000000000001E-3</v>
      </c>
      <c r="K172">
        <v>7.2000000000000005E-4</v>
      </c>
      <c r="M172">
        <f>PSI_OC!$A$7</f>
        <v>10</v>
      </c>
      <c r="N172">
        <v>-1</v>
      </c>
      <c r="O172" t="s">
        <v>447</v>
      </c>
      <c r="P172" s="8">
        <f t="shared" si="43"/>
        <v>-24036427.147406913</v>
      </c>
      <c r="Q172" t="s">
        <v>538</v>
      </c>
    </row>
    <row r="173" spans="1:17" x14ac:dyDescent="0.2">
      <c r="E173" t="s">
        <v>255</v>
      </c>
      <c r="F173" s="100">
        <v>0</v>
      </c>
      <c r="G173" t="s">
        <v>364</v>
      </c>
      <c r="H173">
        <v>1.9019999999999999E-2</v>
      </c>
      <c r="I173">
        <v>0</v>
      </c>
      <c r="J173">
        <v>0</v>
      </c>
      <c r="K173">
        <v>0</v>
      </c>
      <c r="M173">
        <f>PSI_OC!$A$7</f>
        <v>10</v>
      </c>
      <c r="N173">
        <v>-1</v>
      </c>
      <c r="O173" t="s">
        <v>448</v>
      </c>
      <c r="P173" s="8">
        <f t="shared" si="43"/>
        <v>-9000465.7912827637</v>
      </c>
      <c r="Q173" t="s">
        <v>538</v>
      </c>
    </row>
    <row r="174" spans="1:17" x14ac:dyDescent="0.2">
      <c r="E174" t="s">
        <v>256</v>
      </c>
      <c r="F174" s="100">
        <v>1.6000000000000001E-3</v>
      </c>
      <c r="G174" t="s">
        <v>365</v>
      </c>
      <c r="H174">
        <v>1.9019999999999999E-2</v>
      </c>
      <c r="I174">
        <v>1.1100000000000001E-3</v>
      </c>
      <c r="J174">
        <v>1.2700000000000001E-3</v>
      </c>
      <c r="K174">
        <v>7.2000000000000005E-4</v>
      </c>
      <c r="M174">
        <f>PSI_OC!$A$7</f>
        <v>10</v>
      </c>
      <c r="N174">
        <v>-1</v>
      </c>
      <c r="O174" t="s">
        <v>449</v>
      </c>
      <c r="P174" s="8">
        <f t="shared" si="43"/>
        <v>-9103984.000950221</v>
      </c>
      <c r="Q174" t="s">
        <v>538</v>
      </c>
    </row>
    <row r="175" spans="1:17" x14ac:dyDescent="0.2">
      <c r="E175" t="s">
        <v>257</v>
      </c>
      <c r="F175" s="100">
        <v>1.60467</v>
      </c>
      <c r="G175" t="s">
        <v>366</v>
      </c>
      <c r="H175">
        <v>1.9017500000000001</v>
      </c>
      <c r="I175">
        <v>1.1100399999999999</v>
      </c>
      <c r="J175">
        <v>1.26824</v>
      </c>
      <c r="K175">
        <v>0.72028000000000003</v>
      </c>
      <c r="M175">
        <f>PSI_OC!$A$6</f>
        <v>100</v>
      </c>
      <c r="N175">
        <v>-1</v>
      </c>
      <c r="O175" t="s">
        <v>450</v>
      </c>
      <c r="P175" s="8">
        <f t="shared" si="43"/>
        <v>-2767672207.041997</v>
      </c>
      <c r="Q175" t="s">
        <v>538</v>
      </c>
    </row>
    <row r="176" spans="1:17" x14ac:dyDescent="0.2">
      <c r="E176" t="s">
        <v>258</v>
      </c>
      <c r="F176" s="100">
        <v>0.16047</v>
      </c>
      <c r="G176" t="s">
        <v>367</v>
      </c>
      <c r="H176">
        <v>0.19017999999999999</v>
      </c>
      <c r="I176">
        <v>0.111</v>
      </c>
      <c r="J176">
        <v>0.12681999999999999</v>
      </c>
      <c r="K176">
        <v>7.2029999999999997E-2</v>
      </c>
      <c r="M176">
        <f>PSI_OC!$A$6</f>
        <v>100</v>
      </c>
      <c r="N176">
        <v>-1</v>
      </c>
      <c r="O176" t="s">
        <v>451</v>
      </c>
      <c r="P176" s="8">
        <f t="shared" si="43"/>
        <v>-342837888.69840342</v>
      </c>
      <c r="Q176" t="s">
        <v>538</v>
      </c>
    </row>
    <row r="177" spans="3:17" x14ac:dyDescent="0.2">
      <c r="C177" s="18"/>
      <c r="E177" t="s">
        <v>326</v>
      </c>
      <c r="F177" s="100">
        <v>1.6000000000000001E-3</v>
      </c>
      <c r="G177" t="s">
        <v>365</v>
      </c>
      <c r="H177">
        <v>1.9019999999999999E-2</v>
      </c>
      <c r="I177">
        <v>1.1100000000000001E-3</v>
      </c>
      <c r="J177">
        <v>1.2700000000000001E-3</v>
      </c>
      <c r="K177">
        <v>7.2000000000000005E-4</v>
      </c>
      <c r="M177">
        <v>0</v>
      </c>
      <c r="N177">
        <v>0</v>
      </c>
      <c r="O177" t="s">
        <v>449</v>
      </c>
      <c r="P177" s="8">
        <f t="shared" si="43"/>
        <v>0</v>
      </c>
      <c r="Q177" t="s">
        <v>538</v>
      </c>
    </row>
    <row r="178" spans="3:17" x14ac:dyDescent="0.2">
      <c r="E178" t="s">
        <v>259</v>
      </c>
      <c r="F178" s="100">
        <v>1.6049999999999998E-2</v>
      </c>
      <c r="G178" t="s">
        <v>368</v>
      </c>
      <c r="H178">
        <v>1.9017500000000001</v>
      </c>
      <c r="I178">
        <v>1.11E-2</v>
      </c>
      <c r="J178">
        <v>1.268E-2</v>
      </c>
      <c r="K178">
        <v>7.1999999999999998E-3</v>
      </c>
      <c r="M178">
        <f>PSI_OC!$A$6</f>
        <v>100</v>
      </c>
      <c r="N178">
        <v>-1</v>
      </c>
      <c r="O178" t="s">
        <v>452</v>
      </c>
      <c r="P178" s="8">
        <f t="shared" si="43"/>
        <v>-1742898005.2064579</v>
      </c>
      <c r="Q178" t="s">
        <v>538</v>
      </c>
    </row>
    <row r="179" spans="3:17" x14ac:dyDescent="0.2">
      <c r="E179" t="s">
        <v>260</v>
      </c>
      <c r="F179" s="100">
        <v>0</v>
      </c>
      <c r="G179" t="s">
        <v>368</v>
      </c>
      <c r="H179">
        <v>1.9E-3</v>
      </c>
      <c r="I179">
        <v>0</v>
      </c>
      <c r="J179">
        <v>0</v>
      </c>
      <c r="K179">
        <v>0</v>
      </c>
      <c r="M179">
        <v>0</v>
      </c>
      <c r="N179">
        <v>0</v>
      </c>
      <c r="O179" t="s">
        <v>452</v>
      </c>
      <c r="P179" s="8">
        <f t="shared" si="43"/>
        <v>0</v>
      </c>
      <c r="Q179" t="s">
        <v>538</v>
      </c>
    </row>
    <row r="180" spans="3:17" x14ac:dyDescent="0.2">
      <c r="E180" t="s">
        <v>327</v>
      </c>
      <c r="F180" s="100">
        <v>1.6000000000000001E-4</v>
      </c>
      <c r="G180" t="s">
        <v>368</v>
      </c>
      <c r="H180">
        <v>0.19017999999999999</v>
      </c>
      <c r="I180">
        <v>1.1E-4</v>
      </c>
      <c r="J180">
        <v>1.2999999999999999E-4</v>
      </c>
      <c r="K180" s="8">
        <v>7.2027900000000002E-5</v>
      </c>
      <c r="M180">
        <f>PSI_OC!$A$6</f>
        <v>100</v>
      </c>
      <c r="N180">
        <v>-1</v>
      </c>
      <c r="O180" t="s">
        <v>452</v>
      </c>
      <c r="P180" s="8">
        <f t="shared" si="43"/>
        <v>-239431892.22345123</v>
      </c>
      <c r="Q180" t="s">
        <v>538</v>
      </c>
    </row>
    <row r="181" spans="3:17" x14ac:dyDescent="0.2">
      <c r="E181" t="s">
        <v>328</v>
      </c>
      <c r="F181" s="100">
        <v>1.6000000000000001E-4</v>
      </c>
      <c r="G181" t="s">
        <v>368</v>
      </c>
      <c r="H181">
        <v>1.9E-3</v>
      </c>
      <c r="I181">
        <v>1.1E-4</v>
      </c>
      <c r="J181">
        <v>1.2999999999999999E-4</v>
      </c>
      <c r="K181" s="8">
        <v>7.2027900000000002E-5</v>
      </c>
      <c r="M181">
        <v>0</v>
      </c>
      <c r="N181">
        <v>0</v>
      </c>
      <c r="O181" t="s">
        <v>452</v>
      </c>
      <c r="P181" s="8">
        <f t="shared" si="43"/>
        <v>0</v>
      </c>
      <c r="Q181" t="s">
        <v>538</v>
      </c>
    </row>
    <row r="182" spans="3:17" x14ac:dyDescent="0.2">
      <c r="E182" t="s">
        <v>261</v>
      </c>
      <c r="F182" s="100">
        <v>0.16047</v>
      </c>
      <c r="G182" t="s">
        <v>369</v>
      </c>
      <c r="H182">
        <v>19.017510000000001</v>
      </c>
      <c r="I182">
        <v>0.111</v>
      </c>
      <c r="J182">
        <v>0.12681999999999999</v>
      </c>
      <c r="K182">
        <v>7.2029999999999997E-2</v>
      </c>
      <c r="M182">
        <f>PSI_OC!$A$6</f>
        <v>100</v>
      </c>
      <c r="N182">
        <v>-1</v>
      </c>
      <c r="O182" t="s">
        <v>453</v>
      </c>
      <c r="P182" s="8">
        <f t="shared" si="43"/>
        <v>-16768289794.785019</v>
      </c>
      <c r="Q182" t="s">
        <v>538</v>
      </c>
    </row>
    <row r="183" spans="3:17" x14ac:dyDescent="0.2">
      <c r="E183" t="s">
        <v>263</v>
      </c>
      <c r="F183" s="100">
        <v>1.6000000000000001E-4</v>
      </c>
      <c r="G183" t="s">
        <v>370</v>
      </c>
      <c r="H183">
        <v>1.9019999999999999E-2</v>
      </c>
      <c r="I183">
        <v>1.1E-4</v>
      </c>
      <c r="J183">
        <v>1.2999999999999999E-4</v>
      </c>
      <c r="K183" s="8">
        <v>7.2027900000000002E-5</v>
      </c>
      <c r="M183">
        <f>PSI_OC!$A$6</f>
        <v>100</v>
      </c>
      <c r="N183">
        <v>-1</v>
      </c>
      <c r="O183" t="s">
        <v>454</v>
      </c>
      <c r="P183" s="8">
        <f t="shared" si="43"/>
        <v>-90107460.758884311</v>
      </c>
      <c r="Q183" t="s">
        <v>538</v>
      </c>
    </row>
    <row r="184" spans="3:17" x14ac:dyDescent="0.2">
      <c r="E184" t="s">
        <v>262</v>
      </c>
      <c r="F184" s="100">
        <v>1.6000000000000001E-4</v>
      </c>
      <c r="G184" t="s">
        <v>370</v>
      </c>
      <c r="H184">
        <v>1.9019999999999999E-2</v>
      </c>
      <c r="I184">
        <v>1.1E-4</v>
      </c>
      <c r="J184">
        <v>1.2999999999999999E-4</v>
      </c>
      <c r="K184" s="8">
        <v>7.2027900000000002E-5</v>
      </c>
      <c r="M184">
        <f>PSI_OC!$A$6</f>
        <v>100</v>
      </c>
      <c r="N184">
        <v>-1</v>
      </c>
      <c r="O184" t="s">
        <v>454</v>
      </c>
      <c r="P184" s="8">
        <f t="shared" si="43"/>
        <v>-90107460.758884311</v>
      </c>
      <c r="Q184" t="s">
        <v>538</v>
      </c>
    </row>
    <row r="185" spans="3:17" x14ac:dyDescent="0.2">
      <c r="E185" t="s">
        <v>264</v>
      </c>
      <c r="F185" s="100">
        <v>1.6000000000000001E-3</v>
      </c>
      <c r="G185" t="s">
        <v>371</v>
      </c>
      <c r="H185">
        <v>0.19017999999999999</v>
      </c>
      <c r="I185">
        <v>1.1100000000000001E-3</v>
      </c>
      <c r="J185">
        <v>1.2700000000000001E-3</v>
      </c>
      <c r="K185">
        <v>7.2000000000000005E-4</v>
      </c>
      <c r="M185">
        <f>PSI_OC!$A$7</f>
        <v>10</v>
      </c>
      <c r="N185">
        <v>-1</v>
      </c>
      <c r="O185" t="s">
        <v>455</v>
      </c>
      <c r="P185" s="8">
        <f t="shared" si="43"/>
        <v>-24036427.147406913</v>
      </c>
      <c r="Q185" t="s">
        <v>538</v>
      </c>
    </row>
    <row r="186" spans="3:17" x14ac:dyDescent="0.2">
      <c r="E186" t="s">
        <v>265</v>
      </c>
      <c r="F186" s="100">
        <v>1.6000000000000001E-3</v>
      </c>
      <c r="G186" t="s">
        <v>371</v>
      </c>
      <c r="H186">
        <v>1.9017500000000001</v>
      </c>
      <c r="I186">
        <v>1.1100000000000001E-3</v>
      </c>
      <c r="J186">
        <v>1.2700000000000001E-3</v>
      </c>
      <c r="K186">
        <v>7.2000000000000005E-4</v>
      </c>
      <c r="M186">
        <f>PSI_OC!$A$7</f>
        <v>10</v>
      </c>
      <c r="N186">
        <v>-1</v>
      </c>
      <c r="O186" t="s">
        <v>455</v>
      </c>
      <c r="P186" s="8">
        <f t="shared" si="43"/>
        <v>-173358241.33402109</v>
      </c>
      <c r="Q186" t="s">
        <v>538</v>
      </c>
    </row>
    <row r="187" spans="3:17" x14ac:dyDescent="0.2">
      <c r="E187" t="s">
        <v>266</v>
      </c>
      <c r="F187" s="100">
        <v>1.6000000000000001E-3</v>
      </c>
      <c r="G187" t="s">
        <v>371</v>
      </c>
      <c r="H187">
        <v>0.19017999999999999</v>
      </c>
      <c r="I187">
        <v>1.1100000000000001E-3</v>
      </c>
      <c r="J187">
        <v>1.2700000000000001E-3</v>
      </c>
      <c r="K187">
        <v>7.2000000000000005E-4</v>
      </c>
      <c r="M187">
        <v>0</v>
      </c>
      <c r="N187">
        <v>0</v>
      </c>
      <c r="O187" t="s">
        <v>455</v>
      </c>
      <c r="P187" s="8">
        <f t="shared" si="43"/>
        <v>0</v>
      </c>
      <c r="Q187" t="s">
        <v>538</v>
      </c>
    </row>
    <row r="188" spans="3:17" x14ac:dyDescent="0.2">
      <c r="E188" t="s">
        <v>267</v>
      </c>
      <c r="F188" s="100">
        <v>1.6000000000000001E-4</v>
      </c>
      <c r="G188" t="s">
        <v>372</v>
      </c>
      <c r="H188">
        <v>1.9019999999999999E-2</v>
      </c>
      <c r="I188">
        <v>1.1E-4</v>
      </c>
      <c r="J188">
        <v>1.2999999999999999E-4</v>
      </c>
      <c r="K188" s="8">
        <v>7.2027900000000002E-5</v>
      </c>
      <c r="M188">
        <v>0</v>
      </c>
      <c r="N188">
        <v>0</v>
      </c>
      <c r="O188" t="s">
        <v>456</v>
      </c>
      <c r="P188" s="8">
        <f t="shared" si="43"/>
        <v>0</v>
      </c>
      <c r="Q188" t="s">
        <v>538</v>
      </c>
    </row>
    <row r="189" spans="3:17" x14ac:dyDescent="0.2">
      <c r="E189" t="s">
        <v>329</v>
      </c>
      <c r="F189" s="100">
        <v>0.16047</v>
      </c>
      <c r="G189" s="75" t="s">
        <v>373</v>
      </c>
      <c r="H189">
        <v>1.9E-3</v>
      </c>
      <c r="I189">
        <v>0.111</v>
      </c>
      <c r="J189">
        <v>0.12681999999999999</v>
      </c>
      <c r="K189">
        <v>7.2029999999999997E-2</v>
      </c>
      <c r="M189">
        <f>PSI_OC!$A$7</f>
        <v>10</v>
      </c>
      <c r="N189">
        <v>-1</v>
      </c>
      <c r="O189" t="s">
        <v>457</v>
      </c>
      <c r="P189" s="8">
        <f t="shared" si="43"/>
        <v>-17857752.438344281</v>
      </c>
      <c r="Q189" t="s">
        <v>538</v>
      </c>
    </row>
    <row r="190" spans="3:17" x14ac:dyDescent="0.2">
      <c r="E190" t="s">
        <v>314</v>
      </c>
      <c r="F190" s="100">
        <v>1.6000000000000001E-3</v>
      </c>
      <c r="G190" s="75" t="s">
        <v>374</v>
      </c>
      <c r="H190">
        <v>19.017510000000001</v>
      </c>
      <c r="I190">
        <v>1.1100000000000001E-3</v>
      </c>
      <c r="J190">
        <v>1.2700000000000001E-3</v>
      </c>
      <c r="K190">
        <v>7.2000000000000005E-4</v>
      </c>
      <c r="M190">
        <f>PSI_OC!$A$7</f>
        <v>10</v>
      </c>
      <c r="N190">
        <v>-1</v>
      </c>
      <c r="O190" t="s">
        <v>458</v>
      </c>
      <c r="P190" s="8">
        <f t="shared" si="43"/>
        <v>-1666581617.7560685</v>
      </c>
      <c r="Q190" t="s">
        <v>538</v>
      </c>
    </row>
    <row r="191" spans="3:17" x14ac:dyDescent="0.2">
      <c r="E191" t="s">
        <v>268</v>
      </c>
      <c r="F191" s="100">
        <v>1.6000000000000001E-3</v>
      </c>
      <c r="G191" s="75" t="s">
        <v>374</v>
      </c>
      <c r="H191">
        <v>19.017510000000001</v>
      </c>
      <c r="I191">
        <v>1.1100000000000001E-3</v>
      </c>
      <c r="J191">
        <v>1.2700000000000001E-3</v>
      </c>
      <c r="K191">
        <v>7.2000000000000005E-4</v>
      </c>
      <c r="M191">
        <f>PSI_OC!$A$7</f>
        <v>10</v>
      </c>
      <c r="N191">
        <v>-1</v>
      </c>
      <c r="O191" t="s">
        <v>458</v>
      </c>
      <c r="P191" s="8">
        <f t="shared" si="43"/>
        <v>-1666581617.7560685</v>
      </c>
      <c r="Q191" t="s">
        <v>538</v>
      </c>
    </row>
    <row r="192" spans="3:17" x14ac:dyDescent="0.2">
      <c r="E192" t="s">
        <v>269</v>
      </c>
      <c r="F192" s="100">
        <v>1.6000000000000001E-3</v>
      </c>
      <c r="G192" s="75" t="s">
        <v>374</v>
      </c>
      <c r="H192">
        <v>1.9017500000000001</v>
      </c>
      <c r="I192">
        <v>1.1100000000000001E-3</v>
      </c>
      <c r="J192">
        <v>1.2700000000000001E-3</v>
      </c>
      <c r="K192">
        <v>7.2000000000000005E-4</v>
      </c>
      <c r="M192">
        <v>0</v>
      </c>
      <c r="N192">
        <v>0</v>
      </c>
      <c r="O192" t="s">
        <v>458</v>
      </c>
      <c r="P192" s="8">
        <f t="shared" si="43"/>
        <v>0</v>
      </c>
      <c r="Q192" t="s">
        <v>538</v>
      </c>
    </row>
    <row r="193" spans="5:17" x14ac:dyDescent="0.2">
      <c r="E193" t="s">
        <v>270</v>
      </c>
      <c r="F193" s="100">
        <v>1.6000000000000001E-3</v>
      </c>
      <c r="G193" s="75" t="s">
        <v>375</v>
      </c>
      <c r="H193">
        <v>1.9019999999999999E-2</v>
      </c>
      <c r="I193">
        <v>1.1100000000000001E-3</v>
      </c>
      <c r="J193">
        <v>1.2700000000000001E-3</v>
      </c>
      <c r="K193">
        <v>7.2000000000000005E-4</v>
      </c>
      <c r="M193">
        <f>PSI_OC!$A$6</f>
        <v>100</v>
      </c>
      <c r="N193">
        <v>-1</v>
      </c>
      <c r="O193" t="s">
        <v>459</v>
      </c>
      <c r="P193" s="8">
        <f t="shared" si="43"/>
        <v>-91039840.009502202</v>
      </c>
      <c r="Q193" t="s">
        <v>538</v>
      </c>
    </row>
    <row r="194" spans="5:17" x14ac:dyDescent="0.2">
      <c r="E194" t="s">
        <v>271</v>
      </c>
      <c r="F194" s="100">
        <v>0.16047</v>
      </c>
      <c r="G194" s="75" t="s">
        <v>376</v>
      </c>
      <c r="H194">
        <v>1.9E-3</v>
      </c>
      <c r="I194">
        <v>0.111</v>
      </c>
      <c r="J194">
        <v>0.12681999999999999</v>
      </c>
      <c r="K194">
        <v>7.2029999999999997E-2</v>
      </c>
      <c r="M194">
        <v>0</v>
      </c>
      <c r="N194">
        <v>0</v>
      </c>
      <c r="O194" t="s">
        <v>460</v>
      </c>
      <c r="P194" s="8">
        <f t="shared" si="43"/>
        <v>0</v>
      </c>
      <c r="Q194" t="s">
        <v>538</v>
      </c>
    </row>
    <row r="195" spans="5:17" x14ac:dyDescent="0.2">
      <c r="E195" t="s">
        <v>272</v>
      </c>
      <c r="F195" s="100">
        <v>1.60467</v>
      </c>
      <c r="G195" t="s">
        <v>377</v>
      </c>
      <c r="H195">
        <v>1.9E-3</v>
      </c>
      <c r="I195">
        <v>1.1100399999999999</v>
      </c>
      <c r="J195">
        <v>1.26824</v>
      </c>
      <c r="K195">
        <v>7.2029999999999997E-2</v>
      </c>
      <c r="M195">
        <v>0</v>
      </c>
      <c r="N195">
        <v>0</v>
      </c>
      <c r="O195" t="s">
        <v>461</v>
      </c>
      <c r="P195" s="8">
        <f t="shared" si="43"/>
        <v>0</v>
      </c>
      <c r="Q195" t="s">
        <v>538</v>
      </c>
    </row>
    <row r="196" spans="5:17" x14ac:dyDescent="0.2">
      <c r="E196" t="s">
        <v>273</v>
      </c>
      <c r="F196" s="100">
        <v>1.6000000000000001E-4</v>
      </c>
      <c r="G196" t="s">
        <v>378</v>
      </c>
      <c r="H196">
        <v>1.9019999999999999E-2</v>
      </c>
      <c r="I196">
        <v>1.1E-4</v>
      </c>
      <c r="J196">
        <v>1.2999999999999999E-4</v>
      </c>
      <c r="K196" s="8">
        <v>7.2027900000000002E-5</v>
      </c>
      <c r="M196">
        <f>PSI_OC!$A$7</f>
        <v>10</v>
      </c>
      <c r="N196">
        <v>-1</v>
      </c>
      <c r="O196" t="s">
        <v>462</v>
      </c>
      <c r="P196" s="8">
        <f t="shared" si="43"/>
        <v>-9010746.0758884307</v>
      </c>
      <c r="Q196" t="s">
        <v>538</v>
      </c>
    </row>
    <row r="197" spans="5:17" x14ac:dyDescent="0.2">
      <c r="E197" t="s">
        <v>274</v>
      </c>
      <c r="F197" s="100">
        <v>1.6000000000000001E-4</v>
      </c>
      <c r="G197" t="s">
        <v>379</v>
      </c>
      <c r="H197">
        <v>0.19017999999999999</v>
      </c>
      <c r="I197">
        <v>1.1E-4</v>
      </c>
      <c r="J197">
        <v>1.2999999999999999E-4</v>
      </c>
      <c r="K197" s="8">
        <v>7.2027900000000002E-5</v>
      </c>
      <c r="M197">
        <v>0</v>
      </c>
      <c r="N197">
        <v>0</v>
      </c>
      <c r="O197" t="s">
        <v>463</v>
      </c>
      <c r="P197" s="8">
        <f t="shared" si="43"/>
        <v>0</v>
      </c>
      <c r="Q197" t="s">
        <v>538</v>
      </c>
    </row>
    <row r="198" spans="5:17" x14ac:dyDescent="0.2">
      <c r="E198" t="s">
        <v>275</v>
      </c>
      <c r="F198" s="100">
        <v>1.60467</v>
      </c>
      <c r="G198" t="s">
        <v>377</v>
      </c>
      <c r="H198">
        <v>1.9E-3</v>
      </c>
      <c r="I198">
        <v>1.1100399999999999</v>
      </c>
      <c r="J198">
        <v>1.26824</v>
      </c>
      <c r="K198">
        <v>0.72028000000000003</v>
      </c>
      <c r="M198">
        <f>PSI_OC!$A$6</f>
        <v>100</v>
      </c>
      <c r="N198">
        <v>-1</v>
      </c>
      <c r="O198" t="s">
        <v>461</v>
      </c>
      <c r="P198" s="8">
        <f t="shared" si="43"/>
        <v>-1110193700.860894</v>
      </c>
      <c r="Q198" t="s">
        <v>538</v>
      </c>
    </row>
    <row r="199" spans="5:17" x14ac:dyDescent="0.2">
      <c r="E199" t="s">
        <v>276</v>
      </c>
      <c r="F199" s="100">
        <v>1.60467</v>
      </c>
      <c r="G199" t="s">
        <v>377</v>
      </c>
      <c r="H199">
        <v>1.9017500000000001</v>
      </c>
      <c r="I199">
        <v>1.1100399999999999</v>
      </c>
      <c r="J199">
        <v>1.26824</v>
      </c>
      <c r="K199">
        <v>0.72028000000000003</v>
      </c>
      <c r="M199">
        <f>PSI_OC!$A$6</f>
        <v>100</v>
      </c>
      <c r="N199">
        <v>-1</v>
      </c>
      <c r="O199" t="s">
        <v>461</v>
      </c>
      <c r="P199" s="8">
        <f t="shared" si="43"/>
        <v>-2767672207.041997</v>
      </c>
      <c r="Q199" t="s">
        <v>538</v>
      </c>
    </row>
    <row r="200" spans="5:17" x14ac:dyDescent="0.2">
      <c r="E200" t="s">
        <v>277</v>
      </c>
      <c r="F200" s="100">
        <v>1.6000000000000001E-3</v>
      </c>
      <c r="G200" t="s">
        <v>380</v>
      </c>
      <c r="H200">
        <v>0.19017999999999999</v>
      </c>
      <c r="I200">
        <v>1.1100000000000001E-3</v>
      </c>
      <c r="J200">
        <v>1.2700000000000001E-3</v>
      </c>
      <c r="K200">
        <v>7.2000000000000005E-4</v>
      </c>
      <c r="M200">
        <f>PSI_OC!$A$6</f>
        <v>100</v>
      </c>
      <c r="N200">
        <v>-1</v>
      </c>
      <c r="O200" t="s">
        <v>464</v>
      </c>
      <c r="P200" s="8">
        <f t="shared" si="43"/>
        <v>-240364271.47406912</v>
      </c>
      <c r="Q200" t="s">
        <v>538</v>
      </c>
    </row>
    <row r="201" spans="5:17" x14ac:dyDescent="0.2">
      <c r="E201" t="s">
        <v>278</v>
      </c>
      <c r="F201" s="100">
        <v>1.60467</v>
      </c>
      <c r="G201" t="s">
        <v>381</v>
      </c>
      <c r="H201">
        <v>1.9E-3</v>
      </c>
      <c r="I201">
        <v>1.1100399999999999</v>
      </c>
      <c r="J201">
        <v>1.26824</v>
      </c>
      <c r="K201">
        <v>0.72028000000000003</v>
      </c>
      <c r="M201">
        <f>PSI_OC!$A$6</f>
        <v>100</v>
      </c>
      <c r="N201">
        <v>-1</v>
      </c>
      <c r="O201" t="s">
        <v>465</v>
      </c>
      <c r="P201" s="8">
        <f t="shared" si="43"/>
        <v>-1110193700.860894</v>
      </c>
      <c r="Q201" t="s">
        <v>538</v>
      </c>
    </row>
    <row r="202" spans="5:17" x14ac:dyDescent="0.2">
      <c r="E202" t="s">
        <v>330</v>
      </c>
      <c r="F202" s="100">
        <v>1.6000000000000001E-4</v>
      </c>
      <c r="G202" t="s">
        <v>382</v>
      </c>
      <c r="H202">
        <v>1.9017500000000001</v>
      </c>
      <c r="I202">
        <v>1.1E-4</v>
      </c>
      <c r="J202">
        <v>1.2999999999999999E-4</v>
      </c>
      <c r="K202" s="8">
        <v>7.2027900000000002E-5</v>
      </c>
      <c r="M202">
        <f>PSI_OC!$A$7</f>
        <v>10</v>
      </c>
      <c r="N202">
        <v>-1</v>
      </c>
      <c r="O202" t="s">
        <v>466</v>
      </c>
      <c r="P202" s="8">
        <f t="shared" ref="P202:P242" si="44">((C$137*H202)+(C$137*I202)+(SUM(C$140:C$143,C$148:C$150)*J202)+(SUM(C$146:C$147,C$152:C$172))+(SUM(C$144:C$145,C$151)*K202))*(M202*N202)</f>
        <v>-173265003.40895933</v>
      </c>
      <c r="Q202" t="s">
        <v>538</v>
      </c>
    </row>
    <row r="203" spans="5:17" x14ac:dyDescent="0.2">
      <c r="E203" t="s">
        <v>279</v>
      </c>
      <c r="F203" s="100">
        <v>1.6000000000000001E-4</v>
      </c>
      <c r="G203" t="s">
        <v>382</v>
      </c>
      <c r="H203">
        <v>1.9017500000000001</v>
      </c>
      <c r="I203">
        <v>1.1E-4</v>
      </c>
      <c r="J203">
        <v>1.2999999999999999E-4</v>
      </c>
      <c r="K203" s="8">
        <v>7.2027900000000002E-5</v>
      </c>
      <c r="M203">
        <f>PSI_OC!$A$7</f>
        <v>10</v>
      </c>
      <c r="N203">
        <v>-1</v>
      </c>
      <c r="O203" t="s">
        <v>466</v>
      </c>
      <c r="P203" s="8">
        <f t="shared" si="44"/>
        <v>-173265003.40895933</v>
      </c>
      <c r="Q203" t="s">
        <v>538</v>
      </c>
    </row>
    <row r="204" spans="5:17" x14ac:dyDescent="0.2">
      <c r="E204" t="s">
        <v>280</v>
      </c>
      <c r="F204" s="100">
        <v>1.6000000000000001E-4</v>
      </c>
      <c r="G204" t="s">
        <v>382</v>
      </c>
      <c r="H204">
        <v>1.9017500000000001</v>
      </c>
      <c r="I204">
        <v>1.1E-4</v>
      </c>
      <c r="J204">
        <v>1.2999999999999999E-4</v>
      </c>
      <c r="K204" s="8">
        <v>7.2027900000000002E-5</v>
      </c>
      <c r="M204">
        <v>0</v>
      </c>
      <c r="N204">
        <v>0</v>
      </c>
      <c r="O204" t="s">
        <v>466</v>
      </c>
      <c r="P204" s="8">
        <f t="shared" si="44"/>
        <v>0</v>
      </c>
      <c r="Q204" t="s">
        <v>538</v>
      </c>
    </row>
    <row r="205" spans="5:17" x14ac:dyDescent="0.2">
      <c r="E205" t="s">
        <v>331</v>
      </c>
      <c r="F205" s="100">
        <v>1.6049999999999998E-2</v>
      </c>
      <c r="G205" t="s">
        <v>383</v>
      </c>
      <c r="H205">
        <v>1.9E-3</v>
      </c>
      <c r="I205">
        <v>1.1100000000000001E-3</v>
      </c>
      <c r="J205">
        <v>1.2700000000000001E-3</v>
      </c>
      <c r="K205" s="8">
        <v>7.2027900000000002E-5</v>
      </c>
      <c r="M205">
        <v>0</v>
      </c>
      <c r="N205">
        <v>0</v>
      </c>
      <c r="O205" t="s">
        <v>467</v>
      </c>
      <c r="P205" s="8">
        <f t="shared" si="44"/>
        <v>0</v>
      </c>
      <c r="Q205" t="s">
        <v>538</v>
      </c>
    </row>
    <row r="206" spans="5:17" x14ac:dyDescent="0.2">
      <c r="E206" t="s">
        <v>281</v>
      </c>
      <c r="F206" s="100">
        <v>1.6000000000000001E-4</v>
      </c>
      <c r="G206" t="s">
        <v>384</v>
      </c>
      <c r="H206">
        <v>1.9E-3</v>
      </c>
      <c r="I206">
        <v>1.1E-4</v>
      </c>
      <c r="J206">
        <v>1.2999999999999999E-4</v>
      </c>
      <c r="K206" s="8">
        <v>7.2027900000000002E-5</v>
      </c>
      <c r="M206">
        <f>PSI_OC!$A$7</f>
        <v>10</v>
      </c>
      <c r="N206">
        <v>-1</v>
      </c>
      <c r="O206" t="s">
        <v>468</v>
      </c>
      <c r="P206" s="8">
        <f t="shared" si="44"/>
        <v>-7517152.7908490608</v>
      </c>
      <c r="Q206" t="s">
        <v>538</v>
      </c>
    </row>
    <row r="207" spans="5:17" x14ac:dyDescent="0.2">
      <c r="E207" t="s">
        <v>282</v>
      </c>
      <c r="F207" s="100">
        <v>0.16047</v>
      </c>
      <c r="G207" t="s">
        <v>385</v>
      </c>
      <c r="H207">
        <v>1.9E-3</v>
      </c>
      <c r="I207">
        <v>0.111</v>
      </c>
      <c r="J207">
        <v>0.12681999999999999</v>
      </c>
      <c r="K207">
        <v>7.2029999999999997E-2</v>
      </c>
      <c r="M207">
        <v>0</v>
      </c>
      <c r="N207">
        <v>0</v>
      </c>
      <c r="O207" t="s">
        <v>469</v>
      </c>
      <c r="P207" s="8">
        <f t="shared" si="44"/>
        <v>0</v>
      </c>
      <c r="Q207" t="s">
        <v>538</v>
      </c>
    </row>
    <row r="208" spans="5:17" x14ac:dyDescent="0.2">
      <c r="E208" t="s">
        <v>332</v>
      </c>
      <c r="F208" s="100">
        <v>0.16047</v>
      </c>
      <c r="G208" t="s">
        <v>386</v>
      </c>
      <c r="H208">
        <v>19.017510000000001</v>
      </c>
      <c r="I208">
        <v>0.111</v>
      </c>
      <c r="J208">
        <v>1.268E-2</v>
      </c>
      <c r="K208" s="8">
        <v>7.2027900000000002E-5</v>
      </c>
      <c r="M208">
        <v>0</v>
      </c>
      <c r="N208">
        <v>0</v>
      </c>
      <c r="O208" t="s">
        <v>470</v>
      </c>
      <c r="P208" s="8">
        <f t="shared" si="44"/>
        <v>0</v>
      </c>
      <c r="Q208" t="s">
        <v>538</v>
      </c>
    </row>
    <row r="209" spans="5:17" x14ac:dyDescent="0.2">
      <c r="E209" t="s">
        <v>283</v>
      </c>
      <c r="F209" s="100">
        <v>1.6000000000000001E-3</v>
      </c>
      <c r="G209" t="s">
        <v>387</v>
      </c>
      <c r="H209">
        <v>1.9019999999999999E-2</v>
      </c>
      <c r="I209">
        <v>1.1100000000000001E-3</v>
      </c>
      <c r="J209">
        <v>1.2700000000000001E-3</v>
      </c>
      <c r="K209">
        <v>7.2000000000000005E-4</v>
      </c>
      <c r="M209">
        <f>PSI_OC!$A$7</f>
        <v>10</v>
      </c>
      <c r="N209">
        <v>-1</v>
      </c>
      <c r="O209" t="s">
        <v>471</v>
      </c>
      <c r="P209" s="8">
        <f t="shared" si="44"/>
        <v>-9103984.000950221</v>
      </c>
      <c r="Q209" t="s">
        <v>538</v>
      </c>
    </row>
    <row r="210" spans="5:17" x14ac:dyDescent="0.2">
      <c r="E210" t="s">
        <v>284</v>
      </c>
      <c r="F210" s="100">
        <v>1.6000000000000001E-4</v>
      </c>
      <c r="G210" t="s">
        <v>388</v>
      </c>
      <c r="H210">
        <v>1.9E-3</v>
      </c>
      <c r="I210">
        <v>1.1E-4</v>
      </c>
      <c r="J210">
        <v>1.2999999999999999E-4</v>
      </c>
      <c r="K210" s="8">
        <v>7.2027900000000002E-5</v>
      </c>
      <c r="M210">
        <f>PSI_OC!$A$7</f>
        <v>10</v>
      </c>
      <c r="N210">
        <v>-1</v>
      </c>
      <c r="O210" t="s">
        <v>472</v>
      </c>
      <c r="P210" s="8">
        <f t="shared" si="44"/>
        <v>-7517152.7908490608</v>
      </c>
      <c r="Q210" t="s">
        <v>538</v>
      </c>
    </row>
    <row r="211" spans="5:17" x14ac:dyDescent="0.2">
      <c r="E211" t="s">
        <v>285</v>
      </c>
      <c r="F211" s="100">
        <v>1.6000000000000001E-3</v>
      </c>
      <c r="G211" t="s">
        <v>389</v>
      </c>
      <c r="H211">
        <v>0.19017999999999999</v>
      </c>
      <c r="I211">
        <v>1.1100000000000001E-3</v>
      </c>
      <c r="J211">
        <v>1.2700000000000001E-3</v>
      </c>
      <c r="K211">
        <v>7.2000000000000005E-4</v>
      </c>
      <c r="M211">
        <f>PSI_OC!$A$7</f>
        <v>10</v>
      </c>
      <c r="N211">
        <v>-1</v>
      </c>
      <c r="O211" t="s">
        <v>473</v>
      </c>
      <c r="P211" s="8">
        <f t="shared" si="44"/>
        <v>-24036427.147406913</v>
      </c>
      <c r="Q211" t="s">
        <v>538</v>
      </c>
    </row>
    <row r="212" spans="5:17" x14ac:dyDescent="0.2">
      <c r="E212" t="s">
        <v>286</v>
      </c>
      <c r="F212" s="100">
        <v>1.6049999999999998E-2</v>
      </c>
      <c r="G212" t="s">
        <v>390</v>
      </c>
      <c r="H212">
        <v>1.9017500000000001</v>
      </c>
      <c r="I212">
        <v>1.11E-2</v>
      </c>
      <c r="J212">
        <v>1.268E-2</v>
      </c>
      <c r="K212">
        <v>7.1999999999999998E-3</v>
      </c>
      <c r="M212">
        <f>PSI_OC!$A$6</f>
        <v>100</v>
      </c>
      <c r="N212">
        <v>-1</v>
      </c>
      <c r="O212" t="s">
        <v>474</v>
      </c>
      <c r="P212" s="8">
        <f t="shared" si="44"/>
        <v>-1742898005.2064579</v>
      </c>
      <c r="Q212" t="s">
        <v>538</v>
      </c>
    </row>
    <row r="213" spans="5:17" x14ac:dyDescent="0.2">
      <c r="E213" t="s">
        <v>287</v>
      </c>
      <c r="F213" s="100">
        <v>1.6000000000000001E-3</v>
      </c>
      <c r="G213" t="s">
        <v>391</v>
      </c>
      <c r="H213">
        <v>1.9019999999999999E-2</v>
      </c>
      <c r="I213">
        <v>1.1100000000000001E-3</v>
      </c>
      <c r="J213">
        <v>1.2700000000000001E-3</v>
      </c>
      <c r="K213">
        <v>7.2000000000000005E-4</v>
      </c>
      <c r="M213">
        <f>PSI_OC!$A$6</f>
        <v>100</v>
      </c>
      <c r="N213">
        <v>-1</v>
      </c>
      <c r="O213" t="s">
        <v>475</v>
      </c>
      <c r="P213" s="8">
        <f t="shared" si="44"/>
        <v>-91039840.009502202</v>
      </c>
      <c r="Q213" t="s">
        <v>538</v>
      </c>
    </row>
    <row r="214" spans="5:17" x14ac:dyDescent="0.2">
      <c r="E214" t="s">
        <v>288</v>
      </c>
      <c r="F214" s="100">
        <v>1.6000000000000001E-3</v>
      </c>
      <c r="G214" t="s">
        <v>392</v>
      </c>
      <c r="H214">
        <v>1.9019999999999999E-2</v>
      </c>
      <c r="I214">
        <v>1.1100000000000001E-3</v>
      </c>
      <c r="J214">
        <v>1.2700000000000001E-3</v>
      </c>
      <c r="K214">
        <v>7.2000000000000005E-4</v>
      </c>
      <c r="M214">
        <f>PSI_OC!$A$6</f>
        <v>100</v>
      </c>
      <c r="N214">
        <v>-1</v>
      </c>
      <c r="O214" t="s">
        <v>476</v>
      </c>
      <c r="P214" s="8">
        <f t="shared" si="44"/>
        <v>-91039840.009502202</v>
      </c>
      <c r="Q214" t="s">
        <v>538</v>
      </c>
    </row>
    <row r="215" spans="5:17" x14ac:dyDescent="0.2">
      <c r="E215" t="s">
        <v>333</v>
      </c>
      <c r="F215" s="100">
        <v>1.6000000000000001E-3</v>
      </c>
      <c r="G215" t="s">
        <v>340</v>
      </c>
      <c r="H215">
        <v>1.9019999999999999E-2</v>
      </c>
      <c r="I215">
        <v>1.1100000000000001E-3</v>
      </c>
      <c r="J215">
        <v>1.2700000000000001E-3</v>
      </c>
      <c r="K215">
        <v>7.2000000000000005E-4</v>
      </c>
      <c r="M215">
        <f>PSI_OC!$A$7</f>
        <v>10</v>
      </c>
      <c r="N215">
        <v>-1</v>
      </c>
      <c r="O215" t="s">
        <v>424</v>
      </c>
      <c r="P215" s="8">
        <f t="shared" si="44"/>
        <v>-9103984.000950221</v>
      </c>
      <c r="Q215" t="s">
        <v>538</v>
      </c>
    </row>
    <row r="216" spans="5:17" x14ac:dyDescent="0.2">
      <c r="E216" t="s">
        <v>334</v>
      </c>
      <c r="F216" s="100">
        <v>1.6049999999999998E-2</v>
      </c>
      <c r="G216" t="s">
        <v>393</v>
      </c>
      <c r="H216">
        <v>0.19017999999999999</v>
      </c>
      <c r="I216">
        <v>1.11E-2</v>
      </c>
      <c r="J216">
        <v>1.268E-2</v>
      </c>
      <c r="K216">
        <v>7.1999999999999998E-3</v>
      </c>
      <c r="M216">
        <v>0</v>
      </c>
      <c r="N216">
        <v>0</v>
      </c>
      <c r="O216" t="s">
        <v>477</v>
      </c>
      <c r="P216" s="8">
        <f t="shared" si="44"/>
        <v>0</v>
      </c>
      <c r="Q216" t="s">
        <v>538</v>
      </c>
    </row>
    <row r="217" spans="5:17" x14ac:dyDescent="0.2">
      <c r="E217" t="s">
        <v>335</v>
      </c>
      <c r="F217" s="100">
        <v>1.6000000000000001E-3</v>
      </c>
      <c r="G217" t="s">
        <v>394</v>
      </c>
      <c r="H217">
        <v>1.9019999999999999E-2</v>
      </c>
      <c r="I217">
        <v>1.1100000000000001E-3</v>
      </c>
      <c r="J217">
        <v>1.2700000000000001E-3</v>
      </c>
      <c r="K217">
        <v>7.1999999999999998E-3</v>
      </c>
      <c r="M217">
        <f>PSI_OC!$A$7</f>
        <v>10</v>
      </c>
      <c r="N217">
        <v>-1</v>
      </c>
      <c r="O217" t="s">
        <v>478</v>
      </c>
      <c r="P217" s="8">
        <f t="shared" si="44"/>
        <v>-9104258.0611264445</v>
      </c>
      <c r="Q217" t="s">
        <v>538</v>
      </c>
    </row>
    <row r="218" spans="5:17" x14ac:dyDescent="0.2">
      <c r="E218" t="s">
        <v>289</v>
      </c>
      <c r="F218" s="100">
        <v>1.6000000000000001E-3</v>
      </c>
      <c r="G218" t="s">
        <v>395</v>
      </c>
      <c r="H218">
        <v>1.9E-3</v>
      </c>
      <c r="I218">
        <v>1.1100000000000001E-3</v>
      </c>
      <c r="J218">
        <v>1.2700000000000001E-3</v>
      </c>
      <c r="K218">
        <v>7.2000000000000005E-4</v>
      </c>
      <c r="M218">
        <f>PSI_OC!$A$7</f>
        <v>10</v>
      </c>
      <c r="N218">
        <v>-1</v>
      </c>
      <c r="O218" t="s">
        <v>479</v>
      </c>
      <c r="P218" s="8">
        <f t="shared" si="44"/>
        <v>-7610390.7159108501</v>
      </c>
      <c r="Q218" t="s">
        <v>538</v>
      </c>
    </row>
    <row r="219" spans="5:17" x14ac:dyDescent="0.2">
      <c r="E219" t="s">
        <v>290</v>
      </c>
      <c r="F219" s="100">
        <v>1.6000000000000001E-4</v>
      </c>
      <c r="G219" t="s">
        <v>396</v>
      </c>
      <c r="H219">
        <v>0.19017999999999999</v>
      </c>
      <c r="I219">
        <v>1.1E-4</v>
      </c>
      <c r="J219">
        <v>1.2999999999999999E-4</v>
      </c>
      <c r="K219" s="8">
        <v>7.2027900000000002E-5</v>
      </c>
      <c r="M219">
        <f>PSI_OC!$A$7</f>
        <v>10</v>
      </c>
      <c r="N219">
        <v>-1</v>
      </c>
      <c r="O219" t="s">
        <v>480</v>
      </c>
      <c r="P219" s="8">
        <f t="shared" si="44"/>
        <v>-23943189.222345125</v>
      </c>
      <c r="Q219" t="s">
        <v>538</v>
      </c>
    </row>
    <row r="220" spans="5:17" x14ac:dyDescent="0.2">
      <c r="E220" t="s">
        <v>291</v>
      </c>
      <c r="F220" s="100">
        <v>1.6000000000000001E-4</v>
      </c>
      <c r="G220" t="s">
        <v>397</v>
      </c>
      <c r="H220">
        <v>1.9019999999999999E-2</v>
      </c>
      <c r="I220">
        <v>1.1E-4</v>
      </c>
      <c r="J220">
        <v>1.2999999999999999E-4</v>
      </c>
      <c r="K220" s="8">
        <v>7.2027900000000002E-5</v>
      </c>
      <c r="M220">
        <f>PSI_OC!$A$8</f>
        <v>1</v>
      </c>
      <c r="N220">
        <v>-1</v>
      </c>
      <c r="O220" t="s">
        <v>481</v>
      </c>
      <c r="P220" s="8">
        <f t="shared" si="44"/>
        <v>-901074.60758884309</v>
      </c>
      <c r="Q220" t="s">
        <v>538</v>
      </c>
    </row>
    <row r="221" spans="5:17" x14ac:dyDescent="0.2">
      <c r="E221" t="s">
        <v>292</v>
      </c>
      <c r="F221" s="100">
        <v>0.16047</v>
      </c>
      <c r="G221" t="s">
        <v>360</v>
      </c>
      <c r="H221">
        <v>1.9019999999999999E-2</v>
      </c>
      <c r="I221">
        <v>1.1100399999999999</v>
      </c>
      <c r="J221">
        <v>1.268E-2</v>
      </c>
      <c r="K221">
        <v>0.72028000000000003</v>
      </c>
      <c r="M221">
        <f>PSI_OC!$A$6</f>
        <v>100</v>
      </c>
      <c r="N221">
        <v>-1</v>
      </c>
      <c r="O221" t="s">
        <v>444</v>
      </c>
      <c r="P221" s="8">
        <f t="shared" si="44"/>
        <v>-1059400827.6245164</v>
      </c>
      <c r="Q221" t="s">
        <v>538</v>
      </c>
    </row>
    <row r="222" spans="5:17" x14ac:dyDescent="0.2">
      <c r="E222" t="s">
        <v>293</v>
      </c>
      <c r="F222" s="100">
        <v>1.60467</v>
      </c>
      <c r="G222" t="s">
        <v>398</v>
      </c>
      <c r="H222">
        <v>1.9017500000000001</v>
      </c>
      <c r="I222">
        <v>0.111</v>
      </c>
      <c r="J222">
        <v>1.26824</v>
      </c>
      <c r="K222">
        <v>7.2029999999999997E-2</v>
      </c>
      <c r="M222">
        <f>PSI_OC!$A$7</f>
        <v>10</v>
      </c>
      <c r="N222">
        <v>-1</v>
      </c>
      <c r="O222" t="s">
        <v>482</v>
      </c>
      <c r="P222" s="8">
        <f t="shared" si="44"/>
        <v>-189580958.58255941</v>
      </c>
      <c r="Q222" t="s">
        <v>538</v>
      </c>
    </row>
    <row r="223" spans="5:17" x14ac:dyDescent="0.2">
      <c r="E223" t="s">
        <v>294</v>
      </c>
      <c r="F223" s="100">
        <v>1.6000000000000001E-4</v>
      </c>
      <c r="G223" t="s">
        <v>399</v>
      </c>
      <c r="H223">
        <v>1.9017500000000001</v>
      </c>
      <c r="I223">
        <v>1.1E-4</v>
      </c>
      <c r="J223">
        <v>1.2999999999999999E-4</v>
      </c>
      <c r="K223" s="8">
        <v>7.2027900000000002E-5</v>
      </c>
      <c r="M223">
        <f>PSI_OC!$A$8</f>
        <v>1</v>
      </c>
      <c r="N223">
        <v>-1</v>
      </c>
      <c r="O223" t="s">
        <v>483</v>
      </c>
      <c r="P223" s="8">
        <f t="shared" si="44"/>
        <v>-17326500.340895932</v>
      </c>
      <c r="Q223" t="s">
        <v>538</v>
      </c>
    </row>
    <row r="224" spans="5:17" x14ac:dyDescent="0.2">
      <c r="E224" t="s">
        <v>336</v>
      </c>
      <c r="F224" s="100">
        <v>1.6000000000000001E-3</v>
      </c>
      <c r="G224" t="s">
        <v>400</v>
      </c>
      <c r="H224">
        <v>0.19017999999999999</v>
      </c>
      <c r="I224">
        <v>1.1100000000000001E-3</v>
      </c>
      <c r="J224">
        <v>1.2700000000000001E-3</v>
      </c>
      <c r="K224">
        <v>7.2000000000000005E-4</v>
      </c>
      <c r="M224">
        <f>PSI_OC!$A$6</f>
        <v>100</v>
      </c>
      <c r="N224">
        <v>-1</v>
      </c>
      <c r="O224" t="s">
        <v>484</v>
      </c>
      <c r="P224" s="8">
        <f t="shared" si="44"/>
        <v>-240364271.47406912</v>
      </c>
      <c r="Q224" t="s">
        <v>538</v>
      </c>
    </row>
    <row r="225" spans="5:17" x14ac:dyDescent="0.2">
      <c r="E225" t="s">
        <v>295</v>
      </c>
      <c r="F225" s="100">
        <v>1.6000000000000001E-4</v>
      </c>
      <c r="G225" t="s">
        <v>401</v>
      </c>
      <c r="H225">
        <v>19.017510000000001</v>
      </c>
      <c r="I225">
        <v>1.1E-4</v>
      </c>
      <c r="J225">
        <v>1.2999999999999999E-4</v>
      </c>
      <c r="K225" s="8">
        <v>7.2027900000000002E-5</v>
      </c>
      <c r="M225">
        <f>PSI_OC!$A$6</f>
        <v>100</v>
      </c>
      <c r="N225">
        <v>-1</v>
      </c>
      <c r="O225" t="s">
        <v>485</v>
      </c>
      <c r="P225" s="8">
        <f t="shared" si="44"/>
        <v>-16664883798.310068</v>
      </c>
      <c r="Q225" t="s">
        <v>538</v>
      </c>
    </row>
    <row r="226" spans="5:17" x14ac:dyDescent="0.2">
      <c r="E226" t="s">
        <v>296</v>
      </c>
      <c r="F226" s="100">
        <v>1.60467</v>
      </c>
      <c r="G226" t="s">
        <v>402</v>
      </c>
      <c r="H226">
        <v>1.9019999999999999E-2</v>
      </c>
      <c r="I226">
        <v>1.1100399999999999</v>
      </c>
      <c r="J226">
        <v>1.26824</v>
      </c>
      <c r="K226">
        <v>0.72028000000000003</v>
      </c>
      <c r="M226">
        <f>PSI_OC!$A$7</f>
        <v>10</v>
      </c>
      <c r="N226">
        <v>-1</v>
      </c>
      <c r="O226" t="s">
        <v>486</v>
      </c>
      <c r="P226" s="8">
        <f t="shared" si="44"/>
        <v>-112512963.37112875</v>
      </c>
      <c r="Q226" t="s">
        <v>538</v>
      </c>
    </row>
    <row r="227" spans="5:17" x14ac:dyDescent="0.2">
      <c r="E227" t="s">
        <v>297</v>
      </c>
      <c r="F227" s="100">
        <v>1.6000000000000001E-4</v>
      </c>
      <c r="G227" t="s">
        <v>403</v>
      </c>
      <c r="H227">
        <v>1.9E-3</v>
      </c>
      <c r="I227">
        <v>1.1E-4</v>
      </c>
      <c r="J227">
        <v>1.2999999999999999E-4</v>
      </c>
      <c r="K227" s="8">
        <v>7.2027900000000002E-5</v>
      </c>
      <c r="M227">
        <f>PSI_OC!$A$7</f>
        <v>10</v>
      </c>
      <c r="N227">
        <v>-1</v>
      </c>
      <c r="O227" t="s">
        <v>487</v>
      </c>
      <c r="P227" s="8">
        <f t="shared" si="44"/>
        <v>-7517152.7908490608</v>
      </c>
      <c r="Q227" t="s">
        <v>538</v>
      </c>
    </row>
    <row r="228" spans="5:17" x14ac:dyDescent="0.2">
      <c r="E228" t="s">
        <v>298</v>
      </c>
      <c r="F228" s="100">
        <v>0.16047</v>
      </c>
      <c r="G228" t="s">
        <v>394</v>
      </c>
      <c r="H228">
        <v>1.9E-3</v>
      </c>
      <c r="I228">
        <v>1.1E-4</v>
      </c>
      <c r="J228">
        <v>1.2999999999999999E-4</v>
      </c>
      <c r="K228" s="8">
        <v>7.2027900000000002E-5</v>
      </c>
      <c r="M228">
        <f>PSI_OC!$A$7</f>
        <v>10</v>
      </c>
      <c r="N228">
        <v>-1</v>
      </c>
      <c r="O228" t="s">
        <v>478</v>
      </c>
      <c r="P228" s="8">
        <f t="shared" si="44"/>
        <v>-7517152.7908490608</v>
      </c>
      <c r="Q228" t="s">
        <v>538</v>
      </c>
    </row>
    <row r="229" spans="5:17" x14ac:dyDescent="0.2">
      <c r="E229" t="s">
        <v>299</v>
      </c>
      <c r="F229" s="100">
        <v>1.6000000000000001E-4</v>
      </c>
      <c r="G229" t="s">
        <v>404</v>
      </c>
      <c r="H229">
        <v>1.9019999999999999E-2</v>
      </c>
      <c r="I229">
        <v>1.1E-4</v>
      </c>
      <c r="J229">
        <v>1.2999999999999999E-4</v>
      </c>
      <c r="K229" s="8">
        <v>7.2027900000000002E-5</v>
      </c>
      <c r="M229">
        <f>PSI_OC!$A$7</f>
        <v>10</v>
      </c>
      <c r="N229">
        <v>-1</v>
      </c>
      <c r="O229" t="s">
        <v>488</v>
      </c>
      <c r="P229" s="8">
        <f t="shared" si="44"/>
        <v>-9010746.0758884307</v>
      </c>
      <c r="Q229" t="s">
        <v>538</v>
      </c>
    </row>
    <row r="230" spans="5:17" x14ac:dyDescent="0.2">
      <c r="E230" t="s">
        <v>300</v>
      </c>
      <c r="F230" s="100">
        <v>0.16047</v>
      </c>
      <c r="G230" t="s">
        <v>405</v>
      </c>
      <c r="H230">
        <v>0.19017999999999999</v>
      </c>
      <c r="I230">
        <v>0.111</v>
      </c>
      <c r="J230">
        <v>0.12681999999999999</v>
      </c>
      <c r="K230">
        <v>7.2029999999999997E-2</v>
      </c>
      <c r="M230">
        <f>PSI_OC!$A$7</f>
        <v>10</v>
      </c>
      <c r="N230">
        <v>-1</v>
      </c>
      <c r="O230" t="s">
        <v>489</v>
      </c>
      <c r="P230" s="8">
        <f t="shared" si="44"/>
        <v>-34283788.869840339</v>
      </c>
      <c r="Q230" t="s">
        <v>538</v>
      </c>
    </row>
    <row r="231" spans="5:17" x14ac:dyDescent="0.2">
      <c r="E231" t="s">
        <v>301</v>
      </c>
      <c r="F231" s="100">
        <v>1.6000000000000001E-3</v>
      </c>
      <c r="G231" t="s">
        <v>406</v>
      </c>
      <c r="H231">
        <v>0.19017999999999999</v>
      </c>
      <c r="I231">
        <v>1.1100000000000001E-3</v>
      </c>
      <c r="J231">
        <v>1.2700000000000001E-3</v>
      </c>
      <c r="K231">
        <v>7.2000000000000005E-4</v>
      </c>
      <c r="M231">
        <f>PSI_OC!$A$6</f>
        <v>100</v>
      </c>
      <c r="N231">
        <v>-1</v>
      </c>
      <c r="O231" t="s">
        <v>490</v>
      </c>
      <c r="P231" s="8">
        <f t="shared" si="44"/>
        <v>-240364271.47406912</v>
      </c>
      <c r="Q231" t="s">
        <v>538</v>
      </c>
    </row>
    <row r="232" spans="5:17" x14ac:dyDescent="0.2">
      <c r="E232" t="s">
        <v>302</v>
      </c>
      <c r="F232" s="100">
        <v>1.6000000000000001E-3</v>
      </c>
      <c r="G232" t="s">
        <v>407</v>
      </c>
      <c r="H232">
        <v>0.19017999999999999</v>
      </c>
      <c r="I232">
        <v>1.1100000000000001E-3</v>
      </c>
      <c r="J232">
        <v>1.2700000000000001E-3</v>
      </c>
      <c r="K232">
        <v>7.2000000000000005E-4</v>
      </c>
      <c r="M232">
        <f>PSI_OC!$A$6</f>
        <v>100</v>
      </c>
      <c r="N232">
        <v>-1</v>
      </c>
      <c r="O232" t="s">
        <v>491</v>
      </c>
      <c r="P232" s="8">
        <f t="shared" si="44"/>
        <v>-240364271.47406912</v>
      </c>
      <c r="Q232" t="s">
        <v>538</v>
      </c>
    </row>
    <row r="233" spans="5:17" x14ac:dyDescent="0.2">
      <c r="E233" t="s">
        <v>303</v>
      </c>
      <c r="F233" s="100">
        <v>1.6000000000000001E-3</v>
      </c>
      <c r="G233" t="s">
        <v>408</v>
      </c>
      <c r="H233">
        <v>1.9017500000000001</v>
      </c>
      <c r="I233">
        <v>1.1100000000000001E-3</v>
      </c>
      <c r="J233">
        <v>1.2700000000000001E-3</v>
      </c>
      <c r="K233">
        <v>7.2000000000000005E-4</v>
      </c>
      <c r="M233">
        <f>PSI_OC!$A$7</f>
        <v>10</v>
      </c>
      <c r="N233">
        <v>-1</v>
      </c>
      <c r="O233" t="s">
        <v>492</v>
      </c>
      <c r="P233" s="8">
        <f t="shared" si="44"/>
        <v>-173358241.33402109</v>
      </c>
      <c r="Q233" t="s">
        <v>538</v>
      </c>
    </row>
    <row r="234" spans="5:17" x14ac:dyDescent="0.2">
      <c r="E234" t="s">
        <v>304</v>
      </c>
      <c r="F234" s="100">
        <v>1.60467</v>
      </c>
      <c r="G234" t="s">
        <v>409</v>
      </c>
      <c r="H234">
        <v>1.9E-3</v>
      </c>
      <c r="I234">
        <v>1.1100399999999999</v>
      </c>
      <c r="J234">
        <v>1.26824</v>
      </c>
      <c r="K234">
        <v>0.72028000000000003</v>
      </c>
      <c r="M234">
        <f>PSI_OC!$A$6</f>
        <v>100</v>
      </c>
      <c r="N234">
        <v>-1</v>
      </c>
      <c r="O234" t="s">
        <v>493</v>
      </c>
      <c r="P234" s="8">
        <f t="shared" si="44"/>
        <v>-1110193700.860894</v>
      </c>
      <c r="Q234" t="s">
        <v>538</v>
      </c>
    </row>
    <row r="235" spans="5:17" x14ac:dyDescent="0.2">
      <c r="E235" t="s">
        <v>305</v>
      </c>
      <c r="F235" s="100">
        <v>1.6000000000000001E-3</v>
      </c>
      <c r="G235" t="s">
        <v>410</v>
      </c>
      <c r="H235">
        <v>1.9017500000000001</v>
      </c>
      <c r="I235">
        <v>1.1100000000000001E-3</v>
      </c>
      <c r="J235">
        <v>1.2700000000000001E-3</v>
      </c>
      <c r="K235">
        <v>7.2000000000000005E-4</v>
      </c>
      <c r="M235">
        <f>PSI_OC!$A$7</f>
        <v>10</v>
      </c>
      <c r="N235">
        <v>-1</v>
      </c>
      <c r="O235" t="s">
        <v>494</v>
      </c>
      <c r="P235" s="8">
        <f t="shared" si="44"/>
        <v>-173358241.33402109</v>
      </c>
      <c r="Q235" t="s">
        <v>538</v>
      </c>
    </row>
    <row r="236" spans="5:17" x14ac:dyDescent="0.2">
      <c r="E236" t="s">
        <v>306</v>
      </c>
      <c r="F236" s="100">
        <v>1.6049999999999998E-2</v>
      </c>
      <c r="G236" t="s">
        <v>411</v>
      </c>
      <c r="H236">
        <v>0.19017999999999999</v>
      </c>
      <c r="I236">
        <v>1.1100000000000001E-3</v>
      </c>
      <c r="J236">
        <v>1.2700000000000001E-3</v>
      </c>
      <c r="K236">
        <v>7.2000000000000005E-4</v>
      </c>
      <c r="M236">
        <f>PSI_OC!$A$8</f>
        <v>1</v>
      </c>
      <c r="N236">
        <v>-1</v>
      </c>
      <c r="O236" t="s">
        <v>495</v>
      </c>
      <c r="P236" s="8">
        <f t="shared" si="44"/>
        <v>-2403642.7147406912</v>
      </c>
      <c r="Q236" t="s">
        <v>538</v>
      </c>
    </row>
    <row r="237" spans="5:17" x14ac:dyDescent="0.2">
      <c r="E237" t="s">
        <v>307</v>
      </c>
      <c r="F237" s="100">
        <v>1.6049999999999998E-2</v>
      </c>
      <c r="G237" t="s">
        <v>411</v>
      </c>
      <c r="H237">
        <v>0.19017999999999999</v>
      </c>
      <c r="I237">
        <v>1.1100000000000001E-3</v>
      </c>
      <c r="J237">
        <v>1.2700000000000001E-3</v>
      </c>
      <c r="K237">
        <v>7.2000000000000005E-4</v>
      </c>
      <c r="M237">
        <f>PSI_OC!$A$8</f>
        <v>1</v>
      </c>
      <c r="N237">
        <v>-1</v>
      </c>
      <c r="O237" t="s">
        <v>495</v>
      </c>
      <c r="P237" s="8">
        <f t="shared" si="44"/>
        <v>-2403642.7147406912</v>
      </c>
      <c r="Q237" t="s">
        <v>538</v>
      </c>
    </row>
    <row r="238" spans="5:17" x14ac:dyDescent="0.2">
      <c r="E238" t="s">
        <v>337</v>
      </c>
      <c r="F238" s="100">
        <v>1.6049999999999998E-2</v>
      </c>
      <c r="G238" t="s">
        <v>412</v>
      </c>
      <c r="H238">
        <v>19.017510000000001</v>
      </c>
      <c r="I238">
        <v>0.111</v>
      </c>
      <c r="J238">
        <v>0.12681999999999999</v>
      </c>
      <c r="K238">
        <v>0.72028000000000003</v>
      </c>
      <c r="M238">
        <v>0</v>
      </c>
      <c r="N238">
        <v>0</v>
      </c>
      <c r="O238" t="s">
        <v>496</v>
      </c>
      <c r="P238" s="8">
        <f t="shared" si="44"/>
        <v>0</v>
      </c>
      <c r="Q238" t="s">
        <v>538</v>
      </c>
    </row>
    <row r="239" spans="5:17" x14ac:dyDescent="0.2">
      <c r="E239" t="s">
        <v>308</v>
      </c>
      <c r="F239" s="100">
        <v>1.6000000000000001E-3</v>
      </c>
      <c r="G239" t="s">
        <v>413</v>
      </c>
      <c r="H239">
        <v>1.9019999999999999E-2</v>
      </c>
      <c r="I239">
        <v>1.1100000000000001E-3</v>
      </c>
      <c r="J239">
        <v>1.2700000000000001E-3</v>
      </c>
      <c r="K239">
        <v>7.2000000000000005E-4</v>
      </c>
      <c r="M239">
        <f>PSI_OC!$A$7</f>
        <v>10</v>
      </c>
      <c r="N239">
        <v>-1</v>
      </c>
      <c r="O239" t="s">
        <v>497</v>
      </c>
      <c r="P239" s="8">
        <f t="shared" si="44"/>
        <v>-9103984.000950221</v>
      </c>
      <c r="Q239" t="s">
        <v>538</v>
      </c>
    </row>
    <row r="240" spans="5:17" x14ac:dyDescent="0.2">
      <c r="E240" t="s">
        <v>309</v>
      </c>
      <c r="F240" s="100">
        <v>1.6000000000000001E-3</v>
      </c>
      <c r="G240" t="s">
        <v>413</v>
      </c>
      <c r="H240">
        <v>0.19017999999999999</v>
      </c>
      <c r="I240">
        <v>1.1100000000000001E-3</v>
      </c>
      <c r="J240">
        <v>1.2700000000000001E-3</v>
      </c>
      <c r="K240">
        <v>7.2000000000000005E-4</v>
      </c>
      <c r="M240">
        <f>PSI_OC!$A$7</f>
        <v>10</v>
      </c>
      <c r="N240">
        <v>-1</v>
      </c>
      <c r="O240" t="s">
        <v>497</v>
      </c>
      <c r="P240" s="8">
        <f t="shared" si="44"/>
        <v>-24036427.147406913</v>
      </c>
      <c r="Q240" t="s">
        <v>538</v>
      </c>
    </row>
    <row r="241" spans="5:17" x14ac:dyDescent="0.2">
      <c r="E241" t="s">
        <v>310</v>
      </c>
      <c r="F241" s="100">
        <v>1.6000000000000001E-3</v>
      </c>
      <c r="G241" t="s">
        <v>413</v>
      </c>
      <c r="H241">
        <v>1.9019999999999999E-2</v>
      </c>
      <c r="I241">
        <v>1.1100000000000001E-3</v>
      </c>
      <c r="J241">
        <v>1.2700000000000001E-3</v>
      </c>
      <c r="K241">
        <v>7.2000000000000005E-4</v>
      </c>
      <c r="M241">
        <v>0</v>
      </c>
      <c r="N241">
        <v>0</v>
      </c>
      <c r="O241" t="s">
        <v>497</v>
      </c>
      <c r="P241" s="8">
        <f t="shared" si="44"/>
        <v>0</v>
      </c>
      <c r="Q241" t="s">
        <v>538</v>
      </c>
    </row>
    <row r="242" spans="5:17" x14ac:dyDescent="0.2">
      <c r="E242" t="s">
        <v>311</v>
      </c>
      <c r="F242" s="100">
        <v>1.6000000000000001E-3</v>
      </c>
      <c r="G242" t="s">
        <v>414</v>
      </c>
      <c r="H242">
        <v>0.19017999999999999</v>
      </c>
      <c r="I242">
        <v>1.1100000000000001E-3</v>
      </c>
      <c r="J242">
        <v>1.2700000000000001E-3</v>
      </c>
      <c r="K242">
        <v>7.2000000000000005E-4</v>
      </c>
      <c r="M242">
        <f>PSI_OC!$A$7</f>
        <v>10</v>
      </c>
      <c r="N242">
        <v>-1</v>
      </c>
      <c r="O242" t="s">
        <v>498</v>
      </c>
      <c r="P242" s="8">
        <f t="shared" si="44"/>
        <v>-24036427.147406913</v>
      </c>
      <c r="Q242" t="s">
        <v>538</v>
      </c>
    </row>
  </sheetData>
  <mergeCells count="28">
    <mergeCell ref="V3:AA4"/>
    <mergeCell ref="AB3:AF4"/>
    <mergeCell ref="V1:AF2"/>
    <mergeCell ref="AH1:AR2"/>
    <mergeCell ref="AH3:AL4"/>
    <mergeCell ref="AM3:AQ4"/>
    <mergeCell ref="R134:S135"/>
    <mergeCell ref="E135:G135"/>
    <mergeCell ref="B134:B136"/>
    <mergeCell ref="A132:S133"/>
    <mergeCell ref="A19:R20"/>
    <mergeCell ref="A21:A23"/>
    <mergeCell ref="B21:B23"/>
    <mergeCell ref="C21:C23"/>
    <mergeCell ref="A134:A136"/>
    <mergeCell ref="C134:C136"/>
    <mergeCell ref="D134:D136"/>
    <mergeCell ref="E134:G134"/>
    <mergeCell ref="M134:O135"/>
    <mergeCell ref="P134:Q135"/>
    <mergeCell ref="A1:S2"/>
    <mergeCell ref="A4:C4"/>
    <mergeCell ref="A16:T17"/>
    <mergeCell ref="D21:F21"/>
    <mergeCell ref="L21:N22"/>
    <mergeCell ref="O21:P22"/>
    <mergeCell ref="Q21:R22"/>
    <mergeCell ref="D22:F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DD42CF-2E6F-954F-8CF6-477E18C992B5}">
  <sheetPr codeName="Sheet3"/>
  <dimension ref="A1:AU2517"/>
  <sheetViews>
    <sheetView zoomScale="110" zoomScaleNormal="110" workbookViewId="0">
      <selection activeCell="A12" sqref="A12"/>
    </sheetView>
  </sheetViews>
  <sheetFormatPr baseColWidth="10" defaultRowHeight="15" x14ac:dyDescent="0.2"/>
  <cols>
    <col min="1" max="1" width="34.6640625" customWidth="1"/>
    <col min="2" max="2" width="28.5" style="56" customWidth="1"/>
    <col min="3" max="3" width="32" style="56" customWidth="1"/>
    <col min="4" max="4" width="16.83203125" style="56" customWidth="1"/>
    <col min="5" max="5" width="19.5" style="56" customWidth="1"/>
    <col min="6" max="6" width="19.5" customWidth="1"/>
    <col min="7" max="7" width="17.83203125" customWidth="1"/>
    <col min="8" max="8" width="17.1640625" customWidth="1"/>
    <col min="9" max="9" width="15.6640625" customWidth="1"/>
    <col min="10" max="10" width="14.6640625" customWidth="1"/>
    <col min="11" max="11" width="16" customWidth="1"/>
    <col min="12" max="12" width="15" customWidth="1"/>
    <col min="13" max="13" width="9.83203125" customWidth="1"/>
    <col min="14" max="14" width="13.1640625" customWidth="1"/>
    <col min="15" max="15" width="12.1640625" customWidth="1"/>
    <col min="16" max="16" width="12.6640625" customWidth="1"/>
    <col min="19" max="19" width="13.6640625" bestFit="1" customWidth="1"/>
    <col min="21" max="21" width="11.6640625" bestFit="1" customWidth="1"/>
    <col min="23" max="23" width="14.33203125" customWidth="1"/>
    <col min="29" max="29" width="21.5" customWidth="1"/>
    <col min="30" max="30" width="19.83203125" customWidth="1"/>
    <col min="31" max="31" width="12.83203125" customWidth="1"/>
    <col min="41" max="41" width="21.6640625" customWidth="1"/>
    <col min="42" max="42" width="21.1640625" customWidth="1"/>
    <col min="43" max="43" width="14.5" customWidth="1"/>
  </cols>
  <sheetData>
    <row r="1" spans="1:47" ht="29" customHeight="1" x14ac:dyDescent="0.2">
      <c r="A1" s="317" t="s">
        <v>315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S1" s="357" t="s">
        <v>1012</v>
      </c>
      <c r="T1" s="357"/>
      <c r="U1" s="357"/>
      <c r="V1" s="357"/>
      <c r="W1" s="357"/>
      <c r="X1" s="357"/>
      <c r="Y1" s="357"/>
      <c r="Z1" s="357"/>
      <c r="AA1" s="357"/>
      <c r="AB1" s="357"/>
      <c r="AC1" s="357"/>
      <c r="AD1" s="357"/>
      <c r="AE1" s="357"/>
      <c r="AF1" s="357"/>
      <c r="AH1" s="458" t="s">
        <v>1013</v>
      </c>
      <c r="AI1" s="459"/>
      <c r="AJ1" s="459"/>
      <c r="AK1" s="459"/>
      <c r="AL1" s="459"/>
      <c r="AM1" s="459"/>
      <c r="AN1" s="459"/>
      <c r="AO1" s="459"/>
      <c r="AP1" s="459"/>
      <c r="AQ1" s="459"/>
      <c r="AR1" s="459"/>
      <c r="AS1" s="459"/>
      <c r="AT1" s="459"/>
      <c r="AU1" s="460"/>
    </row>
    <row r="2" spans="1:47" ht="15" customHeight="1" thickBot="1" x14ac:dyDescent="0.25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S2" s="357"/>
      <c r="T2" s="357"/>
      <c r="U2" s="357"/>
      <c r="V2" s="357"/>
      <c r="W2" s="357"/>
      <c r="X2" s="357"/>
      <c r="Y2" s="357"/>
      <c r="Z2" s="357"/>
      <c r="AA2" s="357"/>
      <c r="AB2" s="357"/>
      <c r="AC2" s="357"/>
      <c r="AD2" s="357"/>
      <c r="AE2" s="357"/>
      <c r="AF2" s="357"/>
      <c r="AH2" s="461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</row>
    <row r="3" spans="1:47" ht="24" customHeight="1" x14ac:dyDescent="0.2">
      <c r="S3" s="440" t="s">
        <v>1084</v>
      </c>
      <c r="T3" s="441"/>
      <c r="U3" s="441"/>
      <c r="V3" s="441"/>
      <c r="W3" s="441"/>
      <c r="X3" s="441"/>
      <c r="Y3" s="441"/>
      <c r="Z3" s="441"/>
      <c r="AA3" s="442"/>
      <c r="AB3" s="446" t="s">
        <v>1014</v>
      </c>
      <c r="AC3" s="447"/>
      <c r="AD3" s="447"/>
      <c r="AE3" s="447"/>
      <c r="AF3" s="448"/>
      <c r="AH3" s="464" t="s">
        <v>1084</v>
      </c>
      <c r="AI3" s="465"/>
      <c r="AJ3" s="465"/>
      <c r="AK3" s="465"/>
      <c r="AL3" s="465"/>
      <c r="AM3" s="466"/>
      <c r="AN3" s="452" t="s">
        <v>1000</v>
      </c>
      <c r="AO3" s="453"/>
      <c r="AP3" s="453"/>
      <c r="AQ3" s="454"/>
    </row>
    <row r="4" spans="1:47" ht="16" thickBot="1" x14ac:dyDescent="0.25">
      <c r="A4" s="382" t="s">
        <v>500</v>
      </c>
      <c r="B4" s="382"/>
      <c r="C4" s="382"/>
      <c r="F4" s="129"/>
      <c r="G4" s="129"/>
      <c r="H4" s="129"/>
      <c r="S4" s="443"/>
      <c r="T4" s="444"/>
      <c r="U4" s="444"/>
      <c r="V4" s="444"/>
      <c r="W4" s="444"/>
      <c r="X4" s="444"/>
      <c r="Y4" s="444"/>
      <c r="Z4" s="444"/>
      <c r="AA4" s="445"/>
      <c r="AB4" s="449"/>
      <c r="AC4" s="450"/>
      <c r="AD4" s="450"/>
      <c r="AE4" s="450"/>
      <c r="AF4" s="451"/>
      <c r="AH4" s="467"/>
      <c r="AI4" s="468"/>
      <c r="AJ4" s="468"/>
      <c r="AK4" s="468"/>
      <c r="AL4" s="468"/>
      <c r="AM4" s="469"/>
      <c r="AN4" s="455"/>
      <c r="AO4" s="456"/>
      <c r="AP4" s="456"/>
      <c r="AQ4" s="457"/>
    </row>
    <row r="5" spans="1:47" x14ac:dyDescent="0.2">
      <c r="A5" s="83" t="s">
        <v>0</v>
      </c>
      <c r="B5" s="84" t="s">
        <v>3</v>
      </c>
      <c r="C5" s="84" t="s">
        <v>5</v>
      </c>
      <c r="F5" s="129"/>
      <c r="G5" s="129"/>
      <c r="H5" s="129"/>
      <c r="S5" s="218" t="s">
        <v>983</v>
      </c>
      <c r="T5" s="58" t="s">
        <v>984</v>
      </c>
      <c r="U5" s="218" t="s">
        <v>663</v>
      </c>
      <c r="V5" s="86" t="s">
        <v>507</v>
      </c>
      <c r="W5" s="86" t="s">
        <v>505</v>
      </c>
      <c r="X5" s="86" t="s">
        <v>50</v>
      </c>
      <c r="Y5" s="86" t="s">
        <v>980</v>
      </c>
      <c r="Z5" s="86" t="s">
        <v>511</v>
      </c>
      <c r="AA5" s="86" t="s">
        <v>10</v>
      </c>
      <c r="AC5" s="228" t="s">
        <v>1059</v>
      </c>
      <c r="AD5" s="228" t="s">
        <v>1058</v>
      </c>
      <c r="AE5" s="228" t="s">
        <v>1060</v>
      </c>
      <c r="AF5" s="228" t="s">
        <v>1061</v>
      </c>
      <c r="AH5" s="228" t="s">
        <v>990</v>
      </c>
      <c r="AI5" s="228" t="s">
        <v>991</v>
      </c>
      <c r="AJ5" s="228" t="s">
        <v>197</v>
      </c>
      <c r="AK5" s="228" t="s">
        <v>992</v>
      </c>
      <c r="AL5" s="228" t="s">
        <v>137</v>
      </c>
      <c r="AM5" s="228" t="s">
        <v>993</v>
      </c>
      <c r="AN5" s="4"/>
      <c r="AO5" s="228" t="s">
        <v>1059</v>
      </c>
      <c r="AP5" s="228" t="s">
        <v>1058</v>
      </c>
      <c r="AQ5" s="228" t="s">
        <v>1061</v>
      </c>
    </row>
    <row r="6" spans="1:47" x14ac:dyDescent="0.2">
      <c r="A6" s="207">
        <f>Variables!F4</f>
        <v>100</v>
      </c>
      <c r="B6" s="85" t="s">
        <v>312</v>
      </c>
      <c r="C6" s="85" t="s">
        <v>1020</v>
      </c>
      <c r="G6" s="127"/>
      <c r="H6" s="128"/>
      <c r="S6">
        <f t="shared" ref="S6:S37" si="0">(I21*D21*J21*$B$21)</f>
        <v>-520000</v>
      </c>
      <c r="T6">
        <f t="shared" ref="T6:T37" si="1">(I21*J21*G21*SUM($B$22:$B$25))</f>
        <v>-1255068.1681535332</v>
      </c>
      <c r="U6">
        <f t="shared" ref="U6:U37" si="2">SUM(B$134,B$145,B$247:B$248,B$252,B$256,B$259,B$366:B$368,B$472,B$585,B$699,B$812,B$924,B$930,B$937:B$938,B$1037:B$1039,B$1150,B$1272,B$1378:B$1379,B$1384,B$1491,B$1604,B$1718)*D1716*I1716*J1716</f>
        <v>-193604.62877392702</v>
      </c>
      <c r="V6">
        <f t="shared" ref="V6:V37" si="3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1716*I1716*J1716</f>
        <v>-7972725.5617346233</v>
      </c>
      <c r="W6" s="217">
        <f t="shared" ref="W6:W37" si="4">SUM(B$815,B$263,B$1153,B$1264:B$1266)*F1264*I1264*J1264</f>
        <v>-513382.48656072549</v>
      </c>
      <c r="X6">
        <f t="shared" ref="X6:X37" si="5">SUM(B$140,B$592,B$706,B$1045,B$1267)*G1264*I1264*J1264</f>
        <v>-1553097.2467126281</v>
      </c>
      <c r="Y6">
        <f t="shared" ref="Y6:Y37" si="6">SUM(B$141:B$144,B$148:B$151,B$249,B$253,B$260,B$264:B$265,B$363,B$360,B$473,B$588,B$702,B$1042,B$1268:B$1271,B$1380,B$1603,B$1716)*F1716*I1716*J1716</f>
        <v>-66907.413998576943</v>
      </c>
      <c r="Z6">
        <f t="shared" ref="Z6:Z37" si="7">SUM(B$147,B$931,B$1493,B$1719:B$1720,B$1606:B$1607)*H1490*I1490*J1490</f>
        <v>-26773.857757529582</v>
      </c>
      <c r="AA6">
        <f t="shared" ref="AA6:AA37" si="8">SUM(B$254,B$261,B$361,B$364,B$589,B$703,B$1043)*G1037*J1037*K1037</f>
        <v>-66660.656826125691</v>
      </c>
      <c r="AB6" s="244" t="s">
        <v>983</v>
      </c>
      <c r="AC6" s="8">
        <f>($B$21)</f>
        <v>40000000</v>
      </c>
      <c r="AD6" s="221">
        <f>Variables!F46</f>
        <v>53900000000</v>
      </c>
      <c r="AE6" s="8">
        <f>AD6*$A$10</f>
        <v>1617000000000</v>
      </c>
      <c r="AF6" s="8">
        <f>AE6/$A$11</f>
        <v>194.81927710843374</v>
      </c>
      <c r="AH6" s="8">
        <f t="shared" ref="AH6:AH37" si="9">SUM(B$1831:B$1833)*D1832*F1832*G1832</f>
        <v>-686537.9571327843</v>
      </c>
      <c r="AI6" s="8">
        <f t="shared" ref="AI6:AI37" si="10">SUM(B$1943:B$1948,B$2057,B$2059:B$2066,B$2170:B$2175,B$2186,B$2198:B$2200,B$2212:B$2214,B$2283:B$2284,B$2293:B$2298,B$2309:B$2313,B$2323:B$2324,B$2399:B$2405,B$2418:B$2421,B$2433:B$2438,B$2450:B$2455,B$2467:B$2470)*D2057*G2057*H2057</f>
        <v>-81618.293996224718</v>
      </c>
      <c r="AJ6" s="8">
        <f t="shared" ref="AJ6:AJ37" si="11">SUM(B$2058)*F2057*G2057*H2057</f>
        <v>-15319.490779884674</v>
      </c>
      <c r="AK6" s="8">
        <f t="shared" ref="AK6:AK37" si="12">SUM(B$2285,B$2325)*F2283*G2283*H2283</f>
        <v>-18454.924104447993</v>
      </c>
      <c r="AL6" s="8">
        <f t="shared" ref="AL6:AL37" si="13">SUM(B$2406,B$2422,B$2439,B$2456)*F2397*H2397*I2397</f>
        <v>-11490.711373744629</v>
      </c>
      <c r="AM6" s="8">
        <f t="shared" ref="AM6:AM37" si="14">SUM(B$2417,B$2433,B$2450)*G2397*H2397*I2397</f>
        <v>-362261.03415048798</v>
      </c>
      <c r="AN6" s="86" t="s">
        <v>990</v>
      </c>
      <c r="AO6" s="69">
        <f>SUM(B$1831:B$1833)</f>
        <v>5363577.7900998769</v>
      </c>
      <c r="AP6" s="8">
        <f>Variables!F60</f>
        <v>1140000000000</v>
      </c>
      <c r="AQ6" s="17">
        <f>AP6/$A$11</f>
        <v>137.34939759036143</v>
      </c>
    </row>
    <row r="7" spans="1:47" ht="15" customHeight="1" x14ac:dyDescent="0.2">
      <c r="A7" s="207">
        <f>Variables!F5</f>
        <v>10</v>
      </c>
      <c r="B7" s="85" t="s">
        <v>313</v>
      </c>
      <c r="C7" s="85" t="s">
        <v>1020</v>
      </c>
      <c r="G7" s="65"/>
      <c r="K7" s="80"/>
      <c r="L7" s="47"/>
      <c r="M7" s="47"/>
      <c r="S7">
        <f t="shared" si="0"/>
        <v>-52000</v>
      </c>
      <c r="T7">
        <f t="shared" si="1"/>
        <v>-125506.81681535333</v>
      </c>
      <c r="U7">
        <f t="shared" si="2"/>
        <v>-19360.462877392703</v>
      </c>
      <c r="V7">
        <f t="shared" si="3"/>
        <v>-797272.55617346242</v>
      </c>
      <c r="W7" s="217">
        <f t="shared" si="4"/>
        <v>-51338.248656072545</v>
      </c>
      <c r="X7">
        <f t="shared" si="5"/>
        <v>-155309.72467126281</v>
      </c>
      <c r="Y7">
        <f t="shared" si="6"/>
        <v>-6690.741399857694</v>
      </c>
      <c r="Z7">
        <f t="shared" si="7"/>
        <v>-2677.3857757529586</v>
      </c>
      <c r="AA7">
        <f t="shared" si="8"/>
        <v>-6666.0656826125696</v>
      </c>
      <c r="AB7" s="245" t="s">
        <v>985</v>
      </c>
      <c r="AC7" s="8">
        <f>(SUM($B$22:$B$25))</f>
        <v>96543705.24257949</v>
      </c>
      <c r="AD7" s="221">
        <f>Variables!F47</f>
        <v>343000000000</v>
      </c>
      <c r="AE7" s="8">
        <f t="shared" ref="AE7:AE14" si="15">AD7*$A$10</f>
        <v>10290000000000</v>
      </c>
      <c r="AF7" s="8">
        <f t="shared" ref="AF7:AF14" si="16">AE7/$A$11</f>
        <v>1239.7590361445782</v>
      </c>
      <c r="AH7" s="8">
        <f t="shared" si="9"/>
        <v>-686537.95713278418</v>
      </c>
      <c r="AI7" s="8">
        <f t="shared" si="10"/>
        <v>-8161.8293996224729</v>
      </c>
      <c r="AJ7" s="8">
        <f t="shared" si="11"/>
        <v>-1531.9490779884675</v>
      </c>
      <c r="AK7" s="8">
        <f t="shared" si="12"/>
        <v>-1845.4924104447991</v>
      </c>
      <c r="AL7" s="8">
        <f t="shared" si="13"/>
        <v>-1149.071137374463</v>
      </c>
      <c r="AM7" s="8">
        <f t="shared" si="14"/>
        <v>-3622950.1736194682</v>
      </c>
      <c r="AN7" s="86" t="s">
        <v>991</v>
      </c>
      <c r="AO7" s="69">
        <f>SUM(B$1943:B$1948,B$2057,B$2059:B$2066,B$2170:B$2175,B$2186,B$2198:B$2200,B$2212:B$2214,B$2283:B$2284,B$2293:B$2298,B$2309:B$2313,B$2323:B$2324,B$2399:B$2405,B$2418:B$2421,B$2433:B$2438,B$2450:B$2455,B$2467:B$2470)</f>
        <v>5101143.3747640448</v>
      </c>
      <c r="AP7" s="8">
        <f>Variables!F61</f>
        <v>2570000000000</v>
      </c>
      <c r="AQ7" s="17">
        <f t="shared" ref="AQ7:AQ11" si="17">AP7/$A$11</f>
        <v>309.63855421686748</v>
      </c>
    </row>
    <row r="8" spans="1:47" ht="15" customHeight="1" x14ac:dyDescent="0.2">
      <c r="A8" s="207">
        <f>Variables!F6</f>
        <v>1</v>
      </c>
      <c r="B8" s="85" t="s">
        <v>316</v>
      </c>
      <c r="C8" s="85" t="s">
        <v>1020</v>
      </c>
      <c r="G8" s="8"/>
      <c r="K8" s="80"/>
      <c r="L8" s="47"/>
      <c r="N8" s="47"/>
      <c r="S8">
        <f t="shared" si="0"/>
        <v>-508000.00000000006</v>
      </c>
      <c r="T8">
        <f t="shared" si="1"/>
        <v>-1226105.0565807596</v>
      </c>
      <c r="U8">
        <f t="shared" si="2"/>
        <v>-189136.82964837487</v>
      </c>
      <c r="V8">
        <f t="shared" si="3"/>
        <v>-7869851.6835186919</v>
      </c>
      <c r="W8" s="217">
        <f t="shared" si="4"/>
        <v>-501535.19840932422</v>
      </c>
      <c r="X8">
        <f t="shared" si="5"/>
        <v>-1517256.5410192602</v>
      </c>
      <c r="Y8">
        <f t="shared" si="6"/>
        <v>-65363.396752455948</v>
      </c>
      <c r="Z8">
        <f t="shared" si="7"/>
        <v>-26155.999501586597</v>
      </c>
      <c r="AA8">
        <f t="shared" si="8"/>
        <v>-65122.33397629203</v>
      </c>
      <c r="AB8" s="244" t="s">
        <v>663</v>
      </c>
      <c r="AC8" s="8">
        <f>SUM(B$134,B$145,B$247:B$248,B$252,B$256,B$259,B$366:B$368,B$472,B$585,B$699,B$812,B$924,B$930,B$937:B$938,B$1037:B$1039,B$1150,B$1272,B$1378:B$1379,B$1384,B$1491,B$1604,B$1718)</f>
        <v>14892663.751840541</v>
      </c>
      <c r="AD8" s="221">
        <f>Variables!F48</f>
        <v>64400000000</v>
      </c>
      <c r="AE8" s="8">
        <f t="shared" si="15"/>
        <v>1932000000000</v>
      </c>
      <c r="AF8" s="8">
        <f t="shared" si="16"/>
        <v>232.77108433734941</v>
      </c>
      <c r="AH8" s="8">
        <f t="shared" si="9"/>
        <v>-6868061.3602228928</v>
      </c>
      <c r="AI8" s="8">
        <f t="shared" si="10"/>
        <v>-81618.293996224718</v>
      </c>
      <c r="AJ8" s="8">
        <f t="shared" si="11"/>
        <v>-14965.964069579644</v>
      </c>
      <c r="AK8" s="8">
        <f t="shared" si="12"/>
        <v>-18659.978816719635</v>
      </c>
      <c r="AL8" s="8">
        <f t="shared" si="13"/>
        <v>-11486.260447821098</v>
      </c>
      <c r="AM8" s="8">
        <f t="shared" si="14"/>
        <v>-36229365.803348839</v>
      </c>
      <c r="AN8" s="86" t="s">
        <v>197</v>
      </c>
      <c r="AO8" s="69">
        <f>SUM(B$2058)</f>
        <v>1178422.3676834365</v>
      </c>
      <c r="AP8" s="8">
        <f>Variables!F62</f>
        <v>14900000000</v>
      </c>
      <c r="AQ8" s="17">
        <f t="shared" si="17"/>
        <v>1.7951807228915662</v>
      </c>
    </row>
    <row r="9" spans="1:47" x14ac:dyDescent="0.2">
      <c r="A9" s="16">
        <f>'QSIA-OC'!C21</f>
        <v>510949606.0462392</v>
      </c>
      <c r="B9" s="85" t="s">
        <v>27</v>
      </c>
      <c r="C9" s="85" t="s">
        <v>518</v>
      </c>
      <c r="S9">
        <f t="shared" si="0"/>
        <v>-50727999.999999993</v>
      </c>
      <c r="T9">
        <f t="shared" si="1"/>
        <v>-122436726.98863928</v>
      </c>
      <c r="U9">
        <f t="shared" si="2"/>
        <v>-18886876.170084171</v>
      </c>
      <c r="V9">
        <f t="shared" si="3"/>
        <v>-7869851.6835186919</v>
      </c>
      <c r="W9" s="217">
        <f t="shared" si="4"/>
        <v>-50082436.112024002</v>
      </c>
      <c r="X9">
        <f t="shared" si="5"/>
        <v>-151510609.86776578</v>
      </c>
      <c r="Y9">
        <f t="shared" si="6"/>
        <v>-6527075.5717688669</v>
      </c>
      <c r="Z9">
        <f t="shared" si="7"/>
        <v>-2611892.8006230015</v>
      </c>
      <c r="AA9">
        <f t="shared" si="8"/>
        <v>-6503003.4605302</v>
      </c>
      <c r="AB9" s="246" t="s">
        <v>507</v>
      </c>
      <c r="AC9" s="8">
        <f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</f>
        <v>257184695.53982657</v>
      </c>
      <c r="AD9" s="221">
        <f>Variables!F49</f>
        <v>836200000000</v>
      </c>
      <c r="AE9" s="8">
        <f t="shared" si="15"/>
        <v>25086000000000</v>
      </c>
      <c r="AF9" s="8">
        <f t="shared" si="16"/>
        <v>3022.4096385542171</v>
      </c>
      <c r="AH9" s="8">
        <f t="shared" si="9"/>
        <v>-68678468.17111288</v>
      </c>
      <c r="AI9" s="8">
        <f t="shared" si="10"/>
        <v>-8185804.7734838631</v>
      </c>
      <c r="AJ9" s="8">
        <f t="shared" si="11"/>
        <v>-1494475.2466961341</v>
      </c>
      <c r="AK9" s="8">
        <f t="shared" si="12"/>
        <v>-18659.978816719635</v>
      </c>
      <c r="AL9" s="8">
        <f t="shared" si="13"/>
        <v>-1149104.6389674356</v>
      </c>
      <c r="AM9" s="8">
        <f t="shared" si="14"/>
        <v>-36229365.803348839</v>
      </c>
      <c r="AN9" s="86" t="s">
        <v>992</v>
      </c>
      <c r="AO9" s="69">
        <f>SUM(B$2285,B$2325)</f>
        <v>1025273.5613582217</v>
      </c>
      <c r="AP9" s="8">
        <f>Variables!F63</f>
        <v>318000000000</v>
      </c>
      <c r="AQ9" s="17">
        <f t="shared" si="17"/>
        <v>38.313253012048193</v>
      </c>
    </row>
    <row r="10" spans="1:47" x14ac:dyDescent="0.2">
      <c r="A10" s="5">
        <v>30</v>
      </c>
      <c r="B10" s="85" t="s">
        <v>1056</v>
      </c>
      <c r="C10" s="85" t="s">
        <v>64</v>
      </c>
      <c r="S10">
        <f t="shared" si="0"/>
        <v>-50720000</v>
      </c>
      <c r="T10">
        <f t="shared" si="1"/>
        <v>-122417418.2475908</v>
      </c>
      <c r="U10">
        <f t="shared" si="2"/>
        <v>-18883897.637333807</v>
      </c>
      <c r="V10">
        <f t="shared" si="3"/>
        <v>-78698516.835186929</v>
      </c>
      <c r="W10" s="217">
        <f t="shared" si="4"/>
        <v>-50074537.919923075</v>
      </c>
      <c r="X10">
        <f t="shared" si="5"/>
        <v>-151486716.06397021</v>
      </c>
      <c r="Y10">
        <f t="shared" si="6"/>
        <v>-6526046.2269381201</v>
      </c>
      <c r="Z10">
        <f t="shared" si="7"/>
        <v>-2611480.8951190398</v>
      </c>
      <c r="AA10">
        <f t="shared" si="8"/>
        <v>-6501977.9119636454</v>
      </c>
      <c r="AB10" s="246" t="s">
        <v>505</v>
      </c>
      <c r="AC10" s="8">
        <f>SUM(B$815,B$263,B$1153,B$1264:B$1266)</f>
        <v>39490960.504671194</v>
      </c>
      <c r="AD10" s="221">
        <f>Variables!F50</f>
        <v>20700000000</v>
      </c>
      <c r="AE10" s="8">
        <f t="shared" si="15"/>
        <v>621000000000</v>
      </c>
      <c r="AF10" s="8">
        <f t="shared" si="16"/>
        <v>74.819277108433738</v>
      </c>
      <c r="AG10" s="8"/>
      <c r="AH10" s="8">
        <f t="shared" si="9"/>
        <v>-6865379.5713278418</v>
      </c>
      <c r="AI10" s="8">
        <f t="shared" si="10"/>
        <v>-8187335.116496291</v>
      </c>
      <c r="AJ10" s="8">
        <f t="shared" si="11"/>
        <v>-1494239.5622225974</v>
      </c>
      <c r="AK10" s="8">
        <f t="shared" si="12"/>
        <v>-1867023.1552333217</v>
      </c>
      <c r="AL10" s="8">
        <f t="shared" si="13"/>
        <v>-1148626.0447821098</v>
      </c>
      <c r="AM10" s="8">
        <f t="shared" si="14"/>
        <v>-3622610.3415048798</v>
      </c>
      <c r="AN10" s="86" t="s">
        <v>137</v>
      </c>
      <c r="AO10" s="69">
        <f>SUM(B$2406,B$2422,B$2439,B$2456)</f>
        <v>1595313.9510862636</v>
      </c>
      <c r="AP10" s="8">
        <f>Variables!F64</f>
        <v>332840000000</v>
      </c>
      <c r="AQ10" s="17">
        <f t="shared" si="17"/>
        <v>40.101204819277108</v>
      </c>
    </row>
    <row r="11" spans="1:47" x14ac:dyDescent="0.2">
      <c r="A11" s="291">
        <f>Variables!F9</f>
        <v>8300000000</v>
      </c>
      <c r="B11" s="292" t="s">
        <v>535</v>
      </c>
      <c r="C11" s="85" t="s">
        <v>1057</v>
      </c>
      <c r="S11">
        <f t="shared" si="0"/>
        <v>-507279999.99999994</v>
      </c>
      <c r="T11">
        <f t="shared" si="1"/>
        <v>-1224367269.8863931</v>
      </c>
      <c r="U11">
        <f t="shared" si="2"/>
        <v>-188868761.70084172</v>
      </c>
      <c r="V11">
        <f t="shared" si="3"/>
        <v>-78703660529.097717</v>
      </c>
      <c r="W11" s="217">
        <f t="shared" si="4"/>
        <v>-500824361.12024003</v>
      </c>
      <c r="X11">
        <f t="shared" si="5"/>
        <v>-1515106098.6776578</v>
      </c>
      <c r="Y11">
        <f t="shared" si="6"/>
        <v>-65270755.717688672</v>
      </c>
      <c r="Z11">
        <f t="shared" si="7"/>
        <v>-26118928.006230015</v>
      </c>
      <c r="AA11">
        <f t="shared" si="8"/>
        <v>-65030034.605301999</v>
      </c>
      <c r="AB11" s="246" t="s">
        <v>50</v>
      </c>
      <c r="AC11" s="8">
        <f>SUM(B$140,B$592,B$706,B$1045,B$1267)</f>
        <v>119469018.97789448</v>
      </c>
      <c r="AD11" s="221">
        <f>Variables!F51</f>
        <v>17100000000</v>
      </c>
      <c r="AE11" s="8">
        <f t="shared" si="15"/>
        <v>513000000000</v>
      </c>
      <c r="AF11" s="8">
        <f t="shared" si="16"/>
        <v>61.807228915662648</v>
      </c>
      <c r="AG11" s="8"/>
      <c r="AH11" s="8">
        <f t="shared" si="9"/>
        <v>-6865379.5713278418</v>
      </c>
      <c r="AI11" s="8">
        <f t="shared" si="10"/>
        <v>-81858047.734838635</v>
      </c>
      <c r="AJ11" s="8">
        <f t="shared" si="11"/>
        <v>-14944752.466961339</v>
      </c>
      <c r="AK11" s="8">
        <f t="shared" si="12"/>
        <v>-18454.924104447993</v>
      </c>
      <c r="AL11" s="8">
        <f t="shared" si="13"/>
        <v>-11491046.389674356</v>
      </c>
      <c r="AM11" s="8">
        <f t="shared" si="14"/>
        <v>-3622936580.3348837</v>
      </c>
      <c r="AN11" s="86" t="s">
        <v>993</v>
      </c>
      <c r="AO11" s="69">
        <f>SUM(B$2417,B$2433,B$2450)</f>
        <v>679664.22917539964</v>
      </c>
      <c r="AP11" s="8">
        <f>Variables!F65</f>
        <v>1100000000000</v>
      </c>
      <c r="AQ11" s="17">
        <f t="shared" si="17"/>
        <v>132.53012048192772</v>
      </c>
    </row>
    <row r="12" spans="1:47" ht="16" thickBot="1" x14ac:dyDescent="0.25">
      <c r="A12" s="130"/>
      <c r="S12">
        <f t="shared" si="0"/>
        <v>-507296000.00000006</v>
      </c>
      <c r="T12">
        <f t="shared" si="1"/>
        <v>-122436726.98863928</v>
      </c>
      <c r="U12">
        <f t="shared" si="2"/>
        <v>-18886876.170084171</v>
      </c>
      <c r="V12">
        <f t="shared" si="3"/>
        <v>-7869851.6835186919</v>
      </c>
      <c r="W12" s="217">
        <f t="shared" si="4"/>
        <v>-5007453.7919923076</v>
      </c>
      <c r="X12">
        <f t="shared" si="5"/>
        <v>-1515153886.285249</v>
      </c>
      <c r="Y12">
        <f t="shared" si="6"/>
        <v>-65272814.407350183</v>
      </c>
      <c r="Z12">
        <f t="shared" si="7"/>
        <v>-26155.999501586597</v>
      </c>
      <c r="AA12">
        <f t="shared" si="8"/>
        <v>-6503003.4605302</v>
      </c>
      <c r="AB12" s="246" t="s">
        <v>980</v>
      </c>
      <c r="AC12" s="8">
        <f>SUM(B$141:B$144,B$148:B$151,B$249,B$253,B$260,B$264:B$265,B$363,B$360,B$473,B$588,B$702,B$1042,B$1268:B$1271,B$1380,B$1603,B$1716)</f>
        <v>5146724.1537366882</v>
      </c>
      <c r="AD12" s="221">
        <f>Variables!F52</f>
        <v>1890000000</v>
      </c>
      <c r="AE12" s="8">
        <f t="shared" si="15"/>
        <v>56700000000</v>
      </c>
      <c r="AF12" s="8">
        <f t="shared" si="16"/>
        <v>6.831325301204819</v>
      </c>
      <c r="AG12" s="8"/>
      <c r="AH12" s="8">
        <f t="shared" si="9"/>
        <v>-6868061.3602228928</v>
      </c>
      <c r="AI12" s="8">
        <f t="shared" si="10"/>
        <v>-81856517.391826198</v>
      </c>
      <c r="AJ12" s="8">
        <f t="shared" si="11"/>
        <v>-149423.95622225976</v>
      </c>
      <c r="AK12" s="8">
        <f t="shared" si="12"/>
        <v>-18659.978816719635</v>
      </c>
      <c r="AL12" s="8">
        <f t="shared" si="13"/>
        <v>-11490727.326884139</v>
      </c>
      <c r="AM12" s="8">
        <f t="shared" si="14"/>
        <v>-3622950.1736194682</v>
      </c>
    </row>
    <row r="13" spans="1:47" x14ac:dyDescent="0.2">
      <c r="A13" s="387" t="s">
        <v>656</v>
      </c>
      <c r="B13" s="388"/>
      <c r="C13" s="388"/>
      <c r="D13" s="388"/>
      <c r="E13" s="388"/>
      <c r="F13" s="388"/>
      <c r="G13" s="388"/>
      <c r="H13" s="388"/>
      <c r="I13" s="388"/>
      <c r="J13" s="388"/>
      <c r="K13" s="388"/>
      <c r="L13" s="388"/>
      <c r="M13" s="388"/>
      <c r="N13" s="388"/>
      <c r="O13" s="389"/>
      <c r="S13">
        <f t="shared" si="0"/>
        <v>-52000</v>
      </c>
      <c r="T13">
        <f t="shared" si="1"/>
        <v>-125506.81681535333</v>
      </c>
      <c r="U13">
        <f t="shared" si="2"/>
        <v>-19360.462877392703</v>
      </c>
      <c r="V13">
        <f t="shared" si="3"/>
        <v>-797272.55617346242</v>
      </c>
      <c r="W13" s="217">
        <f t="shared" si="4"/>
        <v>-51338.248656072545</v>
      </c>
      <c r="X13">
        <f t="shared" si="5"/>
        <v>-155309.72467126281</v>
      </c>
      <c r="Y13">
        <f t="shared" si="6"/>
        <v>-6690.741399857694</v>
      </c>
      <c r="Z13">
        <f t="shared" si="7"/>
        <v>-2677.3857757529586</v>
      </c>
      <c r="AA13">
        <f t="shared" si="8"/>
        <v>-6666.0656826125696</v>
      </c>
      <c r="AB13" s="246" t="s">
        <v>511</v>
      </c>
      <c r="AC13" s="8">
        <f>SUM(B$147,B$931,B$1493,B$1719:B$1720,B$1606:B$1607)</f>
        <v>2059527.5198099683</v>
      </c>
      <c r="AD13" s="221">
        <f>Variables!F53</f>
        <v>20800000000</v>
      </c>
      <c r="AE13" s="8">
        <f t="shared" si="15"/>
        <v>624000000000</v>
      </c>
      <c r="AF13" s="8">
        <f t="shared" si="16"/>
        <v>75.180722891566262</v>
      </c>
      <c r="AG13" s="8"/>
      <c r="AH13" s="8">
        <f t="shared" si="9"/>
        <v>-6868061.3602228928</v>
      </c>
      <c r="AI13" s="8">
        <f t="shared" si="10"/>
        <v>-8161.8293996224729</v>
      </c>
      <c r="AJ13" s="8">
        <f t="shared" si="11"/>
        <v>-1531.9490779884675</v>
      </c>
      <c r="AK13" s="8">
        <f t="shared" si="12"/>
        <v>-1845.4924104447991</v>
      </c>
      <c r="AL13" s="8">
        <f t="shared" si="13"/>
        <v>-1149.071137374463</v>
      </c>
      <c r="AM13" s="8">
        <f t="shared" si="14"/>
        <v>-36226.103415048798</v>
      </c>
    </row>
    <row r="14" spans="1:47" ht="16" thickBot="1" x14ac:dyDescent="0.25">
      <c r="A14" s="390"/>
      <c r="B14" s="391"/>
      <c r="C14" s="391"/>
      <c r="D14" s="391"/>
      <c r="E14" s="391"/>
      <c r="F14" s="391"/>
      <c r="G14" s="391"/>
      <c r="H14" s="391"/>
      <c r="I14" s="391"/>
      <c r="J14" s="391"/>
      <c r="K14" s="391"/>
      <c r="L14" s="391"/>
      <c r="M14" s="391"/>
      <c r="N14" s="391"/>
      <c r="O14" s="392"/>
      <c r="S14">
        <f t="shared" si="0"/>
        <v>-52000</v>
      </c>
      <c r="T14">
        <f t="shared" si="1"/>
        <v>-125506.81681535333</v>
      </c>
      <c r="U14">
        <f t="shared" si="2"/>
        <v>-19360.462877392703</v>
      </c>
      <c r="V14">
        <f t="shared" si="3"/>
        <v>-797272.55617346242</v>
      </c>
      <c r="W14" s="217">
        <f t="shared" si="4"/>
        <v>-51338.248656072545</v>
      </c>
      <c r="X14">
        <f t="shared" si="5"/>
        <v>-155309.72467126281</v>
      </c>
      <c r="Y14">
        <f t="shared" si="6"/>
        <v>-6690.741399857694</v>
      </c>
      <c r="Z14">
        <f t="shared" si="7"/>
        <v>-2677.3857757529586</v>
      </c>
      <c r="AA14">
        <f t="shared" si="8"/>
        <v>-6666.0656826125696</v>
      </c>
      <c r="AB14" s="246" t="s">
        <v>10</v>
      </c>
      <c r="AC14" s="8">
        <f>SUM(B$254,B$261,B$361,B$364,B$589,B$703,B$1043)</f>
        <v>5127742.8327788999</v>
      </c>
      <c r="AD14" s="221">
        <f>Variables!F54</f>
        <v>79000000000</v>
      </c>
      <c r="AE14" s="8">
        <f t="shared" si="15"/>
        <v>2370000000000</v>
      </c>
      <c r="AF14" s="8">
        <f t="shared" si="16"/>
        <v>285.54216867469881</v>
      </c>
      <c r="AG14" s="8"/>
      <c r="AH14" s="8">
        <f t="shared" si="9"/>
        <v>-6868061.3602228928</v>
      </c>
      <c r="AI14" s="8">
        <f t="shared" si="10"/>
        <v>-8161.8293996224729</v>
      </c>
      <c r="AJ14" s="8">
        <f t="shared" si="11"/>
        <v>-1531.9490779884675</v>
      </c>
      <c r="AK14" s="8">
        <f t="shared" si="12"/>
        <v>-1845.4924104447991</v>
      </c>
      <c r="AL14" s="8">
        <f t="shared" si="13"/>
        <v>-1149.071137374463</v>
      </c>
      <c r="AM14" s="8">
        <f t="shared" si="14"/>
        <v>-36226.103415048798</v>
      </c>
    </row>
    <row r="15" spans="1:47" x14ac:dyDescent="0.2">
      <c r="S15">
        <f t="shared" si="0"/>
        <v>-520000</v>
      </c>
      <c r="T15">
        <f t="shared" si="1"/>
        <v>0</v>
      </c>
      <c r="U15">
        <f t="shared" si="2"/>
        <v>0</v>
      </c>
      <c r="V15">
        <f t="shared" si="3"/>
        <v>-7870366052.9097738</v>
      </c>
      <c r="W15" s="217">
        <f t="shared" si="4"/>
        <v>-513382.48656072549</v>
      </c>
      <c r="X15">
        <f t="shared" si="5"/>
        <v>0</v>
      </c>
      <c r="Y15">
        <f t="shared" si="6"/>
        <v>0</v>
      </c>
      <c r="Z15">
        <f t="shared" si="7"/>
        <v>0</v>
      </c>
      <c r="AA15">
        <f t="shared" si="8"/>
        <v>-66660.656826125691</v>
      </c>
      <c r="AG15" s="8"/>
      <c r="AH15" s="8">
        <f t="shared" si="9"/>
        <v>0</v>
      </c>
      <c r="AI15" s="8">
        <f t="shared" si="10"/>
        <v>0</v>
      </c>
      <c r="AJ15" s="8">
        <f t="shared" si="11"/>
        <v>-15319.490779884674</v>
      </c>
      <c r="AK15" s="8">
        <f t="shared" si="12"/>
        <v>0</v>
      </c>
      <c r="AL15" s="8">
        <f t="shared" si="13"/>
        <v>-114907273.26884139</v>
      </c>
      <c r="AM15" s="8">
        <f t="shared" si="14"/>
        <v>0</v>
      </c>
    </row>
    <row r="16" spans="1:47" ht="22" customHeight="1" x14ac:dyDescent="0.2">
      <c r="A16" s="386" t="s">
        <v>36</v>
      </c>
      <c r="B16" s="386"/>
      <c r="C16" s="386"/>
      <c r="D16" s="386"/>
      <c r="E16" s="386"/>
      <c r="F16" s="386"/>
      <c r="G16" s="386"/>
      <c r="H16" s="386"/>
      <c r="I16" s="386"/>
      <c r="J16" s="386"/>
      <c r="K16" s="386"/>
      <c r="L16" s="386"/>
      <c r="M16" s="386"/>
      <c r="N16" s="386"/>
      <c r="O16" s="386"/>
      <c r="S16">
        <f t="shared" si="0"/>
        <v>-520000</v>
      </c>
      <c r="T16">
        <f t="shared" si="1"/>
        <v>0</v>
      </c>
      <c r="U16">
        <f t="shared" si="2"/>
        <v>0</v>
      </c>
      <c r="V16">
        <f t="shared" si="3"/>
        <v>-7870366052.9097738</v>
      </c>
      <c r="W16" s="217">
        <f t="shared" si="4"/>
        <v>-513382.48656072549</v>
      </c>
      <c r="X16">
        <f t="shared" si="5"/>
        <v>0</v>
      </c>
      <c r="Y16">
        <f t="shared" si="6"/>
        <v>0</v>
      </c>
      <c r="Z16">
        <f t="shared" si="7"/>
        <v>0</v>
      </c>
      <c r="AA16">
        <f t="shared" si="8"/>
        <v>-66660.656826125691</v>
      </c>
      <c r="AG16" s="8"/>
      <c r="AH16" s="8">
        <f t="shared" si="9"/>
        <v>0</v>
      </c>
      <c r="AI16" s="8">
        <f t="shared" si="10"/>
        <v>0</v>
      </c>
      <c r="AJ16" s="8">
        <f t="shared" si="11"/>
        <v>-15319.490779884674</v>
      </c>
      <c r="AK16" s="8">
        <f t="shared" si="12"/>
        <v>0</v>
      </c>
      <c r="AL16" s="8">
        <f t="shared" si="13"/>
        <v>-114907273.26884139</v>
      </c>
      <c r="AM16" s="8">
        <f t="shared" si="14"/>
        <v>0</v>
      </c>
    </row>
    <row r="17" spans="1:39" ht="15" customHeight="1" x14ac:dyDescent="0.2">
      <c r="A17" s="386"/>
      <c r="B17" s="386"/>
      <c r="C17" s="386"/>
      <c r="D17" s="386"/>
      <c r="E17" s="386"/>
      <c r="F17" s="386"/>
      <c r="G17" s="386"/>
      <c r="H17" s="386"/>
      <c r="I17" s="386"/>
      <c r="J17" s="386"/>
      <c r="K17" s="386"/>
      <c r="L17" s="386"/>
      <c r="M17" s="386"/>
      <c r="N17" s="386"/>
      <c r="O17" s="386"/>
      <c r="S17">
        <f t="shared" si="0"/>
        <v>0</v>
      </c>
      <c r="T17">
        <f t="shared" si="1"/>
        <v>0</v>
      </c>
      <c r="U17">
        <f t="shared" si="2"/>
        <v>0</v>
      </c>
      <c r="V17">
        <f t="shared" si="3"/>
        <v>0</v>
      </c>
      <c r="W17" s="217">
        <f t="shared" si="4"/>
        <v>0</v>
      </c>
      <c r="X17">
        <f t="shared" si="5"/>
        <v>0</v>
      </c>
      <c r="Y17">
        <f t="shared" si="6"/>
        <v>0</v>
      </c>
      <c r="Z17">
        <f t="shared" si="7"/>
        <v>0</v>
      </c>
      <c r="AA17">
        <f t="shared" si="8"/>
        <v>0</v>
      </c>
      <c r="AG17" s="8"/>
      <c r="AH17" s="8">
        <f t="shared" si="9"/>
        <v>0</v>
      </c>
      <c r="AI17" s="8">
        <f t="shared" si="10"/>
        <v>0</v>
      </c>
      <c r="AJ17" s="8">
        <f t="shared" si="11"/>
        <v>0</v>
      </c>
      <c r="AK17" s="8">
        <f t="shared" si="12"/>
        <v>0</v>
      </c>
      <c r="AL17" s="8">
        <f t="shared" si="13"/>
        <v>0</v>
      </c>
      <c r="AM17" s="8">
        <f t="shared" si="14"/>
        <v>0</v>
      </c>
    </row>
    <row r="18" spans="1:39" x14ac:dyDescent="0.2">
      <c r="A18" s="358" t="s">
        <v>8</v>
      </c>
      <c r="B18" s="363" t="s">
        <v>1022</v>
      </c>
      <c r="C18" s="364" t="s">
        <v>415</v>
      </c>
      <c r="D18" s="364"/>
      <c r="E18" s="364"/>
      <c r="F18" s="327" t="s">
        <v>416</v>
      </c>
      <c r="G18" s="364"/>
      <c r="H18" s="364"/>
      <c r="I18" s="328" t="s">
        <v>421</v>
      </c>
      <c r="J18" s="329"/>
      <c r="K18" s="330"/>
      <c r="L18" s="381" t="s">
        <v>28</v>
      </c>
      <c r="M18" s="381"/>
      <c r="N18" s="376" t="s">
        <v>420</v>
      </c>
      <c r="O18" s="376"/>
      <c r="S18">
        <f t="shared" si="0"/>
        <v>5072799.9999999991</v>
      </c>
      <c r="T18">
        <f t="shared" si="1"/>
        <v>12243672.698863929</v>
      </c>
      <c r="U18">
        <f t="shared" si="2"/>
        <v>1888687.6170084171</v>
      </c>
      <c r="V18">
        <f t="shared" si="3"/>
        <v>78703660.529097736</v>
      </c>
      <c r="W18" s="217">
        <f t="shared" si="4"/>
        <v>5008243.6112024002</v>
      </c>
      <c r="X18">
        <f t="shared" si="5"/>
        <v>15151060.986776577</v>
      </c>
      <c r="Y18">
        <f t="shared" si="6"/>
        <v>652707.55717688671</v>
      </c>
      <c r="Z18">
        <f t="shared" si="7"/>
        <v>261189.28006230015</v>
      </c>
      <c r="AA18">
        <f t="shared" si="8"/>
        <v>650300.34605301998</v>
      </c>
      <c r="AG18" s="8"/>
      <c r="AH18" s="8">
        <f t="shared" si="9"/>
        <v>6867846.8171112882</v>
      </c>
      <c r="AI18" s="8">
        <f t="shared" si="10"/>
        <v>818580.47734838631</v>
      </c>
      <c r="AJ18" s="8">
        <f t="shared" si="11"/>
        <v>149447.5246696134</v>
      </c>
      <c r="AK18" s="8">
        <f t="shared" si="12"/>
        <v>186722.82099455933</v>
      </c>
      <c r="AL18" s="8">
        <f t="shared" si="13"/>
        <v>114910.46389674356</v>
      </c>
      <c r="AM18" s="8">
        <f t="shared" si="14"/>
        <v>3622936.5803348841</v>
      </c>
    </row>
    <row r="19" spans="1:39" x14ac:dyDescent="0.2">
      <c r="A19" s="358"/>
      <c r="B19" s="363"/>
      <c r="C19" s="371" t="s">
        <v>417</v>
      </c>
      <c r="D19" s="371"/>
      <c r="E19" s="371"/>
      <c r="F19" s="383" t="s">
        <v>501</v>
      </c>
      <c r="G19" s="384"/>
      <c r="H19" s="385"/>
      <c r="I19" s="331"/>
      <c r="J19" s="332"/>
      <c r="K19" s="333"/>
      <c r="L19" s="381"/>
      <c r="M19" s="381"/>
      <c r="N19" s="376"/>
      <c r="O19" s="376"/>
      <c r="S19">
        <f t="shared" si="0"/>
        <v>-52000</v>
      </c>
      <c r="T19">
        <f t="shared" si="1"/>
        <v>-125506.81681535333</v>
      </c>
      <c r="U19">
        <f t="shared" si="2"/>
        <v>-19360.462877392703</v>
      </c>
      <c r="V19">
        <f t="shared" si="3"/>
        <v>-7870366052.9097729</v>
      </c>
      <c r="W19" s="217">
        <f t="shared" si="4"/>
        <v>-51338.248656072545</v>
      </c>
      <c r="X19">
        <f t="shared" si="5"/>
        <v>-155309.72467126281</v>
      </c>
      <c r="Y19">
        <f t="shared" si="6"/>
        <v>-6690.741399857694</v>
      </c>
      <c r="Z19">
        <f t="shared" si="7"/>
        <v>-2677.3857757529586</v>
      </c>
      <c r="AA19">
        <f t="shared" si="8"/>
        <v>-6666.0656826125696</v>
      </c>
      <c r="AH19" s="8">
        <f t="shared" si="9"/>
        <v>-68653.795713278436</v>
      </c>
      <c r="AI19" s="8">
        <f t="shared" si="10"/>
        <v>-8161.8293996224729</v>
      </c>
      <c r="AJ19" s="8">
        <f t="shared" si="11"/>
        <v>-1531.9490779884675</v>
      </c>
      <c r="AK19" s="8">
        <f t="shared" si="12"/>
        <v>-1845.4924104447991</v>
      </c>
      <c r="AL19" s="8">
        <f t="shared" si="13"/>
        <v>-1149.071137374463</v>
      </c>
      <c r="AM19" s="8">
        <f t="shared" si="14"/>
        <v>-36226.103415048798</v>
      </c>
    </row>
    <row r="20" spans="1:39" ht="15" customHeight="1" x14ac:dyDescent="0.2">
      <c r="A20" s="358"/>
      <c r="B20" s="363"/>
      <c r="C20" s="6" t="s">
        <v>317</v>
      </c>
      <c r="D20" s="58" t="s">
        <v>319</v>
      </c>
      <c r="E20" s="58" t="s">
        <v>5</v>
      </c>
      <c r="F20" s="67" t="s">
        <v>317</v>
      </c>
      <c r="G20" s="58" t="s">
        <v>319</v>
      </c>
      <c r="H20" s="58" t="s">
        <v>5</v>
      </c>
      <c r="I20" s="64" t="s">
        <v>0</v>
      </c>
      <c r="J20" s="64" t="s">
        <v>499</v>
      </c>
      <c r="K20" s="64" t="s">
        <v>5</v>
      </c>
      <c r="L20" s="64" t="s">
        <v>0</v>
      </c>
      <c r="M20" s="58" t="s">
        <v>5</v>
      </c>
      <c r="N20" s="64" t="s">
        <v>0</v>
      </c>
      <c r="O20" s="58" t="s">
        <v>5</v>
      </c>
      <c r="S20">
        <f t="shared" si="0"/>
        <v>-507279999.99999994</v>
      </c>
      <c r="T20">
        <f t="shared" si="1"/>
        <v>-1224367269.8863931</v>
      </c>
      <c r="U20">
        <f t="shared" si="2"/>
        <v>-188868761.70084172</v>
      </c>
      <c r="V20">
        <f t="shared" si="3"/>
        <v>-7870366052.9097738</v>
      </c>
      <c r="W20" s="217">
        <f t="shared" si="4"/>
        <v>-500824361.12024003</v>
      </c>
      <c r="X20">
        <f t="shared" si="5"/>
        <v>-1515106098.6776578</v>
      </c>
      <c r="Y20">
        <f t="shared" si="6"/>
        <v>-65270755.717688672</v>
      </c>
      <c r="Z20">
        <f t="shared" si="7"/>
        <v>-26118928.006230015</v>
      </c>
      <c r="AA20">
        <f t="shared" si="8"/>
        <v>-65030034.605301999</v>
      </c>
      <c r="AH20" s="8">
        <f t="shared" si="9"/>
        <v>-6867857544.2668695</v>
      </c>
      <c r="AI20" s="8">
        <f t="shared" si="10"/>
        <v>-81858047.734838635</v>
      </c>
      <c r="AJ20" s="8">
        <f t="shared" si="11"/>
        <v>-14944752.466961339</v>
      </c>
      <c r="AK20" s="8">
        <f t="shared" si="12"/>
        <v>-1867023.1552333217</v>
      </c>
      <c r="AL20" s="8">
        <f t="shared" si="13"/>
        <v>-11491046.389674356</v>
      </c>
      <c r="AM20" s="8">
        <f t="shared" si="14"/>
        <v>-362293658.03348839</v>
      </c>
    </row>
    <row r="21" spans="1:39" ht="16" x14ac:dyDescent="0.2">
      <c r="A21" s="71" t="s">
        <v>149</v>
      </c>
      <c r="B21" s="72">
        <v>40000000</v>
      </c>
      <c r="C21" t="s">
        <v>225</v>
      </c>
      <c r="D21">
        <v>1.2999999999999999E-4</v>
      </c>
      <c r="E21" t="s">
        <v>338</v>
      </c>
      <c r="F21" t="s">
        <v>225</v>
      </c>
      <c r="G21">
        <v>1.2999999999999999E-4</v>
      </c>
      <c r="H21" t="s">
        <v>338</v>
      </c>
      <c r="I21">
        <f>$A$6</f>
        <v>100</v>
      </c>
      <c r="J21">
        <v>-1</v>
      </c>
      <c r="K21" t="s">
        <v>422</v>
      </c>
      <c r="L21" s="17">
        <f>(I21*D21*J21*$B$21)+(I21*J21*G21*SUM($B$22:$B$25))</f>
        <v>-1775068.1681535332</v>
      </c>
      <c r="M21" t="s">
        <v>537</v>
      </c>
      <c r="N21" s="69">
        <f>SUM(L21:L126)</f>
        <v>-106343101196.35181</v>
      </c>
      <c r="O21" t="s">
        <v>537</v>
      </c>
      <c r="S21">
        <f t="shared" si="0"/>
        <v>0</v>
      </c>
      <c r="T21">
        <f t="shared" si="1"/>
        <v>0</v>
      </c>
      <c r="U21">
        <f t="shared" si="2"/>
        <v>0</v>
      </c>
      <c r="V21">
        <f t="shared" si="3"/>
        <v>0</v>
      </c>
      <c r="W21" s="217">
        <f t="shared" si="4"/>
        <v>0</v>
      </c>
      <c r="X21">
        <f t="shared" si="5"/>
        <v>0</v>
      </c>
      <c r="Y21">
        <f t="shared" si="6"/>
        <v>0</v>
      </c>
      <c r="Z21">
        <f t="shared" si="7"/>
        <v>0</v>
      </c>
      <c r="AA21">
        <f t="shared" si="8"/>
        <v>0</v>
      </c>
      <c r="AH21" s="8">
        <f t="shared" si="9"/>
        <v>0</v>
      </c>
      <c r="AI21" s="8">
        <f t="shared" si="10"/>
        <v>0</v>
      </c>
      <c r="AJ21" s="8">
        <f t="shared" si="11"/>
        <v>0</v>
      </c>
      <c r="AK21" s="8">
        <f t="shared" si="12"/>
        <v>0</v>
      </c>
      <c r="AL21" s="8">
        <f t="shared" si="13"/>
        <v>0</v>
      </c>
      <c r="AM21" s="8">
        <f t="shared" si="14"/>
        <v>-36226.103415048798</v>
      </c>
    </row>
    <row r="22" spans="1:39" ht="16" x14ac:dyDescent="0.2">
      <c r="A22" s="71" t="s">
        <v>150</v>
      </c>
      <c r="B22" s="72">
        <v>29110000</v>
      </c>
      <c r="C22" t="s">
        <v>226</v>
      </c>
      <c r="D22">
        <v>1.2999999999999999E-4</v>
      </c>
      <c r="E22" t="s">
        <v>339</v>
      </c>
      <c r="F22" t="s">
        <v>226</v>
      </c>
      <c r="G22">
        <v>1.2999999999999999E-4</v>
      </c>
      <c r="H22" t="s">
        <v>339</v>
      </c>
      <c r="I22">
        <f>$A$7</f>
        <v>10</v>
      </c>
      <c r="J22">
        <v>-1</v>
      </c>
      <c r="K22" t="s">
        <v>423</v>
      </c>
      <c r="L22" s="17">
        <f t="shared" ref="L22:L52" si="18">(I22*D22*J22*$B$21)+(I22*J22*G22*SUM($B$22:$B$25))</f>
        <v>-177506.81681535335</v>
      </c>
      <c r="M22" t="s">
        <v>537</v>
      </c>
      <c r="S22">
        <f t="shared" si="0"/>
        <v>-5080000</v>
      </c>
      <c r="T22">
        <f t="shared" si="1"/>
        <v>-12261050.565807596</v>
      </c>
      <c r="U22">
        <f t="shared" si="2"/>
        <v>-1891368.2964837488</v>
      </c>
      <c r="V22">
        <f t="shared" si="3"/>
        <v>-78698516.835186929</v>
      </c>
      <c r="W22" s="217">
        <f t="shared" si="4"/>
        <v>-5015351.9840932423</v>
      </c>
      <c r="X22">
        <f t="shared" si="5"/>
        <v>-15172565.410192601</v>
      </c>
      <c r="Y22">
        <f t="shared" si="6"/>
        <v>-653633.96752455947</v>
      </c>
      <c r="Z22">
        <f t="shared" si="7"/>
        <v>-261559.99501586598</v>
      </c>
      <c r="AA22">
        <f t="shared" si="8"/>
        <v>-651223.33976292028</v>
      </c>
      <c r="AH22" s="8">
        <f t="shared" si="9"/>
        <v>-6865379.5713278418</v>
      </c>
      <c r="AI22" s="8">
        <f t="shared" si="10"/>
        <v>-816182.93996224715</v>
      </c>
      <c r="AJ22" s="8">
        <f t="shared" si="11"/>
        <v>-149659.64069579646</v>
      </c>
      <c r="AK22" s="8">
        <f t="shared" si="12"/>
        <v>-186599.78816719636</v>
      </c>
      <c r="AL22" s="8">
        <f t="shared" si="13"/>
        <v>-114862.60447821098</v>
      </c>
      <c r="AM22" s="8">
        <f t="shared" si="14"/>
        <v>-362293658.03348839</v>
      </c>
    </row>
    <row r="23" spans="1:39" ht="16" x14ac:dyDescent="0.2">
      <c r="A23" s="71" t="s">
        <v>92</v>
      </c>
      <c r="B23" s="72">
        <v>12425000</v>
      </c>
      <c r="C23" t="s">
        <v>227</v>
      </c>
      <c r="D23">
        <v>1.2700000000000001E-3</v>
      </c>
      <c r="E23" t="s">
        <v>340</v>
      </c>
      <c r="F23" t="s">
        <v>227</v>
      </c>
      <c r="G23">
        <v>1.2700000000000001E-3</v>
      </c>
      <c r="H23" t="s">
        <v>340</v>
      </c>
      <c r="I23">
        <f>$A$7</f>
        <v>10</v>
      </c>
      <c r="J23">
        <v>-1</v>
      </c>
      <c r="K23" t="s">
        <v>424</v>
      </c>
      <c r="L23" s="17">
        <f t="shared" si="18"/>
        <v>-1734105.0565807596</v>
      </c>
      <c r="M23" t="s">
        <v>537</v>
      </c>
      <c r="S23">
        <f t="shared" si="0"/>
        <v>0</v>
      </c>
      <c r="T23">
        <f t="shared" si="1"/>
        <v>0</v>
      </c>
      <c r="U23">
        <f t="shared" si="2"/>
        <v>0</v>
      </c>
      <c r="V23">
        <f t="shared" si="3"/>
        <v>0</v>
      </c>
      <c r="W23" s="217">
        <f t="shared" si="4"/>
        <v>0</v>
      </c>
      <c r="X23">
        <f t="shared" si="5"/>
        <v>0</v>
      </c>
      <c r="Y23">
        <f t="shared" si="6"/>
        <v>0</v>
      </c>
      <c r="Z23">
        <f t="shared" si="7"/>
        <v>0</v>
      </c>
      <c r="AA23">
        <f t="shared" si="8"/>
        <v>0</v>
      </c>
      <c r="AH23" s="8">
        <f t="shared" si="9"/>
        <v>0</v>
      </c>
      <c r="AI23" s="8">
        <f t="shared" si="10"/>
        <v>0</v>
      </c>
      <c r="AJ23" s="8">
        <f t="shared" si="11"/>
        <v>0</v>
      </c>
      <c r="AK23" s="8">
        <f t="shared" si="12"/>
        <v>-186599.78816719636</v>
      </c>
      <c r="AL23" s="8">
        <f t="shared" si="13"/>
        <v>0</v>
      </c>
      <c r="AM23" s="8">
        <f t="shared" si="14"/>
        <v>-362293658.03348839</v>
      </c>
    </row>
    <row r="24" spans="1:39" ht="16" x14ac:dyDescent="0.2">
      <c r="A24" s="71" t="s">
        <v>89</v>
      </c>
      <c r="B24" s="72">
        <v>30530000</v>
      </c>
      <c r="C24" t="s">
        <v>228</v>
      </c>
      <c r="D24">
        <v>0.12681999999999999</v>
      </c>
      <c r="E24" t="s">
        <v>341</v>
      </c>
      <c r="F24" t="s">
        <v>228</v>
      </c>
      <c r="G24">
        <v>0.12681999999999999</v>
      </c>
      <c r="H24" t="s">
        <v>341</v>
      </c>
      <c r="I24">
        <f>$A$7</f>
        <v>10</v>
      </c>
      <c r="J24">
        <v>-1</v>
      </c>
      <c r="K24" t="s">
        <v>425</v>
      </c>
      <c r="L24" s="17">
        <f t="shared" si="18"/>
        <v>-173164726.98863927</v>
      </c>
      <c r="M24" t="s">
        <v>537</v>
      </c>
      <c r="S24">
        <f t="shared" si="0"/>
        <v>0</v>
      </c>
      <c r="T24">
        <f t="shared" si="1"/>
        <v>0</v>
      </c>
      <c r="U24">
        <f t="shared" si="2"/>
        <v>0</v>
      </c>
      <c r="V24">
        <f t="shared" si="3"/>
        <v>0</v>
      </c>
      <c r="W24" s="217">
        <f t="shared" si="4"/>
        <v>0</v>
      </c>
      <c r="X24">
        <f t="shared" si="5"/>
        <v>0</v>
      </c>
      <c r="Y24">
        <f t="shared" si="6"/>
        <v>0</v>
      </c>
      <c r="Z24">
        <f t="shared" si="7"/>
        <v>0</v>
      </c>
      <c r="AA24">
        <f t="shared" si="8"/>
        <v>0</v>
      </c>
      <c r="AH24" s="8">
        <f t="shared" si="9"/>
        <v>0</v>
      </c>
      <c r="AI24" s="8">
        <f t="shared" si="10"/>
        <v>0</v>
      </c>
      <c r="AJ24" s="8">
        <f t="shared" si="11"/>
        <v>0</v>
      </c>
      <c r="AK24" s="8">
        <f t="shared" si="12"/>
        <v>0</v>
      </c>
      <c r="AL24" s="8">
        <f t="shared" si="13"/>
        <v>0</v>
      </c>
      <c r="AM24" s="8">
        <f t="shared" si="14"/>
        <v>0</v>
      </c>
    </row>
    <row r="25" spans="1:39" ht="16" x14ac:dyDescent="0.2">
      <c r="A25" s="71" t="s">
        <v>155</v>
      </c>
      <c r="B25" s="72">
        <v>24478705.242579494</v>
      </c>
      <c r="C25" t="s">
        <v>229</v>
      </c>
      <c r="D25">
        <v>1.268E-2</v>
      </c>
      <c r="E25" t="s">
        <v>342</v>
      </c>
      <c r="F25" t="s">
        <v>229</v>
      </c>
      <c r="G25">
        <v>1.268E-2</v>
      </c>
      <c r="H25" t="s">
        <v>342</v>
      </c>
      <c r="I25">
        <f>$A$6</f>
        <v>100</v>
      </c>
      <c r="J25">
        <v>-1</v>
      </c>
      <c r="K25" t="s">
        <v>426</v>
      </c>
      <c r="L25" s="17">
        <f t="shared" si="18"/>
        <v>-173137418.24759078</v>
      </c>
      <c r="M25" t="s">
        <v>537</v>
      </c>
      <c r="S25">
        <f t="shared" si="0"/>
        <v>0</v>
      </c>
      <c r="T25">
        <f t="shared" si="1"/>
        <v>0</v>
      </c>
      <c r="U25">
        <f t="shared" si="2"/>
        <v>0</v>
      </c>
      <c r="V25">
        <f t="shared" si="3"/>
        <v>0</v>
      </c>
      <c r="W25" s="217">
        <f t="shared" si="4"/>
        <v>0</v>
      </c>
      <c r="X25">
        <f t="shared" si="5"/>
        <v>0</v>
      </c>
      <c r="Y25">
        <f t="shared" si="6"/>
        <v>0</v>
      </c>
      <c r="Z25">
        <f t="shared" si="7"/>
        <v>0</v>
      </c>
      <c r="AA25">
        <f t="shared" si="8"/>
        <v>0</v>
      </c>
      <c r="AH25" s="8">
        <f t="shared" si="9"/>
        <v>0</v>
      </c>
      <c r="AI25" s="8">
        <f t="shared" si="10"/>
        <v>0</v>
      </c>
      <c r="AJ25" s="8">
        <f t="shared" si="11"/>
        <v>0</v>
      </c>
      <c r="AK25" s="8">
        <f t="shared" si="12"/>
        <v>186722.82099455933</v>
      </c>
      <c r="AL25" s="8">
        <f t="shared" si="13"/>
        <v>0</v>
      </c>
      <c r="AM25" s="8">
        <f t="shared" si="14"/>
        <v>36226.103415048798</v>
      </c>
    </row>
    <row r="26" spans="1:39" x14ac:dyDescent="0.2">
      <c r="A26" s="1"/>
      <c r="B26" s="73"/>
      <c r="C26" t="s">
        <v>230</v>
      </c>
      <c r="D26">
        <v>0.12681999999999999</v>
      </c>
      <c r="E26" t="s">
        <v>343</v>
      </c>
      <c r="F26" t="s">
        <v>230</v>
      </c>
      <c r="G26">
        <v>0.12681999999999999</v>
      </c>
      <c r="H26" t="s">
        <v>343</v>
      </c>
      <c r="I26">
        <f>$A$6</f>
        <v>100</v>
      </c>
      <c r="J26">
        <v>-1</v>
      </c>
      <c r="K26" t="s">
        <v>427</v>
      </c>
      <c r="L26" s="17">
        <f t="shared" si="18"/>
        <v>-1731647269.8863931</v>
      </c>
      <c r="M26" t="s">
        <v>537</v>
      </c>
      <c r="S26">
        <f t="shared" si="0"/>
        <v>-507279999.99999994</v>
      </c>
      <c r="T26">
        <f t="shared" si="1"/>
        <v>-1224367269.8863931</v>
      </c>
      <c r="U26">
        <f t="shared" si="2"/>
        <v>-188868761.70084172</v>
      </c>
      <c r="V26">
        <f t="shared" si="3"/>
        <v>-78698516.835186929</v>
      </c>
      <c r="W26" s="217">
        <f t="shared" si="4"/>
        <v>-50074537.919923075</v>
      </c>
      <c r="X26">
        <f t="shared" si="5"/>
        <v>-15151538862.852489</v>
      </c>
      <c r="Y26">
        <f t="shared" si="6"/>
        <v>-652728144.07350183</v>
      </c>
      <c r="Z26">
        <f t="shared" si="7"/>
        <v>-261197518.17237943</v>
      </c>
      <c r="AA26">
        <f t="shared" si="8"/>
        <v>-650320857.02435124</v>
      </c>
      <c r="AH26" s="8">
        <f t="shared" si="9"/>
        <v>-6865379.5713278418</v>
      </c>
      <c r="AI26" s="8">
        <f t="shared" si="10"/>
        <v>-816182.93996224715</v>
      </c>
      <c r="AJ26" s="8">
        <f t="shared" si="11"/>
        <v>-1494239.5622225974</v>
      </c>
      <c r="AK26" s="8">
        <f t="shared" si="12"/>
        <v>-186599.78816719636</v>
      </c>
      <c r="AL26" s="8">
        <f t="shared" si="13"/>
        <v>-1148626.0447821098</v>
      </c>
      <c r="AM26" s="8">
        <f t="shared" si="14"/>
        <v>-36229501.736194678</v>
      </c>
    </row>
    <row r="27" spans="1:39" ht="16" x14ac:dyDescent="0.2">
      <c r="A27" s="74" t="s">
        <v>17</v>
      </c>
      <c r="B27" s="72">
        <v>136543705.24257949</v>
      </c>
      <c r="C27" t="s">
        <v>231</v>
      </c>
      <c r="D27">
        <v>1.26824</v>
      </c>
      <c r="E27" t="s">
        <v>344</v>
      </c>
      <c r="F27" t="s">
        <v>231</v>
      </c>
      <c r="G27">
        <v>0.12681999999999999</v>
      </c>
      <c r="H27" t="s">
        <v>344</v>
      </c>
      <c r="I27">
        <f>$A$7</f>
        <v>10</v>
      </c>
      <c r="J27">
        <v>-1</v>
      </c>
      <c r="K27" t="s">
        <v>428</v>
      </c>
      <c r="L27" s="17">
        <f t="shared" si="18"/>
        <v>-629732726.98863935</v>
      </c>
      <c r="M27" t="s">
        <v>537</v>
      </c>
      <c r="S27">
        <f t="shared" si="0"/>
        <v>0</v>
      </c>
      <c r="T27">
        <f t="shared" si="1"/>
        <v>0</v>
      </c>
      <c r="U27">
        <f t="shared" si="2"/>
        <v>0</v>
      </c>
      <c r="V27">
        <f t="shared" si="3"/>
        <v>0</v>
      </c>
      <c r="W27" s="217">
        <f t="shared" si="4"/>
        <v>0</v>
      </c>
      <c r="X27">
        <f t="shared" si="5"/>
        <v>0</v>
      </c>
      <c r="Y27">
        <f t="shared" si="6"/>
        <v>0</v>
      </c>
      <c r="Z27">
        <f t="shared" si="7"/>
        <v>0</v>
      </c>
      <c r="AA27">
        <f t="shared" si="8"/>
        <v>0</v>
      </c>
      <c r="AH27" s="8">
        <f t="shared" si="9"/>
        <v>0</v>
      </c>
      <c r="AI27" s="8">
        <f t="shared" si="10"/>
        <v>0</v>
      </c>
      <c r="AJ27" s="8">
        <f t="shared" si="11"/>
        <v>0</v>
      </c>
      <c r="AK27" s="8">
        <f t="shared" si="12"/>
        <v>0</v>
      </c>
      <c r="AL27" s="8">
        <f t="shared" si="13"/>
        <v>0</v>
      </c>
      <c r="AM27" s="8">
        <f t="shared" si="14"/>
        <v>0</v>
      </c>
    </row>
    <row r="28" spans="1:39" ht="15" customHeight="1" x14ac:dyDescent="0.2">
      <c r="C28" t="s">
        <v>232</v>
      </c>
      <c r="D28">
        <v>1.2999999999999999E-4</v>
      </c>
      <c r="E28" t="s">
        <v>345</v>
      </c>
      <c r="F28" t="s">
        <v>232</v>
      </c>
      <c r="G28">
        <v>1.2999999999999999E-4</v>
      </c>
      <c r="H28" t="s">
        <v>345</v>
      </c>
      <c r="I28">
        <f>$A$7</f>
        <v>10</v>
      </c>
      <c r="J28">
        <v>-1</v>
      </c>
      <c r="K28" t="s">
        <v>429</v>
      </c>
      <c r="L28" s="17">
        <f t="shared" si="18"/>
        <v>-177506.81681535335</v>
      </c>
      <c r="M28" t="s">
        <v>537</v>
      </c>
      <c r="S28">
        <f t="shared" si="0"/>
        <v>-52000</v>
      </c>
      <c r="T28">
        <f t="shared" si="1"/>
        <v>-125506.81681535333</v>
      </c>
      <c r="U28">
        <f t="shared" si="2"/>
        <v>-189136.82964837487</v>
      </c>
      <c r="V28">
        <f t="shared" si="3"/>
        <v>-787036605.29097736</v>
      </c>
      <c r="W28" s="217">
        <f t="shared" si="4"/>
        <v>-51338.248656072545</v>
      </c>
      <c r="X28">
        <f t="shared" si="5"/>
        <v>-155309.72467126281</v>
      </c>
      <c r="Y28">
        <f t="shared" si="6"/>
        <v>-6690.741399857694</v>
      </c>
      <c r="Z28">
        <f t="shared" si="7"/>
        <v>-2677.3857757529586</v>
      </c>
      <c r="AA28">
        <f t="shared" si="8"/>
        <v>-65122.33397629203</v>
      </c>
      <c r="AH28" s="8">
        <f t="shared" si="9"/>
        <v>-6868061.3602228928</v>
      </c>
      <c r="AI28" s="8">
        <f t="shared" si="10"/>
        <v>-8161.8293996224729</v>
      </c>
      <c r="AJ28" s="8">
        <f t="shared" si="11"/>
        <v>-1531.9490779884675</v>
      </c>
      <c r="AK28" s="8">
        <f t="shared" si="12"/>
        <v>-18659.978816719635</v>
      </c>
      <c r="AL28" s="8">
        <f t="shared" si="13"/>
        <v>-1149.071137374463</v>
      </c>
      <c r="AM28" s="8">
        <f t="shared" si="14"/>
        <v>-362261.03415048798</v>
      </c>
    </row>
    <row r="29" spans="1:39" ht="22" customHeight="1" x14ac:dyDescent="0.2">
      <c r="A29" s="66" t="s">
        <v>8</v>
      </c>
      <c r="B29" s="76" t="s">
        <v>418</v>
      </c>
      <c r="C29" t="s">
        <v>233</v>
      </c>
      <c r="D29">
        <v>1.2999999999999999E-4</v>
      </c>
      <c r="E29" t="s">
        <v>345</v>
      </c>
      <c r="F29" t="s">
        <v>233</v>
      </c>
      <c r="G29">
        <v>1.2999999999999999E-4</v>
      </c>
      <c r="H29" t="s">
        <v>345</v>
      </c>
      <c r="I29">
        <f>$A$7</f>
        <v>10</v>
      </c>
      <c r="J29">
        <v>-1</v>
      </c>
      <c r="K29" t="s">
        <v>429</v>
      </c>
      <c r="L29" s="17">
        <f t="shared" si="18"/>
        <v>-177506.81681535335</v>
      </c>
      <c r="M29" t="s">
        <v>537</v>
      </c>
      <c r="S29">
        <f t="shared" si="0"/>
        <v>-5072000</v>
      </c>
      <c r="T29">
        <f t="shared" si="1"/>
        <v>-12241741.824759079</v>
      </c>
      <c r="U29">
        <f t="shared" si="2"/>
        <v>-1888389.7637333805</v>
      </c>
      <c r="V29">
        <f t="shared" si="3"/>
        <v>-78698516.835186929</v>
      </c>
      <c r="W29" s="217">
        <f t="shared" si="4"/>
        <v>-5007453.7919923076</v>
      </c>
      <c r="X29">
        <f t="shared" si="5"/>
        <v>-15148671.606397022</v>
      </c>
      <c r="Y29">
        <f t="shared" si="6"/>
        <v>-652604.62269381201</v>
      </c>
      <c r="Z29">
        <f t="shared" si="7"/>
        <v>-261148.08951190399</v>
      </c>
      <c r="AA29">
        <f t="shared" si="8"/>
        <v>-650197.79119636456</v>
      </c>
      <c r="AH29" s="8">
        <f t="shared" si="9"/>
        <v>-68678468.17111288</v>
      </c>
      <c r="AI29" s="8">
        <f t="shared" si="10"/>
        <v>-818733.5116496291</v>
      </c>
      <c r="AJ29" s="8">
        <f t="shared" si="11"/>
        <v>-149423.95622225976</v>
      </c>
      <c r="AK29" s="8">
        <f t="shared" si="12"/>
        <v>-18671974.517387528</v>
      </c>
      <c r="AL29" s="8">
        <f t="shared" si="13"/>
        <v>-114862.60447821098</v>
      </c>
      <c r="AM29" s="8">
        <f t="shared" si="14"/>
        <v>-36229365.803348839</v>
      </c>
    </row>
    <row r="30" spans="1:39" ht="22" customHeight="1" x14ac:dyDescent="0.2">
      <c r="A30" s="66"/>
      <c r="B30" s="76"/>
      <c r="C30" t="s">
        <v>320</v>
      </c>
      <c r="D30">
        <v>1.2999999999999999E-4</v>
      </c>
      <c r="E30" t="s">
        <v>344</v>
      </c>
      <c r="F30" t="s">
        <v>320</v>
      </c>
      <c r="G30">
        <v>0</v>
      </c>
      <c r="H30" t="s">
        <v>344</v>
      </c>
      <c r="I30">
        <f>$A$6</f>
        <v>100</v>
      </c>
      <c r="J30">
        <v>-1</v>
      </c>
      <c r="K30" t="s">
        <v>428</v>
      </c>
      <c r="L30" s="17">
        <f t="shared" si="18"/>
        <v>-520000</v>
      </c>
      <c r="M30" t="s">
        <v>537</v>
      </c>
      <c r="S30">
        <f t="shared" si="0"/>
        <v>-507296000.00000006</v>
      </c>
      <c r="T30">
        <f t="shared" si="1"/>
        <v>-1224405887.3684902</v>
      </c>
      <c r="U30">
        <f t="shared" si="2"/>
        <v>-188874718.76634246</v>
      </c>
      <c r="V30">
        <f t="shared" si="3"/>
        <v>-797272.55617346242</v>
      </c>
      <c r="W30" s="217">
        <f t="shared" si="4"/>
        <v>-500840157.50444198</v>
      </c>
      <c r="X30">
        <f t="shared" si="5"/>
        <v>-1515153886.285249</v>
      </c>
      <c r="Y30">
        <f t="shared" si="6"/>
        <v>-65272814.407350183</v>
      </c>
      <c r="Z30">
        <f t="shared" si="7"/>
        <v>-26119751.817237943</v>
      </c>
      <c r="AA30">
        <f t="shared" si="8"/>
        <v>-65032085.702435121</v>
      </c>
      <c r="AH30" s="8">
        <f t="shared" si="9"/>
        <v>-686785754.42668688</v>
      </c>
      <c r="AI30" s="8">
        <f t="shared" si="10"/>
        <v>-81856517.391826198</v>
      </c>
      <c r="AJ30" s="8">
        <f t="shared" si="11"/>
        <v>-14945223.835908415</v>
      </c>
      <c r="AK30" s="8">
        <f t="shared" si="12"/>
        <v>-186702.31552333219</v>
      </c>
      <c r="AL30" s="8">
        <f t="shared" si="13"/>
        <v>-11490727.326884139</v>
      </c>
      <c r="AM30" s="8">
        <f t="shared" si="14"/>
        <v>-3622950.1736194682</v>
      </c>
    </row>
    <row r="31" spans="1:39" ht="15" customHeight="1" x14ac:dyDescent="0.2">
      <c r="A31" s="71" t="s">
        <v>149</v>
      </c>
      <c r="B31" s="77" t="s">
        <v>417</v>
      </c>
      <c r="C31" t="s">
        <v>321</v>
      </c>
      <c r="D31">
        <v>1.2999999999999999E-4</v>
      </c>
      <c r="E31" t="s">
        <v>344</v>
      </c>
      <c r="F31" t="s">
        <v>321</v>
      </c>
      <c r="G31">
        <v>0</v>
      </c>
      <c r="H31" t="s">
        <v>344</v>
      </c>
      <c r="I31">
        <f>$A$6</f>
        <v>100</v>
      </c>
      <c r="J31">
        <v>-1</v>
      </c>
      <c r="K31" t="s">
        <v>428</v>
      </c>
      <c r="L31" s="17">
        <f t="shared" si="18"/>
        <v>-520000</v>
      </c>
      <c r="M31" t="s">
        <v>537</v>
      </c>
      <c r="S31">
        <f t="shared" si="0"/>
        <v>-507296000.00000006</v>
      </c>
      <c r="T31">
        <f t="shared" si="1"/>
        <v>-1224405887.3684902</v>
      </c>
      <c r="U31">
        <f t="shared" si="2"/>
        <v>-188874718.76634246</v>
      </c>
      <c r="V31">
        <f t="shared" si="3"/>
        <v>-787036605.29097736</v>
      </c>
      <c r="W31" s="217">
        <f t="shared" si="4"/>
        <v>-500840157.50444198</v>
      </c>
      <c r="X31">
        <f t="shared" si="5"/>
        <v>-1515153886.285249</v>
      </c>
      <c r="Y31">
        <f t="shared" si="6"/>
        <v>-65272814.407350183</v>
      </c>
      <c r="Z31">
        <f t="shared" si="7"/>
        <v>-26119751.817237943</v>
      </c>
      <c r="AA31">
        <f t="shared" si="8"/>
        <v>-65032085.702435121</v>
      </c>
      <c r="AH31" s="8">
        <f t="shared" si="9"/>
        <v>-6868061.3602228928</v>
      </c>
      <c r="AI31" s="8">
        <f t="shared" si="10"/>
        <v>-81856517.391826198</v>
      </c>
      <c r="AJ31" s="8">
        <f t="shared" si="11"/>
        <v>-14945223.835908415</v>
      </c>
      <c r="AK31" s="8">
        <f t="shared" si="12"/>
        <v>-1867228.2099455933</v>
      </c>
      <c r="AL31" s="8">
        <f t="shared" si="13"/>
        <v>-11490727.326884139</v>
      </c>
      <c r="AM31" s="8">
        <f t="shared" si="14"/>
        <v>-36229365.803348839</v>
      </c>
    </row>
    <row r="32" spans="1:39" ht="15" customHeight="1" x14ac:dyDescent="0.2">
      <c r="A32" s="71" t="s">
        <v>150</v>
      </c>
      <c r="B32" s="77" t="s">
        <v>419</v>
      </c>
      <c r="C32" t="s">
        <v>234</v>
      </c>
      <c r="D32">
        <v>1.2999999999999999E-4</v>
      </c>
      <c r="E32" t="s">
        <v>344</v>
      </c>
      <c r="F32" t="s">
        <v>234</v>
      </c>
      <c r="G32">
        <v>0</v>
      </c>
      <c r="H32" t="s">
        <v>344</v>
      </c>
      <c r="I32">
        <v>0</v>
      </c>
      <c r="J32">
        <v>0</v>
      </c>
      <c r="K32" t="s">
        <v>428</v>
      </c>
      <c r="L32" s="17">
        <f t="shared" si="18"/>
        <v>0</v>
      </c>
      <c r="M32" t="s">
        <v>537</v>
      </c>
      <c r="S32">
        <f t="shared" si="0"/>
        <v>-507296000.00000006</v>
      </c>
      <c r="T32">
        <f t="shared" si="1"/>
        <v>-1224405887.3684902</v>
      </c>
      <c r="U32">
        <f t="shared" si="2"/>
        <v>-188874718.76634246</v>
      </c>
      <c r="V32">
        <f t="shared" si="3"/>
        <v>-78698516.835186929</v>
      </c>
      <c r="W32" s="217">
        <f t="shared" si="4"/>
        <v>-500840157.50444198</v>
      </c>
      <c r="X32">
        <f t="shared" si="5"/>
        <v>-1515153886.285249</v>
      </c>
      <c r="Y32">
        <f t="shared" si="6"/>
        <v>-65272814.407350183</v>
      </c>
      <c r="Z32">
        <f t="shared" si="7"/>
        <v>-26119751.817237943</v>
      </c>
      <c r="AA32">
        <f t="shared" si="8"/>
        <v>-65032085.702435121</v>
      </c>
      <c r="AH32" s="8">
        <f t="shared" si="9"/>
        <v>-68678468.17111288</v>
      </c>
      <c r="AI32" s="8">
        <f t="shared" si="10"/>
        <v>-81856517.391826198</v>
      </c>
      <c r="AJ32" s="8">
        <f t="shared" si="11"/>
        <v>-14945223.835908415</v>
      </c>
      <c r="AK32" s="8">
        <f t="shared" si="12"/>
        <v>-1867228.2099455933</v>
      </c>
      <c r="AL32" s="8">
        <f t="shared" si="13"/>
        <v>-11490727.326884139</v>
      </c>
      <c r="AM32" s="8">
        <f t="shared" si="14"/>
        <v>-362293658.03348839</v>
      </c>
    </row>
    <row r="33" spans="1:39" ht="15" customHeight="1" x14ac:dyDescent="0.2">
      <c r="A33" s="71" t="s">
        <v>92</v>
      </c>
      <c r="B33" s="77" t="s">
        <v>419</v>
      </c>
      <c r="C33" t="s">
        <v>235</v>
      </c>
      <c r="D33">
        <v>0.12681999999999999</v>
      </c>
      <c r="E33" t="s">
        <v>346</v>
      </c>
      <c r="F33" t="s">
        <v>235</v>
      </c>
      <c r="G33">
        <v>0.12681999999999999</v>
      </c>
      <c r="H33" t="s">
        <v>346</v>
      </c>
      <c r="I33">
        <f>$A$8</f>
        <v>1</v>
      </c>
      <c r="J33">
        <v>1</v>
      </c>
      <c r="K33" t="s">
        <v>430</v>
      </c>
      <c r="L33" s="17">
        <f t="shared" si="18"/>
        <v>17316472.698863927</v>
      </c>
      <c r="M33" t="s">
        <v>537</v>
      </c>
      <c r="S33">
        <f t="shared" si="0"/>
        <v>-50727999.999999993</v>
      </c>
      <c r="T33">
        <f t="shared" si="1"/>
        <v>-122436726.98863928</v>
      </c>
      <c r="U33">
        <f t="shared" si="2"/>
        <v>-18886876.170084171</v>
      </c>
      <c r="V33">
        <f t="shared" si="3"/>
        <v>-797272.55617346242</v>
      </c>
      <c r="W33" s="217">
        <f t="shared" si="4"/>
        <v>-50082436.112024002</v>
      </c>
      <c r="X33">
        <f t="shared" si="5"/>
        <v>-151510609.86776578</v>
      </c>
      <c r="Y33">
        <f t="shared" si="6"/>
        <v>-6527075.5717688669</v>
      </c>
      <c r="Z33">
        <f t="shared" si="7"/>
        <v>-2611892.8006230015</v>
      </c>
      <c r="AA33">
        <f t="shared" si="8"/>
        <v>-6503003.4605302</v>
      </c>
      <c r="AH33" s="8">
        <f t="shared" si="9"/>
        <v>-686785754.42668688</v>
      </c>
      <c r="AI33" s="8">
        <f t="shared" si="10"/>
        <v>-8185804.7734838631</v>
      </c>
      <c r="AJ33" s="8">
        <f t="shared" si="11"/>
        <v>-1494475.2466961341</v>
      </c>
      <c r="AK33" s="8">
        <f t="shared" si="12"/>
        <v>-1845.4924104447991</v>
      </c>
      <c r="AL33" s="8">
        <f t="shared" si="13"/>
        <v>-1149104.6389674356</v>
      </c>
      <c r="AM33" s="8">
        <f t="shared" si="14"/>
        <v>-36229365.803348839</v>
      </c>
    </row>
    <row r="34" spans="1:39" ht="15" customHeight="1" x14ac:dyDescent="0.2">
      <c r="A34" s="71" t="s">
        <v>89</v>
      </c>
      <c r="B34" s="77" t="s">
        <v>419</v>
      </c>
      <c r="C34" t="s">
        <v>236</v>
      </c>
      <c r="D34">
        <v>1.2999999999999999E-4</v>
      </c>
      <c r="E34" t="s">
        <v>347</v>
      </c>
      <c r="F34" t="s">
        <v>236</v>
      </c>
      <c r="G34">
        <v>1.2999999999999999E-4</v>
      </c>
      <c r="H34" t="s">
        <v>347</v>
      </c>
      <c r="I34">
        <f>$A$7</f>
        <v>10</v>
      </c>
      <c r="J34">
        <v>-1</v>
      </c>
      <c r="K34" t="s">
        <v>431</v>
      </c>
      <c r="L34" s="17">
        <f t="shared" si="18"/>
        <v>-177506.81681535335</v>
      </c>
      <c r="M34" t="s">
        <v>537</v>
      </c>
      <c r="S34">
        <f t="shared" si="0"/>
        <v>-5080000</v>
      </c>
      <c r="T34">
        <f t="shared" si="1"/>
        <v>-12261050.565807596</v>
      </c>
      <c r="U34">
        <f t="shared" si="2"/>
        <v>-1891368.2964837488</v>
      </c>
      <c r="V34">
        <f t="shared" si="3"/>
        <v>-78698516.835186929</v>
      </c>
      <c r="W34" s="217">
        <f t="shared" si="4"/>
        <v>-5015351.9840932423</v>
      </c>
      <c r="X34">
        <f t="shared" si="5"/>
        <v>-15172565.410192601</v>
      </c>
      <c r="Y34">
        <f t="shared" si="6"/>
        <v>-653633.96752455947</v>
      </c>
      <c r="Z34">
        <f t="shared" si="7"/>
        <v>-261559.99501586598</v>
      </c>
      <c r="AA34">
        <f t="shared" si="8"/>
        <v>-651223.33976292028</v>
      </c>
      <c r="AH34" s="8">
        <f t="shared" si="9"/>
        <v>-6865379.5713278418</v>
      </c>
      <c r="AI34" s="8">
        <f t="shared" si="10"/>
        <v>-816182.93996224715</v>
      </c>
      <c r="AJ34" s="8">
        <f t="shared" si="11"/>
        <v>-149659.64069579646</v>
      </c>
      <c r="AK34" s="8">
        <f t="shared" si="12"/>
        <v>-186599.78816719636</v>
      </c>
      <c r="AL34" s="8">
        <f t="shared" si="13"/>
        <v>-114862.60447821098</v>
      </c>
      <c r="AM34" s="8">
        <f t="shared" si="14"/>
        <v>-3622610.3415048798</v>
      </c>
    </row>
    <row r="35" spans="1:39" ht="15" customHeight="1" x14ac:dyDescent="0.2">
      <c r="A35" s="71" t="s">
        <v>155</v>
      </c>
      <c r="B35" s="77" t="s">
        <v>419</v>
      </c>
      <c r="C35" t="s">
        <v>237</v>
      </c>
      <c r="D35">
        <v>0.12681999999999999</v>
      </c>
      <c r="E35" t="s">
        <v>348</v>
      </c>
      <c r="F35" t="s">
        <v>237</v>
      </c>
      <c r="G35">
        <v>0.12681999999999999</v>
      </c>
      <c r="H35" t="s">
        <v>348</v>
      </c>
      <c r="I35">
        <f>$A$6</f>
        <v>100</v>
      </c>
      <c r="J35">
        <v>-1</v>
      </c>
      <c r="K35" t="s">
        <v>432</v>
      </c>
      <c r="L35" s="17">
        <f t="shared" si="18"/>
        <v>-1731647269.8863931</v>
      </c>
      <c r="M35" t="s">
        <v>537</v>
      </c>
      <c r="S35">
        <f t="shared" si="0"/>
        <v>-5080000</v>
      </c>
      <c r="T35">
        <f t="shared" si="1"/>
        <v>-12261050.565807596</v>
      </c>
      <c r="U35">
        <f t="shared" si="2"/>
        <v>-1891368.2964837488</v>
      </c>
      <c r="V35">
        <f t="shared" si="3"/>
        <v>-78698516.835186929</v>
      </c>
      <c r="W35" s="217">
        <f t="shared" si="4"/>
        <v>-5015351.9840932423</v>
      </c>
      <c r="X35">
        <f t="shared" si="5"/>
        <v>-15172565.410192601</v>
      </c>
      <c r="Y35">
        <f t="shared" si="6"/>
        <v>-653633.96752455947</v>
      </c>
      <c r="Z35">
        <f t="shared" si="7"/>
        <v>-261559.99501586598</v>
      </c>
      <c r="AA35">
        <f t="shared" si="8"/>
        <v>-651223.33976292028</v>
      </c>
      <c r="AH35" s="8">
        <f t="shared" si="9"/>
        <v>-6865379.5713278418</v>
      </c>
      <c r="AI35" s="8">
        <f t="shared" si="10"/>
        <v>-816182.93996224715</v>
      </c>
      <c r="AJ35" s="8">
        <f t="shared" si="11"/>
        <v>-149659.64069579646</v>
      </c>
      <c r="AK35" s="8">
        <f t="shared" si="12"/>
        <v>-186599.78816719636</v>
      </c>
      <c r="AL35" s="8">
        <f t="shared" si="13"/>
        <v>-114862.60447821098</v>
      </c>
      <c r="AM35" s="8">
        <f t="shared" si="14"/>
        <v>-3622610.3415048798</v>
      </c>
    </row>
    <row r="36" spans="1:39" ht="15" customHeight="1" x14ac:dyDescent="0.2">
      <c r="C36" t="s">
        <v>238</v>
      </c>
      <c r="D36">
        <v>0</v>
      </c>
      <c r="E36" t="s">
        <v>349</v>
      </c>
      <c r="F36" t="s">
        <v>238</v>
      </c>
      <c r="G36">
        <v>0</v>
      </c>
      <c r="H36" t="s">
        <v>349</v>
      </c>
      <c r="I36">
        <f>$A$7</f>
        <v>10</v>
      </c>
      <c r="J36">
        <v>-1</v>
      </c>
      <c r="K36" t="s">
        <v>433</v>
      </c>
      <c r="L36" s="17">
        <f t="shared" si="18"/>
        <v>0</v>
      </c>
      <c r="M36" t="s">
        <v>537</v>
      </c>
      <c r="S36">
        <f t="shared" si="0"/>
        <v>508000.00000000006</v>
      </c>
      <c r="T36">
        <f t="shared" si="1"/>
        <v>1226105.0565807596</v>
      </c>
      <c r="U36">
        <f t="shared" si="2"/>
        <v>189136.82964837487</v>
      </c>
      <c r="V36">
        <f t="shared" si="3"/>
        <v>787036605.29097736</v>
      </c>
      <c r="W36" s="217">
        <f t="shared" si="4"/>
        <v>501535.19840932422</v>
      </c>
      <c r="X36">
        <f t="shared" si="5"/>
        <v>1517256.5410192602</v>
      </c>
      <c r="Y36">
        <f t="shared" si="6"/>
        <v>65363.396752455948</v>
      </c>
      <c r="Z36">
        <f t="shared" si="7"/>
        <v>26155.999501586597</v>
      </c>
      <c r="AA36">
        <f t="shared" si="8"/>
        <v>65122.33397629203</v>
      </c>
      <c r="AH36" s="8">
        <f t="shared" si="9"/>
        <v>68678468.17111288</v>
      </c>
      <c r="AI36" s="8">
        <f t="shared" si="10"/>
        <v>81618.293996224718</v>
      </c>
      <c r="AJ36" s="8">
        <f t="shared" si="11"/>
        <v>14965.964069579644</v>
      </c>
      <c r="AK36" s="8">
        <f t="shared" si="12"/>
        <v>18659.978816719635</v>
      </c>
      <c r="AL36" s="8">
        <f t="shared" si="13"/>
        <v>11486.260447821098</v>
      </c>
      <c r="AM36" s="8">
        <f t="shared" si="14"/>
        <v>36229365.803348839</v>
      </c>
    </row>
    <row r="37" spans="1:39" ht="15" customHeight="1" x14ac:dyDescent="0.2">
      <c r="A37" s="15"/>
      <c r="B37" s="39"/>
      <c r="C37" t="s">
        <v>239</v>
      </c>
      <c r="D37">
        <v>1.2700000000000001E-3</v>
      </c>
      <c r="E37" t="s">
        <v>348</v>
      </c>
      <c r="F37" t="s">
        <v>239</v>
      </c>
      <c r="G37">
        <v>1.2700000000000001E-3</v>
      </c>
      <c r="H37" t="s">
        <v>348</v>
      </c>
      <c r="I37">
        <f>$A$6</f>
        <v>100</v>
      </c>
      <c r="J37">
        <v>-1</v>
      </c>
      <c r="K37" t="s">
        <v>432</v>
      </c>
      <c r="L37" s="17">
        <f t="shared" si="18"/>
        <v>-17341050.565807596</v>
      </c>
      <c r="M37" t="s">
        <v>537</v>
      </c>
      <c r="S37">
        <f t="shared" si="0"/>
        <v>0</v>
      </c>
      <c r="T37">
        <f t="shared" si="1"/>
        <v>0</v>
      </c>
      <c r="U37">
        <f t="shared" si="2"/>
        <v>0</v>
      </c>
      <c r="V37">
        <f t="shared" si="3"/>
        <v>-7972725.5617346233</v>
      </c>
      <c r="W37" s="217">
        <f t="shared" si="4"/>
        <v>0</v>
      </c>
      <c r="X37">
        <f t="shared" si="5"/>
        <v>0</v>
      </c>
      <c r="Y37">
        <f t="shared" si="6"/>
        <v>0</v>
      </c>
      <c r="Z37">
        <f t="shared" si="7"/>
        <v>0</v>
      </c>
      <c r="AA37">
        <f t="shared" si="8"/>
        <v>0</v>
      </c>
      <c r="AH37" s="8">
        <f t="shared" si="9"/>
        <v>-6865379.5713278418</v>
      </c>
      <c r="AI37" s="8">
        <f t="shared" si="10"/>
        <v>0</v>
      </c>
      <c r="AJ37" s="8">
        <f t="shared" si="11"/>
        <v>0</v>
      </c>
      <c r="AK37" s="8">
        <f t="shared" si="12"/>
        <v>0</v>
      </c>
      <c r="AL37" s="8">
        <f t="shared" si="13"/>
        <v>0</v>
      </c>
      <c r="AM37" s="8">
        <f t="shared" si="14"/>
        <v>-362261.03415048798</v>
      </c>
    </row>
    <row r="38" spans="1:39" ht="15" customHeight="1" x14ac:dyDescent="0.2">
      <c r="A38" s="15"/>
      <c r="B38" s="39"/>
      <c r="C38" t="s">
        <v>240</v>
      </c>
      <c r="D38">
        <v>0</v>
      </c>
      <c r="E38" t="s">
        <v>348</v>
      </c>
      <c r="F38" t="s">
        <v>240</v>
      </c>
      <c r="G38">
        <v>0</v>
      </c>
      <c r="H38" t="s">
        <v>348</v>
      </c>
      <c r="I38">
        <f>$A$6</f>
        <v>100</v>
      </c>
      <c r="J38">
        <v>-1</v>
      </c>
      <c r="K38" t="s">
        <v>432</v>
      </c>
      <c r="L38" s="17">
        <f t="shared" si="18"/>
        <v>0</v>
      </c>
      <c r="M38" t="s">
        <v>537</v>
      </c>
      <c r="S38">
        <f t="shared" ref="S38:S69" si="19">(I53*D53*J53*$B$21)</f>
        <v>-50727999.999999993</v>
      </c>
      <c r="T38">
        <f t="shared" ref="T38:T69" si="20">(I53*J53*G53*SUM($B$22:$B$25))</f>
        <v>-122436726.98863928</v>
      </c>
      <c r="U38">
        <f t="shared" ref="U38:U69" si="21">SUM(B$134,B$145,B$247:B$248,B$252,B$256,B$259,B$366:B$368,B$472,B$585,B$699,B$812,B$924,B$930,B$937:B$938,B$1037:B$1039,B$1150,B$1272,B$1378:B$1379,B$1384,B$1491,B$1604,B$1718)*D1748*I1748*J1748</f>
        <v>-18886876.170084171</v>
      </c>
      <c r="V38">
        <f t="shared" ref="V38:V69" si="22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1748*I1748*J1748</f>
        <v>-7870366052.9097729</v>
      </c>
      <c r="W38" s="217">
        <f t="shared" ref="W38:W69" si="23">SUM(B$815,B$263,B$1153,B$1264:B$1266)*F1296*I1296*J1296</f>
        <v>-50082436.112024002</v>
      </c>
      <c r="X38">
        <f t="shared" ref="X38:X69" si="24">SUM(B$140,B$592,B$706,B$1045,B$1267)*G1296*I1296*J1296</f>
        <v>-151510609.86776578</v>
      </c>
      <c r="Y38">
        <f t="shared" ref="Y38:Y69" si="25">SUM(B$141:B$144,B$148:B$151,B$249,B$253,B$260,B$264:B$265,B$363,B$360,B$473,B$588,B$702,B$1042,B$1268:B$1271,B$1380,B$1603,B$1716)*F1748*I1748*J1748</f>
        <v>-6527075.5717688669</v>
      </c>
      <c r="Z38">
        <f t="shared" ref="Z38:Z69" si="26">SUM(B$147,B$931,B$1493,B$1719:B$1720,B$1606:B$1607)*H1522*I1522*J1522</f>
        <v>-2611892.8006230015</v>
      </c>
      <c r="AA38">
        <f t="shared" ref="AA38:AA69" si="27">SUM(B$254,B$261,B$361,B$364,B$589,B$703,B$1043)*G1069*J1069*K1069</f>
        <v>-6503003.4605302</v>
      </c>
      <c r="AH38" s="8">
        <f t="shared" ref="AH38:AH69" si="28">SUM(B$1831:B$1833)*D1864*F1864*G1864</f>
        <v>-68678468.17111288</v>
      </c>
      <c r="AI38" s="8">
        <f t="shared" ref="AI38:AI69" si="29">SUM(B$1943:B$1948,B$2057,B$2059:B$2066,B$2170:B$2175,B$2186,B$2198:B$2200,B$2212:B$2214,B$2283:B$2284,B$2293:B$2298,B$2309:B$2313,B$2323:B$2324,B$2399:B$2405,B$2418:B$2421,B$2433:B$2438,B$2450:B$2455,B$2467:B$2470)*D2089*G2089*H2089</f>
        <v>-8185804.7734838631</v>
      </c>
      <c r="AJ38" s="8">
        <f t="shared" ref="AJ38:AJ69" si="30">SUM(B$2058)*F2089*G2089*H2089</f>
        <v>-1494475.2466961341</v>
      </c>
      <c r="AK38" s="8">
        <f t="shared" ref="AK38:AK69" si="31">SUM(B$2285,B$2325)*F2315*G2315*H2315</f>
        <v>-186702.31552333219</v>
      </c>
      <c r="AL38" s="8">
        <f t="shared" ref="AL38:AL69" si="32">SUM(B$2406,B$2422,B$2439,B$2456)*F2429*H2429*I2429</f>
        <v>-1149104.6389674356</v>
      </c>
      <c r="AM38" s="8">
        <f t="shared" ref="AM38:AM69" si="33">SUM(B$2417,B$2433,B$2450)*G2429*H2429*I2429</f>
        <v>-362293658.03348839</v>
      </c>
    </row>
    <row r="39" spans="1:39" ht="15" customHeight="1" x14ac:dyDescent="0.2">
      <c r="A39" s="15"/>
      <c r="B39" s="39"/>
      <c r="C39" t="s">
        <v>241</v>
      </c>
      <c r="D39">
        <v>0</v>
      </c>
      <c r="E39" t="s">
        <v>350</v>
      </c>
      <c r="F39" t="s">
        <v>241</v>
      </c>
      <c r="G39">
        <v>0</v>
      </c>
      <c r="H39" t="s">
        <v>350</v>
      </c>
      <c r="I39">
        <f>$A$6</f>
        <v>100</v>
      </c>
      <c r="J39">
        <v>-1</v>
      </c>
      <c r="K39" t="s">
        <v>434</v>
      </c>
      <c r="L39" s="17">
        <f t="shared" si="18"/>
        <v>0</v>
      </c>
      <c r="M39" t="s">
        <v>537</v>
      </c>
      <c r="S39">
        <f t="shared" si="19"/>
        <v>-5072000</v>
      </c>
      <c r="T39">
        <f t="shared" si="20"/>
        <v>-12241741.824759079</v>
      </c>
      <c r="U39">
        <f t="shared" si="21"/>
        <v>-1888389.7637333805</v>
      </c>
      <c r="V39">
        <f t="shared" si="22"/>
        <v>-787036605.29097736</v>
      </c>
      <c r="W39" s="217">
        <f t="shared" si="23"/>
        <v>-5007453.7919923076</v>
      </c>
      <c r="X39">
        <f t="shared" si="24"/>
        <v>-15148671.606397022</v>
      </c>
      <c r="Y39">
        <f t="shared" si="25"/>
        <v>-652604.62269381201</v>
      </c>
      <c r="Z39">
        <f t="shared" si="26"/>
        <v>-261148.08951190399</v>
      </c>
      <c r="AA39">
        <f t="shared" si="27"/>
        <v>-650197.79119636456</v>
      </c>
      <c r="AH39" s="8">
        <f t="shared" si="28"/>
        <v>-6868061.3602228928</v>
      </c>
      <c r="AI39" s="8">
        <f t="shared" si="29"/>
        <v>-818733.5116496291</v>
      </c>
      <c r="AJ39" s="8">
        <f t="shared" si="30"/>
        <v>-149423.95622225976</v>
      </c>
      <c r="AK39" s="8">
        <f t="shared" si="31"/>
        <v>-18659.978816719635</v>
      </c>
      <c r="AL39" s="8">
        <f t="shared" si="32"/>
        <v>-114862.60447821098</v>
      </c>
      <c r="AM39" s="8">
        <f t="shared" si="33"/>
        <v>-362293658.03348839</v>
      </c>
    </row>
    <row r="40" spans="1:39" ht="15" customHeight="1" x14ac:dyDescent="0.2">
      <c r="A40" s="15"/>
      <c r="B40" s="39"/>
      <c r="C40" t="s">
        <v>242</v>
      </c>
      <c r="D40">
        <v>0</v>
      </c>
      <c r="E40" t="s">
        <v>351</v>
      </c>
      <c r="F40" t="s">
        <v>242</v>
      </c>
      <c r="G40">
        <v>0</v>
      </c>
      <c r="H40" t="s">
        <v>351</v>
      </c>
      <c r="I40">
        <f>$A$8</f>
        <v>1</v>
      </c>
      <c r="J40">
        <v>1</v>
      </c>
      <c r="K40" t="s">
        <v>435</v>
      </c>
      <c r="L40" s="17">
        <f t="shared" si="18"/>
        <v>0</v>
      </c>
      <c r="M40" t="s">
        <v>537</v>
      </c>
      <c r="S40">
        <f t="shared" si="19"/>
        <v>-5080000</v>
      </c>
      <c r="T40">
        <f t="shared" si="20"/>
        <v>-12261050.565807596</v>
      </c>
      <c r="U40">
        <f t="shared" si="21"/>
        <v>-1891368.2964837488</v>
      </c>
      <c r="V40">
        <f t="shared" si="22"/>
        <v>-7972725.5617346233</v>
      </c>
      <c r="W40" s="217">
        <f t="shared" si="23"/>
        <v>-5015351.9840932423</v>
      </c>
      <c r="X40">
        <f t="shared" si="24"/>
        <v>-15172565.410192601</v>
      </c>
      <c r="Y40">
        <f t="shared" si="25"/>
        <v>-653633.96752455947</v>
      </c>
      <c r="Z40">
        <f t="shared" si="26"/>
        <v>-261559.99501586598</v>
      </c>
      <c r="AA40">
        <f t="shared" si="27"/>
        <v>-651223.33976292028</v>
      </c>
      <c r="AH40" s="8">
        <f t="shared" si="28"/>
        <v>-68680613.602228925</v>
      </c>
      <c r="AI40" s="8">
        <f t="shared" si="29"/>
        <v>-816182.93996224715</v>
      </c>
      <c r="AJ40" s="8">
        <f t="shared" si="30"/>
        <v>-149659.64069579646</v>
      </c>
      <c r="AK40" s="8">
        <f t="shared" si="31"/>
        <v>-18454.924104447993</v>
      </c>
      <c r="AL40" s="8">
        <f t="shared" si="32"/>
        <v>-114862.60447821098</v>
      </c>
      <c r="AM40" s="8">
        <f t="shared" si="33"/>
        <v>-3622610.3415048798</v>
      </c>
    </row>
    <row r="41" spans="1:39" ht="15" customHeight="1" x14ac:dyDescent="0.2">
      <c r="A41" s="15"/>
      <c r="B41" s="39"/>
      <c r="C41" t="s">
        <v>243</v>
      </c>
      <c r="D41">
        <v>0.12681999999999999</v>
      </c>
      <c r="E41" t="s">
        <v>352</v>
      </c>
      <c r="F41" t="s">
        <v>243</v>
      </c>
      <c r="G41">
        <v>0.12681999999999999</v>
      </c>
      <c r="H41" t="s">
        <v>352</v>
      </c>
      <c r="I41">
        <f>$A$6</f>
        <v>100</v>
      </c>
      <c r="J41">
        <v>-1</v>
      </c>
      <c r="K41" t="s">
        <v>436</v>
      </c>
      <c r="L41" s="17">
        <f t="shared" si="18"/>
        <v>-1731647269.8863931</v>
      </c>
      <c r="M41" t="s">
        <v>537</v>
      </c>
      <c r="S41">
        <f t="shared" si="19"/>
        <v>-508000.00000000006</v>
      </c>
      <c r="T41">
        <f t="shared" si="20"/>
        <v>-1226105.0565807596</v>
      </c>
      <c r="U41">
        <f t="shared" si="21"/>
        <v>-189136.82964837487</v>
      </c>
      <c r="V41">
        <f t="shared" si="22"/>
        <v>-7869851.6835186919</v>
      </c>
      <c r="W41" s="217">
        <f t="shared" si="23"/>
        <v>-501535.19840932422</v>
      </c>
      <c r="X41">
        <f t="shared" si="24"/>
        <v>-1517256.5410192602</v>
      </c>
      <c r="Y41">
        <f t="shared" si="25"/>
        <v>-65363.396752455948</v>
      </c>
      <c r="Z41">
        <f t="shared" si="26"/>
        <v>-26155.999501586597</v>
      </c>
      <c r="AA41">
        <f t="shared" si="27"/>
        <v>-65122.33397629203</v>
      </c>
      <c r="AH41" s="8">
        <f t="shared" si="28"/>
        <v>-6868061.3602228928</v>
      </c>
      <c r="AI41" s="8">
        <f t="shared" si="29"/>
        <v>-81618.293996224718</v>
      </c>
      <c r="AJ41" s="8">
        <f t="shared" si="30"/>
        <v>-14965.964069579644</v>
      </c>
      <c r="AK41" s="8">
        <f t="shared" si="31"/>
        <v>-1845.4924104447991</v>
      </c>
      <c r="AL41" s="8">
        <f t="shared" si="32"/>
        <v>-11486.260447821098</v>
      </c>
      <c r="AM41" s="8">
        <f t="shared" si="33"/>
        <v>-362261.03415048798</v>
      </c>
    </row>
    <row r="42" spans="1:39" ht="15" customHeight="1" x14ac:dyDescent="0.2">
      <c r="A42" s="15"/>
      <c r="B42" s="39"/>
      <c r="C42" t="s">
        <v>244</v>
      </c>
      <c r="D42">
        <v>1.2700000000000001E-3</v>
      </c>
      <c r="E42" t="s">
        <v>353</v>
      </c>
      <c r="F42" t="s">
        <v>244</v>
      </c>
      <c r="G42">
        <v>1.2700000000000001E-3</v>
      </c>
      <c r="H42" t="s">
        <v>353</v>
      </c>
      <c r="I42">
        <v>0</v>
      </c>
      <c r="J42">
        <v>0</v>
      </c>
      <c r="K42" t="s">
        <v>437</v>
      </c>
      <c r="L42" s="17">
        <f t="shared" si="18"/>
        <v>0</v>
      </c>
      <c r="M42" t="s">
        <v>537</v>
      </c>
      <c r="S42">
        <f t="shared" si="19"/>
        <v>0</v>
      </c>
      <c r="T42">
        <f t="shared" si="20"/>
        <v>0</v>
      </c>
      <c r="U42">
        <f t="shared" si="21"/>
        <v>0</v>
      </c>
      <c r="V42">
        <f t="shared" si="22"/>
        <v>0</v>
      </c>
      <c r="W42" s="217">
        <f t="shared" si="23"/>
        <v>0</v>
      </c>
      <c r="X42">
        <f t="shared" si="24"/>
        <v>0</v>
      </c>
      <c r="Y42">
        <f t="shared" si="25"/>
        <v>0</v>
      </c>
      <c r="Z42">
        <f t="shared" si="26"/>
        <v>0</v>
      </c>
      <c r="AA42">
        <f t="shared" si="27"/>
        <v>0</v>
      </c>
      <c r="AH42" s="8">
        <f t="shared" si="28"/>
        <v>-686537.95713278418</v>
      </c>
      <c r="AI42" s="8">
        <f t="shared" si="29"/>
        <v>0</v>
      </c>
      <c r="AJ42" s="8">
        <f t="shared" si="30"/>
        <v>0</v>
      </c>
      <c r="AK42" s="8">
        <f t="shared" si="31"/>
        <v>0</v>
      </c>
      <c r="AL42" s="8">
        <f t="shared" si="32"/>
        <v>0</v>
      </c>
      <c r="AM42" s="8">
        <f t="shared" si="33"/>
        <v>-362261.03415048798</v>
      </c>
    </row>
    <row r="43" spans="1:39" ht="15" customHeight="1" x14ac:dyDescent="0.2">
      <c r="A43" s="15"/>
      <c r="B43" s="39"/>
      <c r="C43" t="s">
        <v>245</v>
      </c>
      <c r="D43">
        <v>1.2999999999999999E-4</v>
      </c>
      <c r="E43" t="s">
        <v>351</v>
      </c>
      <c r="F43" t="s">
        <v>245</v>
      </c>
      <c r="G43">
        <v>1.2999999999999999E-4</v>
      </c>
      <c r="H43" t="s">
        <v>351</v>
      </c>
      <c r="I43">
        <f t="shared" ref="I43:I48" si="34">$A$7</f>
        <v>10</v>
      </c>
      <c r="J43">
        <v>-1</v>
      </c>
      <c r="K43" t="s">
        <v>435</v>
      </c>
      <c r="L43" s="17">
        <f t="shared" si="18"/>
        <v>-177506.81681535335</v>
      </c>
      <c r="M43" t="s">
        <v>537</v>
      </c>
      <c r="S43">
        <f t="shared" si="19"/>
        <v>-508000.00000000006</v>
      </c>
      <c r="T43">
        <f t="shared" si="20"/>
        <v>-1226105.0565807596</v>
      </c>
      <c r="U43">
        <f t="shared" si="21"/>
        <v>-189136.82964837487</v>
      </c>
      <c r="V43">
        <f t="shared" si="22"/>
        <v>-787036605.29097736</v>
      </c>
      <c r="W43" s="217">
        <f t="shared" si="23"/>
        <v>-501535.19840932422</v>
      </c>
      <c r="X43">
        <f t="shared" si="24"/>
        <v>-1517256.5410192602</v>
      </c>
      <c r="Y43">
        <f t="shared" si="25"/>
        <v>-65363.396752455948</v>
      </c>
      <c r="Z43">
        <f t="shared" si="26"/>
        <v>-26155.999501586597</v>
      </c>
      <c r="AA43">
        <f t="shared" si="27"/>
        <v>-65122.33397629203</v>
      </c>
      <c r="AH43" s="8">
        <f t="shared" si="28"/>
        <v>-686537.95713278418</v>
      </c>
      <c r="AI43" s="8">
        <f t="shared" si="29"/>
        <v>-81618.293996224718</v>
      </c>
      <c r="AJ43" s="8">
        <f t="shared" si="30"/>
        <v>-14965.964069579644</v>
      </c>
      <c r="AK43" s="8">
        <f t="shared" si="31"/>
        <v>-1845.4924104447991</v>
      </c>
      <c r="AL43" s="8">
        <f t="shared" si="32"/>
        <v>-11486.260447821098</v>
      </c>
      <c r="AM43" s="8">
        <f t="shared" si="33"/>
        <v>-362293658.03348839</v>
      </c>
    </row>
    <row r="44" spans="1:39" ht="15" customHeight="1" x14ac:dyDescent="0.2">
      <c r="A44" s="15"/>
      <c r="B44" s="39"/>
      <c r="C44" t="s">
        <v>246</v>
      </c>
      <c r="D44">
        <v>1.268E-2</v>
      </c>
      <c r="E44" t="s">
        <v>354</v>
      </c>
      <c r="F44" t="s">
        <v>246</v>
      </c>
      <c r="G44">
        <v>1.268E-2</v>
      </c>
      <c r="H44" t="s">
        <v>354</v>
      </c>
      <c r="I44">
        <f t="shared" si="34"/>
        <v>10</v>
      </c>
      <c r="J44">
        <v>-1</v>
      </c>
      <c r="K44" t="s">
        <v>438</v>
      </c>
      <c r="L44" s="17">
        <f t="shared" si="18"/>
        <v>-17313741.824759081</v>
      </c>
      <c r="M44" t="s">
        <v>537</v>
      </c>
      <c r="S44">
        <f t="shared" si="19"/>
        <v>-5072960000</v>
      </c>
      <c r="T44">
        <f t="shared" si="20"/>
        <v>-12244058873.6849</v>
      </c>
      <c r="U44">
        <f t="shared" si="21"/>
        <v>-1888747187.6634247</v>
      </c>
      <c r="V44">
        <f t="shared" si="22"/>
        <v>-78698516.835186929</v>
      </c>
      <c r="W44" s="217">
        <f t="shared" si="23"/>
        <v>-5008401575.0444193</v>
      </c>
      <c r="X44">
        <f t="shared" si="24"/>
        <v>-15151538862.852489</v>
      </c>
      <c r="Y44">
        <f t="shared" si="25"/>
        <v>-652728144.07350183</v>
      </c>
      <c r="Z44">
        <f t="shared" si="26"/>
        <v>-261197518.17237943</v>
      </c>
      <c r="AA44">
        <f t="shared" si="27"/>
        <v>-650320857.02435124</v>
      </c>
      <c r="AH44" s="8">
        <f t="shared" si="28"/>
        <v>-686784681.71112883</v>
      </c>
      <c r="AI44" s="8">
        <f t="shared" si="29"/>
        <v>-818565173.918262</v>
      </c>
      <c r="AJ44" s="8">
        <f t="shared" si="30"/>
        <v>-149452238.35908413</v>
      </c>
      <c r="AK44" s="8">
        <f t="shared" si="31"/>
        <v>-186599.78816719636</v>
      </c>
      <c r="AL44" s="8">
        <f t="shared" si="32"/>
        <v>-114907273.26884139</v>
      </c>
      <c r="AM44" s="8">
        <f t="shared" si="33"/>
        <v>-36229501.736194678</v>
      </c>
    </row>
    <row r="45" spans="1:39" ht="15" customHeight="1" x14ac:dyDescent="0.2">
      <c r="A45" s="15"/>
      <c r="B45" s="39"/>
      <c r="C45" t="s">
        <v>247</v>
      </c>
      <c r="D45">
        <v>1.26824</v>
      </c>
      <c r="E45" t="s">
        <v>354</v>
      </c>
      <c r="F45" t="s">
        <v>247</v>
      </c>
      <c r="G45">
        <v>1.26824</v>
      </c>
      <c r="H45" t="s">
        <v>354</v>
      </c>
      <c r="I45">
        <f t="shared" si="34"/>
        <v>10</v>
      </c>
      <c r="J45">
        <v>-1</v>
      </c>
      <c r="K45" t="s">
        <v>438</v>
      </c>
      <c r="L45" s="17">
        <f t="shared" si="18"/>
        <v>-1731701887.3684902</v>
      </c>
      <c r="M45" t="s">
        <v>537</v>
      </c>
      <c r="S45">
        <f t="shared" si="19"/>
        <v>-507279999.99999994</v>
      </c>
      <c r="T45">
        <f t="shared" si="20"/>
        <v>-1224367269.8863931</v>
      </c>
      <c r="U45">
        <f t="shared" si="21"/>
        <v>-188868761.70084172</v>
      </c>
      <c r="V45">
        <f t="shared" si="22"/>
        <v>-78698516.835186929</v>
      </c>
      <c r="W45" s="217">
        <f t="shared" si="23"/>
        <v>-500824361.12024003</v>
      </c>
      <c r="X45">
        <f t="shared" si="24"/>
        <v>-1515106098.6776578</v>
      </c>
      <c r="Y45">
        <f t="shared" si="25"/>
        <v>-65270755.717688672</v>
      </c>
      <c r="Z45">
        <f t="shared" si="26"/>
        <v>-26118928.006230015</v>
      </c>
      <c r="AA45">
        <f t="shared" si="27"/>
        <v>-65030034.605301999</v>
      </c>
      <c r="AH45" s="8">
        <f t="shared" si="28"/>
        <v>-68680613.602228925</v>
      </c>
      <c r="AI45" s="8">
        <f t="shared" si="29"/>
        <v>-81858047.734838635</v>
      </c>
      <c r="AJ45" s="8">
        <f t="shared" si="30"/>
        <v>-14944752.466961339</v>
      </c>
      <c r="AK45" s="8">
        <f t="shared" si="31"/>
        <v>-1867023.1552333217</v>
      </c>
      <c r="AL45" s="8">
        <f t="shared" si="32"/>
        <v>-11491046.389674356</v>
      </c>
      <c r="AM45" s="8">
        <f t="shared" si="33"/>
        <v>-362261.03415048798</v>
      </c>
    </row>
    <row r="46" spans="1:39" ht="15" customHeight="1" x14ac:dyDescent="0.2">
      <c r="A46" s="15"/>
      <c r="B46" s="39"/>
      <c r="C46" t="s">
        <v>248</v>
      </c>
      <c r="D46">
        <v>1.26824</v>
      </c>
      <c r="E46" t="s">
        <v>350</v>
      </c>
      <c r="F46" t="s">
        <v>248</v>
      </c>
      <c r="G46">
        <v>1.26824</v>
      </c>
      <c r="H46" t="s">
        <v>350</v>
      </c>
      <c r="I46">
        <f t="shared" si="34"/>
        <v>10</v>
      </c>
      <c r="J46">
        <v>-1</v>
      </c>
      <c r="K46" t="s">
        <v>434</v>
      </c>
      <c r="L46" s="17">
        <f t="shared" si="18"/>
        <v>-1731701887.3684902</v>
      </c>
      <c r="M46" t="s">
        <v>537</v>
      </c>
      <c r="S46">
        <f t="shared" si="19"/>
        <v>0</v>
      </c>
      <c r="T46">
        <f t="shared" si="20"/>
        <v>0</v>
      </c>
      <c r="U46">
        <f t="shared" si="21"/>
        <v>0</v>
      </c>
      <c r="V46">
        <f t="shared" si="22"/>
        <v>0</v>
      </c>
      <c r="W46" s="217">
        <f t="shared" si="23"/>
        <v>0</v>
      </c>
      <c r="X46">
        <f t="shared" si="24"/>
        <v>0</v>
      </c>
      <c r="Y46">
        <f t="shared" si="25"/>
        <v>0</v>
      </c>
      <c r="Z46">
        <f t="shared" si="26"/>
        <v>0</v>
      </c>
      <c r="AA46">
        <f t="shared" si="27"/>
        <v>0</v>
      </c>
      <c r="AH46" s="8">
        <f t="shared" si="28"/>
        <v>0</v>
      </c>
      <c r="AI46" s="8">
        <f t="shared" si="29"/>
        <v>0</v>
      </c>
      <c r="AJ46" s="8">
        <f t="shared" si="30"/>
        <v>0</v>
      </c>
      <c r="AK46" s="8">
        <f t="shared" si="31"/>
        <v>0</v>
      </c>
      <c r="AL46" s="8">
        <f t="shared" si="32"/>
        <v>0</v>
      </c>
      <c r="AM46" s="8">
        <f t="shared" si="33"/>
        <v>0</v>
      </c>
    </row>
    <row r="47" spans="1:39" ht="15" customHeight="1" x14ac:dyDescent="0.2">
      <c r="A47" s="15"/>
      <c r="B47" s="39"/>
      <c r="C47" t="s">
        <v>322</v>
      </c>
      <c r="D47">
        <v>1.26824</v>
      </c>
      <c r="E47" t="s">
        <v>355</v>
      </c>
      <c r="F47" t="s">
        <v>322</v>
      </c>
      <c r="G47">
        <v>1.26824</v>
      </c>
      <c r="H47" t="s">
        <v>355</v>
      </c>
      <c r="I47">
        <f t="shared" si="34"/>
        <v>10</v>
      </c>
      <c r="J47">
        <v>-1</v>
      </c>
      <c r="K47" t="s">
        <v>439</v>
      </c>
      <c r="L47" s="17">
        <f t="shared" si="18"/>
        <v>-1731701887.3684902</v>
      </c>
      <c r="M47" t="s">
        <v>537</v>
      </c>
      <c r="S47">
        <f t="shared" si="19"/>
        <v>-50720000</v>
      </c>
      <c r="T47">
        <f t="shared" si="20"/>
        <v>-122417418.2475908</v>
      </c>
      <c r="U47">
        <f t="shared" si="21"/>
        <v>-18883897.637333807</v>
      </c>
      <c r="V47">
        <f t="shared" si="22"/>
        <v>-78698516.835186929</v>
      </c>
      <c r="W47" s="217">
        <f t="shared" si="23"/>
        <v>-50074537.919923075</v>
      </c>
      <c r="X47">
        <f t="shared" si="24"/>
        <v>-151486716.06397021</v>
      </c>
      <c r="Y47">
        <f t="shared" si="25"/>
        <v>-6526046.2269381201</v>
      </c>
      <c r="Z47">
        <f t="shared" si="26"/>
        <v>-2611480.8951190398</v>
      </c>
      <c r="AA47">
        <f t="shared" si="27"/>
        <v>-6501977.9119636454</v>
      </c>
      <c r="AH47" s="8">
        <f t="shared" si="28"/>
        <v>-686784681.71112883</v>
      </c>
      <c r="AI47" s="8">
        <f t="shared" si="29"/>
        <v>-8187335.116496291</v>
      </c>
      <c r="AJ47" s="8">
        <f t="shared" si="30"/>
        <v>-1494239.5622225974</v>
      </c>
      <c r="AK47" s="8">
        <f t="shared" si="31"/>
        <v>-18454.924104447993</v>
      </c>
      <c r="AL47" s="8">
        <f t="shared" si="32"/>
        <v>-1148626.0447821098</v>
      </c>
      <c r="AM47" s="8">
        <f t="shared" si="33"/>
        <v>-36229501.736194678</v>
      </c>
    </row>
    <row r="48" spans="1:39" ht="15" customHeight="1" x14ac:dyDescent="0.2">
      <c r="A48" s="15"/>
      <c r="B48" s="39"/>
      <c r="C48" t="s">
        <v>249</v>
      </c>
      <c r="D48">
        <v>0.12681999999999999</v>
      </c>
      <c r="E48" t="s">
        <v>356</v>
      </c>
      <c r="F48" t="s">
        <v>249</v>
      </c>
      <c r="G48">
        <v>0.12681999999999999</v>
      </c>
      <c r="H48" t="s">
        <v>356</v>
      </c>
      <c r="I48">
        <f t="shared" si="34"/>
        <v>10</v>
      </c>
      <c r="J48">
        <v>-1</v>
      </c>
      <c r="K48" t="s">
        <v>440</v>
      </c>
      <c r="L48" s="17">
        <f t="shared" si="18"/>
        <v>-173164726.98863927</v>
      </c>
      <c r="M48" t="s">
        <v>537</v>
      </c>
      <c r="S48">
        <f t="shared" si="19"/>
        <v>0</v>
      </c>
      <c r="T48">
        <f t="shared" si="20"/>
        <v>0</v>
      </c>
      <c r="U48">
        <f t="shared" si="21"/>
        <v>0</v>
      </c>
      <c r="V48">
        <f t="shared" si="22"/>
        <v>0</v>
      </c>
      <c r="W48" s="217">
        <f t="shared" si="23"/>
        <v>0</v>
      </c>
      <c r="X48">
        <f t="shared" si="24"/>
        <v>0</v>
      </c>
      <c r="Y48">
        <f t="shared" si="25"/>
        <v>0</v>
      </c>
      <c r="Z48">
        <f t="shared" si="26"/>
        <v>0</v>
      </c>
      <c r="AA48">
        <f t="shared" si="27"/>
        <v>0</v>
      </c>
      <c r="AH48" s="8">
        <f t="shared" si="28"/>
        <v>0</v>
      </c>
      <c r="AI48" s="8">
        <f t="shared" si="29"/>
        <v>0</v>
      </c>
      <c r="AJ48" s="8">
        <f t="shared" si="30"/>
        <v>0</v>
      </c>
      <c r="AK48" s="8">
        <f t="shared" si="31"/>
        <v>0</v>
      </c>
      <c r="AL48" s="8">
        <f t="shared" si="32"/>
        <v>0</v>
      </c>
      <c r="AM48" s="8">
        <f t="shared" si="33"/>
        <v>0</v>
      </c>
    </row>
    <row r="49" spans="1:39" ht="15" customHeight="1" x14ac:dyDescent="0.2">
      <c r="A49" s="15"/>
      <c r="B49" s="39"/>
      <c r="C49" t="s">
        <v>323</v>
      </c>
      <c r="D49">
        <v>1.2700000000000001E-3</v>
      </c>
      <c r="E49" t="s">
        <v>357</v>
      </c>
      <c r="F49" t="s">
        <v>323</v>
      </c>
      <c r="G49">
        <v>1.2700000000000001E-3</v>
      </c>
      <c r="H49" t="s">
        <v>357</v>
      </c>
      <c r="I49">
        <f>$A$6</f>
        <v>100</v>
      </c>
      <c r="J49">
        <v>-1</v>
      </c>
      <c r="K49" t="s">
        <v>441</v>
      </c>
      <c r="L49" s="17">
        <f t="shared" si="18"/>
        <v>-17341050.565807596</v>
      </c>
      <c r="M49" t="s">
        <v>537</v>
      </c>
      <c r="S49">
        <f t="shared" si="19"/>
        <v>-520000</v>
      </c>
      <c r="T49">
        <f t="shared" si="20"/>
        <v>-1255068.1681535332</v>
      </c>
      <c r="U49">
        <f t="shared" si="21"/>
        <v>-193604.62877392702</v>
      </c>
      <c r="V49">
        <f t="shared" si="22"/>
        <v>-7870366052.9097738</v>
      </c>
      <c r="W49" s="217">
        <f t="shared" si="23"/>
        <v>-513382.48656072549</v>
      </c>
      <c r="X49">
        <f t="shared" si="24"/>
        <v>-1553097.2467126281</v>
      </c>
      <c r="Y49">
        <f t="shared" si="25"/>
        <v>-66907.413998576943</v>
      </c>
      <c r="Z49">
        <f t="shared" si="26"/>
        <v>-26773.857757529582</v>
      </c>
      <c r="AA49">
        <f t="shared" si="27"/>
        <v>-66660.656826125691</v>
      </c>
      <c r="AH49" s="8">
        <f t="shared" si="28"/>
        <v>-68680613.602228925</v>
      </c>
      <c r="AI49" s="8">
        <f t="shared" si="29"/>
        <v>-81618.293996224718</v>
      </c>
      <c r="AJ49" s="8">
        <f t="shared" si="30"/>
        <v>-15319.490779884674</v>
      </c>
      <c r="AK49" s="8">
        <f t="shared" si="31"/>
        <v>-186599.78816719636</v>
      </c>
      <c r="AL49" s="8">
        <f t="shared" si="32"/>
        <v>-11490.711373744629</v>
      </c>
      <c r="AM49" s="8">
        <f t="shared" si="33"/>
        <v>-362293658.03348839</v>
      </c>
    </row>
    <row r="50" spans="1:39" ht="15" customHeight="1" x14ac:dyDescent="0.2">
      <c r="A50" s="15"/>
      <c r="B50" s="39"/>
      <c r="C50" t="s">
        <v>324</v>
      </c>
      <c r="D50">
        <v>1.2700000000000001E-3</v>
      </c>
      <c r="E50" t="s">
        <v>357</v>
      </c>
      <c r="F50" t="s">
        <v>324</v>
      </c>
      <c r="G50">
        <v>1.2700000000000001E-3</v>
      </c>
      <c r="H50" t="s">
        <v>357</v>
      </c>
      <c r="I50">
        <f>$A$6</f>
        <v>100</v>
      </c>
      <c r="J50">
        <v>-1</v>
      </c>
      <c r="K50" t="s">
        <v>441</v>
      </c>
      <c r="L50" s="17">
        <f t="shared" si="18"/>
        <v>-17341050.565807596</v>
      </c>
      <c r="M50" t="s">
        <v>537</v>
      </c>
      <c r="S50">
        <f t="shared" si="19"/>
        <v>0</v>
      </c>
      <c r="T50">
        <f t="shared" si="20"/>
        <v>0</v>
      </c>
      <c r="U50">
        <f t="shared" si="21"/>
        <v>0</v>
      </c>
      <c r="V50">
        <f t="shared" si="22"/>
        <v>0</v>
      </c>
      <c r="W50" s="217">
        <f t="shared" si="23"/>
        <v>0</v>
      </c>
      <c r="X50">
        <f t="shared" si="24"/>
        <v>0</v>
      </c>
      <c r="Y50">
        <f t="shared" si="25"/>
        <v>0</v>
      </c>
      <c r="Z50">
        <f t="shared" si="26"/>
        <v>0</v>
      </c>
      <c r="AA50">
        <f t="shared" si="27"/>
        <v>0</v>
      </c>
      <c r="AH50" s="8">
        <f t="shared" si="28"/>
        <v>0</v>
      </c>
      <c r="AI50" s="8">
        <f t="shared" si="29"/>
        <v>0</v>
      </c>
      <c r="AJ50" s="8">
        <f t="shared" si="30"/>
        <v>0</v>
      </c>
      <c r="AK50" s="8">
        <f t="shared" si="31"/>
        <v>0</v>
      </c>
      <c r="AL50" s="8">
        <f t="shared" si="32"/>
        <v>0</v>
      </c>
      <c r="AM50" s="8">
        <f t="shared" si="33"/>
        <v>0</v>
      </c>
    </row>
    <row r="51" spans="1:39" ht="15" customHeight="1" x14ac:dyDescent="0.2">
      <c r="A51" s="15"/>
      <c r="B51" s="39"/>
      <c r="C51" t="s">
        <v>250</v>
      </c>
      <c r="D51">
        <v>1.2700000000000001E-3</v>
      </c>
      <c r="E51" t="s">
        <v>358</v>
      </c>
      <c r="F51" t="s">
        <v>250</v>
      </c>
      <c r="G51">
        <v>1.2700000000000001E-3</v>
      </c>
      <c r="H51" t="s">
        <v>358</v>
      </c>
      <c r="I51">
        <f>$A$7</f>
        <v>10</v>
      </c>
      <c r="J51">
        <v>1</v>
      </c>
      <c r="K51" t="s">
        <v>442</v>
      </c>
      <c r="L51" s="17">
        <f t="shared" si="18"/>
        <v>1734105.0565807596</v>
      </c>
      <c r="M51" t="s">
        <v>537</v>
      </c>
      <c r="S51">
        <f t="shared" si="19"/>
        <v>-507279999.99999994</v>
      </c>
      <c r="T51">
        <f t="shared" si="20"/>
        <v>-1224367269.8863931</v>
      </c>
      <c r="U51">
        <f t="shared" si="21"/>
        <v>-188868761.70084172</v>
      </c>
      <c r="V51">
        <f t="shared" si="22"/>
        <v>-7972725.5617346233</v>
      </c>
      <c r="W51" s="217">
        <f t="shared" si="23"/>
        <v>-500824361.12024003</v>
      </c>
      <c r="X51">
        <f t="shared" si="24"/>
        <v>-1515106098.6776578</v>
      </c>
      <c r="Y51">
        <f t="shared" si="25"/>
        <v>-65270755.717688672</v>
      </c>
      <c r="Z51">
        <f t="shared" si="26"/>
        <v>-26118928.006230015</v>
      </c>
      <c r="AA51">
        <f t="shared" si="27"/>
        <v>-65030034.605301999</v>
      </c>
      <c r="AH51" s="8">
        <f t="shared" si="28"/>
        <v>-6867857544.2668695</v>
      </c>
      <c r="AI51" s="8">
        <f t="shared" si="29"/>
        <v>-81858047.734838635</v>
      </c>
      <c r="AJ51" s="8">
        <f t="shared" si="30"/>
        <v>-14944752.466961339</v>
      </c>
      <c r="AK51" s="8">
        <f t="shared" si="31"/>
        <v>-186599.78816719636</v>
      </c>
      <c r="AL51" s="8">
        <f t="shared" si="32"/>
        <v>-11491046.389674356</v>
      </c>
      <c r="AM51" s="8">
        <f t="shared" si="33"/>
        <v>-362261.03415048798</v>
      </c>
    </row>
    <row r="52" spans="1:39" ht="15" customHeight="1" x14ac:dyDescent="0.2">
      <c r="A52" s="15"/>
      <c r="B52" s="39"/>
      <c r="C52" t="s">
        <v>251</v>
      </c>
      <c r="D52">
        <v>0</v>
      </c>
      <c r="E52" t="s">
        <v>359</v>
      </c>
      <c r="F52" t="s">
        <v>251</v>
      </c>
      <c r="G52">
        <v>0</v>
      </c>
      <c r="H52" t="s">
        <v>359</v>
      </c>
      <c r="I52">
        <f>$A$6</f>
        <v>100</v>
      </c>
      <c r="J52">
        <v>-1</v>
      </c>
      <c r="K52" t="s">
        <v>443</v>
      </c>
      <c r="L52" s="17">
        <f t="shared" si="18"/>
        <v>0</v>
      </c>
      <c r="M52" t="s">
        <v>537</v>
      </c>
      <c r="S52">
        <f t="shared" si="19"/>
        <v>-520000</v>
      </c>
      <c r="T52">
        <f t="shared" si="20"/>
        <v>-1255068.1681535332</v>
      </c>
      <c r="U52">
        <f t="shared" si="21"/>
        <v>-193604.62877392702</v>
      </c>
      <c r="V52">
        <f t="shared" si="22"/>
        <v>-7972725.5617346233</v>
      </c>
      <c r="W52" s="217">
        <f t="shared" si="23"/>
        <v>-513382.48656072549</v>
      </c>
      <c r="X52">
        <f t="shared" si="24"/>
        <v>-1553097.2467126281</v>
      </c>
      <c r="Y52">
        <f t="shared" si="25"/>
        <v>-66907.413998576943</v>
      </c>
      <c r="Z52">
        <f t="shared" si="26"/>
        <v>-26773.857757529582</v>
      </c>
      <c r="AA52">
        <f t="shared" si="27"/>
        <v>-66660.656826125691</v>
      </c>
      <c r="AH52" s="8">
        <f t="shared" si="28"/>
        <v>-6865379.5713278418</v>
      </c>
      <c r="AI52" s="8">
        <f t="shared" si="29"/>
        <v>-81618.293996224718</v>
      </c>
      <c r="AJ52" s="8">
        <f t="shared" si="30"/>
        <v>-15319.490779884674</v>
      </c>
      <c r="AK52" s="8">
        <f t="shared" si="31"/>
        <v>-18454.924104447993</v>
      </c>
      <c r="AL52" s="8">
        <f t="shared" si="32"/>
        <v>-11490.711373744629</v>
      </c>
      <c r="AM52" s="8">
        <f t="shared" si="33"/>
        <v>-36229501.736194678</v>
      </c>
    </row>
    <row r="53" spans="1:39" ht="15" customHeight="1" x14ac:dyDescent="0.2">
      <c r="A53" s="15"/>
      <c r="B53" s="39"/>
      <c r="C53" t="s">
        <v>252</v>
      </c>
      <c r="D53">
        <v>0.12681999999999999</v>
      </c>
      <c r="E53" t="s">
        <v>360</v>
      </c>
      <c r="F53" t="s">
        <v>252</v>
      </c>
      <c r="G53">
        <v>0.12681999999999999</v>
      </c>
      <c r="H53" t="s">
        <v>360</v>
      </c>
      <c r="I53">
        <f>$A$7</f>
        <v>10</v>
      </c>
      <c r="J53">
        <v>-1</v>
      </c>
      <c r="K53" t="s">
        <v>444</v>
      </c>
      <c r="L53" s="17">
        <f t="shared" ref="L53:L84" si="35">(I53*D53*J53*$B$21)+(I53*J53*G53*SUM($B$22:$B$25))</f>
        <v>-173164726.98863927</v>
      </c>
      <c r="M53" t="s">
        <v>537</v>
      </c>
      <c r="S53">
        <f t="shared" si="19"/>
        <v>-520000</v>
      </c>
      <c r="T53">
        <f t="shared" si="20"/>
        <v>-1255068.1681535332</v>
      </c>
      <c r="U53">
        <f t="shared" si="21"/>
        <v>-193604.62877392702</v>
      </c>
      <c r="V53">
        <f t="shared" si="22"/>
        <v>-78698516.835186929</v>
      </c>
      <c r="W53" s="217">
        <f t="shared" si="23"/>
        <v>-513382.48656072549</v>
      </c>
      <c r="X53">
        <f t="shared" si="24"/>
        <v>-1553097.2467126281</v>
      </c>
      <c r="Y53">
        <f t="shared" si="25"/>
        <v>-66907.413998576943</v>
      </c>
      <c r="Z53">
        <f t="shared" si="26"/>
        <v>-26773.857757529582</v>
      </c>
      <c r="AA53">
        <f t="shared" si="27"/>
        <v>-66660.656826125691</v>
      </c>
      <c r="AH53" s="8">
        <f t="shared" si="28"/>
        <v>-6865379.5713278418</v>
      </c>
      <c r="AI53" s="8">
        <f t="shared" si="29"/>
        <v>-81618.293996224718</v>
      </c>
      <c r="AJ53" s="8">
        <f t="shared" si="30"/>
        <v>-15319.490779884674</v>
      </c>
      <c r="AK53" s="8">
        <f t="shared" si="31"/>
        <v>-18454.924104447993</v>
      </c>
      <c r="AL53" s="8">
        <f t="shared" si="32"/>
        <v>-11490.711373744629</v>
      </c>
      <c r="AM53" s="8">
        <f t="shared" si="33"/>
        <v>-362293658.03348839</v>
      </c>
    </row>
    <row r="54" spans="1:39" ht="15" customHeight="1" x14ac:dyDescent="0.2">
      <c r="A54" s="15"/>
      <c r="B54" s="39"/>
      <c r="C54" t="s">
        <v>253</v>
      </c>
      <c r="D54">
        <v>1.268E-2</v>
      </c>
      <c r="E54" t="s">
        <v>361</v>
      </c>
      <c r="F54" t="s">
        <v>253</v>
      </c>
      <c r="G54">
        <v>1.268E-2</v>
      </c>
      <c r="H54" t="s">
        <v>361</v>
      </c>
      <c r="I54">
        <f>$A$7</f>
        <v>10</v>
      </c>
      <c r="J54">
        <v>-1</v>
      </c>
      <c r="K54" t="s">
        <v>445</v>
      </c>
      <c r="L54" s="17">
        <f t="shared" si="35"/>
        <v>-17313741.824759081</v>
      </c>
      <c r="M54" t="s">
        <v>537</v>
      </c>
      <c r="S54">
        <f t="shared" si="19"/>
        <v>-508000.00000000006</v>
      </c>
      <c r="T54">
        <f t="shared" si="20"/>
        <v>-1226105.0565807596</v>
      </c>
      <c r="U54">
        <f t="shared" si="21"/>
        <v>-189136.82964837487</v>
      </c>
      <c r="V54">
        <f t="shared" si="22"/>
        <v>-78698516.835186929</v>
      </c>
      <c r="W54" s="217">
        <f t="shared" si="23"/>
        <v>-501535.19840932422</v>
      </c>
      <c r="X54">
        <f t="shared" si="24"/>
        <v>-1517256.5410192602</v>
      </c>
      <c r="Y54">
        <f t="shared" si="25"/>
        <v>-65363.396752455948</v>
      </c>
      <c r="Z54">
        <f t="shared" si="26"/>
        <v>-26155.999501586597</v>
      </c>
      <c r="AA54">
        <f t="shared" si="27"/>
        <v>-65122.33397629203</v>
      </c>
      <c r="AH54" s="8">
        <f t="shared" si="28"/>
        <v>-6868061.3602228928</v>
      </c>
      <c r="AI54" s="8">
        <f t="shared" si="29"/>
        <v>-81618.293996224718</v>
      </c>
      <c r="AJ54" s="8">
        <f t="shared" si="30"/>
        <v>-14965.964069579644</v>
      </c>
      <c r="AK54" s="8">
        <f t="shared" si="31"/>
        <v>-18659.978816719635</v>
      </c>
      <c r="AL54" s="8">
        <f t="shared" si="32"/>
        <v>-11486.260447821098</v>
      </c>
      <c r="AM54" s="8">
        <f t="shared" si="33"/>
        <v>-3622950.1736194682</v>
      </c>
    </row>
    <row r="55" spans="1:39" ht="15" customHeight="1" x14ac:dyDescent="0.2">
      <c r="A55" s="15"/>
      <c r="B55" s="39"/>
      <c r="C55" t="s">
        <v>325</v>
      </c>
      <c r="D55">
        <v>1.2700000000000001E-3</v>
      </c>
      <c r="E55" t="s">
        <v>362</v>
      </c>
      <c r="F55" t="s">
        <v>325</v>
      </c>
      <c r="G55">
        <v>1.2700000000000001E-3</v>
      </c>
      <c r="H55" t="s">
        <v>362</v>
      </c>
      <c r="I55">
        <f>$A$6</f>
        <v>100</v>
      </c>
      <c r="J55">
        <v>-1</v>
      </c>
      <c r="K55" t="s">
        <v>446</v>
      </c>
      <c r="L55" s="17">
        <f t="shared" si="35"/>
        <v>-17341050.565807596</v>
      </c>
      <c r="M55" t="s">
        <v>537</v>
      </c>
      <c r="S55">
        <f t="shared" si="19"/>
        <v>-508000.00000000006</v>
      </c>
      <c r="T55">
        <f t="shared" si="20"/>
        <v>-1226105.0565807596</v>
      </c>
      <c r="U55">
        <f t="shared" si="21"/>
        <v>-189136.82964837487</v>
      </c>
      <c r="V55">
        <f t="shared" si="22"/>
        <v>-7869851.6835186919</v>
      </c>
      <c r="W55" s="217">
        <f t="shared" si="23"/>
        <v>-501535.19840932422</v>
      </c>
      <c r="X55">
        <f t="shared" si="24"/>
        <v>-1517256.5410192602</v>
      </c>
      <c r="Y55">
        <f t="shared" si="25"/>
        <v>-65363.396752455948</v>
      </c>
      <c r="Z55">
        <f t="shared" si="26"/>
        <v>-26155.999501586597</v>
      </c>
      <c r="AA55">
        <f t="shared" si="27"/>
        <v>-65122.33397629203</v>
      </c>
      <c r="AH55" s="8">
        <f t="shared" si="28"/>
        <v>-68678468.17111288</v>
      </c>
      <c r="AI55" s="8">
        <f t="shared" si="29"/>
        <v>-81618.293996224718</v>
      </c>
      <c r="AJ55" s="8">
        <f t="shared" si="30"/>
        <v>-14965.964069579644</v>
      </c>
      <c r="AK55" s="8">
        <f t="shared" si="31"/>
        <v>-18659.978816719635</v>
      </c>
      <c r="AL55" s="8">
        <f t="shared" si="32"/>
        <v>-11486.260447821098</v>
      </c>
      <c r="AM55" s="8">
        <f t="shared" si="33"/>
        <v>-362261.03415048798</v>
      </c>
    </row>
    <row r="56" spans="1:39" ht="15" customHeight="1" x14ac:dyDescent="0.2">
      <c r="A56" s="15"/>
      <c r="B56" s="39"/>
      <c r="C56" t="s">
        <v>254</v>
      </c>
      <c r="D56">
        <v>1.2700000000000001E-3</v>
      </c>
      <c r="E56" t="s">
        <v>363</v>
      </c>
      <c r="F56" t="s">
        <v>254</v>
      </c>
      <c r="G56">
        <v>1.2700000000000001E-3</v>
      </c>
      <c r="H56" t="s">
        <v>363</v>
      </c>
      <c r="I56">
        <f>$A$7</f>
        <v>10</v>
      </c>
      <c r="J56">
        <v>-1</v>
      </c>
      <c r="K56" t="s">
        <v>447</v>
      </c>
      <c r="L56" s="17">
        <f t="shared" si="35"/>
        <v>-1734105.0565807596</v>
      </c>
      <c r="M56" t="s">
        <v>537</v>
      </c>
      <c r="S56">
        <f t="shared" si="19"/>
        <v>0</v>
      </c>
      <c r="T56">
        <f t="shared" si="20"/>
        <v>0</v>
      </c>
      <c r="U56">
        <f t="shared" si="21"/>
        <v>0</v>
      </c>
      <c r="V56">
        <f t="shared" si="22"/>
        <v>0</v>
      </c>
      <c r="W56" s="217">
        <f t="shared" si="23"/>
        <v>0</v>
      </c>
      <c r="X56">
        <f t="shared" si="24"/>
        <v>0</v>
      </c>
      <c r="Y56">
        <f t="shared" si="25"/>
        <v>0</v>
      </c>
      <c r="Z56">
        <f t="shared" si="26"/>
        <v>0</v>
      </c>
      <c r="AA56">
        <f t="shared" si="27"/>
        <v>0</v>
      </c>
      <c r="AH56" s="8">
        <f t="shared" si="28"/>
        <v>0</v>
      </c>
      <c r="AI56" s="8">
        <f t="shared" si="29"/>
        <v>0</v>
      </c>
      <c r="AJ56" s="8">
        <f t="shared" si="30"/>
        <v>0</v>
      </c>
      <c r="AK56" s="8">
        <f t="shared" si="31"/>
        <v>0</v>
      </c>
      <c r="AL56" s="8">
        <f t="shared" si="32"/>
        <v>0</v>
      </c>
      <c r="AM56" s="8">
        <f t="shared" si="33"/>
        <v>0</v>
      </c>
    </row>
    <row r="57" spans="1:39" ht="15" customHeight="1" x14ac:dyDescent="0.2">
      <c r="A57" s="15"/>
      <c r="B57" s="39"/>
      <c r="C57" t="s">
        <v>255</v>
      </c>
      <c r="D57">
        <v>0</v>
      </c>
      <c r="E57" t="s">
        <v>364</v>
      </c>
      <c r="F57" t="s">
        <v>255</v>
      </c>
      <c r="G57">
        <v>0</v>
      </c>
      <c r="H57" t="s">
        <v>364</v>
      </c>
      <c r="I57">
        <f>$A$7</f>
        <v>10</v>
      </c>
      <c r="J57">
        <v>-1</v>
      </c>
      <c r="K57" t="s">
        <v>448</v>
      </c>
      <c r="L57" s="17">
        <f t="shared" si="35"/>
        <v>0</v>
      </c>
      <c r="M57" t="s">
        <v>537</v>
      </c>
      <c r="S57">
        <f t="shared" si="19"/>
        <v>0</v>
      </c>
      <c r="T57">
        <f t="shared" si="20"/>
        <v>0</v>
      </c>
      <c r="U57">
        <f t="shared" si="21"/>
        <v>0</v>
      </c>
      <c r="V57">
        <f t="shared" si="22"/>
        <v>0</v>
      </c>
      <c r="W57" s="217">
        <f t="shared" si="23"/>
        <v>0</v>
      </c>
      <c r="X57">
        <f t="shared" si="24"/>
        <v>0</v>
      </c>
      <c r="Y57">
        <f t="shared" si="25"/>
        <v>0</v>
      </c>
      <c r="Z57">
        <f t="shared" si="26"/>
        <v>0</v>
      </c>
      <c r="AA57">
        <f t="shared" si="27"/>
        <v>0</v>
      </c>
      <c r="AH57" s="8">
        <f t="shared" si="28"/>
        <v>0</v>
      </c>
      <c r="AI57" s="8">
        <f t="shared" si="29"/>
        <v>0</v>
      </c>
      <c r="AJ57" s="8">
        <f t="shared" si="30"/>
        <v>0</v>
      </c>
      <c r="AK57" s="8">
        <f t="shared" si="31"/>
        <v>0</v>
      </c>
      <c r="AL57" s="8">
        <f t="shared" si="32"/>
        <v>0</v>
      </c>
      <c r="AM57" s="8">
        <f t="shared" si="33"/>
        <v>0</v>
      </c>
    </row>
    <row r="58" spans="1:39" ht="15" customHeight="1" x14ac:dyDescent="0.2">
      <c r="A58" s="15"/>
      <c r="B58" s="39"/>
      <c r="C58" t="s">
        <v>256</v>
      </c>
      <c r="D58">
        <v>1.2700000000000001E-3</v>
      </c>
      <c r="E58" t="s">
        <v>365</v>
      </c>
      <c r="F58" t="s">
        <v>256</v>
      </c>
      <c r="G58">
        <v>1.2700000000000001E-3</v>
      </c>
      <c r="H58" t="s">
        <v>365</v>
      </c>
      <c r="I58">
        <f>$A$7</f>
        <v>10</v>
      </c>
      <c r="J58">
        <v>-1</v>
      </c>
      <c r="K58" t="s">
        <v>449</v>
      </c>
      <c r="L58" s="17">
        <f t="shared" si="35"/>
        <v>-1734105.0565807596</v>
      </c>
      <c r="M58" t="s">
        <v>537</v>
      </c>
      <c r="S58">
        <f t="shared" si="19"/>
        <v>-50727999.999999993</v>
      </c>
      <c r="T58">
        <f t="shared" si="20"/>
        <v>-122436726.98863928</v>
      </c>
      <c r="U58">
        <f t="shared" si="21"/>
        <v>-18886876.170084171</v>
      </c>
      <c r="V58">
        <f t="shared" si="22"/>
        <v>-787036605.29097736</v>
      </c>
      <c r="W58" s="217">
        <f t="shared" si="23"/>
        <v>-50082436.112024002</v>
      </c>
      <c r="X58">
        <f t="shared" si="24"/>
        <v>-151510609.86776578</v>
      </c>
      <c r="Y58">
        <f t="shared" si="25"/>
        <v>-6527075.5717688669</v>
      </c>
      <c r="Z58">
        <f t="shared" si="26"/>
        <v>-2611892.8006230015</v>
      </c>
      <c r="AA58">
        <f t="shared" si="27"/>
        <v>-6503003.4605302</v>
      </c>
      <c r="AH58" s="8">
        <f t="shared" si="28"/>
        <v>-68653.795713278436</v>
      </c>
      <c r="AI58" s="8">
        <f t="shared" si="29"/>
        <v>-8185804.7734838631</v>
      </c>
      <c r="AJ58" s="8">
        <f t="shared" si="30"/>
        <v>-1494475.2466961341</v>
      </c>
      <c r="AK58" s="8">
        <f t="shared" si="31"/>
        <v>-186702.31552333219</v>
      </c>
      <c r="AL58" s="8">
        <f t="shared" si="32"/>
        <v>-1149104.6389674356</v>
      </c>
      <c r="AM58" s="8">
        <f t="shared" si="33"/>
        <v>-3622950.1736194682</v>
      </c>
    </row>
    <row r="59" spans="1:39" ht="15" customHeight="1" x14ac:dyDescent="0.2">
      <c r="A59" s="15"/>
      <c r="B59" s="39"/>
      <c r="C59" t="s">
        <v>257</v>
      </c>
      <c r="D59">
        <v>1.26824</v>
      </c>
      <c r="E59" t="s">
        <v>366</v>
      </c>
      <c r="F59" t="s">
        <v>257</v>
      </c>
      <c r="G59">
        <v>1.26824</v>
      </c>
      <c r="H59" t="s">
        <v>366</v>
      </c>
      <c r="I59">
        <f>$A$6</f>
        <v>100</v>
      </c>
      <c r="J59">
        <v>-1</v>
      </c>
      <c r="K59" t="s">
        <v>450</v>
      </c>
      <c r="L59" s="17">
        <f t="shared" si="35"/>
        <v>-17317018873.684898</v>
      </c>
      <c r="M59" t="s">
        <v>537</v>
      </c>
      <c r="S59">
        <f t="shared" si="19"/>
        <v>-508000.00000000006</v>
      </c>
      <c r="T59">
        <f t="shared" si="20"/>
        <v>-1226105.0565807596</v>
      </c>
      <c r="U59">
        <f t="shared" si="21"/>
        <v>-189136.82964837487</v>
      </c>
      <c r="V59">
        <f t="shared" si="22"/>
        <v>-7869851.6835186919</v>
      </c>
      <c r="W59" s="217">
        <f t="shared" si="23"/>
        <v>-501535.19840932422</v>
      </c>
      <c r="X59">
        <f t="shared" si="24"/>
        <v>-1517256.5410192602</v>
      </c>
      <c r="Y59">
        <f t="shared" si="25"/>
        <v>-65363.396752455948</v>
      </c>
      <c r="Z59">
        <f t="shared" si="26"/>
        <v>-26155.999501586597</v>
      </c>
      <c r="AA59">
        <f t="shared" si="27"/>
        <v>-65122.33397629203</v>
      </c>
      <c r="AH59" s="8">
        <f t="shared" si="28"/>
        <v>-6868061.3602228928</v>
      </c>
      <c r="AI59" s="8">
        <f t="shared" si="29"/>
        <v>-81618.293996224718</v>
      </c>
      <c r="AJ59" s="8">
        <f t="shared" si="30"/>
        <v>-14965.964069579644</v>
      </c>
      <c r="AK59" s="8">
        <f t="shared" si="31"/>
        <v>-18659.978816719635</v>
      </c>
      <c r="AL59" s="8">
        <f t="shared" si="32"/>
        <v>-11486.260447821098</v>
      </c>
      <c r="AM59" s="8">
        <f t="shared" si="33"/>
        <v>-362261.03415048798</v>
      </c>
    </row>
    <row r="60" spans="1:39" ht="15" customHeight="1" x14ac:dyDescent="0.2">
      <c r="A60" s="15"/>
      <c r="B60" s="39"/>
      <c r="C60" t="s">
        <v>258</v>
      </c>
      <c r="D60">
        <v>0.12681999999999999</v>
      </c>
      <c r="E60" t="s">
        <v>367</v>
      </c>
      <c r="F60" t="s">
        <v>258</v>
      </c>
      <c r="G60">
        <v>0.12681999999999999</v>
      </c>
      <c r="H60" t="s">
        <v>367</v>
      </c>
      <c r="I60">
        <f>$A$6</f>
        <v>100</v>
      </c>
      <c r="J60">
        <v>-1</v>
      </c>
      <c r="K60" t="s">
        <v>451</v>
      </c>
      <c r="L60" s="17">
        <f t="shared" si="35"/>
        <v>-1731647269.8863931</v>
      </c>
      <c r="M60" t="s">
        <v>537</v>
      </c>
      <c r="S60">
        <f t="shared" si="19"/>
        <v>-508000.00000000006</v>
      </c>
      <c r="T60">
        <f t="shared" si="20"/>
        <v>-1226105.0565807596</v>
      </c>
      <c r="U60">
        <f t="shared" si="21"/>
        <v>-189136.82964837487</v>
      </c>
      <c r="V60">
        <f t="shared" si="22"/>
        <v>-7869851.6835186919</v>
      </c>
      <c r="W60" s="217">
        <f t="shared" si="23"/>
        <v>-501535.19840932422</v>
      </c>
      <c r="X60">
        <f t="shared" si="24"/>
        <v>-1517256.5410192602</v>
      </c>
      <c r="Y60">
        <f t="shared" si="25"/>
        <v>-65363.396752455948</v>
      </c>
      <c r="Z60">
        <f t="shared" si="26"/>
        <v>-26155.999501586597</v>
      </c>
      <c r="AA60">
        <f t="shared" si="27"/>
        <v>-65122.33397629203</v>
      </c>
      <c r="AH60" s="8">
        <f t="shared" si="28"/>
        <v>-6868061.3602228928</v>
      </c>
      <c r="AI60" s="8">
        <f t="shared" si="29"/>
        <v>-81618.293996224718</v>
      </c>
      <c r="AJ60" s="8">
        <f t="shared" si="30"/>
        <v>-14965.964069579644</v>
      </c>
      <c r="AK60" s="8">
        <f t="shared" si="31"/>
        <v>-18659.978816719635</v>
      </c>
      <c r="AL60" s="8">
        <f t="shared" si="32"/>
        <v>-11486.260447821098</v>
      </c>
      <c r="AM60" s="8">
        <f t="shared" si="33"/>
        <v>-362261.03415048798</v>
      </c>
    </row>
    <row r="61" spans="1:39" ht="15" customHeight="1" x14ac:dyDescent="0.2">
      <c r="A61" s="15"/>
      <c r="B61" s="39"/>
      <c r="C61" t="s">
        <v>326</v>
      </c>
      <c r="D61">
        <v>1.2700000000000001E-3</v>
      </c>
      <c r="E61" t="s">
        <v>365</v>
      </c>
      <c r="F61" t="s">
        <v>326</v>
      </c>
      <c r="G61">
        <v>1.2700000000000001E-3</v>
      </c>
      <c r="H61" t="s">
        <v>365</v>
      </c>
      <c r="I61">
        <v>0</v>
      </c>
      <c r="J61">
        <v>0</v>
      </c>
      <c r="K61" t="s">
        <v>449</v>
      </c>
      <c r="L61" s="17">
        <f t="shared" si="35"/>
        <v>0</v>
      </c>
      <c r="M61" t="s">
        <v>537</v>
      </c>
      <c r="S61">
        <f t="shared" si="19"/>
        <v>0</v>
      </c>
      <c r="T61">
        <f t="shared" si="20"/>
        <v>0</v>
      </c>
      <c r="U61">
        <f t="shared" si="21"/>
        <v>0</v>
      </c>
      <c r="V61">
        <f t="shared" si="22"/>
        <v>0</v>
      </c>
      <c r="W61" s="217">
        <f t="shared" si="23"/>
        <v>0</v>
      </c>
      <c r="X61">
        <f t="shared" si="24"/>
        <v>0</v>
      </c>
      <c r="Y61">
        <f t="shared" si="25"/>
        <v>0</v>
      </c>
      <c r="Z61">
        <f t="shared" si="26"/>
        <v>0</v>
      </c>
      <c r="AA61">
        <f t="shared" si="27"/>
        <v>0</v>
      </c>
      <c r="AH61" s="8">
        <f t="shared" si="28"/>
        <v>0</v>
      </c>
      <c r="AI61" s="8">
        <f t="shared" si="29"/>
        <v>0</v>
      </c>
      <c r="AJ61" s="8">
        <f t="shared" si="30"/>
        <v>0</v>
      </c>
      <c r="AK61" s="8">
        <f t="shared" si="31"/>
        <v>0</v>
      </c>
      <c r="AL61" s="8">
        <f t="shared" si="32"/>
        <v>0</v>
      </c>
      <c r="AM61" s="8">
        <f t="shared" si="33"/>
        <v>0</v>
      </c>
    </row>
    <row r="62" spans="1:39" x14ac:dyDescent="0.2">
      <c r="A62" s="38"/>
      <c r="B62" s="55"/>
      <c r="C62" t="s">
        <v>259</v>
      </c>
      <c r="D62">
        <v>1.268E-2</v>
      </c>
      <c r="E62" t="s">
        <v>368</v>
      </c>
      <c r="F62" t="s">
        <v>259</v>
      </c>
      <c r="G62">
        <v>1.268E-2</v>
      </c>
      <c r="H62" t="s">
        <v>368</v>
      </c>
      <c r="I62">
        <f>$A$6</f>
        <v>100</v>
      </c>
      <c r="J62">
        <v>-1</v>
      </c>
      <c r="K62" t="s">
        <v>452</v>
      </c>
      <c r="L62" s="17">
        <f t="shared" si="35"/>
        <v>-173137418.24759078</v>
      </c>
      <c r="M62" t="s">
        <v>537</v>
      </c>
      <c r="S62">
        <f t="shared" si="19"/>
        <v>-5080000</v>
      </c>
      <c r="T62">
        <f t="shared" si="20"/>
        <v>-12261050.565807596</v>
      </c>
      <c r="U62">
        <f t="shared" si="21"/>
        <v>-1891368.2964837488</v>
      </c>
      <c r="V62">
        <f t="shared" si="22"/>
        <v>0</v>
      </c>
      <c r="W62" s="217">
        <f t="shared" si="23"/>
        <v>-5015351.9840932423</v>
      </c>
      <c r="X62">
        <f t="shared" si="24"/>
        <v>-15172565.410192601</v>
      </c>
      <c r="Y62">
        <f t="shared" si="25"/>
        <v>-653633.96752455947</v>
      </c>
      <c r="Z62">
        <f t="shared" si="26"/>
        <v>-261559.99501586598</v>
      </c>
      <c r="AA62">
        <f t="shared" si="27"/>
        <v>-651223.33976292028</v>
      </c>
      <c r="AH62" s="8">
        <f t="shared" si="28"/>
        <v>-6865379.5713278418</v>
      </c>
      <c r="AI62" s="8">
        <f t="shared" si="29"/>
        <v>-816182.93996224715</v>
      </c>
      <c r="AJ62" s="8">
        <f t="shared" si="30"/>
        <v>-149659.64069579646</v>
      </c>
      <c r="AK62" s="8">
        <f t="shared" si="31"/>
        <v>0</v>
      </c>
      <c r="AL62" s="8">
        <f t="shared" si="32"/>
        <v>-114862.60447821098</v>
      </c>
      <c r="AM62" s="8">
        <f t="shared" si="33"/>
        <v>-36229501.736194678</v>
      </c>
    </row>
    <row r="63" spans="1:39" x14ac:dyDescent="0.2">
      <c r="A63" s="38"/>
      <c r="B63" s="55"/>
      <c r="C63" t="s">
        <v>260</v>
      </c>
      <c r="D63">
        <v>0</v>
      </c>
      <c r="E63" t="s">
        <v>368</v>
      </c>
      <c r="F63" t="s">
        <v>260</v>
      </c>
      <c r="G63">
        <v>0</v>
      </c>
      <c r="H63" t="s">
        <v>368</v>
      </c>
      <c r="I63">
        <v>0</v>
      </c>
      <c r="J63">
        <v>0</v>
      </c>
      <c r="K63" t="s">
        <v>452</v>
      </c>
      <c r="L63" s="17">
        <f t="shared" si="35"/>
        <v>0</v>
      </c>
      <c r="M63" t="s">
        <v>537</v>
      </c>
      <c r="S63">
        <f t="shared" si="19"/>
        <v>0</v>
      </c>
      <c r="T63">
        <f t="shared" si="20"/>
        <v>0</v>
      </c>
      <c r="U63">
        <f t="shared" si="21"/>
        <v>0</v>
      </c>
      <c r="V63">
        <f t="shared" si="22"/>
        <v>0</v>
      </c>
      <c r="W63" s="217">
        <f t="shared" si="23"/>
        <v>0</v>
      </c>
      <c r="X63">
        <f t="shared" si="24"/>
        <v>0</v>
      </c>
      <c r="Y63">
        <f t="shared" si="25"/>
        <v>0</v>
      </c>
      <c r="Z63">
        <f t="shared" si="26"/>
        <v>0</v>
      </c>
      <c r="AA63">
        <f t="shared" si="27"/>
        <v>0</v>
      </c>
      <c r="AH63" s="8">
        <f t="shared" si="28"/>
        <v>0</v>
      </c>
      <c r="AI63" s="8">
        <f t="shared" si="29"/>
        <v>0</v>
      </c>
      <c r="AJ63" s="8">
        <f t="shared" si="30"/>
        <v>0</v>
      </c>
      <c r="AK63" s="8">
        <f t="shared" si="31"/>
        <v>0</v>
      </c>
      <c r="AL63" s="8">
        <f t="shared" si="32"/>
        <v>0</v>
      </c>
      <c r="AM63" s="8">
        <f t="shared" si="33"/>
        <v>0</v>
      </c>
    </row>
    <row r="64" spans="1:39" x14ac:dyDescent="0.2">
      <c r="A64" s="38"/>
      <c r="B64" s="55"/>
      <c r="C64" t="s">
        <v>327</v>
      </c>
      <c r="D64">
        <v>1.2999999999999999E-4</v>
      </c>
      <c r="E64" t="s">
        <v>368</v>
      </c>
      <c r="F64" t="s">
        <v>327</v>
      </c>
      <c r="G64">
        <v>1.2999999999999999E-4</v>
      </c>
      <c r="H64" t="s">
        <v>368</v>
      </c>
      <c r="I64">
        <f>$A$6</f>
        <v>100</v>
      </c>
      <c r="J64">
        <v>-1</v>
      </c>
      <c r="K64" t="s">
        <v>452</v>
      </c>
      <c r="L64" s="17">
        <f t="shared" si="35"/>
        <v>-1775068.1681535332</v>
      </c>
      <c r="M64" t="s">
        <v>537</v>
      </c>
      <c r="S64">
        <f t="shared" si="19"/>
        <v>0</v>
      </c>
      <c r="T64">
        <f t="shared" si="20"/>
        <v>0</v>
      </c>
      <c r="U64">
        <f t="shared" si="21"/>
        <v>0</v>
      </c>
      <c r="V64">
        <f t="shared" si="22"/>
        <v>0</v>
      </c>
      <c r="W64" s="217">
        <f t="shared" si="23"/>
        <v>0</v>
      </c>
      <c r="X64">
        <f t="shared" si="24"/>
        <v>0</v>
      </c>
      <c r="Y64">
        <f t="shared" si="25"/>
        <v>0</v>
      </c>
      <c r="Z64">
        <f t="shared" si="26"/>
        <v>0</v>
      </c>
      <c r="AA64">
        <f t="shared" si="27"/>
        <v>0</v>
      </c>
      <c r="AH64" s="8">
        <f t="shared" si="28"/>
        <v>0</v>
      </c>
      <c r="AI64" s="8">
        <f t="shared" si="29"/>
        <v>0</v>
      </c>
      <c r="AJ64" s="8">
        <f t="shared" si="30"/>
        <v>0</v>
      </c>
      <c r="AK64" s="8">
        <f t="shared" si="31"/>
        <v>0</v>
      </c>
      <c r="AL64" s="8">
        <f t="shared" si="32"/>
        <v>0</v>
      </c>
      <c r="AM64" s="8">
        <f t="shared" si="33"/>
        <v>0</v>
      </c>
    </row>
    <row r="65" spans="3:39" x14ac:dyDescent="0.2">
      <c r="C65" t="s">
        <v>328</v>
      </c>
      <c r="D65">
        <v>1.2999999999999999E-4</v>
      </c>
      <c r="E65" t="s">
        <v>368</v>
      </c>
      <c r="F65" t="s">
        <v>328</v>
      </c>
      <c r="G65">
        <v>1.2999999999999999E-4</v>
      </c>
      <c r="H65" t="s">
        <v>368</v>
      </c>
      <c r="I65">
        <v>0</v>
      </c>
      <c r="J65">
        <v>0</v>
      </c>
      <c r="K65" t="s">
        <v>452</v>
      </c>
      <c r="L65" s="17">
        <f t="shared" si="35"/>
        <v>0</v>
      </c>
      <c r="M65" t="s">
        <v>537</v>
      </c>
      <c r="S65">
        <f t="shared" si="19"/>
        <v>-52000</v>
      </c>
      <c r="T65">
        <f t="shared" si="20"/>
        <v>-125506.81681535333</v>
      </c>
      <c r="U65">
        <f t="shared" si="21"/>
        <v>-19360.462877392703</v>
      </c>
      <c r="V65">
        <f t="shared" si="22"/>
        <v>-7870366052.9097729</v>
      </c>
      <c r="W65" s="217">
        <f t="shared" si="23"/>
        <v>-51338.248656072545</v>
      </c>
      <c r="X65">
        <f t="shared" si="24"/>
        <v>-155309.72467126281</v>
      </c>
      <c r="Y65">
        <f t="shared" si="25"/>
        <v>-6690.741399857694</v>
      </c>
      <c r="Z65">
        <f t="shared" si="26"/>
        <v>-2677.3857757529586</v>
      </c>
      <c r="AA65">
        <f t="shared" si="27"/>
        <v>-6666.0656826125696</v>
      </c>
      <c r="AH65" s="8">
        <f t="shared" si="28"/>
        <v>-686537.95713278418</v>
      </c>
      <c r="AI65" s="8">
        <f t="shared" si="29"/>
        <v>-8161.8293996224729</v>
      </c>
      <c r="AJ65" s="8">
        <f t="shared" si="30"/>
        <v>-1531.9490779884675</v>
      </c>
      <c r="AK65" s="8">
        <f t="shared" si="31"/>
        <v>-1845.4924104447991</v>
      </c>
      <c r="AL65" s="8">
        <f t="shared" si="32"/>
        <v>-1149.071137374463</v>
      </c>
      <c r="AM65" s="8">
        <f t="shared" si="33"/>
        <v>-362293658.03348839</v>
      </c>
    </row>
    <row r="66" spans="3:39" x14ac:dyDescent="0.2">
      <c r="C66" t="s">
        <v>261</v>
      </c>
      <c r="D66">
        <v>0.12681999999999999</v>
      </c>
      <c r="E66" t="s">
        <v>369</v>
      </c>
      <c r="F66" t="s">
        <v>261</v>
      </c>
      <c r="G66">
        <v>0.12681999999999999</v>
      </c>
      <c r="H66" t="s">
        <v>369</v>
      </c>
      <c r="I66">
        <f>$A$6</f>
        <v>100</v>
      </c>
      <c r="J66">
        <v>-1</v>
      </c>
      <c r="K66" t="s">
        <v>453</v>
      </c>
      <c r="L66" s="17">
        <f t="shared" si="35"/>
        <v>-1731647269.8863931</v>
      </c>
      <c r="M66" t="s">
        <v>537</v>
      </c>
      <c r="S66">
        <f t="shared" si="19"/>
        <v>0</v>
      </c>
      <c r="T66">
        <f t="shared" si="20"/>
        <v>0</v>
      </c>
      <c r="U66">
        <f t="shared" si="21"/>
        <v>0</v>
      </c>
      <c r="V66">
        <f t="shared" si="22"/>
        <v>0</v>
      </c>
      <c r="W66" s="217">
        <f t="shared" si="23"/>
        <v>0</v>
      </c>
      <c r="X66">
        <f t="shared" si="24"/>
        <v>0</v>
      </c>
      <c r="Y66">
        <f t="shared" si="25"/>
        <v>0</v>
      </c>
      <c r="Z66">
        <f t="shared" si="26"/>
        <v>0</v>
      </c>
      <c r="AA66">
        <f t="shared" si="27"/>
        <v>0</v>
      </c>
      <c r="AH66" s="8">
        <f t="shared" si="28"/>
        <v>0</v>
      </c>
      <c r="AI66" s="8">
        <f t="shared" si="29"/>
        <v>0</v>
      </c>
      <c r="AJ66" s="8">
        <f t="shared" si="30"/>
        <v>0</v>
      </c>
      <c r="AK66" s="8">
        <f t="shared" si="31"/>
        <v>0</v>
      </c>
      <c r="AL66" s="8">
        <f t="shared" si="32"/>
        <v>0</v>
      </c>
      <c r="AM66" s="8">
        <f t="shared" si="33"/>
        <v>0</v>
      </c>
    </row>
    <row r="67" spans="3:39" x14ac:dyDescent="0.2">
      <c r="C67" t="s">
        <v>263</v>
      </c>
      <c r="D67">
        <v>1.2999999999999999E-4</v>
      </c>
      <c r="E67" t="s">
        <v>370</v>
      </c>
      <c r="F67" t="s">
        <v>263</v>
      </c>
      <c r="G67">
        <v>1.2999999999999999E-4</v>
      </c>
      <c r="H67" t="s">
        <v>370</v>
      </c>
      <c r="I67">
        <f>$A$6</f>
        <v>100</v>
      </c>
      <c r="J67">
        <v>-1</v>
      </c>
      <c r="K67" t="s">
        <v>454</v>
      </c>
      <c r="L67" s="17">
        <f t="shared" si="35"/>
        <v>-1775068.1681535332</v>
      </c>
      <c r="M67" t="s">
        <v>537</v>
      </c>
      <c r="S67">
        <f t="shared" si="19"/>
        <v>-5072960000</v>
      </c>
      <c r="T67">
        <f t="shared" si="20"/>
        <v>-12244058873.6849</v>
      </c>
      <c r="U67">
        <f t="shared" si="21"/>
        <v>-1888747187.6634247</v>
      </c>
      <c r="V67">
        <f t="shared" si="22"/>
        <v>-78698516.835186929</v>
      </c>
      <c r="W67" s="217">
        <f t="shared" si="23"/>
        <v>-5008401575.0444193</v>
      </c>
      <c r="X67">
        <f t="shared" si="24"/>
        <v>-15151538862.852489</v>
      </c>
      <c r="Y67">
        <f t="shared" si="25"/>
        <v>-652728144.07350183</v>
      </c>
      <c r="Z67">
        <f t="shared" si="26"/>
        <v>-261197518.17237943</v>
      </c>
      <c r="AA67">
        <f t="shared" si="27"/>
        <v>-650320857.02435124</v>
      </c>
      <c r="AH67" s="8">
        <f t="shared" si="28"/>
        <v>-686537.9571327843</v>
      </c>
      <c r="AI67" s="8">
        <f t="shared" si="29"/>
        <v>-818565173.918262</v>
      </c>
      <c r="AJ67" s="8">
        <f t="shared" si="30"/>
        <v>-149452238.35908413</v>
      </c>
      <c r="AK67" s="8">
        <f t="shared" si="31"/>
        <v>-186599.78816719636</v>
      </c>
      <c r="AL67" s="8">
        <f t="shared" si="32"/>
        <v>-114907273.26884139</v>
      </c>
      <c r="AM67" s="8">
        <f t="shared" si="33"/>
        <v>-362293658.03348839</v>
      </c>
    </row>
    <row r="68" spans="3:39" x14ac:dyDescent="0.2">
      <c r="C68" t="s">
        <v>262</v>
      </c>
      <c r="D68">
        <v>1.2999999999999999E-4</v>
      </c>
      <c r="E68" t="s">
        <v>370</v>
      </c>
      <c r="F68" t="s">
        <v>262</v>
      </c>
      <c r="G68">
        <v>1.2999999999999999E-4</v>
      </c>
      <c r="H68" t="s">
        <v>370</v>
      </c>
      <c r="I68">
        <f>$A$6</f>
        <v>100</v>
      </c>
      <c r="J68">
        <v>-1</v>
      </c>
      <c r="K68" t="s">
        <v>454</v>
      </c>
      <c r="L68" s="17">
        <f t="shared" si="35"/>
        <v>-1775068.1681535332</v>
      </c>
      <c r="M68" t="s">
        <v>537</v>
      </c>
      <c r="S68">
        <f t="shared" si="19"/>
        <v>-5072960000</v>
      </c>
      <c r="T68">
        <f t="shared" si="20"/>
        <v>-12244058873.6849</v>
      </c>
      <c r="U68">
        <f t="shared" si="21"/>
        <v>-1888747187.6634247</v>
      </c>
      <c r="V68">
        <f t="shared" si="22"/>
        <v>-78698516.835186929</v>
      </c>
      <c r="W68" s="217">
        <f t="shared" si="23"/>
        <v>-5008401575.0444193</v>
      </c>
      <c r="X68">
        <f t="shared" si="24"/>
        <v>-15151538862.852489</v>
      </c>
      <c r="Y68">
        <f t="shared" si="25"/>
        <v>-652728144.07350183</v>
      </c>
      <c r="Z68">
        <f t="shared" si="26"/>
        <v>-261197518.17237943</v>
      </c>
      <c r="AA68">
        <f t="shared" si="27"/>
        <v>-650320857.02435124</v>
      </c>
      <c r="AH68" s="8">
        <f t="shared" si="28"/>
        <v>-686784681.71112883</v>
      </c>
      <c r="AI68" s="8">
        <f t="shared" si="29"/>
        <v>-818565173.918262</v>
      </c>
      <c r="AJ68" s="8">
        <f t="shared" si="30"/>
        <v>-149452238.35908413</v>
      </c>
      <c r="AK68" s="8">
        <f t="shared" si="31"/>
        <v>-186599.78816719636</v>
      </c>
      <c r="AL68" s="8">
        <f t="shared" si="32"/>
        <v>-114907273.26884139</v>
      </c>
      <c r="AM68" s="8">
        <f t="shared" si="33"/>
        <v>-362293658.03348839</v>
      </c>
    </row>
    <row r="69" spans="3:39" x14ac:dyDescent="0.2">
      <c r="C69" t="s">
        <v>264</v>
      </c>
      <c r="D69">
        <v>1.2700000000000001E-3</v>
      </c>
      <c r="E69" t="s">
        <v>371</v>
      </c>
      <c r="F69" t="s">
        <v>264</v>
      </c>
      <c r="G69">
        <v>1.2700000000000001E-3</v>
      </c>
      <c r="H69" t="s">
        <v>371</v>
      </c>
      <c r="I69">
        <f>$A$7</f>
        <v>10</v>
      </c>
      <c r="J69">
        <v>-1</v>
      </c>
      <c r="K69" t="s">
        <v>455</v>
      </c>
      <c r="L69" s="17">
        <f t="shared" si="35"/>
        <v>-1734105.0565807596</v>
      </c>
      <c r="M69" t="s">
        <v>537</v>
      </c>
      <c r="S69">
        <f t="shared" si="19"/>
        <v>-5080000</v>
      </c>
      <c r="T69">
        <f t="shared" si="20"/>
        <v>-12261050.565807596</v>
      </c>
      <c r="U69">
        <f t="shared" si="21"/>
        <v>-1891368.2964837488</v>
      </c>
      <c r="V69">
        <f t="shared" si="22"/>
        <v>-7972725.5617346233</v>
      </c>
      <c r="W69" s="217">
        <f t="shared" si="23"/>
        <v>-5015351.9840932423</v>
      </c>
      <c r="X69">
        <f t="shared" si="24"/>
        <v>-15172565.410192601</v>
      </c>
      <c r="Y69">
        <f t="shared" si="25"/>
        <v>-653633.96752455947</v>
      </c>
      <c r="Z69">
        <f t="shared" si="26"/>
        <v>-261559.99501586598</v>
      </c>
      <c r="AA69">
        <f t="shared" si="27"/>
        <v>-651223.33976292028</v>
      </c>
      <c r="AH69" s="8">
        <f t="shared" si="28"/>
        <v>-68680613.602228925</v>
      </c>
      <c r="AI69" s="8">
        <f t="shared" si="29"/>
        <v>-816182.93996224715</v>
      </c>
      <c r="AJ69" s="8">
        <f t="shared" si="30"/>
        <v>-149659.64069579646</v>
      </c>
      <c r="AK69" s="8">
        <f t="shared" si="31"/>
        <v>-18454.924104447993</v>
      </c>
      <c r="AL69" s="8">
        <f t="shared" si="32"/>
        <v>-114862.60447821098</v>
      </c>
      <c r="AM69" s="8">
        <f t="shared" si="33"/>
        <v>-3622610.3415048798</v>
      </c>
    </row>
    <row r="70" spans="3:39" x14ac:dyDescent="0.2">
      <c r="C70" t="s">
        <v>265</v>
      </c>
      <c r="D70">
        <v>1.2700000000000001E-3</v>
      </c>
      <c r="E70" t="s">
        <v>371</v>
      </c>
      <c r="F70" t="s">
        <v>265</v>
      </c>
      <c r="G70">
        <v>1.2700000000000001E-3</v>
      </c>
      <c r="H70" t="s">
        <v>371</v>
      </c>
      <c r="I70">
        <f>$A$7</f>
        <v>10</v>
      </c>
      <c r="J70">
        <v>-1</v>
      </c>
      <c r="K70" t="s">
        <v>455</v>
      </c>
      <c r="L70" s="17">
        <f t="shared" si="35"/>
        <v>-1734105.0565807596</v>
      </c>
      <c r="M70" t="s">
        <v>537</v>
      </c>
      <c r="S70">
        <f t="shared" ref="S70:S101" si="36">(I85*D85*J85*$B$21)</f>
        <v>-5072960000</v>
      </c>
      <c r="T70">
        <f t="shared" ref="T70:T101" si="37">(I85*J85*G85*SUM($B$22:$B$25))</f>
        <v>-12244058873.6849</v>
      </c>
      <c r="U70">
        <f t="shared" ref="U70:U101" si="38">SUM(B$134,B$145,B$247:B$248,B$252,B$256,B$259,B$366:B$368,B$472,B$585,B$699,B$812,B$924,B$930,B$937:B$938,B$1037:B$1039,B$1150,B$1272,B$1378:B$1379,B$1384,B$1491,B$1604,B$1718)*D1780*I1780*J1780</f>
        <v>-1888747187.6634247</v>
      </c>
      <c r="V70">
        <f t="shared" ref="V70:V101" si="39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1780*I1780*J1780</f>
        <v>-78703660529.097717</v>
      </c>
      <c r="W70" s="217">
        <f t="shared" ref="W70:W101" si="40">SUM(B$815,B$263,B$1153,B$1264:B$1266)*F1328*I1328*J1328</f>
        <v>-5008401575.0444193</v>
      </c>
      <c r="X70">
        <f t="shared" ref="X70:X101" si="41">SUM(B$140,B$592,B$706,B$1045,B$1267)*G1328*I1328*J1328</f>
        <v>-15151538862.852489</v>
      </c>
      <c r="Y70">
        <f t="shared" ref="Y70:Y101" si="42">SUM(B$141:B$144,B$148:B$151,B$249,B$253,B$260,B$264:B$265,B$363,B$360,B$473,B$588,B$702,B$1042,B$1268:B$1271,B$1380,B$1603,B$1716)*F1780*I1780*J1780</f>
        <v>-652728144.07350183</v>
      </c>
      <c r="Z70">
        <f t="shared" ref="Z70:Z101" si="43">SUM(B$147,B$931,B$1493,B$1719:B$1720,B$1606:B$1607)*H1554*I1554*J1554</f>
        <v>-261197518.17237943</v>
      </c>
      <c r="AA70">
        <f t="shared" ref="AA70:AA101" si="44">SUM(B$254,B$261,B$361,B$364,B$589,B$703,B$1043)*G1101*J1101*K1101</f>
        <v>-650320857.02435124</v>
      </c>
      <c r="AH70" s="8">
        <f t="shared" ref="AH70:AH101" si="45">SUM(B$1831:B$1833)*D1896*F1896*G1896</f>
        <v>-686537.9571327843</v>
      </c>
      <c r="AI70" s="8">
        <f t="shared" ref="AI70:AI101" si="46">SUM(B$1943:B$1948,B$2057,B$2059:B$2066,B$2170:B$2175,B$2186,B$2198:B$2200,B$2212:B$2214,B$2283:B$2284,B$2293:B$2298,B$2309:B$2313,B$2323:B$2324,B$2399:B$2405,B$2418:B$2421,B$2433:B$2438,B$2450:B$2455,B$2467:B$2470)*D2121*G2121*H2121</f>
        <v>-818565173.918262</v>
      </c>
      <c r="AJ70" s="8">
        <f t="shared" ref="AJ70:AJ101" si="47">SUM(B$2058)*F2121*G2121*H2121</f>
        <v>-149452238.35908413</v>
      </c>
      <c r="AK70" s="8">
        <f t="shared" ref="AK70:AK101" si="48">SUM(B$2285,B$2325)*F2347*G2347*H2347</f>
        <v>-186719745.17387527</v>
      </c>
      <c r="AL70" s="8">
        <f t="shared" ref="AL70:AL101" si="49">SUM(B$2406,B$2422,B$2439,B$2456)*F2461*H2461*I2461</f>
        <v>-114907273.26884139</v>
      </c>
      <c r="AM70" s="8">
        <f t="shared" ref="AM70:AM101" si="50">SUM(B$2417,B$2433,B$2450)*G2461*H2461*I2461</f>
        <v>-36229501.736194678</v>
      </c>
    </row>
    <row r="71" spans="3:39" x14ac:dyDescent="0.2">
      <c r="C71" t="s">
        <v>266</v>
      </c>
      <c r="D71">
        <v>1.2700000000000001E-3</v>
      </c>
      <c r="E71" t="s">
        <v>371</v>
      </c>
      <c r="F71" t="s">
        <v>266</v>
      </c>
      <c r="G71">
        <v>1.2700000000000001E-3</v>
      </c>
      <c r="H71" t="s">
        <v>371</v>
      </c>
      <c r="I71">
        <v>0</v>
      </c>
      <c r="J71">
        <v>0</v>
      </c>
      <c r="K71" t="s">
        <v>455</v>
      </c>
      <c r="L71" s="17">
        <f t="shared" si="35"/>
        <v>0</v>
      </c>
      <c r="M71" t="s">
        <v>537</v>
      </c>
      <c r="S71">
        <f t="shared" si="36"/>
        <v>-52000</v>
      </c>
      <c r="T71">
        <f t="shared" si="37"/>
        <v>-125506.81681535333</v>
      </c>
      <c r="U71">
        <f t="shared" si="38"/>
        <v>-19360.462877392703</v>
      </c>
      <c r="V71">
        <f t="shared" si="39"/>
        <v>-797272.55617346242</v>
      </c>
      <c r="W71" s="217">
        <f t="shared" si="40"/>
        <v>-51338.248656072545</v>
      </c>
      <c r="X71">
        <f t="shared" si="41"/>
        <v>-155309.72467126281</v>
      </c>
      <c r="Y71">
        <f t="shared" si="42"/>
        <v>-6690.741399857694</v>
      </c>
      <c r="Z71">
        <f t="shared" si="43"/>
        <v>-2677.3857757529586</v>
      </c>
      <c r="AA71">
        <f t="shared" si="44"/>
        <v>-6666.0656826125696</v>
      </c>
      <c r="AH71" s="8">
        <f t="shared" si="45"/>
        <v>-68678468.17111288</v>
      </c>
      <c r="AI71" s="8">
        <f t="shared" si="46"/>
        <v>-8161.8293996224729</v>
      </c>
      <c r="AJ71" s="8">
        <f t="shared" si="47"/>
        <v>-1531.9490779884675</v>
      </c>
      <c r="AK71" s="8">
        <f t="shared" si="48"/>
        <v>-1845.4924104447991</v>
      </c>
      <c r="AL71" s="8">
        <f t="shared" si="49"/>
        <v>-1149.071137374463</v>
      </c>
      <c r="AM71" s="8">
        <f t="shared" si="50"/>
        <v>-36229365.803348839</v>
      </c>
    </row>
    <row r="72" spans="3:39" x14ac:dyDescent="0.2">
      <c r="C72" t="s">
        <v>267</v>
      </c>
      <c r="D72">
        <v>1.2999999999999999E-4</v>
      </c>
      <c r="E72" t="s">
        <v>372</v>
      </c>
      <c r="F72" t="s">
        <v>267</v>
      </c>
      <c r="G72">
        <v>1.2999999999999999E-4</v>
      </c>
      <c r="H72" t="s">
        <v>372</v>
      </c>
      <c r="I72">
        <v>0</v>
      </c>
      <c r="J72">
        <v>0</v>
      </c>
      <c r="K72" t="s">
        <v>456</v>
      </c>
      <c r="L72" s="17">
        <f t="shared" si="35"/>
        <v>0</v>
      </c>
      <c r="M72" t="s">
        <v>537</v>
      </c>
      <c r="S72">
        <f t="shared" si="36"/>
        <v>-52000</v>
      </c>
      <c r="T72">
        <f t="shared" si="37"/>
        <v>-125506.81681535333</v>
      </c>
      <c r="U72">
        <f t="shared" si="38"/>
        <v>-19360.462877392703</v>
      </c>
      <c r="V72">
        <f t="shared" si="39"/>
        <v>-797272.55617346242</v>
      </c>
      <c r="W72" s="217">
        <f t="shared" si="40"/>
        <v>-51338.248656072545</v>
      </c>
      <c r="X72">
        <f t="shared" si="41"/>
        <v>-155309.72467126281</v>
      </c>
      <c r="Y72">
        <f t="shared" si="42"/>
        <v>-6690.741399857694</v>
      </c>
      <c r="Z72">
        <f t="shared" si="43"/>
        <v>-2677.3857757529586</v>
      </c>
      <c r="AA72">
        <f t="shared" si="44"/>
        <v>-6666.0656826125696</v>
      </c>
      <c r="AH72" s="8">
        <f t="shared" si="45"/>
        <v>-68678468.17111288</v>
      </c>
      <c r="AI72" s="8">
        <f t="shared" si="46"/>
        <v>-8161.8293996224729</v>
      </c>
      <c r="AJ72" s="8">
        <f t="shared" si="47"/>
        <v>-1531.9490779884675</v>
      </c>
      <c r="AK72" s="8">
        <f t="shared" si="48"/>
        <v>-1845.4924104447991</v>
      </c>
      <c r="AL72" s="8">
        <f t="shared" si="49"/>
        <v>-1149.071137374463</v>
      </c>
      <c r="AM72" s="8">
        <f t="shared" si="50"/>
        <v>-36229365.803348839</v>
      </c>
    </row>
    <row r="73" spans="3:39" x14ac:dyDescent="0.2">
      <c r="C73" t="s">
        <v>329</v>
      </c>
      <c r="D73">
        <v>0.12681999999999999</v>
      </c>
      <c r="E73" s="75" t="s">
        <v>373</v>
      </c>
      <c r="F73" t="s">
        <v>329</v>
      </c>
      <c r="G73">
        <v>0.12681999999999999</v>
      </c>
      <c r="H73" s="75" t="s">
        <v>373</v>
      </c>
      <c r="I73">
        <f>$A$7</f>
        <v>10</v>
      </c>
      <c r="J73">
        <v>-1</v>
      </c>
      <c r="K73" t="s">
        <v>457</v>
      </c>
      <c r="L73" s="17">
        <f t="shared" si="35"/>
        <v>-173164726.98863927</v>
      </c>
      <c r="M73" t="s">
        <v>537</v>
      </c>
      <c r="S73">
        <f t="shared" si="36"/>
        <v>0</v>
      </c>
      <c r="T73">
        <f t="shared" si="37"/>
        <v>0</v>
      </c>
      <c r="U73">
        <f t="shared" si="38"/>
        <v>0</v>
      </c>
      <c r="V73">
        <f t="shared" si="39"/>
        <v>0</v>
      </c>
      <c r="W73" s="217">
        <f t="shared" si="40"/>
        <v>0</v>
      </c>
      <c r="X73">
        <f t="shared" si="41"/>
        <v>0</v>
      </c>
      <c r="Y73">
        <f t="shared" si="42"/>
        <v>0</v>
      </c>
      <c r="Z73">
        <f t="shared" si="43"/>
        <v>0</v>
      </c>
      <c r="AA73">
        <f t="shared" si="44"/>
        <v>0</v>
      </c>
      <c r="AH73" s="8">
        <f t="shared" si="45"/>
        <v>0</v>
      </c>
      <c r="AI73" s="8">
        <f t="shared" si="46"/>
        <v>0</v>
      </c>
      <c r="AJ73" s="8">
        <f t="shared" si="47"/>
        <v>0</v>
      </c>
      <c r="AK73" s="8">
        <f t="shared" si="48"/>
        <v>0</v>
      </c>
      <c r="AL73" s="8">
        <f t="shared" si="49"/>
        <v>0</v>
      </c>
      <c r="AM73" s="8">
        <f t="shared" si="50"/>
        <v>0</v>
      </c>
    </row>
    <row r="74" spans="3:39" x14ac:dyDescent="0.2">
      <c r="C74" t="s">
        <v>314</v>
      </c>
      <c r="D74">
        <v>1.2700000000000001E-3</v>
      </c>
      <c r="E74" s="75" t="s">
        <v>374</v>
      </c>
      <c r="F74" t="s">
        <v>314</v>
      </c>
      <c r="G74">
        <v>1.2700000000000001E-3</v>
      </c>
      <c r="H74" s="75" t="s">
        <v>374</v>
      </c>
      <c r="I74">
        <f>$A$7</f>
        <v>10</v>
      </c>
      <c r="J74">
        <v>-1</v>
      </c>
      <c r="K74" t="s">
        <v>458</v>
      </c>
      <c r="L74" s="17">
        <f t="shared" si="35"/>
        <v>-1734105.0565807596</v>
      </c>
      <c r="M74" t="s">
        <v>537</v>
      </c>
      <c r="S74">
        <f t="shared" si="36"/>
        <v>0</v>
      </c>
      <c r="T74">
        <f t="shared" si="37"/>
        <v>0</v>
      </c>
      <c r="U74">
        <f t="shared" si="38"/>
        <v>0</v>
      </c>
      <c r="V74">
        <f t="shared" si="39"/>
        <v>0</v>
      </c>
      <c r="W74" s="217">
        <f t="shared" si="40"/>
        <v>0</v>
      </c>
      <c r="X74">
        <f t="shared" si="41"/>
        <v>0</v>
      </c>
      <c r="Y74">
        <f t="shared" si="42"/>
        <v>0</v>
      </c>
      <c r="Z74">
        <f t="shared" si="43"/>
        <v>0</v>
      </c>
      <c r="AA74">
        <f t="shared" si="44"/>
        <v>0</v>
      </c>
      <c r="AH74" s="8">
        <f t="shared" si="45"/>
        <v>0</v>
      </c>
      <c r="AI74" s="8">
        <f t="shared" si="46"/>
        <v>0</v>
      </c>
      <c r="AJ74" s="8">
        <f t="shared" si="47"/>
        <v>0</v>
      </c>
      <c r="AK74" s="8">
        <f t="shared" si="48"/>
        <v>0</v>
      </c>
      <c r="AL74" s="8">
        <f t="shared" si="49"/>
        <v>0</v>
      </c>
      <c r="AM74" s="8">
        <f t="shared" si="50"/>
        <v>0</v>
      </c>
    </row>
    <row r="75" spans="3:39" x14ac:dyDescent="0.2">
      <c r="C75" t="s">
        <v>268</v>
      </c>
      <c r="D75">
        <v>1.2700000000000001E-3</v>
      </c>
      <c r="E75" s="75" t="s">
        <v>374</v>
      </c>
      <c r="F75" t="s">
        <v>268</v>
      </c>
      <c r="G75">
        <v>1.2700000000000001E-3</v>
      </c>
      <c r="H75" s="75" t="s">
        <v>374</v>
      </c>
      <c r="I75">
        <f>$A$7</f>
        <v>10</v>
      </c>
      <c r="J75">
        <v>-1</v>
      </c>
      <c r="K75" t="s">
        <v>458</v>
      </c>
      <c r="L75" s="17">
        <f t="shared" si="35"/>
        <v>-1734105.0565807596</v>
      </c>
      <c r="M75" t="s">
        <v>537</v>
      </c>
      <c r="S75">
        <f t="shared" si="36"/>
        <v>-52000</v>
      </c>
      <c r="T75">
        <f t="shared" si="37"/>
        <v>-125506.81681535333</v>
      </c>
      <c r="U75">
        <f t="shared" si="38"/>
        <v>-19360.462877392703</v>
      </c>
      <c r="V75">
        <f t="shared" si="39"/>
        <v>-797272.55617346242</v>
      </c>
      <c r="W75" s="217">
        <f t="shared" si="40"/>
        <v>-51338.248656072545</v>
      </c>
      <c r="X75">
        <f t="shared" si="41"/>
        <v>-155309.72467126281</v>
      </c>
      <c r="Y75">
        <f t="shared" si="42"/>
        <v>-6690.741399857694</v>
      </c>
      <c r="Z75">
        <f t="shared" si="43"/>
        <v>-2677.3857757529586</v>
      </c>
      <c r="AA75">
        <f t="shared" si="44"/>
        <v>-6666.0656826125696</v>
      </c>
      <c r="AH75" s="8">
        <f t="shared" si="45"/>
        <v>-68653.795713278436</v>
      </c>
      <c r="AI75" s="8">
        <f t="shared" si="46"/>
        <v>-8161.8293996224729</v>
      </c>
      <c r="AJ75" s="8">
        <f t="shared" si="47"/>
        <v>-1531.9490779884675</v>
      </c>
      <c r="AK75" s="8">
        <f t="shared" si="48"/>
        <v>-1845.4924104447991</v>
      </c>
      <c r="AL75" s="8">
        <f t="shared" si="49"/>
        <v>-1149.071137374463</v>
      </c>
      <c r="AM75" s="8">
        <f t="shared" si="50"/>
        <v>-36226.103415048798</v>
      </c>
    </row>
    <row r="76" spans="3:39" x14ac:dyDescent="0.2">
      <c r="C76" t="s">
        <v>269</v>
      </c>
      <c r="D76">
        <v>1.2700000000000001E-3</v>
      </c>
      <c r="E76" s="75" t="s">
        <v>374</v>
      </c>
      <c r="F76" t="s">
        <v>269</v>
      </c>
      <c r="G76">
        <v>1.2700000000000001E-3</v>
      </c>
      <c r="H76" s="75" t="s">
        <v>374</v>
      </c>
      <c r="I76">
        <v>0</v>
      </c>
      <c r="J76">
        <v>0</v>
      </c>
      <c r="K76" t="s">
        <v>458</v>
      </c>
      <c r="L76" s="17">
        <f t="shared" si="35"/>
        <v>0</v>
      </c>
      <c r="M76" t="s">
        <v>537</v>
      </c>
      <c r="S76">
        <f t="shared" si="36"/>
        <v>0</v>
      </c>
      <c r="T76">
        <f t="shared" si="37"/>
        <v>0</v>
      </c>
      <c r="U76">
        <f t="shared" si="38"/>
        <v>0</v>
      </c>
      <c r="V76">
        <f t="shared" si="39"/>
        <v>0</v>
      </c>
      <c r="W76" s="217">
        <f t="shared" si="40"/>
        <v>0</v>
      </c>
      <c r="X76">
        <f t="shared" si="41"/>
        <v>0</v>
      </c>
      <c r="Y76">
        <f t="shared" si="42"/>
        <v>0</v>
      </c>
      <c r="Z76">
        <f t="shared" si="43"/>
        <v>0</v>
      </c>
      <c r="AA76">
        <f t="shared" si="44"/>
        <v>0</v>
      </c>
      <c r="AH76" s="8">
        <f t="shared" si="45"/>
        <v>0</v>
      </c>
      <c r="AI76" s="8">
        <f t="shared" si="46"/>
        <v>0</v>
      </c>
      <c r="AJ76" s="8">
        <f t="shared" si="47"/>
        <v>0</v>
      </c>
      <c r="AK76" s="8">
        <f t="shared" si="48"/>
        <v>0</v>
      </c>
      <c r="AL76" s="8">
        <f t="shared" si="49"/>
        <v>0</v>
      </c>
      <c r="AM76" s="8">
        <f t="shared" si="50"/>
        <v>0</v>
      </c>
    </row>
    <row r="77" spans="3:39" x14ac:dyDescent="0.2">
      <c r="C77" t="s">
        <v>270</v>
      </c>
      <c r="D77">
        <v>1.2700000000000001E-3</v>
      </c>
      <c r="E77" s="75" t="s">
        <v>375</v>
      </c>
      <c r="F77" t="s">
        <v>270</v>
      </c>
      <c r="G77">
        <v>1.2700000000000001E-3</v>
      </c>
      <c r="H77" s="75" t="s">
        <v>375</v>
      </c>
      <c r="I77">
        <f>$A$6</f>
        <v>100</v>
      </c>
      <c r="J77">
        <v>-1</v>
      </c>
      <c r="K77" t="s">
        <v>459</v>
      </c>
      <c r="L77" s="17">
        <f t="shared" si="35"/>
        <v>-17341050.565807596</v>
      </c>
      <c r="M77" t="s">
        <v>537</v>
      </c>
      <c r="S77">
        <f t="shared" si="36"/>
        <v>0</v>
      </c>
      <c r="T77">
        <f t="shared" si="37"/>
        <v>0</v>
      </c>
      <c r="U77">
        <f t="shared" si="38"/>
        <v>0</v>
      </c>
      <c r="V77">
        <f t="shared" si="39"/>
        <v>0</v>
      </c>
      <c r="W77" s="217">
        <f t="shared" si="40"/>
        <v>0</v>
      </c>
      <c r="X77">
        <f t="shared" si="41"/>
        <v>0</v>
      </c>
      <c r="Y77">
        <f t="shared" si="42"/>
        <v>0</v>
      </c>
      <c r="Z77">
        <f t="shared" si="43"/>
        <v>0</v>
      </c>
      <c r="AA77">
        <f t="shared" si="44"/>
        <v>0</v>
      </c>
      <c r="AH77" s="8">
        <f t="shared" si="45"/>
        <v>0</v>
      </c>
      <c r="AI77" s="8">
        <f t="shared" si="46"/>
        <v>0</v>
      </c>
      <c r="AJ77" s="8">
        <f t="shared" si="47"/>
        <v>0</v>
      </c>
      <c r="AK77" s="8">
        <f t="shared" si="48"/>
        <v>0</v>
      </c>
      <c r="AL77" s="8">
        <f t="shared" si="49"/>
        <v>0</v>
      </c>
      <c r="AM77" s="8">
        <f t="shared" si="50"/>
        <v>0</v>
      </c>
    </row>
    <row r="78" spans="3:39" x14ac:dyDescent="0.2">
      <c r="C78" t="s">
        <v>271</v>
      </c>
      <c r="D78">
        <v>0.12681999999999999</v>
      </c>
      <c r="E78" s="75" t="s">
        <v>376</v>
      </c>
      <c r="F78" t="s">
        <v>271</v>
      </c>
      <c r="G78">
        <v>0.12681999999999999</v>
      </c>
      <c r="H78" s="75" t="s">
        <v>376</v>
      </c>
      <c r="I78">
        <v>0</v>
      </c>
      <c r="J78">
        <v>0</v>
      </c>
      <c r="K78" t="s">
        <v>460</v>
      </c>
      <c r="L78" s="17">
        <f t="shared" si="35"/>
        <v>0</v>
      </c>
      <c r="M78" t="s">
        <v>537</v>
      </c>
      <c r="S78">
        <f t="shared" si="36"/>
        <v>-508000.00000000006</v>
      </c>
      <c r="T78">
        <f t="shared" si="37"/>
        <v>-1226105.0565807596</v>
      </c>
      <c r="U78">
        <f t="shared" si="38"/>
        <v>-189136.82964837487</v>
      </c>
      <c r="V78">
        <f t="shared" si="39"/>
        <v>-7869851.6835186919</v>
      </c>
      <c r="W78" s="217">
        <f t="shared" si="40"/>
        <v>-501535.19840932422</v>
      </c>
      <c r="X78">
        <f t="shared" si="41"/>
        <v>-1517256.5410192602</v>
      </c>
      <c r="Y78">
        <f t="shared" si="42"/>
        <v>-65363.396752455948</v>
      </c>
      <c r="Z78">
        <f t="shared" si="43"/>
        <v>-26155.999501586597</v>
      </c>
      <c r="AA78">
        <f t="shared" si="44"/>
        <v>-65122.33397629203</v>
      </c>
      <c r="AH78" s="8">
        <f t="shared" si="45"/>
        <v>-686537.95713278418</v>
      </c>
      <c r="AI78" s="8">
        <f t="shared" si="46"/>
        <v>-81618.293996224718</v>
      </c>
      <c r="AJ78" s="8">
        <f t="shared" si="47"/>
        <v>-14965.964069579644</v>
      </c>
      <c r="AK78" s="8">
        <f t="shared" si="48"/>
        <v>-1867228.2099455933</v>
      </c>
      <c r="AL78" s="8">
        <f t="shared" si="49"/>
        <v>-11486.260447821098</v>
      </c>
      <c r="AM78" s="8">
        <f t="shared" si="50"/>
        <v>-3622950.1736194682</v>
      </c>
    </row>
    <row r="79" spans="3:39" x14ac:dyDescent="0.2">
      <c r="C79" t="s">
        <v>272</v>
      </c>
      <c r="D79">
        <v>1.26824</v>
      </c>
      <c r="E79" t="s">
        <v>377</v>
      </c>
      <c r="F79" t="s">
        <v>272</v>
      </c>
      <c r="G79">
        <v>1.26824</v>
      </c>
      <c r="H79" t="s">
        <v>377</v>
      </c>
      <c r="I79">
        <v>0</v>
      </c>
      <c r="J79">
        <v>0</v>
      </c>
      <c r="K79" t="s">
        <v>461</v>
      </c>
      <c r="L79" s="17">
        <f t="shared" si="35"/>
        <v>0</v>
      </c>
      <c r="M79" t="s">
        <v>537</v>
      </c>
      <c r="S79">
        <f t="shared" si="36"/>
        <v>-52000</v>
      </c>
      <c r="T79">
        <f t="shared" si="37"/>
        <v>-125506.81681535333</v>
      </c>
      <c r="U79">
        <f t="shared" si="38"/>
        <v>-19360.462877392703</v>
      </c>
      <c r="V79">
        <f t="shared" si="39"/>
        <v>-7870366052.9097729</v>
      </c>
      <c r="W79" s="217">
        <f t="shared" si="40"/>
        <v>-51338.248656072545</v>
      </c>
      <c r="X79">
        <f t="shared" si="41"/>
        <v>-155309.72467126281</v>
      </c>
      <c r="Y79">
        <f t="shared" si="42"/>
        <v>-6690.741399857694</v>
      </c>
      <c r="Z79">
        <f t="shared" si="43"/>
        <v>-2677.3857757529586</v>
      </c>
      <c r="AA79">
        <f t="shared" si="44"/>
        <v>-6666.0656826125696</v>
      </c>
      <c r="AH79" s="8">
        <f t="shared" si="45"/>
        <v>-68653.795713278436</v>
      </c>
      <c r="AI79" s="8">
        <f t="shared" si="46"/>
        <v>-8161.8293996224729</v>
      </c>
      <c r="AJ79" s="8">
        <f t="shared" si="47"/>
        <v>-1531.9490779884675</v>
      </c>
      <c r="AK79" s="8">
        <f t="shared" si="48"/>
        <v>-1845.4924104447991</v>
      </c>
      <c r="AL79" s="8">
        <f t="shared" si="49"/>
        <v>-1149.071137374463</v>
      </c>
      <c r="AM79" s="8">
        <f t="shared" si="50"/>
        <v>-36226.103415048798</v>
      </c>
    </row>
    <row r="80" spans="3:39" x14ac:dyDescent="0.2">
      <c r="C80" t="s">
        <v>273</v>
      </c>
      <c r="D80">
        <v>1.2999999999999999E-4</v>
      </c>
      <c r="E80" t="s">
        <v>378</v>
      </c>
      <c r="F80" t="s">
        <v>273</v>
      </c>
      <c r="G80">
        <v>1.2999999999999999E-4</v>
      </c>
      <c r="H80" t="s">
        <v>378</v>
      </c>
      <c r="I80">
        <f>$A$7</f>
        <v>10</v>
      </c>
      <c r="J80">
        <v>-1</v>
      </c>
      <c r="K80" t="s">
        <v>462</v>
      </c>
      <c r="L80" s="17">
        <f t="shared" si="35"/>
        <v>-177506.81681535335</v>
      </c>
      <c r="M80" t="s">
        <v>537</v>
      </c>
      <c r="S80">
        <f t="shared" si="36"/>
        <v>-508000.00000000006</v>
      </c>
      <c r="T80">
        <f t="shared" si="37"/>
        <v>-1226105.0565807596</v>
      </c>
      <c r="U80">
        <f t="shared" si="38"/>
        <v>-189136.82964837487</v>
      </c>
      <c r="V80">
        <f t="shared" si="39"/>
        <v>-7869851.6835186919</v>
      </c>
      <c r="W80" s="217">
        <f t="shared" si="40"/>
        <v>-501535.19840932422</v>
      </c>
      <c r="X80">
        <f t="shared" si="41"/>
        <v>-1517256.5410192602</v>
      </c>
      <c r="Y80">
        <f t="shared" si="42"/>
        <v>-65363.396752455948</v>
      </c>
      <c r="Z80">
        <f t="shared" si="43"/>
        <v>-26155.999501586597</v>
      </c>
      <c r="AA80">
        <f t="shared" si="44"/>
        <v>-65122.33397629203</v>
      </c>
      <c r="AH80" s="8">
        <f t="shared" si="45"/>
        <v>-6868061.3602228928</v>
      </c>
      <c r="AI80" s="8">
        <f t="shared" si="46"/>
        <v>-81618.293996224718</v>
      </c>
      <c r="AJ80" s="8">
        <f t="shared" si="47"/>
        <v>-14965.964069579644</v>
      </c>
      <c r="AK80" s="8">
        <f t="shared" si="48"/>
        <v>-186702.31552333219</v>
      </c>
      <c r="AL80" s="8">
        <f t="shared" si="49"/>
        <v>-11486.260447821098</v>
      </c>
      <c r="AM80" s="8">
        <f t="shared" si="50"/>
        <v>-3622950.1736194682</v>
      </c>
    </row>
    <row r="81" spans="3:39" x14ac:dyDescent="0.2">
      <c r="C81" t="s">
        <v>274</v>
      </c>
      <c r="D81">
        <v>1.2999999999999999E-4</v>
      </c>
      <c r="E81" t="s">
        <v>379</v>
      </c>
      <c r="F81" t="s">
        <v>274</v>
      </c>
      <c r="G81">
        <v>1.2999999999999999E-4</v>
      </c>
      <c r="H81" t="s">
        <v>379</v>
      </c>
      <c r="I81">
        <v>0</v>
      </c>
      <c r="J81">
        <v>0</v>
      </c>
      <c r="K81" t="s">
        <v>463</v>
      </c>
      <c r="L81" s="17">
        <f t="shared" si="35"/>
        <v>0</v>
      </c>
      <c r="M81" t="s">
        <v>537</v>
      </c>
      <c r="S81">
        <f t="shared" si="36"/>
        <v>-50720000</v>
      </c>
      <c r="T81">
        <f t="shared" si="37"/>
        <v>-122417418.2475908</v>
      </c>
      <c r="U81">
        <f t="shared" si="38"/>
        <v>-18883897.637333807</v>
      </c>
      <c r="V81">
        <f t="shared" si="39"/>
        <v>-78698516.835186929</v>
      </c>
      <c r="W81" s="217">
        <f t="shared" si="40"/>
        <v>-50074537.919923075</v>
      </c>
      <c r="X81">
        <f t="shared" si="41"/>
        <v>-151486716.06397021</v>
      </c>
      <c r="Y81">
        <f t="shared" si="42"/>
        <v>-6526046.2269381201</v>
      </c>
      <c r="Z81">
        <f t="shared" si="43"/>
        <v>-2611480.8951190398</v>
      </c>
      <c r="AA81">
        <f t="shared" si="44"/>
        <v>-6501977.9119636454</v>
      </c>
      <c r="AH81" s="8">
        <f t="shared" si="45"/>
        <v>-686784681.71112883</v>
      </c>
      <c r="AI81" s="8">
        <f t="shared" si="46"/>
        <v>-8187335.116496291</v>
      </c>
      <c r="AJ81" s="8">
        <f t="shared" si="47"/>
        <v>-1494239.5622225974</v>
      </c>
      <c r="AK81" s="8">
        <f t="shared" si="48"/>
        <v>-186599.78816719636</v>
      </c>
      <c r="AL81" s="8">
        <f t="shared" si="49"/>
        <v>-1148626.0447821098</v>
      </c>
      <c r="AM81" s="8">
        <f t="shared" si="50"/>
        <v>-362293658.03348839</v>
      </c>
    </row>
    <row r="82" spans="3:39" x14ac:dyDescent="0.2">
      <c r="C82" t="s">
        <v>275</v>
      </c>
      <c r="D82">
        <v>1.26824</v>
      </c>
      <c r="E82" t="s">
        <v>377</v>
      </c>
      <c r="F82" t="s">
        <v>275</v>
      </c>
      <c r="G82">
        <v>1.26824</v>
      </c>
      <c r="H82" t="s">
        <v>377</v>
      </c>
      <c r="I82">
        <f>$A$6</f>
        <v>100</v>
      </c>
      <c r="J82">
        <v>-1</v>
      </c>
      <c r="K82" t="s">
        <v>461</v>
      </c>
      <c r="L82" s="17">
        <f t="shared" si="35"/>
        <v>-17317018873.684898</v>
      </c>
      <c r="M82" t="s">
        <v>537</v>
      </c>
      <c r="S82">
        <f t="shared" si="36"/>
        <v>-5080000</v>
      </c>
      <c r="T82">
        <f t="shared" si="37"/>
        <v>-12261050.565807596</v>
      </c>
      <c r="U82">
        <f t="shared" si="38"/>
        <v>-1891368.2964837488</v>
      </c>
      <c r="V82">
        <f t="shared" si="39"/>
        <v>-78698516.835186929</v>
      </c>
      <c r="W82" s="217">
        <f t="shared" si="40"/>
        <v>-5015351.9840932423</v>
      </c>
      <c r="X82">
        <f t="shared" si="41"/>
        <v>-15172565.410192601</v>
      </c>
      <c r="Y82">
        <f t="shared" si="42"/>
        <v>-653633.96752455947</v>
      </c>
      <c r="Z82">
        <f t="shared" si="43"/>
        <v>-261559.99501586598</v>
      </c>
      <c r="AA82">
        <f t="shared" si="44"/>
        <v>-651223.33976292028</v>
      </c>
      <c r="AH82" s="8">
        <f t="shared" si="45"/>
        <v>-6865379.5713278418</v>
      </c>
      <c r="AI82" s="8">
        <f t="shared" si="46"/>
        <v>-816182.93996224715</v>
      </c>
      <c r="AJ82" s="8">
        <f t="shared" si="47"/>
        <v>-149659.64069579646</v>
      </c>
      <c r="AK82" s="8">
        <f t="shared" si="48"/>
        <v>-186599.78816719636</v>
      </c>
      <c r="AL82" s="8">
        <f t="shared" si="49"/>
        <v>-114862.60447821098</v>
      </c>
      <c r="AM82" s="8">
        <f t="shared" si="50"/>
        <v>-3622936580.3348837</v>
      </c>
    </row>
    <row r="83" spans="3:39" x14ac:dyDescent="0.2">
      <c r="C83" t="s">
        <v>276</v>
      </c>
      <c r="D83">
        <v>1.26824</v>
      </c>
      <c r="E83" t="s">
        <v>377</v>
      </c>
      <c r="F83" t="s">
        <v>276</v>
      </c>
      <c r="G83">
        <v>1.26824</v>
      </c>
      <c r="H83" t="s">
        <v>377</v>
      </c>
      <c r="I83">
        <f>$A$6</f>
        <v>100</v>
      </c>
      <c r="J83">
        <v>-1</v>
      </c>
      <c r="K83" t="s">
        <v>461</v>
      </c>
      <c r="L83" s="17">
        <f t="shared" si="35"/>
        <v>-17317018873.684898</v>
      </c>
      <c r="M83" t="s">
        <v>537</v>
      </c>
      <c r="S83">
        <f t="shared" si="36"/>
        <v>-5080000</v>
      </c>
      <c r="T83">
        <f t="shared" si="37"/>
        <v>-12261050.565807596</v>
      </c>
      <c r="U83">
        <f t="shared" si="38"/>
        <v>-1891368.2964837488</v>
      </c>
      <c r="V83">
        <f t="shared" si="39"/>
        <v>-78698516.835186929</v>
      </c>
      <c r="W83" s="217">
        <f t="shared" si="40"/>
        <v>-5015351.9840932423</v>
      </c>
      <c r="X83">
        <f t="shared" si="41"/>
        <v>-15172565.410192601</v>
      </c>
      <c r="Y83">
        <f t="shared" si="42"/>
        <v>-653633.96752455947</v>
      </c>
      <c r="Z83">
        <f t="shared" si="43"/>
        <v>-261559.99501586598</v>
      </c>
      <c r="AA83">
        <f t="shared" si="44"/>
        <v>-651223.33976292028</v>
      </c>
      <c r="AH83" s="8">
        <f t="shared" si="45"/>
        <v>-6865379.5713278418</v>
      </c>
      <c r="AI83" s="8">
        <f t="shared" si="46"/>
        <v>-816182.93996224715</v>
      </c>
      <c r="AJ83" s="8">
        <f t="shared" si="47"/>
        <v>-149659.64069579646</v>
      </c>
      <c r="AK83" s="8">
        <f t="shared" si="48"/>
        <v>-186599.78816719636</v>
      </c>
      <c r="AL83" s="8">
        <f t="shared" si="49"/>
        <v>-114862.60447821098</v>
      </c>
      <c r="AM83" s="8">
        <f t="shared" si="50"/>
        <v>-362261.03415048798</v>
      </c>
    </row>
    <row r="84" spans="3:39" x14ac:dyDescent="0.2">
      <c r="C84" t="s">
        <v>277</v>
      </c>
      <c r="D84">
        <v>1.2700000000000001E-3</v>
      </c>
      <c r="E84" t="s">
        <v>380</v>
      </c>
      <c r="F84" t="s">
        <v>277</v>
      </c>
      <c r="G84">
        <v>1.2700000000000001E-3</v>
      </c>
      <c r="H84" t="s">
        <v>380</v>
      </c>
      <c r="I84">
        <f>$A$6</f>
        <v>100</v>
      </c>
      <c r="J84">
        <v>-1</v>
      </c>
      <c r="K84" t="s">
        <v>464</v>
      </c>
      <c r="L84" s="17">
        <f t="shared" si="35"/>
        <v>-17341050.565807596</v>
      </c>
      <c r="M84" t="s">
        <v>537</v>
      </c>
      <c r="S84">
        <f t="shared" si="36"/>
        <v>-508000.00000000006</v>
      </c>
      <c r="T84">
        <f t="shared" si="37"/>
        <v>-1226105.0565807596</v>
      </c>
      <c r="U84">
        <f t="shared" si="38"/>
        <v>-189136.82964837487</v>
      </c>
      <c r="V84">
        <f t="shared" si="39"/>
        <v>-7869851.6835186919</v>
      </c>
      <c r="W84" s="217">
        <f t="shared" si="40"/>
        <v>-501535.19840932422</v>
      </c>
      <c r="X84">
        <f t="shared" si="41"/>
        <v>-155309.72467126281</v>
      </c>
      <c r="Y84">
        <f t="shared" si="42"/>
        <v>-65363.396752455948</v>
      </c>
      <c r="Z84">
        <f t="shared" si="43"/>
        <v>-26155.999501586597</v>
      </c>
      <c r="AA84">
        <f t="shared" si="44"/>
        <v>-65122.33397629203</v>
      </c>
      <c r="AH84" s="8">
        <f t="shared" si="45"/>
        <v>-686537.95713278418</v>
      </c>
      <c r="AI84" s="8">
        <f t="shared" si="46"/>
        <v>-81618.293996224718</v>
      </c>
      <c r="AJ84" s="8">
        <f t="shared" si="47"/>
        <v>-14965.964069579644</v>
      </c>
      <c r="AK84" s="8">
        <f t="shared" si="48"/>
        <v>-18659.978816719635</v>
      </c>
      <c r="AL84" s="8">
        <f t="shared" si="49"/>
        <v>-11486.260447821098</v>
      </c>
      <c r="AM84" s="8">
        <f t="shared" si="50"/>
        <v>-36229365.803348839</v>
      </c>
    </row>
    <row r="85" spans="3:39" x14ac:dyDescent="0.2">
      <c r="C85" t="s">
        <v>278</v>
      </c>
      <c r="D85">
        <v>1.26824</v>
      </c>
      <c r="E85" t="s">
        <v>381</v>
      </c>
      <c r="F85" t="s">
        <v>278</v>
      </c>
      <c r="G85">
        <v>1.26824</v>
      </c>
      <c r="H85" t="s">
        <v>381</v>
      </c>
      <c r="I85">
        <f>$A$6</f>
        <v>100</v>
      </c>
      <c r="J85">
        <v>-1</v>
      </c>
      <c r="K85" t="s">
        <v>465</v>
      </c>
      <c r="L85" s="17">
        <f t="shared" ref="L85:L116" si="51">(I85*D85*J85*$B$21)+(I85*J85*G85*SUM($B$22:$B$25))</f>
        <v>-17317018873.684898</v>
      </c>
      <c r="M85" t="s">
        <v>537</v>
      </c>
      <c r="S85">
        <f t="shared" si="36"/>
        <v>0</v>
      </c>
      <c r="T85">
        <f t="shared" si="37"/>
        <v>0</v>
      </c>
      <c r="U85">
        <f t="shared" si="38"/>
        <v>0</v>
      </c>
      <c r="V85">
        <f t="shared" si="39"/>
        <v>0</v>
      </c>
      <c r="W85" s="217">
        <f t="shared" si="40"/>
        <v>0</v>
      </c>
      <c r="X85">
        <f t="shared" si="41"/>
        <v>0</v>
      </c>
      <c r="Y85">
        <f t="shared" si="42"/>
        <v>0</v>
      </c>
      <c r="Z85">
        <f t="shared" si="43"/>
        <v>0</v>
      </c>
      <c r="AA85">
        <f t="shared" si="44"/>
        <v>0</v>
      </c>
      <c r="AH85" s="8">
        <f t="shared" si="45"/>
        <v>0</v>
      </c>
      <c r="AI85" s="8">
        <f t="shared" si="46"/>
        <v>0</v>
      </c>
      <c r="AJ85" s="8">
        <f t="shared" si="47"/>
        <v>0</v>
      </c>
      <c r="AK85" s="8">
        <f t="shared" si="48"/>
        <v>0</v>
      </c>
      <c r="AL85" s="8">
        <f t="shared" si="49"/>
        <v>0</v>
      </c>
      <c r="AM85" s="8">
        <f t="shared" si="50"/>
        <v>0</v>
      </c>
    </row>
    <row r="86" spans="3:39" x14ac:dyDescent="0.2">
      <c r="C86" t="s">
        <v>330</v>
      </c>
      <c r="D86">
        <v>1.2999999999999999E-4</v>
      </c>
      <c r="E86" t="s">
        <v>382</v>
      </c>
      <c r="F86" t="s">
        <v>330</v>
      </c>
      <c r="G86">
        <v>1.2999999999999999E-4</v>
      </c>
      <c r="H86" t="s">
        <v>382</v>
      </c>
      <c r="I86">
        <f>$A$7</f>
        <v>10</v>
      </c>
      <c r="J86">
        <v>-1</v>
      </c>
      <c r="K86" t="s">
        <v>466</v>
      </c>
      <c r="L86" s="17">
        <f t="shared" si="51"/>
        <v>-177506.81681535335</v>
      </c>
      <c r="M86" t="s">
        <v>537</v>
      </c>
      <c r="S86">
        <f t="shared" si="36"/>
        <v>-5072000</v>
      </c>
      <c r="T86">
        <f t="shared" si="37"/>
        <v>-1226105.0565807596</v>
      </c>
      <c r="U86">
        <f t="shared" si="38"/>
        <v>-189136.82964837487</v>
      </c>
      <c r="V86">
        <f t="shared" si="39"/>
        <v>-7869851.6835186919</v>
      </c>
      <c r="W86" s="217">
        <f t="shared" si="40"/>
        <v>-5007453.7919923076</v>
      </c>
      <c r="X86">
        <f t="shared" si="41"/>
        <v>-1517256.5410192602</v>
      </c>
      <c r="Y86">
        <f t="shared" si="42"/>
        <v>-65363.396752455948</v>
      </c>
      <c r="Z86">
        <f t="shared" si="43"/>
        <v>-26155.999501586597</v>
      </c>
      <c r="AA86">
        <f t="shared" si="44"/>
        <v>-65122.33397629203</v>
      </c>
      <c r="AH86" s="8">
        <f t="shared" si="45"/>
        <v>-686537.95713278418</v>
      </c>
      <c r="AI86" s="8">
        <f t="shared" si="46"/>
        <v>-81618.293996224718</v>
      </c>
      <c r="AJ86" s="8">
        <f t="shared" si="47"/>
        <v>-14965.964069579644</v>
      </c>
      <c r="AK86" s="8">
        <f t="shared" si="48"/>
        <v>-186702.31552333219</v>
      </c>
      <c r="AL86" s="8">
        <f t="shared" si="49"/>
        <v>-114862.60447821098</v>
      </c>
      <c r="AM86" s="8">
        <f t="shared" si="50"/>
        <v>-362261.03415048798</v>
      </c>
    </row>
    <row r="87" spans="3:39" x14ac:dyDescent="0.2">
      <c r="C87" t="s">
        <v>279</v>
      </c>
      <c r="D87">
        <v>1.2999999999999999E-4</v>
      </c>
      <c r="E87" t="s">
        <v>382</v>
      </c>
      <c r="F87" t="s">
        <v>279</v>
      </c>
      <c r="G87">
        <v>1.2999999999999999E-4</v>
      </c>
      <c r="H87" t="s">
        <v>382</v>
      </c>
      <c r="I87">
        <f>$A$7</f>
        <v>10</v>
      </c>
      <c r="J87">
        <v>-1</v>
      </c>
      <c r="K87" t="s">
        <v>466</v>
      </c>
      <c r="L87" s="17">
        <f t="shared" si="51"/>
        <v>-177506.81681535335</v>
      </c>
      <c r="M87" t="s">
        <v>537</v>
      </c>
      <c r="S87">
        <f t="shared" si="36"/>
        <v>-508000.00000000006</v>
      </c>
      <c r="T87">
        <f t="shared" si="37"/>
        <v>-1226105.0565807596</v>
      </c>
      <c r="U87">
        <f t="shared" si="38"/>
        <v>-189136.82964837487</v>
      </c>
      <c r="V87">
        <f t="shared" si="39"/>
        <v>-787036605.29097736</v>
      </c>
      <c r="W87" s="217">
        <f t="shared" si="40"/>
        <v>-501535.19840932422</v>
      </c>
      <c r="X87">
        <f t="shared" si="41"/>
        <v>-1517256.5410192602</v>
      </c>
      <c r="Y87">
        <f t="shared" si="42"/>
        <v>-65363.396752455948</v>
      </c>
      <c r="Z87">
        <f t="shared" si="43"/>
        <v>-26155.999501586597</v>
      </c>
      <c r="AA87">
        <f t="shared" si="44"/>
        <v>-65122.33397629203</v>
      </c>
      <c r="AH87" s="8">
        <f t="shared" si="45"/>
        <v>-68653.795713278436</v>
      </c>
      <c r="AI87" s="8">
        <f t="shared" si="46"/>
        <v>-81618.293996224718</v>
      </c>
      <c r="AJ87" s="8">
        <f t="shared" si="47"/>
        <v>-14965.964069579644</v>
      </c>
      <c r="AK87" s="8">
        <f t="shared" si="48"/>
        <v>-18659.978816719635</v>
      </c>
      <c r="AL87" s="8">
        <f t="shared" si="49"/>
        <v>-11486.260447821098</v>
      </c>
      <c r="AM87" s="8">
        <f t="shared" si="50"/>
        <v>-36229365.803348839</v>
      </c>
    </row>
    <row r="88" spans="3:39" x14ac:dyDescent="0.2">
      <c r="C88" t="s">
        <v>280</v>
      </c>
      <c r="D88">
        <v>1.2999999999999999E-4</v>
      </c>
      <c r="E88" t="s">
        <v>382</v>
      </c>
      <c r="F88" t="s">
        <v>280</v>
      </c>
      <c r="G88">
        <v>1.2999999999999999E-4</v>
      </c>
      <c r="H88" t="s">
        <v>382</v>
      </c>
      <c r="I88">
        <v>0</v>
      </c>
      <c r="J88">
        <v>0</v>
      </c>
      <c r="K88" t="s">
        <v>466</v>
      </c>
      <c r="L88" s="17">
        <f t="shared" si="51"/>
        <v>0</v>
      </c>
      <c r="M88" t="s">
        <v>537</v>
      </c>
      <c r="S88">
        <f t="shared" si="36"/>
        <v>-52000</v>
      </c>
      <c r="T88">
        <f t="shared" si="37"/>
        <v>-125506.81681535333</v>
      </c>
      <c r="U88">
        <f t="shared" si="38"/>
        <v>-19360.462877392703</v>
      </c>
      <c r="V88">
        <f t="shared" si="39"/>
        <v>-797272.55617346242</v>
      </c>
      <c r="W88" s="217">
        <f t="shared" si="40"/>
        <v>-51338.248656072545</v>
      </c>
      <c r="X88">
        <f t="shared" si="41"/>
        <v>-155309.72467126281</v>
      </c>
      <c r="Y88">
        <f t="shared" si="42"/>
        <v>-6690.741399857694</v>
      </c>
      <c r="Z88">
        <f t="shared" si="43"/>
        <v>-2677.3857757529586</v>
      </c>
      <c r="AA88">
        <f t="shared" si="44"/>
        <v>-6666.0656826125696</v>
      </c>
      <c r="AH88" s="8">
        <f t="shared" si="45"/>
        <v>-6868061.3602228928</v>
      </c>
      <c r="AI88" s="8">
        <f t="shared" si="46"/>
        <v>-8161.8293996224729</v>
      </c>
      <c r="AJ88" s="8">
        <f t="shared" si="47"/>
        <v>-1531.9490779884675</v>
      </c>
      <c r="AK88" s="8">
        <f t="shared" si="48"/>
        <v>-1845.4924104447991</v>
      </c>
      <c r="AL88" s="8">
        <f t="shared" si="49"/>
        <v>-1149.071137374463</v>
      </c>
      <c r="AM88" s="8">
        <f t="shared" si="50"/>
        <v>-3622950.1736194682</v>
      </c>
    </row>
    <row r="89" spans="3:39" x14ac:dyDescent="0.2">
      <c r="C89" t="s">
        <v>331</v>
      </c>
      <c r="D89">
        <v>1.2700000000000001E-3</v>
      </c>
      <c r="E89" t="s">
        <v>383</v>
      </c>
      <c r="F89" t="s">
        <v>331</v>
      </c>
      <c r="G89">
        <v>1.2700000000000001E-3</v>
      </c>
      <c r="H89" t="s">
        <v>383</v>
      </c>
      <c r="I89">
        <v>0</v>
      </c>
      <c r="J89">
        <v>0</v>
      </c>
      <c r="K89" t="s">
        <v>467</v>
      </c>
      <c r="L89" s="17">
        <f t="shared" si="51"/>
        <v>0</v>
      </c>
      <c r="M89" t="s">
        <v>537</v>
      </c>
      <c r="S89">
        <f t="shared" si="36"/>
        <v>-5199.9999999999991</v>
      </c>
      <c r="T89">
        <f t="shared" si="37"/>
        <v>-12550.681681535332</v>
      </c>
      <c r="U89">
        <f t="shared" si="38"/>
        <v>-1936.0462877392702</v>
      </c>
      <c r="V89">
        <f t="shared" si="39"/>
        <v>-79727.255617346236</v>
      </c>
      <c r="W89" s="217">
        <f t="shared" si="40"/>
        <v>-5133.8248656072547</v>
      </c>
      <c r="X89">
        <f t="shared" si="41"/>
        <v>-15530.972467126281</v>
      </c>
      <c r="Y89">
        <f t="shared" si="42"/>
        <v>-669.07413998576942</v>
      </c>
      <c r="Z89">
        <f t="shared" si="43"/>
        <v>-267.73857757529584</v>
      </c>
      <c r="AA89">
        <f t="shared" si="44"/>
        <v>-666.60656826125694</v>
      </c>
      <c r="AH89" s="8">
        <f t="shared" si="45"/>
        <v>-68653.795713278421</v>
      </c>
      <c r="AI89" s="8">
        <f t="shared" si="46"/>
        <v>-816.18293996224725</v>
      </c>
      <c r="AJ89" s="8">
        <f t="shared" si="47"/>
        <v>-153.19490779884674</v>
      </c>
      <c r="AK89" s="8">
        <f t="shared" si="48"/>
        <v>-184.54924104447991</v>
      </c>
      <c r="AL89" s="8">
        <f t="shared" si="49"/>
        <v>-114.90711373744629</v>
      </c>
      <c r="AM89" s="8">
        <f t="shared" si="50"/>
        <v>-3622.6103415048797</v>
      </c>
    </row>
    <row r="90" spans="3:39" x14ac:dyDescent="0.2">
      <c r="C90" t="s">
        <v>281</v>
      </c>
      <c r="D90">
        <v>1.2999999999999999E-4</v>
      </c>
      <c r="E90" t="s">
        <v>384</v>
      </c>
      <c r="F90" t="s">
        <v>281</v>
      </c>
      <c r="G90">
        <v>1.2999999999999999E-4</v>
      </c>
      <c r="H90" t="s">
        <v>384</v>
      </c>
      <c r="I90">
        <f>$A$7</f>
        <v>10</v>
      </c>
      <c r="J90">
        <v>-1</v>
      </c>
      <c r="K90" t="s">
        <v>468</v>
      </c>
      <c r="L90" s="17">
        <f t="shared" si="51"/>
        <v>-177506.81681535335</v>
      </c>
      <c r="M90" t="s">
        <v>537</v>
      </c>
      <c r="S90">
        <f t="shared" si="36"/>
        <v>-50720000</v>
      </c>
      <c r="T90">
        <f t="shared" si="37"/>
        <v>-122417418.2475908</v>
      </c>
      <c r="U90">
        <f t="shared" si="38"/>
        <v>-18883897.637333807</v>
      </c>
      <c r="V90">
        <f t="shared" si="39"/>
        <v>-78698516.835186929</v>
      </c>
      <c r="W90" s="217">
        <f t="shared" si="40"/>
        <v>-50074537.919923075</v>
      </c>
      <c r="X90">
        <f t="shared" si="41"/>
        <v>-151486716.06397021</v>
      </c>
      <c r="Y90">
        <f t="shared" si="42"/>
        <v>-6526046.2269381201</v>
      </c>
      <c r="Z90">
        <f t="shared" si="43"/>
        <v>-2611480.8951190398</v>
      </c>
      <c r="AA90">
        <f t="shared" si="44"/>
        <v>-6501977.9119636454</v>
      </c>
      <c r="AH90" s="8">
        <f t="shared" si="45"/>
        <v>-6865379.5713278418</v>
      </c>
      <c r="AI90" s="8">
        <f t="shared" si="46"/>
        <v>-81858047.734838635</v>
      </c>
      <c r="AJ90" s="8">
        <f t="shared" si="47"/>
        <v>-1494239.5622225974</v>
      </c>
      <c r="AK90" s="8">
        <f t="shared" si="48"/>
        <v>-186719745.17387527</v>
      </c>
      <c r="AL90" s="8">
        <f t="shared" si="49"/>
        <v>-114907273.26884139</v>
      </c>
      <c r="AM90" s="8">
        <f t="shared" si="50"/>
        <v>-3622610.3415048798</v>
      </c>
    </row>
    <row r="91" spans="3:39" x14ac:dyDescent="0.2">
      <c r="C91" t="s">
        <v>282</v>
      </c>
      <c r="D91">
        <v>0.12681999999999999</v>
      </c>
      <c r="E91" t="s">
        <v>385</v>
      </c>
      <c r="F91" t="s">
        <v>282</v>
      </c>
      <c r="G91">
        <v>0.12681999999999999</v>
      </c>
      <c r="H91" t="s">
        <v>385</v>
      </c>
      <c r="I91">
        <v>0</v>
      </c>
      <c r="J91">
        <v>0</v>
      </c>
      <c r="K91" t="s">
        <v>469</v>
      </c>
      <c r="L91" s="17">
        <f t="shared" si="51"/>
        <v>0</v>
      </c>
      <c r="M91" t="s">
        <v>537</v>
      </c>
      <c r="S91">
        <f t="shared" si="36"/>
        <v>-507296000.00000006</v>
      </c>
      <c r="T91">
        <f t="shared" si="37"/>
        <v>-1224405887.3684902</v>
      </c>
      <c r="U91">
        <f t="shared" si="38"/>
        <v>-188874718.76634246</v>
      </c>
      <c r="V91">
        <f t="shared" si="39"/>
        <v>-7869851.6835186919</v>
      </c>
      <c r="W91" s="217">
        <f t="shared" si="40"/>
        <v>-500840157.50444198</v>
      </c>
      <c r="X91">
        <f t="shared" si="41"/>
        <v>-1515153886.285249</v>
      </c>
      <c r="Y91">
        <f t="shared" si="42"/>
        <v>-65272814.407350183</v>
      </c>
      <c r="Z91">
        <f t="shared" si="43"/>
        <v>-26119751.817237943</v>
      </c>
      <c r="AA91">
        <f t="shared" si="44"/>
        <v>-65032085.702435121</v>
      </c>
      <c r="AH91" s="8">
        <f t="shared" si="45"/>
        <v>-68678468.17111288</v>
      </c>
      <c r="AI91" s="8">
        <f t="shared" si="46"/>
        <v>-81856517.391826198</v>
      </c>
      <c r="AJ91" s="8">
        <f t="shared" si="47"/>
        <v>-14945223.835908415</v>
      </c>
      <c r="AK91" s="8">
        <f t="shared" si="48"/>
        <v>-1867228.2099455933</v>
      </c>
      <c r="AL91" s="8">
        <f t="shared" si="49"/>
        <v>-1149104.6389674356</v>
      </c>
      <c r="AM91" s="8">
        <f t="shared" si="50"/>
        <v>-362261.03415048798</v>
      </c>
    </row>
    <row r="92" spans="3:39" x14ac:dyDescent="0.2">
      <c r="C92" t="s">
        <v>332</v>
      </c>
      <c r="D92">
        <v>1.268E-2</v>
      </c>
      <c r="E92" t="s">
        <v>386</v>
      </c>
      <c r="F92" t="s">
        <v>332</v>
      </c>
      <c r="G92">
        <v>1.268E-2</v>
      </c>
      <c r="H92" t="s">
        <v>386</v>
      </c>
      <c r="I92">
        <v>0</v>
      </c>
      <c r="J92">
        <v>0</v>
      </c>
      <c r="K92" t="s">
        <v>470</v>
      </c>
      <c r="L92" s="17">
        <f t="shared" si="51"/>
        <v>0</v>
      </c>
      <c r="M92" t="s">
        <v>537</v>
      </c>
      <c r="S92">
        <f t="shared" si="36"/>
        <v>-5199.9999999999991</v>
      </c>
      <c r="T92">
        <f t="shared" si="37"/>
        <v>-12550.681681535332</v>
      </c>
      <c r="U92">
        <f t="shared" si="38"/>
        <v>-1936.0462877392702</v>
      </c>
      <c r="V92">
        <f t="shared" si="39"/>
        <v>-79727.255617346236</v>
      </c>
      <c r="W92" s="217">
        <f t="shared" si="40"/>
        <v>-5133.8248656072547</v>
      </c>
      <c r="X92">
        <f t="shared" si="41"/>
        <v>-15530.972467126281</v>
      </c>
      <c r="Y92">
        <f t="shared" si="42"/>
        <v>-669.07413998576942</v>
      </c>
      <c r="Z92">
        <f t="shared" si="43"/>
        <v>-267.73857757529584</v>
      </c>
      <c r="AA92">
        <f t="shared" si="44"/>
        <v>-666.60656826125694</v>
      </c>
      <c r="AH92" s="8">
        <f t="shared" si="45"/>
        <v>-6867846.8171112882</v>
      </c>
      <c r="AI92" s="8">
        <f t="shared" si="46"/>
        <v>-816.18293996224725</v>
      </c>
      <c r="AJ92" s="8">
        <f t="shared" si="47"/>
        <v>-153.19490779884674</v>
      </c>
      <c r="AK92" s="8">
        <f t="shared" si="48"/>
        <v>-184.54924104447991</v>
      </c>
      <c r="AL92" s="8">
        <f t="shared" si="49"/>
        <v>-114.90711373744629</v>
      </c>
      <c r="AM92" s="8">
        <f t="shared" si="50"/>
        <v>-36226.103415048798</v>
      </c>
    </row>
    <row r="93" spans="3:39" x14ac:dyDescent="0.2">
      <c r="C93" t="s">
        <v>283</v>
      </c>
      <c r="D93">
        <v>1.2700000000000001E-3</v>
      </c>
      <c r="E93" t="s">
        <v>387</v>
      </c>
      <c r="F93" t="s">
        <v>283</v>
      </c>
      <c r="G93">
        <v>1.2700000000000001E-3</v>
      </c>
      <c r="H93" t="s">
        <v>387</v>
      </c>
      <c r="I93">
        <f>$A$7</f>
        <v>10</v>
      </c>
      <c r="J93">
        <v>-1</v>
      </c>
      <c r="K93" t="s">
        <v>471</v>
      </c>
      <c r="L93" s="17">
        <f t="shared" si="51"/>
        <v>-1734105.0565807596</v>
      </c>
      <c r="M93" t="s">
        <v>537</v>
      </c>
      <c r="S93">
        <f t="shared" si="36"/>
        <v>-5080000</v>
      </c>
      <c r="T93">
        <f t="shared" si="37"/>
        <v>-12261050.565807596</v>
      </c>
      <c r="U93">
        <f t="shared" si="38"/>
        <v>-1891368.2964837488</v>
      </c>
      <c r="V93">
        <f t="shared" si="39"/>
        <v>0</v>
      </c>
      <c r="W93" s="217">
        <f t="shared" si="40"/>
        <v>-5015351.9840932423</v>
      </c>
      <c r="X93">
        <f t="shared" si="41"/>
        <v>-15172565.410192601</v>
      </c>
      <c r="Y93">
        <f t="shared" si="42"/>
        <v>-653633.96752455947</v>
      </c>
      <c r="Z93">
        <f t="shared" si="43"/>
        <v>-261559.99501586598</v>
      </c>
      <c r="AA93">
        <f t="shared" si="44"/>
        <v>-651223.33976292028</v>
      </c>
      <c r="AH93" s="8">
        <f t="shared" si="45"/>
        <v>-68680613.602228925</v>
      </c>
      <c r="AI93" s="8">
        <f t="shared" si="46"/>
        <v>-816182.93996224715</v>
      </c>
      <c r="AJ93" s="8">
        <f t="shared" si="47"/>
        <v>-149659.64069579646</v>
      </c>
      <c r="AK93" s="8">
        <f t="shared" si="48"/>
        <v>-18454.924104447993</v>
      </c>
      <c r="AL93" s="8">
        <f t="shared" si="49"/>
        <v>-114862.60447821098</v>
      </c>
      <c r="AM93" s="8">
        <f t="shared" si="50"/>
        <v>-3622610.3415048798</v>
      </c>
    </row>
    <row r="94" spans="3:39" x14ac:dyDescent="0.2">
      <c r="C94" t="s">
        <v>284</v>
      </c>
      <c r="D94">
        <v>1.2999999999999999E-4</v>
      </c>
      <c r="E94" t="s">
        <v>388</v>
      </c>
      <c r="F94" t="s">
        <v>284</v>
      </c>
      <c r="G94">
        <v>1.2999999999999999E-4</v>
      </c>
      <c r="H94" t="s">
        <v>388</v>
      </c>
      <c r="I94">
        <f>$A$7</f>
        <v>10</v>
      </c>
      <c r="J94">
        <v>-1</v>
      </c>
      <c r="K94" t="s">
        <v>472</v>
      </c>
      <c r="L94" s="17">
        <f t="shared" si="51"/>
        <v>-177506.81681535335</v>
      </c>
      <c r="M94" t="s">
        <v>537</v>
      </c>
      <c r="S94">
        <f t="shared" si="36"/>
        <v>-520000</v>
      </c>
      <c r="T94">
        <f t="shared" si="37"/>
        <v>-1255068.1681535332</v>
      </c>
      <c r="U94">
        <f t="shared" si="38"/>
        <v>-193604.62877392702</v>
      </c>
      <c r="V94">
        <f t="shared" si="39"/>
        <v>-7972725.5617346233</v>
      </c>
      <c r="W94" s="217">
        <f t="shared" si="40"/>
        <v>-513382.48656072549</v>
      </c>
      <c r="X94">
        <f t="shared" si="41"/>
        <v>-1553097.2467126281</v>
      </c>
      <c r="Y94">
        <f t="shared" si="42"/>
        <v>-66907.413998576943</v>
      </c>
      <c r="Z94">
        <f t="shared" si="43"/>
        <v>-26773.857757529582</v>
      </c>
      <c r="AA94">
        <f t="shared" si="44"/>
        <v>-66660.656826125691</v>
      </c>
      <c r="AH94" s="8">
        <f t="shared" si="45"/>
        <v>-6867857544.2668695</v>
      </c>
      <c r="AI94" s="8">
        <f t="shared" si="46"/>
        <v>-81618.293996224718</v>
      </c>
      <c r="AJ94" s="8">
        <f t="shared" si="47"/>
        <v>-15319.490779884674</v>
      </c>
      <c r="AK94" s="8">
        <f t="shared" si="48"/>
        <v>-18454.924104447993</v>
      </c>
      <c r="AL94" s="8">
        <f t="shared" si="49"/>
        <v>-11490.711373744629</v>
      </c>
      <c r="AM94" s="8">
        <f t="shared" si="50"/>
        <v>-3622936580.3348837</v>
      </c>
    </row>
    <row r="95" spans="3:39" x14ac:dyDescent="0.2">
      <c r="C95" t="s">
        <v>285</v>
      </c>
      <c r="D95">
        <v>1.2700000000000001E-3</v>
      </c>
      <c r="E95" t="s">
        <v>389</v>
      </c>
      <c r="F95" t="s">
        <v>285</v>
      </c>
      <c r="G95">
        <v>1.2700000000000001E-3</v>
      </c>
      <c r="H95" t="s">
        <v>389</v>
      </c>
      <c r="I95">
        <f>$A$7</f>
        <v>10</v>
      </c>
      <c r="J95">
        <v>-1</v>
      </c>
      <c r="K95" t="s">
        <v>473</v>
      </c>
      <c r="L95" s="17">
        <f t="shared" si="51"/>
        <v>-1734105.0565807596</v>
      </c>
      <c r="M95" t="s">
        <v>537</v>
      </c>
      <c r="S95">
        <f t="shared" si="36"/>
        <v>-507296000.00000006</v>
      </c>
      <c r="T95">
        <f t="shared" si="37"/>
        <v>-1224405887.3684902</v>
      </c>
      <c r="U95">
        <f t="shared" si="38"/>
        <v>-188874718.76634246</v>
      </c>
      <c r="V95">
        <f t="shared" si="39"/>
        <v>-7869851.6835186919</v>
      </c>
      <c r="W95" s="217">
        <f t="shared" si="40"/>
        <v>-500840157.50444198</v>
      </c>
      <c r="X95">
        <f t="shared" si="41"/>
        <v>-1515153886.285249</v>
      </c>
      <c r="Y95">
        <f t="shared" si="42"/>
        <v>-65272814.407350183</v>
      </c>
      <c r="Z95">
        <f t="shared" si="43"/>
        <v>-26119751.817237943</v>
      </c>
      <c r="AA95">
        <f t="shared" si="44"/>
        <v>-65032085.702435121</v>
      </c>
      <c r="AH95" s="8">
        <f t="shared" si="45"/>
        <v>-686537.95713278418</v>
      </c>
      <c r="AI95" s="8">
        <f t="shared" si="46"/>
        <v>-81856517.391826198</v>
      </c>
      <c r="AJ95" s="8">
        <f t="shared" si="47"/>
        <v>-14945223.835908415</v>
      </c>
      <c r="AK95" s="8">
        <f t="shared" si="48"/>
        <v>-18659.978816719635</v>
      </c>
      <c r="AL95" s="8">
        <f t="shared" si="49"/>
        <v>-11490727.326884139</v>
      </c>
      <c r="AM95" s="8">
        <f t="shared" si="50"/>
        <v>-362261.03415048798</v>
      </c>
    </row>
    <row r="96" spans="3:39" x14ac:dyDescent="0.2">
      <c r="C96" t="s">
        <v>286</v>
      </c>
      <c r="D96">
        <v>1.268E-2</v>
      </c>
      <c r="E96" t="s">
        <v>390</v>
      </c>
      <c r="F96" t="s">
        <v>286</v>
      </c>
      <c r="G96">
        <v>1.268E-2</v>
      </c>
      <c r="H96" t="s">
        <v>390</v>
      </c>
      <c r="I96">
        <f>$A$6</f>
        <v>100</v>
      </c>
      <c r="J96">
        <v>-1</v>
      </c>
      <c r="K96" t="s">
        <v>474</v>
      </c>
      <c r="L96" s="17">
        <f t="shared" si="51"/>
        <v>-173137418.24759078</v>
      </c>
      <c r="M96" t="s">
        <v>537</v>
      </c>
      <c r="S96">
        <f t="shared" si="36"/>
        <v>-52000</v>
      </c>
      <c r="T96">
        <f t="shared" si="37"/>
        <v>-125506.81681535333</v>
      </c>
      <c r="U96">
        <f t="shared" si="38"/>
        <v>-19360.462877392703</v>
      </c>
      <c r="V96">
        <f t="shared" si="39"/>
        <v>-7869851.6835186919</v>
      </c>
      <c r="W96" s="217">
        <f t="shared" si="40"/>
        <v>-51338.248656072545</v>
      </c>
      <c r="X96">
        <f t="shared" si="41"/>
        <v>-155309.72467126281</v>
      </c>
      <c r="Y96">
        <f t="shared" si="42"/>
        <v>-6690.741399857694</v>
      </c>
      <c r="Z96">
        <f t="shared" si="43"/>
        <v>-2677.3857757529586</v>
      </c>
      <c r="AA96">
        <f t="shared" si="44"/>
        <v>-6666.0656826125696</v>
      </c>
      <c r="AH96" s="8">
        <f t="shared" si="45"/>
        <v>-68653.795713278436</v>
      </c>
      <c r="AI96" s="8">
        <f t="shared" si="46"/>
        <v>-8161.8293996224729</v>
      </c>
      <c r="AJ96" s="8">
        <f t="shared" si="47"/>
        <v>-1531.9490779884675</v>
      </c>
      <c r="AK96" s="8">
        <f t="shared" si="48"/>
        <v>-1845.4924104447991</v>
      </c>
      <c r="AL96" s="8">
        <f t="shared" si="49"/>
        <v>-1149.071137374463</v>
      </c>
      <c r="AM96" s="8">
        <f t="shared" si="50"/>
        <v>-3622950.1736194682</v>
      </c>
    </row>
    <row r="97" spans="3:39" x14ac:dyDescent="0.2">
      <c r="C97" t="s">
        <v>287</v>
      </c>
      <c r="D97">
        <v>1.2700000000000001E-3</v>
      </c>
      <c r="E97" t="s">
        <v>391</v>
      </c>
      <c r="F97" t="s">
        <v>287</v>
      </c>
      <c r="G97">
        <v>1.2700000000000001E-3</v>
      </c>
      <c r="H97" t="s">
        <v>391</v>
      </c>
      <c r="I97">
        <f>$A$6</f>
        <v>100</v>
      </c>
      <c r="J97">
        <v>-1</v>
      </c>
      <c r="K97" t="s">
        <v>475</v>
      </c>
      <c r="L97" s="17">
        <f t="shared" si="51"/>
        <v>-17341050.565807596</v>
      </c>
      <c r="M97" t="s">
        <v>537</v>
      </c>
      <c r="S97">
        <f t="shared" si="36"/>
        <v>-52000</v>
      </c>
      <c r="T97">
        <f t="shared" si="37"/>
        <v>-125506.81681535333</v>
      </c>
      <c r="U97">
        <f t="shared" si="38"/>
        <v>-189136.82964837487</v>
      </c>
      <c r="V97">
        <f t="shared" si="39"/>
        <v>-7869851.6835186919</v>
      </c>
      <c r="W97" s="217">
        <f t="shared" si="40"/>
        <v>-51338.248656072545</v>
      </c>
      <c r="X97">
        <f t="shared" si="41"/>
        <v>-155309.72467126281</v>
      </c>
      <c r="Y97">
        <f t="shared" si="42"/>
        <v>-6690.741399857694</v>
      </c>
      <c r="Z97">
        <f t="shared" si="43"/>
        <v>-2677.3857757529586</v>
      </c>
      <c r="AA97">
        <f t="shared" si="44"/>
        <v>-6666.0656826125696</v>
      </c>
      <c r="AH97" s="8">
        <f t="shared" si="45"/>
        <v>-68653.795713278436</v>
      </c>
      <c r="AI97" s="8">
        <f t="shared" si="46"/>
        <v>-8185804.7734838631</v>
      </c>
      <c r="AJ97" s="8">
        <f t="shared" si="47"/>
        <v>-1531.9490779884675</v>
      </c>
      <c r="AK97" s="8">
        <f t="shared" si="48"/>
        <v>-18659.978816719635</v>
      </c>
      <c r="AL97" s="8">
        <f t="shared" si="49"/>
        <v>-1149.071137374463</v>
      </c>
      <c r="AM97" s="8">
        <f t="shared" si="50"/>
        <v>-36226.103415048798</v>
      </c>
    </row>
    <row r="98" spans="3:39" x14ac:dyDescent="0.2">
      <c r="C98" t="s">
        <v>288</v>
      </c>
      <c r="D98">
        <v>1.2700000000000001E-3</v>
      </c>
      <c r="E98" t="s">
        <v>392</v>
      </c>
      <c r="F98" t="s">
        <v>288</v>
      </c>
      <c r="G98">
        <v>1.2700000000000001E-3</v>
      </c>
      <c r="H98" t="s">
        <v>392</v>
      </c>
      <c r="I98">
        <f>$A$6</f>
        <v>100</v>
      </c>
      <c r="J98">
        <v>-1</v>
      </c>
      <c r="K98" t="s">
        <v>476</v>
      </c>
      <c r="L98" s="17">
        <f t="shared" si="51"/>
        <v>-17341050.565807596</v>
      </c>
      <c r="M98" t="s">
        <v>537</v>
      </c>
      <c r="S98">
        <f t="shared" si="36"/>
        <v>-52000</v>
      </c>
      <c r="T98">
        <f t="shared" si="37"/>
        <v>-125506.81681535333</v>
      </c>
      <c r="U98">
        <f t="shared" si="38"/>
        <v>-19360.462877392703</v>
      </c>
      <c r="V98">
        <f t="shared" si="39"/>
        <v>-787036605.29097736</v>
      </c>
      <c r="W98" s="217">
        <f t="shared" si="40"/>
        <v>-51338.248656072545</v>
      </c>
      <c r="X98">
        <f t="shared" si="41"/>
        <v>-155309.72467126281</v>
      </c>
      <c r="Y98">
        <f t="shared" si="42"/>
        <v>-6690.741399857694</v>
      </c>
      <c r="Z98">
        <f t="shared" si="43"/>
        <v>-2677.3857757529586</v>
      </c>
      <c r="AA98">
        <f t="shared" si="44"/>
        <v>-6666.0656826125696</v>
      </c>
      <c r="AH98" s="8">
        <f t="shared" si="45"/>
        <v>-686537.95713278418</v>
      </c>
      <c r="AI98" s="8">
        <f t="shared" si="46"/>
        <v>-8161.8293996224729</v>
      </c>
      <c r="AJ98" s="8">
        <f t="shared" si="47"/>
        <v>-1531.9490779884675</v>
      </c>
      <c r="AK98" s="8">
        <f t="shared" si="48"/>
        <v>-1845.4924104447991</v>
      </c>
      <c r="AL98" s="8">
        <f t="shared" si="49"/>
        <v>-1149.071137374463</v>
      </c>
      <c r="AM98" s="8">
        <f t="shared" si="50"/>
        <v>-36226.103415048798</v>
      </c>
    </row>
    <row r="99" spans="3:39" x14ac:dyDescent="0.2">
      <c r="C99" t="s">
        <v>333</v>
      </c>
      <c r="D99">
        <v>1.2700000000000001E-3</v>
      </c>
      <c r="E99" t="s">
        <v>340</v>
      </c>
      <c r="F99" t="s">
        <v>333</v>
      </c>
      <c r="G99">
        <v>1.2700000000000001E-3</v>
      </c>
      <c r="H99" t="s">
        <v>340</v>
      </c>
      <c r="I99">
        <f>$A$7</f>
        <v>10</v>
      </c>
      <c r="J99">
        <v>-1</v>
      </c>
      <c r="K99" t="s">
        <v>424</v>
      </c>
      <c r="L99" s="17">
        <f t="shared" si="51"/>
        <v>-1734105.0565807596</v>
      </c>
      <c r="M99" t="s">
        <v>537</v>
      </c>
      <c r="S99">
        <f t="shared" si="36"/>
        <v>-50727999.999999993</v>
      </c>
      <c r="T99">
        <f t="shared" si="37"/>
        <v>-122436726.98863928</v>
      </c>
      <c r="U99">
        <f t="shared" si="38"/>
        <v>-18886876.170084171</v>
      </c>
      <c r="V99">
        <f t="shared" si="39"/>
        <v>-7869851.6835186919</v>
      </c>
      <c r="W99" s="217">
        <f t="shared" si="40"/>
        <v>-50082436.112024002</v>
      </c>
      <c r="X99">
        <f t="shared" si="41"/>
        <v>-151510609.86776578</v>
      </c>
      <c r="Y99">
        <f t="shared" si="42"/>
        <v>-6527075.5717688669</v>
      </c>
      <c r="Z99">
        <f t="shared" si="43"/>
        <v>-2611892.8006230015</v>
      </c>
      <c r="AA99">
        <f t="shared" si="44"/>
        <v>-6503003.4605302</v>
      </c>
      <c r="AH99" s="8">
        <f t="shared" si="45"/>
        <v>-6868061.3602228928</v>
      </c>
      <c r="AI99" s="8">
        <f t="shared" si="46"/>
        <v>-8185804.7734838631</v>
      </c>
      <c r="AJ99" s="8">
        <f t="shared" si="47"/>
        <v>-1494475.2466961341</v>
      </c>
      <c r="AK99" s="8">
        <f t="shared" si="48"/>
        <v>-18659.978816719635</v>
      </c>
      <c r="AL99" s="8">
        <f t="shared" si="49"/>
        <v>-1149104.6389674356</v>
      </c>
      <c r="AM99" s="8">
        <f t="shared" si="50"/>
        <v>-36226.103415048798</v>
      </c>
    </row>
    <row r="100" spans="3:39" x14ac:dyDescent="0.2">
      <c r="C100" t="s">
        <v>334</v>
      </c>
      <c r="D100">
        <v>1.268E-2</v>
      </c>
      <c r="E100" t="s">
        <v>393</v>
      </c>
      <c r="F100" t="s">
        <v>334</v>
      </c>
      <c r="G100">
        <v>1.268E-2</v>
      </c>
      <c r="H100" t="s">
        <v>393</v>
      </c>
      <c r="I100">
        <v>0</v>
      </c>
      <c r="J100">
        <v>0</v>
      </c>
      <c r="K100" t="s">
        <v>477</v>
      </c>
      <c r="L100" s="17">
        <f t="shared" si="51"/>
        <v>0</v>
      </c>
      <c r="M100" t="s">
        <v>537</v>
      </c>
      <c r="S100">
        <f t="shared" si="36"/>
        <v>-5080000</v>
      </c>
      <c r="T100">
        <f t="shared" si="37"/>
        <v>-12261050.565807596</v>
      </c>
      <c r="U100">
        <f t="shared" si="38"/>
        <v>-1891368.2964837488</v>
      </c>
      <c r="V100">
        <f t="shared" si="39"/>
        <v>-7870366052.9097738</v>
      </c>
      <c r="W100" s="217">
        <f t="shared" si="40"/>
        <v>-5015351.9840932423</v>
      </c>
      <c r="X100">
        <f t="shared" si="41"/>
        <v>-15172565.410192601</v>
      </c>
      <c r="Y100">
        <f t="shared" si="42"/>
        <v>-653633.96752455947</v>
      </c>
      <c r="Z100">
        <f t="shared" si="43"/>
        <v>-261559.99501586598</v>
      </c>
      <c r="AA100">
        <f t="shared" si="44"/>
        <v>-651223.33976292028</v>
      </c>
      <c r="AH100" s="8">
        <f t="shared" si="45"/>
        <v>-68680613.602228925</v>
      </c>
      <c r="AI100" s="8">
        <f t="shared" si="46"/>
        <v>-816182.93996224715</v>
      </c>
      <c r="AJ100" s="8">
        <f t="shared" si="47"/>
        <v>-149659.64069579646</v>
      </c>
      <c r="AK100" s="8">
        <f t="shared" si="48"/>
        <v>-186599.78816719636</v>
      </c>
      <c r="AL100" s="8">
        <f t="shared" si="49"/>
        <v>-114862.60447821098</v>
      </c>
      <c r="AM100" s="8">
        <f t="shared" si="50"/>
        <v>-3622936580.3348837</v>
      </c>
    </row>
    <row r="101" spans="3:39" x14ac:dyDescent="0.2">
      <c r="C101" t="s">
        <v>335</v>
      </c>
      <c r="D101">
        <v>1.268E-2</v>
      </c>
      <c r="E101" t="s">
        <v>394</v>
      </c>
      <c r="F101" t="s">
        <v>335</v>
      </c>
      <c r="G101">
        <v>1.2700000000000001E-3</v>
      </c>
      <c r="H101" t="s">
        <v>394</v>
      </c>
      <c r="I101">
        <f>$A$7</f>
        <v>10</v>
      </c>
      <c r="J101">
        <v>-1</v>
      </c>
      <c r="K101" t="s">
        <v>478</v>
      </c>
      <c r="L101" s="17">
        <f t="shared" si="51"/>
        <v>-6298105.0565807596</v>
      </c>
      <c r="M101" t="s">
        <v>537</v>
      </c>
      <c r="S101">
        <f t="shared" si="36"/>
        <v>-5080000</v>
      </c>
      <c r="T101">
        <f t="shared" si="37"/>
        <v>-12261050.565807596</v>
      </c>
      <c r="U101">
        <f t="shared" si="38"/>
        <v>-1891368.2964837488</v>
      </c>
      <c r="V101">
        <f t="shared" si="39"/>
        <v>-78698516.835186929</v>
      </c>
      <c r="W101" s="217">
        <f t="shared" si="40"/>
        <v>-5015351.9840932423</v>
      </c>
      <c r="X101">
        <f t="shared" si="41"/>
        <v>-15172565.410192601</v>
      </c>
      <c r="Y101">
        <f t="shared" si="42"/>
        <v>-653633.96752455947</v>
      </c>
      <c r="Z101">
        <f t="shared" si="43"/>
        <v>-261559.99501586598</v>
      </c>
      <c r="AA101">
        <f t="shared" si="44"/>
        <v>-651223.33976292028</v>
      </c>
      <c r="AH101" s="8">
        <f t="shared" si="45"/>
        <v>-68680613.602228925</v>
      </c>
      <c r="AI101" s="8">
        <f t="shared" si="46"/>
        <v>-816182.93996224715</v>
      </c>
      <c r="AJ101" s="8">
        <f t="shared" si="47"/>
        <v>-149659.64069579646</v>
      </c>
      <c r="AK101" s="8">
        <f t="shared" si="48"/>
        <v>-18454.924104447993</v>
      </c>
      <c r="AL101" s="8">
        <f t="shared" si="49"/>
        <v>-114862.60447821098</v>
      </c>
      <c r="AM101" s="8">
        <f t="shared" si="50"/>
        <v>-3622610.3415048798</v>
      </c>
    </row>
    <row r="102" spans="3:39" x14ac:dyDescent="0.2">
      <c r="C102" t="s">
        <v>289</v>
      </c>
      <c r="D102">
        <v>1.2700000000000001E-3</v>
      </c>
      <c r="E102" t="s">
        <v>395</v>
      </c>
      <c r="F102" t="s">
        <v>289</v>
      </c>
      <c r="G102">
        <v>1.2700000000000001E-3</v>
      </c>
      <c r="H102" t="s">
        <v>395</v>
      </c>
      <c r="I102">
        <f>$A$7</f>
        <v>10</v>
      </c>
      <c r="J102">
        <v>-1</v>
      </c>
      <c r="K102" t="s">
        <v>479</v>
      </c>
      <c r="L102" s="17">
        <f t="shared" si="51"/>
        <v>-1734105.0565807596</v>
      </c>
      <c r="M102" t="s">
        <v>537</v>
      </c>
      <c r="S102">
        <f t="shared" ref="S102:S111" si="52">(I117*D117*J117*$B$21)</f>
        <v>-508000.00000000006</v>
      </c>
      <c r="T102">
        <f t="shared" ref="T102:T111" si="53">(I117*J117*G117*SUM($B$22:$B$25))</f>
        <v>-1226105.0565807596</v>
      </c>
      <c r="U102">
        <f t="shared" ref="U102:U111" si="54">SUM(B$134,B$145,B$247:B$248,B$252,B$256,B$259,B$366:B$368,B$472,B$585,B$699,B$812,B$924,B$930,B$937:B$938,B$1037:B$1039,B$1150,B$1272,B$1378:B$1379,B$1384,B$1491,B$1604,B$1718)*D1812*I1812*J1812</f>
        <v>-189136.82964837487</v>
      </c>
      <c r="V102">
        <f t="shared" ref="V102:V111" si="55">SUM(B$135,B$146,B$251,B$254,B$257,B$258,B$263,B$262,B$365,B$362,B$359,B$369,B$370,B$475:B$477,B$586:B$587,B$590:B$591,B$700:B$701,B$704:B$705,B$813:B$814,B$925,B$927:B$929,B$932:B$936,B$1040:B$1041,B$1044,B$1046,B$1151:B$1152,B$1381:B$1383,B$1385:B$1386,B$1492,B$1494,B$1496,B$1605,B$1608:B$1611,B$1717)*G1812*I1812*J1812</f>
        <v>-7869851.6835186919</v>
      </c>
      <c r="W102" s="217">
        <f t="shared" ref="W102:W111" si="56">SUM(B$815,B$263,B$1153,B$1264:B$1266)*F1360*I1360*J1360</f>
        <v>-501535.19840932422</v>
      </c>
      <c r="X102">
        <f t="shared" ref="X102:X111" si="57">SUM(B$140,B$592,B$706,B$1045,B$1267)*G1360*I1360*J1360</f>
        <v>-1517256.5410192602</v>
      </c>
      <c r="Y102">
        <f t="shared" ref="Y102:Y111" si="58">SUM(B$141:B$144,B$148:B$151,B$249,B$253,B$260,B$264:B$265,B$363,B$360,B$473,B$588,B$702,B$1042,B$1268:B$1271,B$1380,B$1603,B$1716)*F1812*I1812*J1812</f>
        <v>-65363.396752455948</v>
      </c>
      <c r="Z102">
        <f t="shared" ref="Z102:Z111" si="59">SUM(B$147,B$931,B$1493,B$1719:B$1720,B$1606:B$1607)*H1586*I1586*J1586</f>
        <v>-26155.999501586597</v>
      </c>
      <c r="AA102">
        <f t="shared" ref="AA102:AA111" si="60">SUM(B$254,B$261,B$361,B$364,B$589,B$703,B$1043)*G1133*J1133*K1133</f>
        <v>-65122.33397629203</v>
      </c>
      <c r="AH102" s="8">
        <f t="shared" ref="AH102:AH111" si="61">SUM(B$1831:B$1833)*D1928*F1928*G1928</f>
        <v>-68678468.17111288</v>
      </c>
      <c r="AI102" s="8">
        <f t="shared" ref="AI102:AI111" si="62">SUM(B$1943:B$1948,B$2057,B$2059:B$2066,B$2170:B$2175,B$2186,B$2198:B$2200,B$2212:B$2214,B$2283:B$2284,B$2293:B$2298,B$2309:B$2313,B$2323:B$2324,B$2399:B$2405,B$2418:B$2421,B$2433:B$2438,B$2450:B$2455,B$2467:B$2470)*D2153*G2153*H2153</f>
        <v>-81618.293996224718</v>
      </c>
      <c r="AJ102" s="8">
        <f t="shared" ref="AJ102:AJ111" si="63">SUM(B$2058)*F2153*G2153*H2153</f>
        <v>-14965.964069579644</v>
      </c>
      <c r="AK102" s="8">
        <f t="shared" ref="AK102:AK111" si="64">SUM(B$2285,B$2325)*F2379*G2379*H2379</f>
        <v>-18659.978816719635</v>
      </c>
      <c r="AL102" s="8">
        <f t="shared" ref="AL102:AL111" si="65">SUM(B$2406,B$2422,B$2439,B$2456)*F2493*H2493*I2493</f>
        <v>-11486.260447821098</v>
      </c>
      <c r="AM102" s="8">
        <f t="shared" ref="AM102:AM111" si="66">SUM(B$2417,B$2433,B$2450)*G2493*H2493*I2493</f>
        <v>-3622950.1736194682</v>
      </c>
    </row>
    <row r="103" spans="3:39" x14ac:dyDescent="0.2">
      <c r="C103" t="s">
        <v>290</v>
      </c>
      <c r="D103">
        <v>1.2999999999999999E-4</v>
      </c>
      <c r="E103" t="s">
        <v>396</v>
      </c>
      <c r="F103" t="s">
        <v>290</v>
      </c>
      <c r="G103">
        <v>1.2999999999999999E-4</v>
      </c>
      <c r="H103" t="s">
        <v>396</v>
      </c>
      <c r="I103">
        <f>$A$7</f>
        <v>10</v>
      </c>
      <c r="J103">
        <v>-1</v>
      </c>
      <c r="K103" t="s">
        <v>480</v>
      </c>
      <c r="L103" s="17">
        <f t="shared" si="51"/>
        <v>-177506.81681535335</v>
      </c>
      <c r="M103" t="s">
        <v>537</v>
      </c>
      <c r="S103">
        <f t="shared" si="52"/>
        <v>-5072960000</v>
      </c>
      <c r="T103">
        <f t="shared" si="53"/>
        <v>-12244058873.6849</v>
      </c>
      <c r="U103">
        <f t="shared" si="54"/>
        <v>-1888747187.6634247</v>
      </c>
      <c r="V103">
        <f t="shared" si="55"/>
        <v>-78703660529.097717</v>
      </c>
      <c r="W103" s="217">
        <f t="shared" si="56"/>
        <v>-5008401575.0444193</v>
      </c>
      <c r="X103">
        <f t="shared" si="57"/>
        <v>-15151538862.852489</v>
      </c>
      <c r="Y103">
        <f t="shared" si="58"/>
        <v>-652728144.07350183</v>
      </c>
      <c r="Z103">
        <f t="shared" si="59"/>
        <v>-261197518.17237943</v>
      </c>
      <c r="AA103">
        <f t="shared" si="60"/>
        <v>-650320857.02435124</v>
      </c>
      <c r="AH103" s="8">
        <f t="shared" si="61"/>
        <v>-686537.9571327843</v>
      </c>
      <c r="AI103" s="8">
        <f t="shared" si="62"/>
        <v>-818565173.918262</v>
      </c>
      <c r="AJ103" s="8">
        <f t="shared" si="63"/>
        <v>-149452238.35908413</v>
      </c>
      <c r="AK103" s="8">
        <f t="shared" si="64"/>
        <v>-186599.78816719636</v>
      </c>
      <c r="AL103" s="8">
        <f t="shared" si="65"/>
        <v>-114907273.26884139</v>
      </c>
      <c r="AM103" s="8">
        <f t="shared" si="66"/>
        <v>-3622936580.3348837</v>
      </c>
    </row>
    <row r="104" spans="3:39" x14ac:dyDescent="0.2">
      <c r="C104" t="s">
        <v>291</v>
      </c>
      <c r="D104">
        <v>1.2999999999999999E-4</v>
      </c>
      <c r="E104" t="s">
        <v>397</v>
      </c>
      <c r="F104" t="s">
        <v>291</v>
      </c>
      <c r="G104">
        <v>1.2999999999999999E-4</v>
      </c>
      <c r="H104" t="s">
        <v>397</v>
      </c>
      <c r="I104">
        <f>$A$8</f>
        <v>1</v>
      </c>
      <c r="J104">
        <v>-1</v>
      </c>
      <c r="K104" t="s">
        <v>481</v>
      </c>
      <c r="L104" s="17">
        <f t="shared" si="51"/>
        <v>-17750.68168153533</v>
      </c>
      <c r="M104" t="s">
        <v>537</v>
      </c>
      <c r="S104">
        <f t="shared" si="52"/>
        <v>-508000.00000000006</v>
      </c>
      <c r="T104">
        <f t="shared" si="53"/>
        <v>-1226105.0565807596</v>
      </c>
      <c r="U104">
        <f t="shared" si="54"/>
        <v>-189136.82964837487</v>
      </c>
      <c r="V104">
        <f t="shared" si="55"/>
        <v>-7869851.6835186919</v>
      </c>
      <c r="W104" s="217">
        <f t="shared" si="56"/>
        <v>-501535.19840932422</v>
      </c>
      <c r="X104">
        <f t="shared" si="57"/>
        <v>-1517256.5410192602</v>
      </c>
      <c r="Y104">
        <f t="shared" si="58"/>
        <v>-65363.396752455948</v>
      </c>
      <c r="Z104">
        <f t="shared" si="59"/>
        <v>-26155.999501586597</v>
      </c>
      <c r="AA104">
        <f t="shared" si="60"/>
        <v>-65122.33397629203</v>
      </c>
      <c r="AH104" s="8">
        <f t="shared" si="61"/>
        <v>-68678468.17111288</v>
      </c>
      <c r="AI104" s="8">
        <f t="shared" si="62"/>
        <v>-81618.293996224718</v>
      </c>
      <c r="AJ104" s="8">
        <f t="shared" si="63"/>
        <v>-14965.964069579644</v>
      </c>
      <c r="AK104" s="8">
        <f t="shared" si="64"/>
        <v>-1845.4924104447991</v>
      </c>
      <c r="AL104" s="8">
        <f t="shared" si="65"/>
        <v>-11486.260447821098</v>
      </c>
      <c r="AM104" s="8">
        <f t="shared" si="66"/>
        <v>-362261.03415048798</v>
      </c>
    </row>
    <row r="105" spans="3:39" x14ac:dyDescent="0.2">
      <c r="C105" t="s">
        <v>292</v>
      </c>
      <c r="D105">
        <v>1.268E-2</v>
      </c>
      <c r="E105" t="s">
        <v>360</v>
      </c>
      <c r="F105" t="s">
        <v>292</v>
      </c>
      <c r="G105">
        <v>1.268E-2</v>
      </c>
      <c r="H105" t="s">
        <v>360</v>
      </c>
      <c r="I105">
        <f>$A$6</f>
        <v>100</v>
      </c>
      <c r="J105">
        <v>-1</v>
      </c>
      <c r="K105" t="s">
        <v>444</v>
      </c>
      <c r="L105" s="17">
        <f t="shared" si="51"/>
        <v>-173137418.24759078</v>
      </c>
      <c r="M105" t="s">
        <v>537</v>
      </c>
      <c r="S105">
        <f t="shared" si="52"/>
        <v>-50800</v>
      </c>
      <c r="T105">
        <f t="shared" si="53"/>
        <v>-122610.50565807596</v>
      </c>
      <c r="U105">
        <f t="shared" si="54"/>
        <v>-18913.682964837488</v>
      </c>
      <c r="V105">
        <f t="shared" si="55"/>
        <v>-786985.16835186922</v>
      </c>
      <c r="W105" s="217">
        <f t="shared" si="56"/>
        <v>-50153.519840932422</v>
      </c>
      <c r="X105">
        <f t="shared" si="57"/>
        <v>-151725.65410192602</v>
      </c>
      <c r="Y105">
        <f t="shared" si="58"/>
        <v>-6536.3396752455947</v>
      </c>
      <c r="Z105">
        <f t="shared" si="59"/>
        <v>-2615.5999501586598</v>
      </c>
      <c r="AA105">
        <f t="shared" si="60"/>
        <v>-6512.233397629203</v>
      </c>
      <c r="AH105" s="8">
        <f t="shared" si="61"/>
        <v>-68653.795713278421</v>
      </c>
      <c r="AI105" s="8">
        <f t="shared" si="62"/>
        <v>-81873.351164962907</v>
      </c>
      <c r="AJ105" s="8">
        <f t="shared" si="63"/>
        <v>-1496.5964069579645</v>
      </c>
      <c r="AK105" s="8">
        <f t="shared" si="64"/>
        <v>-18670.231552333218</v>
      </c>
      <c r="AL105" s="8">
        <f t="shared" si="65"/>
        <v>-1148.6260447821098</v>
      </c>
      <c r="AM105" s="8">
        <f t="shared" si="66"/>
        <v>-36226.103415048798</v>
      </c>
    </row>
    <row r="106" spans="3:39" x14ac:dyDescent="0.2">
      <c r="C106" t="s">
        <v>293</v>
      </c>
      <c r="D106">
        <v>1.26824</v>
      </c>
      <c r="E106" t="s">
        <v>398</v>
      </c>
      <c r="F106" t="s">
        <v>293</v>
      </c>
      <c r="G106">
        <v>1.26824</v>
      </c>
      <c r="H106" t="s">
        <v>398</v>
      </c>
      <c r="I106">
        <f>$A$7</f>
        <v>10</v>
      </c>
      <c r="J106">
        <v>-1</v>
      </c>
      <c r="K106" t="s">
        <v>482</v>
      </c>
      <c r="L106" s="17">
        <f t="shared" si="51"/>
        <v>-1731701887.3684902</v>
      </c>
      <c r="M106" t="s">
        <v>537</v>
      </c>
      <c r="S106">
        <f t="shared" si="52"/>
        <v>-50800</v>
      </c>
      <c r="T106">
        <f t="shared" si="53"/>
        <v>-122610.50565807596</v>
      </c>
      <c r="U106">
        <f t="shared" si="54"/>
        <v>-18913.682964837488</v>
      </c>
      <c r="V106">
        <f t="shared" si="55"/>
        <v>-786985.16835186922</v>
      </c>
      <c r="W106" s="217">
        <f t="shared" si="56"/>
        <v>-50153.519840932422</v>
      </c>
      <c r="X106">
        <f t="shared" si="57"/>
        <v>-151725.65410192602</v>
      </c>
      <c r="Y106">
        <f t="shared" si="58"/>
        <v>-6536.3396752455947</v>
      </c>
      <c r="Z106">
        <f t="shared" si="59"/>
        <v>-2615.5999501586598</v>
      </c>
      <c r="AA106">
        <f t="shared" si="60"/>
        <v>-6512.233397629203</v>
      </c>
      <c r="AH106" s="8">
        <f t="shared" si="61"/>
        <v>-68653.795713278421</v>
      </c>
      <c r="AI106" s="8">
        <f t="shared" si="62"/>
        <v>-81873.351164962907</v>
      </c>
      <c r="AJ106" s="8">
        <f t="shared" si="63"/>
        <v>-1496.5964069579645</v>
      </c>
      <c r="AK106" s="8">
        <f t="shared" si="64"/>
        <v>-18670.231552333218</v>
      </c>
      <c r="AL106" s="8">
        <f t="shared" si="65"/>
        <v>-1148.6260447821098</v>
      </c>
      <c r="AM106" s="8">
        <f t="shared" si="66"/>
        <v>-36226.103415048798</v>
      </c>
    </row>
    <row r="107" spans="3:39" x14ac:dyDescent="0.2">
      <c r="C107" t="s">
        <v>294</v>
      </c>
      <c r="D107">
        <v>1.2999999999999999E-4</v>
      </c>
      <c r="E107" t="s">
        <v>399</v>
      </c>
      <c r="F107" t="s">
        <v>294</v>
      </c>
      <c r="G107">
        <v>1.2999999999999999E-4</v>
      </c>
      <c r="H107" t="s">
        <v>399</v>
      </c>
      <c r="I107">
        <f>$A$8</f>
        <v>1</v>
      </c>
      <c r="J107">
        <v>-1</v>
      </c>
      <c r="K107" t="s">
        <v>483</v>
      </c>
      <c r="L107" s="17">
        <f t="shared" si="51"/>
        <v>-17750.68168153533</v>
      </c>
      <c r="M107" t="s">
        <v>537</v>
      </c>
      <c r="S107">
        <f t="shared" si="52"/>
        <v>0</v>
      </c>
      <c r="T107">
        <f t="shared" si="53"/>
        <v>0</v>
      </c>
      <c r="U107">
        <f t="shared" si="54"/>
        <v>0</v>
      </c>
      <c r="V107">
        <f t="shared" si="55"/>
        <v>0</v>
      </c>
      <c r="W107" s="217">
        <f t="shared" si="56"/>
        <v>0</v>
      </c>
      <c r="X107">
        <f t="shared" si="57"/>
        <v>0</v>
      </c>
      <c r="Y107">
        <f t="shared" si="58"/>
        <v>0</v>
      </c>
      <c r="Z107">
        <f t="shared" si="59"/>
        <v>0</v>
      </c>
      <c r="AA107">
        <f t="shared" si="60"/>
        <v>0</v>
      </c>
      <c r="AH107" s="8">
        <f t="shared" si="61"/>
        <v>0</v>
      </c>
      <c r="AI107" s="8">
        <f t="shared" si="62"/>
        <v>0</v>
      </c>
      <c r="AJ107" s="8">
        <f t="shared" si="63"/>
        <v>0</v>
      </c>
      <c r="AK107" s="8">
        <f t="shared" si="64"/>
        <v>0</v>
      </c>
      <c r="AL107" s="8">
        <f t="shared" si="65"/>
        <v>0</v>
      </c>
      <c r="AM107" s="8">
        <f t="shared" si="66"/>
        <v>0</v>
      </c>
    </row>
    <row r="108" spans="3:39" x14ac:dyDescent="0.2">
      <c r="C108" t="s">
        <v>336</v>
      </c>
      <c r="D108">
        <v>1.2700000000000001E-3</v>
      </c>
      <c r="E108" t="s">
        <v>400</v>
      </c>
      <c r="F108" t="s">
        <v>336</v>
      </c>
      <c r="G108">
        <v>1.2700000000000001E-3</v>
      </c>
      <c r="H108" t="s">
        <v>400</v>
      </c>
      <c r="I108">
        <f>$A$6</f>
        <v>100</v>
      </c>
      <c r="J108">
        <v>-1</v>
      </c>
      <c r="K108" t="s">
        <v>484</v>
      </c>
      <c r="L108" s="17">
        <f t="shared" si="51"/>
        <v>-17341050.565807596</v>
      </c>
      <c r="M108" t="s">
        <v>537</v>
      </c>
      <c r="S108">
        <f t="shared" si="52"/>
        <v>-508000.00000000006</v>
      </c>
      <c r="T108">
        <f t="shared" si="53"/>
        <v>-1226105.0565807596</v>
      </c>
      <c r="U108">
        <f t="shared" si="54"/>
        <v>-189136.82964837487</v>
      </c>
      <c r="V108">
        <f t="shared" si="55"/>
        <v>-7869851.6835186919</v>
      </c>
      <c r="W108" s="217">
        <f t="shared" si="56"/>
        <v>-501535.19840932422</v>
      </c>
      <c r="X108">
        <f t="shared" si="57"/>
        <v>-1517256.5410192602</v>
      </c>
      <c r="Y108">
        <f t="shared" si="58"/>
        <v>-65363.396752455948</v>
      </c>
      <c r="Z108">
        <f t="shared" si="59"/>
        <v>-26155.999501586597</v>
      </c>
      <c r="AA108">
        <f t="shared" si="60"/>
        <v>-65122.33397629203</v>
      </c>
      <c r="AH108" s="8">
        <f t="shared" si="61"/>
        <v>-686537.95713278418</v>
      </c>
      <c r="AI108" s="8">
        <f t="shared" si="62"/>
        <v>-81618.293996224718</v>
      </c>
      <c r="AJ108" s="8">
        <f t="shared" si="63"/>
        <v>-14965.964069579644</v>
      </c>
      <c r="AK108" s="8">
        <f t="shared" si="64"/>
        <v>-18659.978816719635</v>
      </c>
      <c r="AL108" s="8">
        <f t="shared" si="65"/>
        <v>-11486.260447821098</v>
      </c>
      <c r="AM108" s="8">
        <f t="shared" si="66"/>
        <v>-36226.103415048798</v>
      </c>
    </row>
    <row r="109" spans="3:39" x14ac:dyDescent="0.2">
      <c r="C109" t="s">
        <v>295</v>
      </c>
      <c r="D109">
        <v>1.2999999999999999E-4</v>
      </c>
      <c r="E109" t="s">
        <v>401</v>
      </c>
      <c r="F109" t="s">
        <v>295</v>
      </c>
      <c r="G109">
        <v>1.2999999999999999E-4</v>
      </c>
      <c r="H109" t="s">
        <v>401</v>
      </c>
      <c r="I109">
        <f>$A$6</f>
        <v>100</v>
      </c>
      <c r="J109">
        <v>-1</v>
      </c>
      <c r="K109" t="s">
        <v>485</v>
      </c>
      <c r="L109" s="17">
        <f t="shared" si="51"/>
        <v>-1775068.1681535332</v>
      </c>
      <c r="M109" t="s">
        <v>537</v>
      </c>
      <c r="S109">
        <f t="shared" si="52"/>
        <v>-508000.00000000006</v>
      </c>
      <c r="T109">
        <f t="shared" si="53"/>
        <v>-1226105.0565807596</v>
      </c>
      <c r="U109">
        <f t="shared" si="54"/>
        <v>-189136.82964837487</v>
      </c>
      <c r="V109">
        <f t="shared" si="55"/>
        <v>-7869851.6835186919</v>
      </c>
      <c r="W109" s="217">
        <f t="shared" si="56"/>
        <v>-501535.19840932422</v>
      </c>
      <c r="X109">
        <f t="shared" si="57"/>
        <v>-1517256.5410192602</v>
      </c>
      <c r="Y109">
        <f t="shared" si="58"/>
        <v>-65363.396752455948</v>
      </c>
      <c r="Z109">
        <f t="shared" si="59"/>
        <v>-26155.999501586597</v>
      </c>
      <c r="AA109">
        <f t="shared" si="60"/>
        <v>-65122.33397629203</v>
      </c>
      <c r="AH109" s="8">
        <f t="shared" si="61"/>
        <v>-6868061.3602228928</v>
      </c>
      <c r="AI109" s="8">
        <f t="shared" si="62"/>
        <v>-81618.293996224718</v>
      </c>
      <c r="AJ109" s="8">
        <f t="shared" si="63"/>
        <v>-14965.964069579644</v>
      </c>
      <c r="AK109" s="8">
        <f t="shared" si="64"/>
        <v>-18659.978816719635</v>
      </c>
      <c r="AL109" s="8">
        <f t="shared" si="65"/>
        <v>-11486.260447821098</v>
      </c>
      <c r="AM109" s="8">
        <f t="shared" si="66"/>
        <v>-36226.103415048798</v>
      </c>
    </row>
    <row r="110" spans="3:39" x14ac:dyDescent="0.2">
      <c r="C110" t="s">
        <v>296</v>
      </c>
      <c r="D110">
        <v>1.26824</v>
      </c>
      <c r="E110" t="s">
        <v>402</v>
      </c>
      <c r="F110" t="s">
        <v>296</v>
      </c>
      <c r="G110">
        <v>1.26824</v>
      </c>
      <c r="H110" t="s">
        <v>402</v>
      </c>
      <c r="I110">
        <f>$A$7</f>
        <v>10</v>
      </c>
      <c r="J110">
        <v>-1</v>
      </c>
      <c r="K110" t="s">
        <v>486</v>
      </c>
      <c r="L110" s="17">
        <f t="shared" si="51"/>
        <v>-1731701887.3684902</v>
      </c>
      <c r="M110" t="s">
        <v>537</v>
      </c>
      <c r="S110">
        <f t="shared" si="52"/>
        <v>0</v>
      </c>
      <c r="T110">
        <f t="shared" si="53"/>
        <v>0</v>
      </c>
      <c r="U110">
        <f t="shared" si="54"/>
        <v>0</v>
      </c>
      <c r="V110">
        <f t="shared" si="55"/>
        <v>0</v>
      </c>
      <c r="W110" s="217">
        <f t="shared" si="56"/>
        <v>0</v>
      </c>
      <c r="X110">
        <f t="shared" si="57"/>
        <v>0</v>
      </c>
      <c r="Y110">
        <f t="shared" si="58"/>
        <v>0</v>
      </c>
      <c r="Z110">
        <f t="shared" si="59"/>
        <v>0</v>
      </c>
      <c r="AA110">
        <f t="shared" si="60"/>
        <v>0</v>
      </c>
      <c r="AH110" s="8">
        <f t="shared" si="61"/>
        <v>0</v>
      </c>
      <c r="AI110" s="8">
        <f t="shared" si="62"/>
        <v>0</v>
      </c>
      <c r="AJ110" s="8">
        <f t="shared" si="63"/>
        <v>0</v>
      </c>
      <c r="AK110" s="8">
        <f t="shared" si="64"/>
        <v>0</v>
      </c>
      <c r="AL110" s="8">
        <f t="shared" si="65"/>
        <v>0</v>
      </c>
      <c r="AM110" s="8">
        <f t="shared" si="66"/>
        <v>0</v>
      </c>
    </row>
    <row r="111" spans="3:39" x14ac:dyDescent="0.2">
      <c r="C111" t="s">
        <v>297</v>
      </c>
      <c r="D111">
        <v>1.2999999999999999E-4</v>
      </c>
      <c r="E111" t="s">
        <v>403</v>
      </c>
      <c r="F111" t="s">
        <v>297</v>
      </c>
      <c r="G111">
        <v>1.2999999999999999E-4</v>
      </c>
      <c r="H111" t="s">
        <v>403</v>
      </c>
      <c r="I111">
        <f>$A$7</f>
        <v>10</v>
      </c>
      <c r="J111">
        <v>-1</v>
      </c>
      <c r="K111" t="s">
        <v>487</v>
      </c>
      <c r="L111" s="17">
        <f t="shared" si="51"/>
        <v>-177506.81681535335</v>
      </c>
      <c r="M111" t="s">
        <v>537</v>
      </c>
      <c r="S111">
        <f t="shared" si="52"/>
        <v>-508000.00000000006</v>
      </c>
      <c r="T111">
        <f t="shared" si="53"/>
        <v>-1226105.0565807596</v>
      </c>
      <c r="U111">
        <f t="shared" si="54"/>
        <v>-189136.82964837487</v>
      </c>
      <c r="V111">
        <f t="shared" si="55"/>
        <v>-797272.55617346242</v>
      </c>
      <c r="W111" s="217">
        <f t="shared" si="56"/>
        <v>-501535.19840932422</v>
      </c>
      <c r="X111">
        <f t="shared" si="57"/>
        <v>-1517256.5410192602</v>
      </c>
      <c r="Y111">
        <f t="shared" si="58"/>
        <v>-65363.396752455948</v>
      </c>
      <c r="Z111">
        <f t="shared" si="59"/>
        <v>-26155.999501586597</v>
      </c>
      <c r="AA111">
        <f t="shared" si="60"/>
        <v>-65122.33397629203</v>
      </c>
      <c r="AH111" s="8">
        <f t="shared" si="61"/>
        <v>-6868061.3602228928</v>
      </c>
      <c r="AI111" s="8">
        <f t="shared" si="62"/>
        <v>-81618.293996224718</v>
      </c>
      <c r="AJ111" s="8">
        <f t="shared" si="63"/>
        <v>-14965.964069579644</v>
      </c>
      <c r="AK111" s="8">
        <f t="shared" si="64"/>
        <v>-18659.978816719635</v>
      </c>
      <c r="AL111" s="8">
        <f t="shared" si="65"/>
        <v>-11486.260447821098</v>
      </c>
      <c r="AM111" s="8">
        <f t="shared" si="66"/>
        <v>-362261.03415048798</v>
      </c>
    </row>
    <row r="112" spans="3:39" x14ac:dyDescent="0.2">
      <c r="C112" t="s">
        <v>298</v>
      </c>
      <c r="D112">
        <v>1.2999999999999999E-4</v>
      </c>
      <c r="E112" t="s">
        <v>394</v>
      </c>
      <c r="F112" t="s">
        <v>298</v>
      </c>
      <c r="G112">
        <v>1.2999999999999999E-4</v>
      </c>
      <c r="H112" t="s">
        <v>394</v>
      </c>
      <c r="I112">
        <f>$A$7</f>
        <v>10</v>
      </c>
      <c r="J112">
        <v>-1</v>
      </c>
      <c r="K112" t="s">
        <v>478</v>
      </c>
      <c r="L112" s="17">
        <f t="shared" si="51"/>
        <v>-177506.81681535335</v>
      </c>
      <c r="M112" t="s">
        <v>537</v>
      </c>
    </row>
    <row r="113" spans="3:13" x14ac:dyDescent="0.2">
      <c r="C113" t="s">
        <v>299</v>
      </c>
      <c r="D113">
        <v>1.2999999999999999E-4</v>
      </c>
      <c r="E113" t="s">
        <v>404</v>
      </c>
      <c r="F113" t="s">
        <v>299</v>
      </c>
      <c r="G113">
        <v>1.2999999999999999E-4</v>
      </c>
      <c r="H113" t="s">
        <v>404</v>
      </c>
      <c r="I113">
        <f>$A$7</f>
        <v>10</v>
      </c>
      <c r="J113">
        <v>-1</v>
      </c>
      <c r="K113" t="s">
        <v>488</v>
      </c>
      <c r="L113" s="17">
        <f t="shared" si="51"/>
        <v>-177506.81681535335</v>
      </c>
      <c r="M113" t="s">
        <v>537</v>
      </c>
    </row>
    <row r="114" spans="3:13" x14ac:dyDescent="0.2">
      <c r="C114" t="s">
        <v>300</v>
      </c>
      <c r="D114">
        <v>0.12681999999999999</v>
      </c>
      <c r="E114" t="s">
        <v>405</v>
      </c>
      <c r="F114" t="s">
        <v>300</v>
      </c>
      <c r="G114">
        <v>0.12681999999999999</v>
      </c>
      <c r="H114" t="s">
        <v>405</v>
      </c>
      <c r="I114">
        <f>$A$7</f>
        <v>10</v>
      </c>
      <c r="J114">
        <v>-1</v>
      </c>
      <c r="K114" t="s">
        <v>489</v>
      </c>
      <c r="L114" s="17">
        <f t="shared" si="51"/>
        <v>-173164726.98863927</v>
      </c>
      <c r="M114" t="s">
        <v>537</v>
      </c>
    </row>
    <row r="115" spans="3:13" x14ac:dyDescent="0.2">
      <c r="C115" t="s">
        <v>301</v>
      </c>
      <c r="D115">
        <v>1.2700000000000001E-3</v>
      </c>
      <c r="E115" t="s">
        <v>406</v>
      </c>
      <c r="F115" t="s">
        <v>301</v>
      </c>
      <c r="G115">
        <v>1.2700000000000001E-3</v>
      </c>
      <c r="H115" t="s">
        <v>406</v>
      </c>
      <c r="I115">
        <f>$A$6</f>
        <v>100</v>
      </c>
      <c r="J115">
        <v>-1</v>
      </c>
      <c r="K115" t="s">
        <v>490</v>
      </c>
      <c r="L115" s="17">
        <f t="shared" si="51"/>
        <v>-17341050.565807596</v>
      </c>
      <c r="M115" t="s">
        <v>537</v>
      </c>
    </row>
    <row r="116" spans="3:13" x14ac:dyDescent="0.2">
      <c r="C116" t="s">
        <v>302</v>
      </c>
      <c r="D116">
        <v>1.2700000000000001E-3</v>
      </c>
      <c r="E116" t="s">
        <v>407</v>
      </c>
      <c r="F116" t="s">
        <v>302</v>
      </c>
      <c r="G116">
        <v>1.2700000000000001E-3</v>
      </c>
      <c r="H116" t="s">
        <v>407</v>
      </c>
      <c r="I116">
        <f>$A$6</f>
        <v>100</v>
      </c>
      <c r="J116">
        <v>-1</v>
      </c>
      <c r="K116" t="s">
        <v>491</v>
      </c>
      <c r="L116" s="17">
        <f t="shared" si="51"/>
        <v>-17341050.565807596</v>
      </c>
      <c r="M116" t="s">
        <v>537</v>
      </c>
    </row>
    <row r="117" spans="3:13" x14ac:dyDescent="0.2">
      <c r="C117" t="s">
        <v>303</v>
      </c>
      <c r="D117">
        <v>1.2700000000000001E-3</v>
      </c>
      <c r="E117" t="s">
        <v>408</v>
      </c>
      <c r="F117" t="s">
        <v>303</v>
      </c>
      <c r="G117">
        <v>1.2700000000000001E-3</v>
      </c>
      <c r="H117" t="s">
        <v>408</v>
      </c>
      <c r="I117">
        <f>$A$7</f>
        <v>10</v>
      </c>
      <c r="J117">
        <v>-1</v>
      </c>
      <c r="K117" t="s">
        <v>492</v>
      </c>
      <c r="L117" s="17">
        <f t="shared" ref="L117:L126" si="67">(I117*D117*J117*$B$21)+(I117*J117*G117*SUM($B$22:$B$25))</f>
        <v>-1734105.0565807596</v>
      </c>
      <c r="M117" t="s">
        <v>537</v>
      </c>
    </row>
    <row r="118" spans="3:13" x14ac:dyDescent="0.2">
      <c r="C118" t="s">
        <v>304</v>
      </c>
      <c r="D118">
        <v>1.26824</v>
      </c>
      <c r="E118" t="s">
        <v>409</v>
      </c>
      <c r="F118" t="s">
        <v>304</v>
      </c>
      <c r="G118">
        <v>1.26824</v>
      </c>
      <c r="H118" t="s">
        <v>409</v>
      </c>
      <c r="I118">
        <f>$A$6</f>
        <v>100</v>
      </c>
      <c r="J118">
        <v>-1</v>
      </c>
      <c r="K118" t="s">
        <v>493</v>
      </c>
      <c r="L118" s="17">
        <f t="shared" si="67"/>
        <v>-17317018873.684898</v>
      </c>
      <c r="M118" t="s">
        <v>537</v>
      </c>
    </row>
    <row r="119" spans="3:13" x14ac:dyDescent="0.2">
      <c r="C119" t="s">
        <v>305</v>
      </c>
      <c r="D119">
        <v>1.2700000000000001E-3</v>
      </c>
      <c r="E119" t="s">
        <v>410</v>
      </c>
      <c r="F119" t="s">
        <v>305</v>
      </c>
      <c r="G119">
        <v>1.2700000000000001E-3</v>
      </c>
      <c r="H119" t="s">
        <v>410</v>
      </c>
      <c r="I119">
        <f>$A$7</f>
        <v>10</v>
      </c>
      <c r="J119">
        <v>-1</v>
      </c>
      <c r="K119" t="s">
        <v>494</v>
      </c>
      <c r="L119" s="17">
        <f t="shared" si="67"/>
        <v>-1734105.0565807596</v>
      </c>
      <c r="M119" t="s">
        <v>537</v>
      </c>
    </row>
    <row r="120" spans="3:13" x14ac:dyDescent="0.2">
      <c r="C120" t="s">
        <v>306</v>
      </c>
      <c r="D120">
        <v>1.2700000000000001E-3</v>
      </c>
      <c r="E120" t="s">
        <v>411</v>
      </c>
      <c r="F120" t="s">
        <v>306</v>
      </c>
      <c r="G120">
        <v>1.2700000000000001E-3</v>
      </c>
      <c r="H120" t="s">
        <v>411</v>
      </c>
      <c r="I120">
        <f>$A$8</f>
        <v>1</v>
      </c>
      <c r="J120">
        <v>-1</v>
      </c>
      <c r="K120" t="s">
        <v>495</v>
      </c>
      <c r="L120" s="17">
        <f t="shared" si="67"/>
        <v>-173410.50565807597</v>
      </c>
      <c r="M120" t="s">
        <v>537</v>
      </c>
    </row>
    <row r="121" spans="3:13" x14ac:dyDescent="0.2">
      <c r="C121" t="s">
        <v>307</v>
      </c>
      <c r="D121">
        <v>1.2700000000000001E-3</v>
      </c>
      <c r="E121" t="s">
        <v>411</v>
      </c>
      <c r="F121" t="s">
        <v>307</v>
      </c>
      <c r="G121">
        <v>1.2700000000000001E-3</v>
      </c>
      <c r="H121" t="s">
        <v>411</v>
      </c>
      <c r="I121">
        <f>$A$8</f>
        <v>1</v>
      </c>
      <c r="J121">
        <v>-1</v>
      </c>
      <c r="K121" t="s">
        <v>495</v>
      </c>
      <c r="L121" s="17">
        <f t="shared" si="67"/>
        <v>-173410.50565807597</v>
      </c>
      <c r="M121" t="s">
        <v>537</v>
      </c>
    </row>
    <row r="122" spans="3:13" x14ac:dyDescent="0.2">
      <c r="C122" t="s">
        <v>337</v>
      </c>
      <c r="D122">
        <v>0.12681999999999999</v>
      </c>
      <c r="E122" t="s">
        <v>412</v>
      </c>
      <c r="F122" t="s">
        <v>337</v>
      </c>
      <c r="G122">
        <v>0.12681999999999999</v>
      </c>
      <c r="H122" t="s">
        <v>412</v>
      </c>
      <c r="I122">
        <v>0</v>
      </c>
      <c r="J122">
        <v>0</v>
      </c>
      <c r="K122" t="s">
        <v>496</v>
      </c>
      <c r="L122" s="17">
        <f t="shared" si="67"/>
        <v>0</v>
      </c>
      <c r="M122" t="s">
        <v>537</v>
      </c>
    </row>
    <row r="123" spans="3:13" x14ac:dyDescent="0.2">
      <c r="C123" t="s">
        <v>308</v>
      </c>
      <c r="D123">
        <v>1.2700000000000001E-3</v>
      </c>
      <c r="E123" t="s">
        <v>413</v>
      </c>
      <c r="F123" t="s">
        <v>308</v>
      </c>
      <c r="G123">
        <v>1.2700000000000001E-3</v>
      </c>
      <c r="H123" t="s">
        <v>413</v>
      </c>
      <c r="I123">
        <f>$A$7</f>
        <v>10</v>
      </c>
      <c r="J123">
        <v>-1</v>
      </c>
      <c r="K123" t="s">
        <v>497</v>
      </c>
      <c r="L123" s="17">
        <f t="shared" si="67"/>
        <v>-1734105.0565807596</v>
      </c>
      <c r="M123" t="s">
        <v>537</v>
      </c>
    </row>
    <row r="124" spans="3:13" x14ac:dyDescent="0.2">
      <c r="C124" t="s">
        <v>309</v>
      </c>
      <c r="D124">
        <v>1.2700000000000001E-3</v>
      </c>
      <c r="E124" t="s">
        <v>413</v>
      </c>
      <c r="F124" t="s">
        <v>309</v>
      </c>
      <c r="G124">
        <v>1.2700000000000001E-3</v>
      </c>
      <c r="H124" t="s">
        <v>413</v>
      </c>
      <c r="I124">
        <f>$A$7</f>
        <v>10</v>
      </c>
      <c r="J124">
        <v>-1</v>
      </c>
      <c r="K124" t="s">
        <v>497</v>
      </c>
      <c r="L124" s="17">
        <f t="shared" si="67"/>
        <v>-1734105.0565807596</v>
      </c>
      <c r="M124" t="s">
        <v>537</v>
      </c>
    </row>
    <row r="125" spans="3:13" x14ac:dyDescent="0.2">
      <c r="C125" t="s">
        <v>310</v>
      </c>
      <c r="D125">
        <v>1.2700000000000001E-3</v>
      </c>
      <c r="E125" t="s">
        <v>413</v>
      </c>
      <c r="F125" t="s">
        <v>310</v>
      </c>
      <c r="G125">
        <v>1.2700000000000001E-3</v>
      </c>
      <c r="H125" t="s">
        <v>413</v>
      </c>
      <c r="I125">
        <v>0</v>
      </c>
      <c r="J125">
        <v>0</v>
      </c>
      <c r="K125" t="s">
        <v>497</v>
      </c>
      <c r="L125" s="17">
        <f t="shared" si="67"/>
        <v>0</v>
      </c>
      <c r="M125" t="s">
        <v>537</v>
      </c>
    </row>
    <row r="126" spans="3:13" x14ac:dyDescent="0.2">
      <c r="C126" t="s">
        <v>311</v>
      </c>
      <c r="D126">
        <v>1.2700000000000001E-3</v>
      </c>
      <c r="E126" t="s">
        <v>414</v>
      </c>
      <c r="F126" t="s">
        <v>311</v>
      </c>
      <c r="G126">
        <v>1.2700000000000001E-3</v>
      </c>
      <c r="H126" t="s">
        <v>414</v>
      </c>
      <c r="I126">
        <f>$A$7</f>
        <v>10</v>
      </c>
      <c r="J126">
        <v>-1</v>
      </c>
      <c r="K126" t="s">
        <v>498</v>
      </c>
      <c r="L126" s="17">
        <f t="shared" si="67"/>
        <v>-1734105.0565807596</v>
      </c>
      <c r="M126" t="s">
        <v>537</v>
      </c>
    </row>
    <row r="129" spans="1:17" ht="22" customHeight="1" x14ac:dyDescent="0.2">
      <c r="A129" s="369" t="s">
        <v>87</v>
      </c>
      <c r="B129" s="369"/>
      <c r="C129" s="369"/>
      <c r="D129" s="369"/>
      <c r="E129" s="369"/>
      <c r="F129" s="369"/>
      <c r="G129" s="369"/>
      <c r="H129" s="369"/>
      <c r="I129" s="369"/>
      <c r="J129" s="369"/>
      <c r="K129" s="369"/>
      <c r="L129" s="369"/>
      <c r="M129" s="369"/>
      <c r="N129" s="369"/>
      <c r="O129" s="369"/>
      <c r="P129" s="369"/>
      <c r="Q129" s="369"/>
    </row>
    <row r="130" spans="1:17" ht="15" customHeight="1" x14ac:dyDescent="0.2">
      <c r="A130" s="370"/>
      <c r="B130" s="370"/>
      <c r="C130" s="370"/>
      <c r="D130" s="370"/>
      <c r="E130" s="370"/>
      <c r="F130" s="370"/>
      <c r="G130" s="370"/>
      <c r="H130" s="370"/>
      <c r="I130" s="370"/>
      <c r="J130" s="370"/>
      <c r="K130" s="370"/>
      <c r="L130" s="370"/>
      <c r="M130" s="370"/>
      <c r="N130" s="370"/>
      <c r="O130" s="370"/>
      <c r="P130" s="370"/>
      <c r="Q130" s="370"/>
    </row>
    <row r="131" spans="1:17" ht="15" customHeight="1" x14ac:dyDescent="0.2">
      <c r="A131" s="358" t="s">
        <v>8</v>
      </c>
      <c r="B131" s="363" t="s">
        <v>1022</v>
      </c>
      <c r="C131" s="364" t="s">
        <v>503</v>
      </c>
      <c r="D131" s="364"/>
      <c r="E131" s="364"/>
      <c r="F131" s="79" t="s">
        <v>507</v>
      </c>
      <c r="G131" s="79" t="s">
        <v>505</v>
      </c>
      <c r="H131" s="79" t="s">
        <v>50</v>
      </c>
      <c r="I131" s="79" t="s">
        <v>512</v>
      </c>
      <c r="J131" s="79" t="s">
        <v>511</v>
      </c>
      <c r="K131" s="328" t="s">
        <v>421</v>
      </c>
      <c r="L131" s="329"/>
      <c r="M131" s="330"/>
      <c r="N131" s="381" t="s">
        <v>28</v>
      </c>
      <c r="O131" s="381"/>
      <c r="P131" s="376" t="s">
        <v>420</v>
      </c>
      <c r="Q131" s="376"/>
    </row>
    <row r="132" spans="1:17" x14ac:dyDescent="0.2">
      <c r="A132" s="358"/>
      <c r="B132" s="363"/>
      <c r="C132" s="93" t="s">
        <v>502</v>
      </c>
      <c r="D132" s="94"/>
      <c r="E132" s="92"/>
      <c r="F132" s="87" t="s">
        <v>506</v>
      </c>
      <c r="G132" s="7" t="s">
        <v>504</v>
      </c>
      <c r="H132" s="87" t="s">
        <v>508</v>
      </c>
      <c r="I132" s="87" t="s">
        <v>509</v>
      </c>
      <c r="J132" s="87" t="s">
        <v>510</v>
      </c>
      <c r="K132" s="331"/>
      <c r="L132" s="332"/>
      <c r="M132" s="333"/>
      <c r="N132" s="381"/>
      <c r="O132" s="381"/>
      <c r="P132" s="376"/>
      <c r="Q132" s="376"/>
    </row>
    <row r="133" spans="1:17" x14ac:dyDescent="0.2">
      <c r="A133" s="358"/>
      <c r="B133" s="363"/>
      <c r="C133" s="6" t="s">
        <v>317</v>
      </c>
      <c r="D133" s="58" t="s">
        <v>319</v>
      </c>
      <c r="E133" s="58" t="s">
        <v>5</v>
      </c>
      <c r="F133" s="58" t="s">
        <v>319</v>
      </c>
      <c r="G133" s="58" t="s">
        <v>319</v>
      </c>
      <c r="H133" s="58" t="s">
        <v>319</v>
      </c>
      <c r="I133" s="58" t="s">
        <v>319</v>
      </c>
      <c r="J133" s="58" t="s">
        <v>319</v>
      </c>
      <c r="K133" s="64" t="s">
        <v>0</v>
      </c>
      <c r="L133" s="64" t="s">
        <v>499</v>
      </c>
      <c r="M133" s="64" t="s">
        <v>5</v>
      </c>
      <c r="N133" s="64" t="s">
        <v>0</v>
      </c>
      <c r="O133" s="58" t="s">
        <v>5</v>
      </c>
      <c r="P133" s="64" t="s">
        <v>0</v>
      </c>
      <c r="Q133" s="58" t="s">
        <v>5</v>
      </c>
    </row>
    <row r="134" spans="1:17" ht="16" customHeight="1" x14ac:dyDescent="0.2">
      <c r="A134" s="81" t="s">
        <v>57</v>
      </c>
      <c r="B134" s="82">
        <v>91679.371549561431</v>
      </c>
      <c r="C134" t="s">
        <v>225</v>
      </c>
      <c r="D134" s="88">
        <v>1.2999999999999999E-4</v>
      </c>
      <c r="E134" t="s">
        <v>338</v>
      </c>
      <c r="F134">
        <v>3.1E-4</v>
      </c>
      <c r="G134">
        <v>1.2999999999999999E-4</v>
      </c>
      <c r="H134">
        <v>1.2999999999999999E-4</v>
      </c>
      <c r="I134">
        <v>1.2999999999999999E-4</v>
      </c>
      <c r="J134">
        <v>1.2999999999999999E-4</v>
      </c>
      <c r="K134">
        <f>$A$6</f>
        <v>100</v>
      </c>
      <c r="L134">
        <v>-1</v>
      </c>
      <c r="M134" t="s">
        <v>422</v>
      </c>
      <c r="N134" s="17">
        <f t="shared" ref="N134:N165" si="68">((SUM($B$134,$B$145)*D134)+(SUM(B$135,B$146)*F134)+(SUM(B$136:B$139)*G134)+(B$140*H134)+(SUM(B$141:B$144,B$148:B$151)*I134)+(B$147*J134))*K134*L134</f>
        <v>-186255.84414587225</v>
      </c>
      <c r="O134" t="s">
        <v>537</v>
      </c>
      <c r="P134">
        <f>SUM(N134:N239)/$A$9*$A$10</f>
        <v>-456.4849555731596</v>
      </c>
      <c r="Q134" t="s">
        <v>537</v>
      </c>
    </row>
    <row r="135" spans="1:17" ht="15" customHeight="1" x14ac:dyDescent="0.2">
      <c r="A135" s="51" t="s">
        <v>200</v>
      </c>
      <c r="B135" s="82">
        <v>5439279.8516574763</v>
      </c>
      <c r="C135" t="s">
        <v>226</v>
      </c>
      <c r="D135" s="88">
        <v>1.2999999999999999E-4</v>
      </c>
      <c r="E135" t="s">
        <v>339</v>
      </c>
      <c r="F135">
        <v>3.1E-4</v>
      </c>
      <c r="G135">
        <v>1.2999999999999999E-4</v>
      </c>
      <c r="H135">
        <v>1.2999999999999999E-4</v>
      </c>
      <c r="I135">
        <v>1.2999999999999999E-4</v>
      </c>
      <c r="J135">
        <v>1.2999999999999999E-4</v>
      </c>
      <c r="K135">
        <f>$A$7</f>
        <v>10</v>
      </c>
      <c r="L135">
        <v>-1</v>
      </c>
      <c r="M135" t="s">
        <v>423</v>
      </c>
      <c r="N135" s="17">
        <f t="shared" si="68"/>
        <v>-18625.584414587225</v>
      </c>
      <c r="O135" t="s">
        <v>537</v>
      </c>
    </row>
    <row r="136" spans="1:17" ht="16" x14ac:dyDescent="0.2">
      <c r="A136" s="51" t="s">
        <v>12</v>
      </c>
      <c r="B136" s="82">
        <v>6572.3511290384768</v>
      </c>
      <c r="C136" t="s">
        <v>227</v>
      </c>
      <c r="D136" s="88">
        <v>1.2700000000000001E-3</v>
      </c>
      <c r="E136" t="s">
        <v>340</v>
      </c>
      <c r="F136">
        <v>3.0599999999999998E-3</v>
      </c>
      <c r="G136">
        <v>1.2700000000000001E-3</v>
      </c>
      <c r="H136">
        <v>1.2700000000000001E-3</v>
      </c>
      <c r="I136">
        <v>1.2700000000000001E-3</v>
      </c>
      <c r="J136">
        <v>1.2700000000000001E-3</v>
      </c>
      <c r="K136">
        <f>$A$7</f>
        <v>10</v>
      </c>
      <c r="L136">
        <v>-1</v>
      </c>
      <c r="M136" t="s">
        <v>424</v>
      </c>
      <c r="N136" s="17">
        <f t="shared" si="68"/>
        <v>-183673.09754187489</v>
      </c>
      <c r="O136" t="s">
        <v>537</v>
      </c>
    </row>
    <row r="137" spans="1:17" ht="16" x14ac:dyDescent="0.2">
      <c r="A137" s="81" t="s">
        <v>37</v>
      </c>
      <c r="B137" s="82">
        <v>19818.505979474488</v>
      </c>
      <c r="C137" t="s">
        <v>228</v>
      </c>
      <c r="D137" s="88">
        <v>0.12681999999999999</v>
      </c>
      <c r="E137" t="s">
        <v>341</v>
      </c>
      <c r="F137">
        <v>3.0599999999999998E-3</v>
      </c>
      <c r="G137">
        <v>0.12681999999999999</v>
      </c>
      <c r="H137">
        <v>0.12681999999999999</v>
      </c>
      <c r="I137">
        <v>0.12681999999999999</v>
      </c>
      <c r="J137">
        <v>0.12681999999999999</v>
      </c>
      <c r="K137">
        <f>$A$7</f>
        <v>10</v>
      </c>
      <c r="L137">
        <v>-1</v>
      </c>
      <c r="M137" t="s">
        <v>425</v>
      </c>
      <c r="N137" s="17">
        <f t="shared" si="68"/>
        <v>-1887113.1635963218</v>
      </c>
      <c r="O137" t="s">
        <v>537</v>
      </c>
    </row>
    <row r="138" spans="1:17" ht="16" x14ac:dyDescent="0.2">
      <c r="A138" s="81" t="s">
        <v>38</v>
      </c>
      <c r="B138" s="82">
        <v>21676.490915050221</v>
      </c>
      <c r="C138" t="s">
        <v>229</v>
      </c>
      <c r="D138" s="88">
        <v>1.268E-2</v>
      </c>
      <c r="E138" t="s">
        <v>342</v>
      </c>
      <c r="F138">
        <v>3.0599999999999998E-3</v>
      </c>
      <c r="G138">
        <v>1.268E-2</v>
      </c>
      <c r="H138">
        <v>1.268E-2</v>
      </c>
      <c r="I138">
        <v>1.268E-2</v>
      </c>
      <c r="J138">
        <v>1.268E-2</v>
      </c>
      <c r="K138">
        <f>$A$6</f>
        <v>100</v>
      </c>
      <c r="L138">
        <v>-1</v>
      </c>
      <c r="M138" t="s">
        <v>426</v>
      </c>
      <c r="N138" s="17">
        <f t="shared" si="68"/>
        <v>-3384819.4783005682</v>
      </c>
      <c r="O138" t="s">
        <v>537</v>
      </c>
    </row>
    <row r="139" spans="1:17" ht="16" x14ac:dyDescent="0.2">
      <c r="A139" s="51" t="s">
        <v>39</v>
      </c>
      <c r="B139" s="82">
        <v>91965.562310163601</v>
      </c>
      <c r="C139" t="s">
        <v>230</v>
      </c>
      <c r="D139" s="88">
        <v>0.12681999999999999</v>
      </c>
      <c r="E139" t="s">
        <v>343</v>
      </c>
      <c r="F139">
        <v>3.0602</v>
      </c>
      <c r="G139">
        <v>0.12681999999999999</v>
      </c>
      <c r="H139">
        <v>0.12681999999999999</v>
      </c>
      <c r="I139">
        <v>0.12681999999999999</v>
      </c>
      <c r="J139">
        <v>0.12681999999999999</v>
      </c>
      <c r="K139">
        <f>$A$6</f>
        <v>100</v>
      </c>
      <c r="L139">
        <v>-1</v>
      </c>
      <c r="M139" t="s">
        <v>427</v>
      </c>
      <c r="N139" s="17">
        <f t="shared" si="68"/>
        <v>-1681735132.2055769</v>
      </c>
      <c r="O139" t="s">
        <v>537</v>
      </c>
    </row>
    <row r="140" spans="1:17" ht="16" x14ac:dyDescent="0.2">
      <c r="A140" s="51" t="s">
        <v>40</v>
      </c>
      <c r="B140" s="82">
        <v>245246.06614479856</v>
      </c>
      <c r="C140" t="s">
        <v>231</v>
      </c>
      <c r="D140" s="88">
        <v>0.12681999999999999</v>
      </c>
      <c r="E140" t="s">
        <v>344</v>
      </c>
      <c r="F140">
        <v>3.0599999999999998E-3</v>
      </c>
      <c r="G140">
        <v>1.268E-2</v>
      </c>
      <c r="H140">
        <v>1.26824</v>
      </c>
      <c r="I140">
        <v>1.26824</v>
      </c>
      <c r="J140">
        <v>1.2700000000000001E-3</v>
      </c>
      <c r="K140">
        <f>$A$7</f>
        <v>10</v>
      </c>
      <c r="L140">
        <v>-1</v>
      </c>
      <c r="M140" t="s">
        <v>428</v>
      </c>
      <c r="N140" s="17">
        <f t="shared" si="68"/>
        <v>-10647332.753028084</v>
      </c>
      <c r="O140" t="s">
        <v>537</v>
      </c>
    </row>
    <row r="141" spans="1:17" ht="16" x14ac:dyDescent="0.2">
      <c r="A141" s="51" t="s">
        <v>42</v>
      </c>
      <c r="B141" s="82">
        <v>32118.433816721801</v>
      </c>
      <c r="C141" t="s">
        <v>232</v>
      </c>
      <c r="D141" s="88">
        <v>1.2999999999999999E-4</v>
      </c>
      <c r="E141" t="s">
        <v>345</v>
      </c>
      <c r="F141">
        <v>3.1E-4</v>
      </c>
      <c r="G141">
        <v>1.2999999999999999E-4</v>
      </c>
      <c r="H141">
        <v>1.2999999999999999E-4</v>
      </c>
      <c r="I141">
        <v>1.2999999999999999E-4</v>
      </c>
      <c r="J141">
        <v>1.2999999999999999E-4</v>
      </c>
      <c r="K141">
        <f>$A$7</f>
        <v>10</v>
      </c>
      <c r="L141">
        <v>-1</v>
      </c>
      <c r="M141" t="s">
        <v>429</v>
      </c>
      <c r="N141" s="17">
        <f t="shared" si="68"/>
        <v>-18625.584414587225</v>
      </c>
      <c r="O141" t="s">
        <v>537</v>
      </c>
    </row>
    <row r="142" spans="1:17" ht="16" x14ac:dyDescent="0.2">
      <c r="A142" s="51" t="s">
        <v>43</v>
      </c>
      <c r="B142" s="82">
        <v>7560.6375451595659</v>
      </c>
      <c r="C142" t="s">
        <v>233</v>
      </c>
      <c r="D142" s="88">
        <v>1.2999999999999999E-4</v>
      </c>
      <c r="E142" t="s">
        <v>345</v>
      </c>
      <c r="F142">
        <v>3.1E-4</v>
      </c>
      <c r="G142">
        <v>1.2999999999999999E-4</v>
      </c>
      <c r="H142">
        <v>1.2999999999999999E-4</v>
      </c>
      <c r="I142">
        <v>1.2999999999999999E-4</v>
      </c>
      <c r="J142">
        <v>1.2999999999999999E-4</v>
      </c>
      <c r="K142">
        <f>$A$7</f>
        <v>10</v>
      </c>
      <c r="L142">
        <v>-1</v>
      </c>
      <c r="M142" t="s">
        <v>429</v>
      </c>
      <c r="N142" s="17">
        <f t="shared" si="68"/>
        <v>-18625.584414587225</v>
      </c>
      <c r="O142" t="s">
        <v>537</v>
      </c>
    </row>
    <row r="143" spans="1:17" ht="16" x14ac:dyDescent="0.2">
      <c r="A143" s="51" t="s">
        <v>44</v>
      </c>
      <c r="B143" s="82">
        <v>7560.6375451595659</v>
      </c>
      <c r="C143" t="s">
        <v>320</v>
      </c>
      <c r="D143" s="88">
        <v>0</v>
      </c>
      <c r="E143" t="s">
        <v>344</v>
      </c>
      <c r="F143">
        <v>0.30602000000000001</v>
      </c>
      <c r="G143">
        <v>1.2999999999999999E-4</v>
      </c>
      <c r="H143">
        <v>0</v>
      </c>
      <c r="I143">
        <v>0</v>
      </c>
      <c r="J143">
        <v>0</v>
      </c>
      <c r="K143">
        <f>$A$6</f>
        <v>100</v>
      </c>
      <c r="L143">
        <v>-1</v>
      </c>
      <c r="M143" t="s">
        <v>428</v>
      </c>
      <c r="N143" s="17">
        <f t="shared" si="68"/>
        <v>-166454662.44825643</v>
      </c>
      <c r="O143" t="s">
        <v>537</v>
      </c>
    </row>
    <row r="144" spans="1:17" ht="16" x14ac:dyDescent="0.2">
      <c r="A144" s="51" t="s">
        <v>45</v>
      </c>
      <c r="B144" s="82">
        <v>7560.6375451595659</v>
      </c>
      <c r="C144" t="s">
        <v>321</v>
      </c>
      <c r="D144" s="88">
        <v>0</v>
      </c>
      <c r="E144" t="s">
        <v>344</v>
      </c>
      <c r="F144">
        <v>0.30602000000000001</v>
      </c>
      <c r="G144">
        <v>1.2999999999999999E-4</v>
      </c>
      <c r="H144">
        <v>0</v>
      </c>
      <c r="I144">
        <v>0</v>
      </c>
      <c r="J144">
        <v>0</v>
      </c>
      <c r="K144">
        <f>$A$6</f>
        <v>100</v>
      </c>
      <c r="L144">
        <v>-1</v>
      </c>
      <c r="M144" t="s">
        <v>428</v>
      </c>
      <c r="N144" s="17">
        <f t="shared" si="68"/>
        <v>-166454662.44825643</v>
      </c>
      <c r="O144" t="s">
        <v>537</v>
      </c>
    </row>
    <row r="145" spans="1:15" ht="16" x14ac:dyDescent="0.2">
      <c r="A145" s="51" t="s">
        <v>35</v>
      </c>
      <c r="B145" s="82">
        <v>343582.55794939387</v>
      </c>
      <c r="C145" t="s">
        <v>234</v>
      </c>
      <c r="D145" s="88">
        <v>0</v>
      </c>
      <c r="E145" t="s">
        <v>344</v>
      </c>
      <c r="F145">
        <v>0.30602000000000001</v>
      </c>
      <c r="G145">
        <v>1.2999999999999999E-4</v>
      </c>
      <c r="H145">
        <v>0</v>
      </c>
      <c r="I145">
        <v>0</v>
      </c>
      <c r="J145">
        <v>0</v>
      </c>
      <c r="K145">
        <v>0</v>
      </c>
      <c r="L145">
        <v>0</v>
      </c>
      <c r="M145" t="s">
        <v>428</v>
      </c>
      <c r="N145" s="17">
        <f t="shared" si="68"/>
        <v>0</v>
      </c>
      <c r="O145" t="s">
        <v>537</v>
      </c>
    </row>
    <row r="146" spans="1:15" ht="16" x14ac:dyDescent="0.2">
      <c r="A146" s="51" t="s">
        <v>93</v>
      </c>
      <c r="B146" s="82">
        <v>0</v>
      </c>
      <c r="C146" t="s">
        <v>235</v>
      </c>
      <c r="D146" s="88">
        <v>0.12681999999999999</v>
      </c>
      <c r="E146" t="s">
        <v>346</v>
      </c>
      <c r="F146">
        <v>0.30602000000000001</v>
      </c>
      <c r="G146">
        <v>0.12681999999999999</v>
      </c>
      <c r="H146">
        <v>0.12681999999999999</v>
      </c>
      <c r="I146">
        <v>0.12681999999999999</v>
      </c>
      <c r="J146">
        <v>0.12681999999999999</v>
      </c>
      <c r="K146">
        <f>$A$8</f>
        <v>1</v>
      </c>
      <c r="L146">
        <v>1</v>
      </c>
      <c r="M146" t="s">
        <v>430</v>
      </c>
      <c r="N146" s="17">
        <f t="shared" si="68"/>
        <v>1836595.5402177814</v>
      </c>
      <c r="O146" t="s">
        <v>537</v>
      </c>
    </row>
    <row r="147" spans="1:15" ht="16" x14ac:dyDescent="0.2">
      <c r="A147" s="51" t="s">
        <v>58</v>
      </c>
      <c r="B147" s="82">
        <v>0</v>
      </c>
      <c r="C147" t="s">
        <v>236</v>
      </c>
      <c r="D147" s="88">
        <v>1.2999999999999999E-4</v>
      </c>
      <c r="E147" t="s">
        <v>347</v>
      </c>
      <c r="F147">
        <v>3.0602</v>
      </c>
      <c r="G147">
        <v>1.2999999999999999E-4</v>
      </c>
      <c r="H147">
        <v>1.2999999999999999E-4</v>
      </c>
      <c r="I147">
        <v>1.2999999999999999E-4</v>
      </c>
      <c r="J147">
        <v>1.2999999999999999E-4</v>
      </c>
      <c r="K147">
        <f>$A$7</f>
        <v>10</v>
      </c>
      <c r="L147">
        <v>-1</v>
      </c>
      <c r="M147" t="s">
        <v>431</v>
      </c>
      <c r="N147" s="17">
        <f t="shared" si="68"/>
        <v>-166454605.83729652</v>
      </c>
      <c r="O147" t="s">
        <v>537</v>
      </c>
    </row>
    <row r="148" spans="1:15" ht="16" x14ac:dyDescent="0.2">
      <c r="A148" s="51" t="s">
        <v>101</v>
      </c>
      <c r="B148" s="82">
        <v>38051.148805098142</v>
      </c>
      <c r="C148" t="s">
        <v>237</v>
      </c>
      <c r="D148" s="88">
        <v>0.12681999999999999</v>
      </c>
      <c r="E148" t="s">
        <v>348</v>
      </c>
      <c r="F148">
        <v>0.30602000000000001</v>
      </c>
      <c r="G148">
        <v>0.12681999999999999</v>
      </c>
      <c r="H148">
        <v>0.12681999999999999</v>
      </c>
      <c r="I148">
        <v>0.12681999999999999</v>
      </c>
      <c r="J148">
        <v>0.12681999999999999</v>
      </c>
      <c r="K148">
        <f>$A$6</f>
        <v>100</v>
      </c>
      <c r="L148">
        <v>-1</v>
      </c>
      <c r="M148" t="s">
        <v>432</v>
      </c>
      <c r="N148" s="17">
        <f t="shared" si="68"/>
        <v>-183659554.02177814</v>
      </c>
      <c r="O148" t="s">
        <v>537</v>
      </c>
    </row>
    <row r="149" spans="1:15" ht="16" x14ac:dyDescent="0.2">
      <c r="A149" s="51" t="s">
        <v>102</v>
      </c>
      <c r="B149" s="82">
        <v>38051.148805098142</v>
      </c>
      <c r="C149" t="s">
        <v>238</v>
      </c>
      <c r="D149" s="88">
        <v>0</v>
      </c>
      <c r="E149" t="s">
        <v>349</v>
      </c>
      <c r="F149">
        <v>0</v>
      </c>
      <c r="G149">
        <v>0</v>
      </c>
      <c r="H149">
        <v>0</v>
      </c>
      <c r="I149">
        <v>0</v>
      </c>
      <c r="J149">
        <v>0</v>
      </c>
      <c r="K149">
        <f>$A$7</f>
        <v>10</v>
      </c>
      <c r="L149">
        <v>-1</v>
      </c>
      <c r="M149" t="s">
        <v>433</v>
      </c>
      <c r="N149" s="17">
        <f t="shared" si="68"/>
        <v>0</v>
      </c>
      <c r="O149" t="s">
        <v>537</v>
      </c>
    </row>
    <row r="150" spans="1:15" ht="16" customHeight="1" x14ac:dyDescent="0.2">
      <c r="A150" s="51" t="s">
        <v>103</v>
      </c>
      <c r="B150" s="82">
        <v>15874.430897511253</v>
      </c>
      <c r="C150" t="s">
        <v>239</v>
      </c>
      <c r="D150" s="88">
        <v>1.2700000000000001E-3</v>
      </c>
      <c r="E150" t="s">
        <v>348</v>
      </c>
      <c r="F150">
        <v>3.0599999999999998E-3</v>
      </c>
      <c r="G150">
        <v>1.2700000000000001E-3</v>
      </c>
      <c r="H150">
        <v>1.2700000000000001E-3</v>
      </c>
      <c r="I150">
        <v>1.2700000000000001E-3</v>
      </c>
      <c r="J150">
        <v>1.2700000000000001E-3</v>
      </c>
      <c r="K150">
        <f>$A$6</f>
        <v>100</v>
      </c>
      <c r="L150">
        <v>-1</v>
      </c>
      <c r="M150" t="s">
        <v>432</v>
      </c>
      <c r="N150" s="17">
        <f t="shared" si="68"/>
        <v>-1836730.9754187488</v>
      </c>
      <c r="O150" t="s">
        <v>537</v>
      </c>
    </row>
    <row r="151" spans="1:15" ht="15" customHeight="1" x14ac:dyDescent="0.2">
      <c r="A151" s="51" t="s">
        <v>104</v>
      </c>
      <c r="B151" s="82">
        <v>389464.23017726466</v>
      </c>
      <c r="C151" t="s">
        <v>240</v>
      </c>
      <c r="D151" s="88">
        <v>0</v>
      </c>
      <c r="E151" t="s">
        <v>348</v>
      </c>
      <c r="F151">
        <v>0</v>
      </c>
      <c r="G151">
        <v>0</v>
      </c>
      <c r="H151">
        <v>0</v>
      </c>
      <c r="I151">
        <v>0</v>
      </c>
      <c r="J151">
        <v>0</v>
      </c>
      <c r="K151">
        <f>$A$6</f>
        <v>100</v>
      </c>
      <c r="L151">
        <v>-1</v>
      </c>
      <c r="M151" t="s">
        <v>432</v>
      </c>
      <c r="N151" s="17">
        <f t="shared" si="68"/>
        <v>0</v>
      </c>
      <c r="O151" t="s">
        <v>537</v>
      </c>
    </row>
    <row r="152" spans="1:15" x14ac:dyDescent="0.2">
      <c r="A152" s="51"/>
      <c r="B152" s="82"/>
      <c r="C152" t="s">
        <v>241</v>
      </c>
      <c r="D152" s="88">
        <v>0</v>
      </c>
      <c r="E152" t="s">
        <v>350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f>$A$6</f>
        <v>100</v>
      </c>
      <c r="L152">
        <v>-1</v>
      </c>
      <c r="M152" t="s">
        <v>434</v>
      </c>
      <c r="N152" s="17">
        <f t="shared" si="68"/>
        <v>0</v>
      </c>
      <c r="O152" t="s">
        <v>537</v>
      </c>
    </row>
    <row r="153" spans="1:15" x14ac:dyDescent="0.2">
      <c r="A153" s="86" t="s">
        <v>17</v>
      </c>
      <c r="B153" s="82">
        <v>6796062.0627721325</v>
      </c>
      <c r="C153" t="s">
        <v>242</v>
      </c>
      <c r="D153" s="88">
        <v>0</v>
      </c>
      <c r="E153" t="s">
        <v>351</v>
      </c>
      <c r="F153">
        <v>0</v>
      </c>
      <c r="G153">
        <v>0</v>
      </c>
      <c r="H153">
        <v>0</v>
      </c>
      <c r="I153">
        <v>0</v>
      </c>
      <c r="J153">
        <v>0</v>
      </c>
      <c r="K153">
        <f>$A$8</f>
        <v>1</v>
      </c>
      <c r="L153">
        <v>1</v>
      </c>
      <c r="M153" t="s">
        <v>435</v>
      </c>
      <c r="N153" s="17">
        <f t="shared" si="68"/>
        <v>0</v>
      </c>
      <c r="O153" t="s">
        <v>537</v>
      </c>
    </row>
    <row r="154" spans="1:15" x14ac:dyDescent="0.2">
      <c r="B154" s="55"/>
      <c r="C154" t="s">
        <v>243</v>
      </c>
      <c r="D154" s="88">
        <v>0.12681999999999999</v>
      </c>
      <c r="E154" t="s">
        <v>352</v>
      </c>
      <c r="F154">
        <v>3.0599999999999998E-3</v>
      </c>
      <c r="G154">
        <v>1.268E-2</v>
      </c>
      <c r="H154">
        <v>1.26824</v>
      </c>
      <c r="I154">
        <v>1.26824</v>
      </c>
      <c r="J154">
        <v>1.26824</v>
      </c>
      <c r="K154">
        <f>$A$6</f>
        <v>100</v>
      </c>
      <c r="L154">
        <v>-1</v>
      </c>
      <c r="M154" t="s">
        <v>436</v>
      </c>
      <c r="N154" s="17">
        <f t="shared" si="68"/>
        <v>-106473327.53028083</v>
      </c>
      <c r="O154" t="s">
        <v>537</v>
      </c>
    </row>
    <row r="155" spans="1:15" x14ac:dyDescent="0.2">
      <c r="B155" s="55"/>
      <c r="C155" t="s">
        <v>244</v>
      </c>
      <c r="D155" s="88">
        <v>1.2700000000000001E-3</v>
      </c>
      <c r="E155" t="s">
        <v>353</v>
      </c>
      <c r="F155">
        <v>3.0599999999999998E-3</v>
      </c>
      <c r="G155">
        <v>1.2700000000000001E-3</v>
      </c>
      <c r="H155">
        <v>1.2700000000000001E-3</v>
      </c>
      <c r="I155">
        <v>1.2700000000000001E-3</v>
      </c>
      <c r="J155">
        <v>1.2700000000000001E-3</v>
      </c>
      <c r="K155">
        <v>0</v>
      </c>
      <c r="L155">
        <v>0</v>
      </c>
      <c r="M155" t="s">
        <v>437</v>
      </c>
      <c r="N155" s="17">
        <f t="shared" si="68"/>
        <v>0</v>
      </c>
      <c r="O155" t="s">
        <v>537</v>
      </c>
    </row>
    <row r="156" spans="1:15" ht="16" x14ac:dyDescent="0.2">
      <c r="A156" s="66" t="s">
        <v>8</v>
      </c>
      <c r="B156" s="76" t="s">
        <v>418</v>
      </c>
      <c r="C156" t="s">
        <v>245</v>
      </c>
      <c r="D156" s="88">
        <v>1.2700000000000001E-3</v>
      </c>
      <c r="E156" t="s">
        <v>351</v>
      </c>
      <c r="F156">
        <v>0.30602000000000001</v>
      </c>
      <c r="G156">
        <v>1.2999999999999999E-4</v>
      </c>
      <c r="H156">
        <v>1.2999999999999999E-4</v>
      </c>
      <c r="I156">
        <v>1.2999999999999999E-4</v>
      </c>
      <c r="J156">
        <v>1.2999999999999999E-4</v>
      </c>
      <c r="K156">
        <f t="shared" ref="K156:K161" si="69">$A$7</f>
        <v>10</v>
      </c>
      <c r="L156">
        <v>-1</v>
      </c>
      <c r="M156" t="s">
        <v>435</v>
      </c>
      <c r="N156" s="17">
        <f t="shared" si="68"/>
        <v>-16652010.004912948</v>
      </c>
      <c r="O156" t="s">
        <v>537</v>
      </c>
    </row>
    <row r="157" spans="1:15" ht="16" x14ac:dyDescent="0.2">
      <c r="A157" s="81" t="s">
        <v>57</v>
      </c>
      <c r="B157" s="89" t="s">
        <v>502</v>
      </c>
      <c r="C157" t="s">
        <v>246</v>
      </c>
      <c r="D157" s="88">
        <v>1.268E-2</v>
      </c>
      <c r="E157" t="s">
        <v>354</v>
      </c>
      <c r="F157">
        <v>3.0599999999999999E-2</v>
      </c>
      <c r="G157">
        <v>1.268E-2</v>
      </c>
      <c r="H157">
        <v>1.268E-2</v>
      </c>
      <c r="I157">
        <v>1.268E-2</v>
      </c>
      <c r="J157">
        <v>1.268E-2</v>
      </c>
      <c r="K157">
        <f t="shared" si="69"/>
        <v>10</v>
      </c>
      <c r="L157">
        <v>-1</v>
      </c>
      <c r="M157" t="s">
        <v>438</v>
      </c>
      <c r="N157" s="17">
        <f t="shared" si="68"/>
        <v>-1836459.6189765255</v>
      </c>
      <c r="O157" t="s">
        <v>537</v>
      </c>
    </row>
    <row r="158" spans="1:15" ht="16" x14ac:dyDescent="0.2">
      <c r="A158" s="51" t="s">
        <v>200</v>
      </c>
      <c r="B158" s="89" t="s">
        <v>506</v>
      </c>
      <c r="C158" t="s">
        <v>247</v>
      </c>
      <c r="D158" s="88">
        <v>1.26824</v>
      </c>
      <c r="E158" t="s">
        <v>354</v>
      </c>
      <c r="F158">
        <v>3.1E-4</v>
      </c>
      <c r="G158">
        <v>1.26824</v>
      </c>
      <c r="H158">
        <v>1.26824</v>
      </c>
      <c r="I158">
        <v>1.26824</v>
      </c>
      <c r="J158">
        <v>1.26824</v>
      </c>
      <c r="K158">
        <f t="shared" si="69"/>
        <v>10</v>
      </c>
      <c r="L158">
        <v>-1</v>
      </c>
      <c r="M158" t="s">
        <v>438</v>
      </c>
      <c r="N158" s="17">
        <f t="shared" si="68"/>
        <v>-17224116.481780618</v>
      </c>
      <c r="O158" t="s">
        <v>537</v>
      </c>
    </row>
    <row r="159" spans="1:15" ht="16" x14ac:dyDescent="0.2">
      <c r="A159" s="51" t="s">
        <v>12</v>
      </c>
      <c r="B159" s="89" t="s">
        <v>504</v>
      </c>
      <c r="C159" t="s">
        <v>248</v>
      </c>
      <c r="D159" s="88">
        <v>1.26824</v>
      </c>
      <c r="E159" t="s">
        <v>350</v>
      </c>
      <c r="F159">
        <v>0.30602000000000001</v>
      </c>
      <c r="G159">
        <v>1.26824</v>
      </c>
      <c r="H159">
        <v>1.26824</v>
      </c>
      <c r="I159">
        <v>1.26824</v>
      </c>
      <c r="J159">
        <v>1.26824</v>
      </c>
      <c r="K159">
        <f t="shared" si="69"/>
        <v>10</v>
      </c>
      <c r="L159">
        <v>-1</v>
      </c>
      <c r="M159" t="s">
        <v>434</v>
      </c>
      <c r="N159" s="17">
        <f t="shared" si="68"/>
        <v>-33852538.916282684</v>
      </c>
      <c r="O159" t="s">
        <v>537</v>
      </c>
    </row>
    <row r="160" spans="1:15" ht="16" x14ac:dyDescent="0.2">
      <c r="A160" s="81" t="s">
        <v>37</v>
      </c>
      <c r="B160" s="89" t="s">
        <v>504</v>
      </c>
      <c r="C160" t="s">
        <v>322</v>
      </c>
      <c r="D160" s="88">
        <v>1.26824</v>
      </c>
      <c r="E160" t="s">
        <v>355</v>
      </c>
      <c r="F160">
        <v>3.0599999999999999E-2</v>
      </c>
      <c r="G160">
        <v>1.26824</v>
      </c>
      <c r="H160">
        <v>1.26824</v>
      </c>
      <c r="I160">
        <v>1.26824</v>
      </c>
      <c r="J160">
        <v>1.26824</v>
      </c>
      <c r="K160">
        <f t="shared" si="69"/>
        <v>10</v>
      </c>
      <c r="L160">
        <v>-1</v>
      </c>
      <c r="M160" t="s">
        <v>439</v>
      </c>
      <c r="N160" s="17">
        <f t="shared" si="68"/>
        <v>-18871674.348847665</v>
      </c>
      <c r="O160" t="s">
        <v>537</v>
      </c>
    </row>
    <row r="161" spans="1:15" ht="16" x14ac:dyDescent="0.2">
      <c r="A161" s="81" t="s">
        <v>38</v>
      </c>
      <c r="B161" s="89" t="s">
        <v>504</v>
      </c>
      <c r="C161" t="s">
        <v>249</v>
      </c>
      <c r="D161" s="88">
        <v>0.12681999999999999</v>
      </c>
      <c r="E161" t="s">
        <v>356</v>
      </c>
      <c r="F161">
        <v>3.1E-4</v>
      </c>
      <c r="G161">
        <v>0.12681999999999999</v>
      </c>
      <c r="H161">
        <v>0.12681999999999999</v>
      </c>
      <c r="I161">
        <v>0.12681999999999999</v>
      </c>
      <c r="J161">
        <v>0.12681999999999999</v>
      </c>
      <c r="K161">
        <f t="shared" si="69"/>
        <v>10</v>
      </c>
      <c r="L161">
        <v>-1</v>
      </c>
      <c r="M161" t="s">
        <v>440</v>
      </c>
      <c r="N161" s="17">
        <f t="shared" si="68"/>
        <v>-1737532.9676757415</v>
      </c>
      <c r="O161" t="s">
        <v>537</v>
      </c>
    </row>
    <row r="162" spans="1:15" ht="16" x14ac:dyDescent="0.2">
      <c r="A162" s="51" t="s">
        <v>39</v>
      </c>
      <c r="B162" s="89" t="s">
        <v>504</v>
      </c>
      <c r="C162" t="s">
        <v>323</v>
      </c>
      <c r="D162" s="88">
        <v>1.2700000000000001E-3</v>
      </c>
      <c r="E162" t="s">
        <v>357</v>
      </c>
      <c r="F162">
        <v>3.0599999999999998E-3</v>
      </c>
      <c r="G162">
        <v>1.2700000000000001E-3</v>
      </c>
      <c r="H162">
        <v>1.2700000000000001E-3</v>
      </c>
      <c r="I162">
        <v>1.2700000000000001E-3</v>
      </c>
      <c r="J162">
        <v>1.2700000000000001E-3</v>
      </c>
      <c r="K162">
        <f>$A$6</f>
        <v>100</v>
      </c>
      <c r="L162">
        <v>-1</v>
      </c>
      <c r="M162" t="s">
        <v>441</v>
      </c>
      <c r="N162" s="17">
        <f t="shared" si="68"/>
        <v>-1836730.9754187488</v>
      </c>
      <c r="O162" t="s">
        <v>537</v>
      </c>
    </row>
    <row r="163" spans="1:15" ht="16" x14ac:dyDescent="0.2">
      <c r="A163" s="51" t="s">
        <v>40</v>
      </c>
      <c r="B163" s="89" t="s">
        <v>508</v>
      </c>
      <c r="C163" t="s">
        <v>324</v>
      </c>
      <c r="D163" s="88">
        <v>1.2700000000000001E-3</v>
      </c>
      <c r="E163" t="s">
        <v>357</v>
      </c>
      <c r="F163">
        <v>3.0599999999999998E-3</v>
      </c>
      <c r="G163">
        <v>1.2700000000000001E-3</v>
      </c>
      <c r="H163">
        <v>1.2700000000000001E-3</v>
      </c>
      <c r="I163">
        <v>1.2700000000000001E-3</v>
      </c>
      <c r="J163">
        <v>1.2700000000000001E-3</v>
      </c>
      <c r="K163">
        <f>$A$6</f>
        <v>100</v>
      </c>
      <c r="L163">
        <v>-1</v>
      </c>
      <c r="M163" t="s">
        <v>441</v>
      </c>
      <c r="N163" s="17">
        <f t="shared" si="68"/>
        <v>-1836730.9754187488</v>
      </c>
      <c r="O163" t="s">
        <v>537</v>
      </c>
    </row>
    <row r="164" spans="1:15" ht="16" x14ac:dyDescent="0.2">
      <c r="A164" s="51" t="s">
        <v>42</v>
      </c>
      <c r="B164" s="89" t="s">
        <v>509</v>
      </c>
      <c r="C164" t="s">
        <v>250</v>
      </c>
      <c r="D164" s="88">
        <v>1.2700000000000001E-3</v>
      </c>
      <c r="E164" t="s">
        <v>358</v>
      </c>
      <c r="F164">
        <v>0.30602000000000001</v>
      </c>
      <c r="G164">
        <v>1.2700000000000001E-3</v>
      </c>
      <c r="H164">
        <v>1.2700000000000001E-3</v>
      </c>
      <c r="I164">
        <v>1.2700000000000001E-3</v>
      </c>
      <c r="J164">
        <v>1.2700000000000001E-3</v>
      </c>
      <c r="K164">
        <f>$A$7</f>
        <v>10</v>
      </c>
      <c r="L164">
        <v>1</v>
      </c>
      <c r="M164" t="s">
        <v>442</v>
      </c>
      <c r="N164" s="17">
        <f t="shared" si="68"/>
        <v>16662515.336123368</v>
      </c>
      <c r="O164" t="s">
        <v>537</v>
      </c>
    </row>
    <row r="165" spans="1:15" ht="16" x14ac:dyDescent="0.2">
      <c r="A165" s="51" t="s">
        <v>43</v>
      </c>
      <c r="B165" s="89" t="s">
        <v>509</v>
      </c>
      <c r="C165" t="s">
        <v>251</v>
      </c>
      <c r="D165" s="88">
        <v>0</v>
      </c>
      <c r="E165" t="s">
        <v>359</v>
      </c>
      <c r="F165">
        <v>3.1E-4</v>
      </c>
      <c r="G165">
        <v>0</v>
      </c>
      <c r="H165">
        <v>0</v>
      </c>
      <c r="I165">
        <v>0</v>
      </c>
      <c r="J165">
        <v>0</v>
      </c>
      <c r="K165">
        <f>$A$6</f>
        <v>100</v>
      </c>
      <c r="L165">
        <v>-1</v>
      </c>
      <c r="M165" t="s">
        <v>443</v>
      </c>
      <c r="N165" s="17">
        <f t="shared" si="68"/>
        <v>-168617.67540138177</v>
      </c>
      <c r="O165" t="s">
        <v>537</v>
      </c>
    </row>
    <row r="166" spans="1:15" ht="16" x14ac:dyDescent="0.2">
      <c r="A166" s="51" t="s">
        <v>44</v>
      </c>
      <c r="B166" s="89" t="s">
        <v>509</v>
      </c>
      <c r="C166" t="s">
        <v>252</v>
      </c>
      <c r="D166" s="88">
        <v>0.12681999999999999</v>
      </c>
      <c r="E166" t="s">
        <v>360</v>
      </c>
      <c r="F166">
        <v>3.0602</v>
      </c>
      <c r="G166">
        <v>0.12681999999999999</v>
      </c>
      <c r="H166">
        <v>0.12681999999999999</v>
      </c>
      <c r="I166">
        <v>0.12681999999999999</v>
      </c>
      <c r="J166">
        <v>0.12681999999999999</v>
      </c>
      <c r="K166">
        <f>$A$7</f>
        <v>10</v>
      </c>
      <c r="L166">
        <v>-1</v>
      </c>
      <c r="M166" t="s">
        <v>444</v>
      </c>
      <c r="N166" s="17">
        <f t="shared" ref="N166:N197" si="70">((SUM($B$134,$B$145)*D166)+(SUM(B$135,B$146)*F166)+(SUM(B$136:B$139)*G166)+(B$140*H166)+(SUM(B$141:B$144,B$148:B$151)*I166)+(B$147*J166))*K166*L166</f>
        <v>-168173513.22055769</v>
      </c>
      <c r="O166" t="s">
        <v>537</v>
      </c>
    </row>
    <row r="167" spans="1:15" ht="16" x14ac:dyDescent="0.2">
      <c r="A167" s="51" t="s">
        <v>45</v>
      </c>
      <c r="B167" s="89" t="s">
        <v>509</v>
      </c>
      <c r="C167" t="s">
        <v>253</v>
      </c>
      <c r="D167" s="88">
        <v>1.268E-2</v>
      </c>
      <c r="E167" t="s">
        <v>361</v>
      </c>
      <c r="F167">
        <v>0.30602000000000001</v>
      </c>
      <c r="G167">
        <v>1.268E-2</v>
      </c>
      <c r="H167">
        <v>1.268E-2</v>
      </c>
      <c r="I167">
        <v>1.268E-2</v>
      </c>
      <c r="J167">
        <v>1.268E-2</v>
      </c>
      <c r="K167">
        <f>$A$7</f>
        <v>10</v>
      </c>
      <c r="L167">
        <v>-1</v>
      </c>
      <c r="M167" t="s">
        <v>445</v>
      </c>
      <c r="N167" s="17">
        <f t="shared" si="70"/>
        <v>-16817324.186411552</v>
      </c>
      <c r="O167" t="s">
        <v>537</v>
      </c>
    </row>
    <row r="168" spans="1:15" ht="16" x14ac:dyDescent="0.2">
      <c r="A168" s="51" t="s">
        <v>35</v>
      </c>
      <c r="B168" s="89" t="s">
        <v>502</v>
      </c>
      <c r="C168" t="s">
        <v>325</v>
      </c>
      <c r="D168" s="88">
        <v>1.2700000000000001E-3</v>
      </c>
      <c r="E168" t="s">
        <v>362</v>
      </c>
      <c r="F168">
        <v>3.1E-4</v>
      </c>
      <c r="G168">
        <v>1.2700000000000001E-3</v>
      </c>
      <c r="H168">
        <v>1.2700000000000001E-3</v>
      </c>
      <c r="I168">
        <v>1.2700000000000001E-3</v>
      </c>
      <c r="J168">
        <v>1.2700000000000001E-3</v>
      </c>
      <c r="K168">
        <f>$A$6</f>
        <v>100</v>
      </c>
      <c r="L168">
        <v>-1</v>
      </c>
      <c r="M168" t="s">
        <v>446</v>
      </c>
      <c r="N168" s="17">
        <f t="shared" si="70"/>
        <v>-340929.01621294272</v>
      </c>
      <c r="O168" t="s">
        <v>537</v>
      </c>
    </row>
    <row r="169" spans="1:15" ht="16" x14ac:dyDescent="0.2">
      <c r="A169" s="51" t="s">
        <v>93</v>
      </c>
      <c r="B169" s="89" t="s">
        <v>506</v>
      </c>
      <c r="C169" t="s">
        <v>254</v>
      </c>
      <c r="D169" s="88">
        <v>1.2700000000000001E-3</v>
      </c>
      <c r="E169" t="s">
        <v>363</v>
      </c>
      <c r="F169">
        <v>3.0599999999999998E-3</v>
      </c>
      <c r="G169">
        <v>1.2700000000000001E-3</v>
      </c>
      <c r="H169">
        <v>1.2700000000000001E-3</v>
      </c>
      <c r="I169">
        <v>1.2700000000000001E-3</v>
      </c>
      <c r="J169">
        <v>1.2700000000000001E-3</v>
      </c>
      <c r="K169">
        <f>$A$7</f>
        <v>10</v>
      </c>
      <c r="L169">
        <v>-1</v>
      </c>
      <c r="M169" t="s">
        <v>447</v>
      </c>
      <c r="N169" s="17">
        <f t="shared" si="70"/>
        <v>-183673.09754187489</v>
      </c>
      <c r="O169" t="s">
        <v>537</v>
      </c>
    </row>
    <row r="170" spans="1:15" ht="16" x14ac:dyDescent="0.2">
      <c r="A170" s="51" t="s">
        <v>58</v>
      </c>
      <c r="B170" s="89" t="s">
        <v>510</v>
      </c>
      <c r="C170" t="s">
        <v>255</v>
      </c>
      <c r="D170" s="88">
        <v>0</v>
      </c>
      <c r="E170" t="s">
        <v>364</v>
      </c>
      <c r="F170">
        <v>0</v>
      </c>
      <c r="G170">
        <v>0</v>
      </c>
      <c r="H170">
        <v>0</v>
      </c>
      <c r="I170">
        <v>0</v>
      </c>
      <c r="J170">
        <v>0</v>
      </c>
      <c r="K170">
        <f>$A$7</f>
        <v>10</v>
      </c>
      <c r="L170">
        <v>-1</v>
      </c>
      <c r="M170" t="s">
        <v>448</v>
      </c>
      <c r="N170" s="17">
        <f t="shared" si="70"/>
        <v>0</v>
      </c>
      <c r="O170" t="s">
        <v>537</v>
      </c>
    </row>
    <row r="171" spans="1:15" ht="16" x14ac:dyDescent="0.2">
      <c r="A171" s="51" t="s">
        <v>101</v>
      </c>
      <c r="B171" s="89" t="s">
        <v>509</v>
      </c>
      <c r="C171" t="s">
        <v>256</v>
      </c>
      <c r="D171" s="88">
        <v>1.2700000000000001E-3</v>
      </c>
      <c r="E171" t="s">
        <v>365</v>
      </c>
      <c r="F171">
        <v>0.30602000000000001</v>
      </c>
      <c r="G171">
        <v>1.2700000000000001E-3</v>
      </c>
      <c r="H171">
        <v>1.2700000000000001E-3</v>
      </c>
      <c r="I171">
        <v>1.2700000000000001E-3</v>
      </c>
      <c r="J171">
        <v>1.2700000000000001E-3</v>
      </c>
      <c r="K171">
        <f>$A$7</f>
        <v>10</v>
      </c>
      <c r="L171">
        <v>-1</v>
      </c>
      <c r="M171" t="s">
        <v>449</v>
      </c>
      <c r="N171" s="17">
        <f t="shared" si="70"/>
        <v>-16662515.336123368</v>
      </c>
      <c r="O171" t="s">
        <v>537</v>
      </c>
    </row>
    <row r="172" spans="1:15" ht="16" x14ac:dyDescent="0.2">
      <c r="A172" s="51" t="s">
        <v>102</v>
      </c>
      <c r="B172" s="89" t="s">
        <v>509</v>
      </c>
      <c r="C172" t="s">
        <v>257</v>
      </c>
      <c r="D172" s="88">
        <v>1.26824</v>
      </c>
      <c r="E172" t="s">
        <v>366</v>
      </c>
      <c r="F172">
        <v>3.0599999999999998E-3</v>
      </c>
      <c r="G172">
        <v>1.26824</v>
      </c>
      <c r="H172">
        <v>1.26824</v>
      </c>
      <c r="I172">
        <v>1.26824</v>
      </c>
      <c r="J172">
        <v>1.26824</v>
      </c>
      <c r="K172">
        <f>$A$6</f>
        <v>100</v>
      </c>
      <c r="L172">
        <v>-1</v>
      </c>
      <c r="M172" t="s">
        <v>450</v>
      </c>
      <c r="N172" s="17">
        <f t="shared" si="70"/>
        <v>-173736966.77701199</v>
      </c>
      <c r="O172" t="s">
        <v>537</v>
      </c>
    </row>
    <row r="173" spans="1:15" ht="16" x14ac:dyDescent="0.2">
      <c r="A173" s="51" t="s">
        <v>103</v>
      </c>
      <c r="B173" s="89" t="s">
        <v>509</v>
      </c>
      <c r="C173" t="s">
        <v>258</v>
      </c>
      <c r="D173" s="88">
        <v>0.12681999999999999</v>
      </c>
      <c r="E173" t="s">
        <v>367</v>
      </c>
      <c r="F173">
        <v>3.0599999999999998E-3</v>
      </c>
      <c r="G173">
        <v>0.12681999999999999</v>
      </c>
      <c r="H173">
        <v>0.12681999999999999</v>
      </c>
      <c r="I173">
        <v>0.12681999999999999</v>
      </c>
      <c r="J173">
        <v>0.12681999999999999</v>
      </c>
      <c r="K173">
        <f>$A$6</f>
        <v>100</v>
      </c>
      <c r="L173">
        <v>-1</v>
      </c>
      <c r="M173" t="s">
        <v>451</v>
      </c>
      <c r="N173" s="17">
        <f t="shared" si="70"/>
        <v>-18871131.635963216</v>
      </c>
      <c r="O173" t="s">
        <v>537</v>
      </c>
    </row>
    <row r="174" spans="1:15" ht="16" x14ac:dyDescent="0.2">
      <c r="A174" s="51" t="s">
        <v>104</v>
      </c>
      <c r="B174" s="89" t="s">
        <v>509</v>
      </c>
      <c r="C174" t="s">
        <v>326</v>
      </c>
      <c r="D174" s="88">
        <v>1.2700000000000001E-3</v>
      </c>
      <c r="E174" t="s">
        <v>365</v>
      </c>
      <c r="F174">
        <v>3.0599999999999998E-3</v>
      </c>
      <c r="G174">
        <v>1.2700000000000001E-3</v>
      </c>
      <c r="H174">
        <v>1.2700000000000001E-3</v>
      </c>
      <c r="I174">
        <v>1.2700000000000001E-3</v>
      </c>
      <c r="J174">
        <v>1.2700000000000001E-3</v>
      </c>
      <c r="K174">
        <v>0</v>
      </c>
      <c r="L174">
        <v>0</v>
      </c>
      <c r="M174" t="s">
        <v>449</v>
      </c>
      <c r="N174" s="17">
        <f t="shared" si="70"/>
        <v>0</v>
      </c>
      <c r="O174" t="s">
        <v>537</v>
      </c>
    </row>
    <row r="175" spans="1:15" x14ac:dyDescent="0.2">
      <c r="B175" s="55"/>
      <c r="C175" t="s">
        <v>259</v>
      </c>
      <c r="D175" s="88">
        <v>1.268E-2</v>
      </c>
      <c r="E175" t="s">
        <v>368</v>
      </c>
      <c r="F175">
        <v>3.0599999999999998E-3</v>
      </c>
      <c r="G175">
        <v>1.268E-2</v>
      </c>
      <c r="H175">
        <v>1.268E-2</v>
      </c>
      <c r="I175">
        <v>1.268E-2</v>
      </c>
      <c r="J175">
        <v>1.268E-2</v>
      </c>
      <c r="K175">
        <f>$A$6</f>
        <v>100</v>
      </c>
      <c r="L175">
        <v>-1</v>
      </c>
      <c r="M175" t="s">
        <v>452</v>
      </c>
      <c r="N175" s="17">
        <f t="shared" si="70"/>
        <v>-3384819.4783005682</v>
      </c>
      <c r="O175" t="s">
        <v>537</v>
      </c>
    </row>
    <row r="176" spans="1:15" x14ac:dyDescent="0.2">
      <c r="B176" s="55"/>
      <c r="C176" t="s">
        <v>260</v>
      </c>
      <c r="D176" s="88">
        <v>0</v>
      </c>
      <c r="E176" t="s">
        <v>368</v>
      </c>
      <c r="F176">
        <v>3.0599999999999998E-3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452</v>
      </c>
      <c r="N176" s="17">
        <f t="shared" si="70"/>
        <v>0</v>
      </c>
      <c r="O176" t="s">
        <v>537</v>
      </c>
    </row>
    <row r="177" spans="2:15" x14ac:dyDescent="0.2">
      <c r="B177" s="55"/>
      <c r="C177" t="s">
        <v>327</v>
      </c>
      <c r="D177" s="88">
        <v>1.2999999999999999E-4</v>
      </c>
      <c r="E177" t="s">
        <v>368</v>
      </c>
      <c r="F177">
        <v>0.30602000000000001</v>
      </c>
      <c r="G177">
        <v>1.2999999999999999E-4</v>
      </c>
      <c r="H177">
        <v>1.2999999999999999E-4</v>
      </c>
      <c r="I177">
        <v>1.2999999999999999E-4</v>
      </c>
      <c r="J177">
        <v>1.2999999999999999E-4</v>
      </c>
      <c r="K177">
        <f>$A$6</f>
        <v>100</v>
      </c>
      <c r="L177">
        <v>-1</v>
      </c>
      <c r="M177" t="s">
        <v>452</v>
      </c>
      <c r="N177" s="17">
        <f t="shared" si="70"/>
        <v>-166470480.18916661</v>
      </c>
      <c r="O177" t="s">
        <v>537</v>
      </c>
    </row>
    <row r="178" spans="2:15" x14ac:dyDescent="0.2">
      <c r="B178" s="55"/>
      <c r="C178" t="s">
        <v>328</v>
      </c>
      <c r="D178" s="88">
        <v>1.2999999999999999E-4</v>
      </c>
      <c r="E178" t="s">
        <v>368</v>
      </c>
      <c r="F178">
        <v>0.30602000000000001</v>
      </c>
      <c r="G178">
        <v>1.2999999999999999E-4</v>
      </c>
      <c r="H178">
        <v>1.2999999999999999E-4</v>
      </c>
      <c r="I178">
        <v>1.2999999999999999E-4</v>
      </c>
      <c r="J178">
        <v>1.2999999999999999E-4</v>
      </c>
      <c r="K178">
        <v>0</v>
      </c>
      <c r="L178">
        <v>0</v>
      </c>
      <c r="M178" t="s">
        <v>452</v>
      </c>
      <c r="N178" s="17">
        <f t="shared" si="70"/>
        <v>0</v>
      </c>
      <c r="O178" t="s">
        <v>537</v>
      </c>
    </row>
    <row r="179" spans="2:15" x14ac:dyDescent="0.2">
      <c r="B179" s="55"/>
      <c r="C179" t="s">
        <v>261</v>
      </c>
      <c r="D179" s="88">
        <v>0.12681999999999999</v>
      </c>
      <c r="E179" t="s">
        <v>369</v>
      </c>
      <c r="F179">
        <v>3.1E-4</v>
      </c>
      <c r="G179">
        <v>0.12681999999999999</v>
      </c>
      <c r="H179">
        <v>0.12681999999999999</v>
      </c>
      <c r="I179">
        <v>0.12681999999999999</v>
      </c>
      <c r="J179">
        <v>0.12681999999999999</v>
      </c>
      <c r="K179">
        <f>$A$6</f>
        <v>100</v>
      </c>
      <c r="L179">
        <v>-1</v>
      </c>
      <c r="M179" t="s">
        <v>453</v>
      </c>
      <c r="N179" s="17">
        <f t="shared" si="70"/>
        <v>-17375329.676757414</v>
      </c>
      <c r="O179" t="s">
        <v>537</v>
      </c>
    </row>
    <row r="180" spans="2:15" x14ac:dyDescent="0.2">
      <c r="B180" s="55"/>
      <c r="C180" t="s">
        <v>263</v>
      </c>
      <c r="D180" s="88">
        <v>1.2999999999999999E-4</v>
      </c>
      <c r="E180" t="s">
        <v>370</v>
      </c>
      <c r="F180">
        <v>3.1E-4</v>
      </c>
      <c r="G180">
        <v>1.2999999999999999E-4</v>
      </c>
      <c r="H180">
        <v>1.2999999999999999E-4</v>
      </c>
      <c r="I180">
        <v>1.2999999999999999E-4</v>
      </c>
      <c r="J180">
        <v>1.2999999999999999E-4</v>
      </c>
      <c r="K180">
        <f>$A$6</f>
        <v>100</v>
      </c>
      <c r="L180">
        <v>-1</v>
      </c>
      <c r="M180" t="s">
        <v>454</v>
      </c>
      <c r="N180" s="17">
        <f t="shared" si="70"/>
        <v>-186255.84414587225</v>
      </c>
      <c r="O180" t="s">
        <v>537</v>
      </c>
    </row>
    <row r="181" spans="2:15" x14ac:dyDescent="0.2">
      <c r="B181" s="55"/>
      <c r="C181" t="s">
        <v>262</v>
      </c>
      <c r="D181" s="88">
        <v>1.2999999999999999E-4</v>
      </c>
      <c r="E181" t="s">
        <v>370</v>
      </c>
      <c r="F181">
        <v>3.0599999999999998E-3</v>
      </c>
      <c r="G181">
        <v>1.2999999999999999E-4</v>
      </c>
      <c r="H181">
        <v>1.2999999999999999E-4</v>
      </c>
      <c r="I181">
        <v>1.2999999999999999E-4</v>
      </c>
      <c r="J181">
        <v>1.2999999999999999E-4</v>
      </c>
      <c r="K181">
        <f>$A$6</f>
        <v>100</v>
      </c>
      <c r="L181">
        <v>-1</v>
      </c>
      <c r="M181" t="s">
        <v>454</v>
      </c>
      <c r="N181" s="17">
        <f t="shared" si="70"/>
        <v>-1682057.803351678</v>
      </c>
      <c r="O181" t="s">
        <v>537</v>
      </c>
    </row>
    <row r="182" spans="2:15" x14ac:dyDescent="0.2">
      <c r="B182" s="55"/>
      <c r="C182" t="s">
        <v>264</v>
      </c>
      <c r="D182" s="88">
        <v>1.2700000000000001E-3</v>
      </c>
      <c r="E182" t="s">
        <v>371</v>
      </c>
      <c r="F182">
        <v>3.0599999999999999E-2</v>
      </c>
      <c r="G182">
        <v>1.2700000000000001E-3</v>
      </c>
      <c r="H182">
        <v>1.2700000000000001E-3</v>
      </c>
      <c r="I182">
        <v>1.2700000000000001E-3</v>
      </c>
      <c r="J182">
        <v>1.2700000000000001E-3</v>
      </c>
      <c r="K182">
        <f>$A$7</f>
        <v>10</v>
      </c>
      <c r="L182">
        <v>-1</v>
      </c>
      <c r="M182" t="s">
        <v>455</v>
      </c>
      <c r="N182" s="17">
        <f t="shared" si="70"/>
        <v>-1681650.7686883439</v>
      </c>
      <c r="O182" t="s">
        <v>537</v>
      </c>
    </row>
    <row r="183" spans="2:15" x14ac:dyDescent="0.2">
      <c r="B183" s="55"/>
      <c r="C183" t="s">
        <v>265</v>
      </c>
      <c r="D183" s="88">
        <v>1.2700000000000001E-3</v>
      </c>
      <c r="E183" t="s">
        <v>371</v>
      </c>
      <c r="F183">
        <v>3.0599999999999998E-3</v>
      </c>
      <c r="G183">
        <v>1.2700000000000001E-3</v>
      </c>
      <c r="H183">
        <v>1.2700000000000001E-3</v>
      </c>
      <c r="I183">
        <v>1.2700000000000001E-3</v>
      </c>
      <c r="J183">
        <v>1.2700000000000001E-3</v>
      </c>
      <c r="K183">
        <f>$A$7</f>
        <v>10</v>
      </c>
      <c r="L183">
        <v>-1</v>
      </c>
      <c r="M183" t="s">
        <v>455</v>
      </c>
      <c r="N183" s="17">
        <f t="shared" si="70"/>
        <v>-183673.09754187489</v>
      </c>
      <c r="O183" t="s">
        <v>537</v>
      </c>
    </row>
    <row r="184" spans="2:15" x14ac:dyDescent="0.2">
      <c r="B184" s="55"/>
      <c r="C184" t="s">
        <v>266</v>
      </c>
      <c r="D184" s="88">
        <v>1.2700000000000001E-3</v>
      </c>
      <c r="E184" t="s">
        <v>371</v>
      </c>
      <c r="F184">
        <v>3.0599999999999999E-2</v>
      </c>
      <c r="G184">
        <v>1.2700000000000001E-3</v>
      </c>
      <c r="H184">
        <v>1.2700000000000001E-3</v>
      </c>
      <c r="I184">
        <v>1.2700000000000001E-3</v>
      </c>
      <c r="J184">
        <v>1.2700000000000001E-3</v>
      </c>
      <c r="K184">
        <v>0</v>
      </c>
      <c r="L184">
        <v>0</v>
      </c>
      <c r="M184" t="s">
        <v>455</v>
      </c>
      <c r="N184" s="17">
        <f t="shared" si="70"/>
        <v>0</v>
      </c>
      <c r="O184" t="s">
        <v>537</v>
      </c>
    </row>
    <row r="185" spans="2:15" x14ac:dyDescent="0.2">
      <c r="B185" s="55"/>
      <c r="C185" t="s">
        <v>267</v>
      </c>
      <c r="D185" s="88">
        <v>1.2999999999999999E-4</v>
      </c>
      <c r="E185" t="s">
        <v>372</v>
      </c>
      <c r="F185">
        <v>3.0599999999999998E-3</v>
      </c>
      <c r="G185">
        <v>1.2999999999999999E-4</v>
      </c>
      <c r="H185">
        <v>1.2999999999999999E-4</v>
      </c>
      <c r="I185">
        <v>1.2999999999999999E-4</v>
      </c>
      <c r="J185">
        <v>1.2999999999999999E-4</v>
      </c>
      <c r="K185">
        <v>0</v>
      </c>
      <c r="L185">
        <v>0</v>
      </c>
      <c r="M185" t="s">
        <v>456</v>
      </c>
      <c r="N185" s="17">
        <f t="shared" si="70"/>
        <v>0</v>
      </c>
      <c r="O185" t="s">
        <v>537</v>
      </c>
    </row>
    <row r="186" spans="2:15" x14ac:dyDescent="0.2">
      <c r="B186" s="55"/>
      <c r="C186" t="s">
        <v>329</v>
      </c>
      <c r="D186" s="88">
        <v>0.12681999999999999</v>
      </c>
      <c r="E186" s="75" t="s">
        <v>373</v>
      </c>
      <c r="F186">
        <v>0.30602000000000001</v>
      </c>
      <c r="G186">
        <v>0.12681999999999999</v>
      </c>
      <c r="H186">
        <v>0.12681999999999999</v>
      </c>
      <c r="I186">
        <v>0.12681999999999999</v>
      </c>
      <c r="J186">
        <v>0.12681999999999999</v>
      </c>
      <c r="K186">
        <f>$A$7</f>
        <v>10</v>
      </c>
      <c r="L186">
        <v>-1</v>
      </c>
      <c r="M186" t="s">
        <v>457</v>
      </c>
      <c r="N186" s="17">
        <f t="shared" si="70"/>
        <v>-18365955.402177814</v>
      </c>
      <c r="O186" t="s">
        <v>537</v>
      </c>
    </row>
    <row r="187" spans="2:15" x14ac:dyDescent="0.2">
      <c r="B187" s="55"/>
      <c r="C187" t="s">
        <v>314</v>
      </c>
      <c r="D187" s="88">
        <v>1.2700000000000001E-3</v>
      </c>
      <c r="E187" s="75" t="s">
        <v>374</v>
      </c>
      <c r="F187">
        <v>3.0599999999999998E-3</v>
      </c>
      <c r="G187">
        <v>1.2700000000000001E-3</v>
      </c>
      <c r="H187">
        <v>1.2700000000000001E-3</v>
      </c>
      <c r="I187">
        <v>1.2700000000000001E-3</v>
      </c>
      <c r="J187">
        <v>1.2700000000000001E-3</v>
      </c>
      <c r="K187">
        <f>$A$7</f>
        <v>10</v>
      </c>
      <c r="L187">
        <v>-1</v>
      </c>
      <c r="M187" t="s">
        <v>458</v>
      </c>
      <c r="N187" s="17">
        <f t="shared" si="70"/>
        <v>-183673.09754187489</v>
      </c>
      <c r="O187" t="s">
        <v>537</v>
      </c>
    </row>
    <row r="188" spans="2:15" x14ac:dyDescent="0.2">
      <c r="B188" s="55"/>
      <c r="C188" t="s">
        <v>268</v>
      </c>
      <c r="D188" s="88">
        <v>1.2700000000000001E-3</v>
      </c>
      <c r="E188" s="75" t="s">
        <v>374</v>
      </c>
      <c r="F188">
        <v>3.0599999999999998E-3</v>
      </c>
      <c r="G188">
        <v>1.2700000000000001E-3</v>
      </c>
      <c r="H188">
        <v>1.2700000000000001E-3</v>
      </c>
      <c r="I188">
        <v>1.2700000000000001E-3</v>
      </c>
      <c r="J188">
        <v>1.2700000000000001E-3</v>
      </c>
      <c r="K188">
        <f>$A$7</f>
        <v>10</v>
      </c>
      <c r="L188">
        <v>-1</v>
      </c>
      <c r="M188" t="s">
        <v>458</v>
      </c>
      <c r="N188" s="17">
        <f t="shared" si="70"/>
        <v>-183673.09754187489</v>
      </c>
      <c r="O188" t="s">
        <v>537</v>
      </c>
    </row>
    <row r="189" spans="2:15" x14ac:dyDescent="0.2">
      <c r="B189" s="55"/>
      <c r="C189" t="s">
        <v>269</v>
      </c>
      <c r="D189" s="88">
        <v>1.2700000000000001E-3</v>
      </c>
      <c r="E189" s="75" t="s">
        <v>374</v>
      </c>
      <c r="F189">
        <v>3.0599999999999998E-3</v>
      </c>
      <c r="G189">
        <v>1.2700000000000001E-3</v>
      </c>
      <c r="H189">
        <v>1.2700000000000001E-3</v>
      </c>
      <c r="I189">
        <v>1.2700000000000001E-3</v>
      </c>
      <c r="J189">
        <v>1.2700000000000001E-3</v>
      </c>
      <c r="K189">
        <v>0</v>
      </c>
      <c r="L189">
        <v>0</v>
      </c>
      <c r="M189" t="s">
        <v>458</v>
      </c>
      <c r="N189" s="17">
        <f t="shared" si="70"/>
        <v>0</v>
      </c>
      <c r="O189" t="s">
        <v>537</v>
      </c>
    </row>
    <row r="190" spans="2:15" x14ac:dyDescent="0.2">
      <c r="B190" s="55"/>
      <c r="C190" t="s">
        <v>270</v>
      </c>
      <c r="D190" s="88">
        <v>1.2700000000000001E-3</v>
      </c>
      <c r="E190" s="75" t="s">
        <v>375</v>
      </c>
      <c r="F190">
        <v>0</v>
      </c>
      <c r="G190">
        <v>1.2700000000000001E-3</v>
      </c>
      <c r="H190">
        <v>1.2700000000000001E-3</v>
      </c>
      <c r="I190">
        <v>1.2700000000000001E-3</v>
      </c>
      <c r="J190">
        <v>1.2700000000000001E-3</v>
      </c>
      <c r="K190">
        <f>$A$6</f>
        <v>100</v>
      </c>
      <c r="L190">
        <v>-1</v>
      </c>
      <c r="M190" t="s">
        <v>459</v>
      </c>
      <c r="N190" s="17">
        <f t="shared" si="70"/>
        <v>-172311.34081156101</v>
      </c>
      <c r="O190" t="s">
        <v>537</v>
      </c>
    </row>
    <row r="191" spans="2:15" x14ac:dyDescent="0.2">
      <c r="B191" s="55"/>
      <c r="C191" t="s">
        <v>271</v>
      </c>
      <c r="D191" s="88">
        <v>0.12681999999999999</v>
      </c>
      <c r="E191" s="75" t="s">
        <v>376</v>
      </c>
      <c r="F191">
        <v>3.0602</v>
      </c>
      <c r="G191">
        <v>0.12681999999999999</v>
      </c>
      <c r="H191">
        <v>0.12681999999999999</v>
      </c>
      <c r="I191">
        <v>0.12681999999999999</v>
      </c>
      <c r="J191">
        <v>0.12681999999999999</v>
      </c>
      <c r="K191">
        <v>0</v>
      </c>
      <c r="L191">
        <v>0</v>
      </c>
      <c r="M191" t="s">
        <v>460</v>
      </c>
      <c r="N191" s="17">
        <f t="shared" si="70"/>
        <v>0</v>
      </c>
      <c r="O191" t="s">
        <v>537</v>
      </c>
    </row>
    <row r="192" spans="2:15" x14ac:dyDescent="0.2">
      <c r="B192" s="55"/>
      <c r="C192" t="s">
        <v>272</v>
      </c>
      <c r="D192" s="88">
        <v>1.26824</v>
      </c>
      <c r="E192" t="s">
        <v>377</v>
      </c>
      <c r="F192">
        <v>3.0599999999999998E-3</v>
      </c>
      <c r="G192">
        <v>1.26824</v>
      </c>
      <c r="H192">
        <v>1.26824</v>
      </c>
      <c r="I192">
        <v>1.26824</v>
      </c>
      <c r="J192">
        <v>1.26824</v>
      </c>
      <c r="K192">
        <v>0</v>
      </c>
      <c r="L192">
        <v>0</v>
      </c>
      <c r="M192" t="s">
        <v>461</v>
      </c>
      <c r="N192" s="17">
        <f t="shared" si="70"/>
        <v>0</v>
      </c>
      <c r="O192" t="s">
        <v>537</v>
      </c>
    </row>
    <row r="193" spans="2:15" x14ac:dyDescent="0.2">
      <c r="B193" s="55"/>
      <c r="C193" t="s">
        <v>273</v>
      </c>
      <c r="D193" s="88">
        <v>1.2999999999999999E-4</v>
      </c>
      <c r="E193" t="s">
        <v>378</v>
      </c>
      <c r="F193">
        <v>3.0602</v>
      </c>
      <c r="G193">
        <v>1.2999999999999999E-4</v>
      </c>
      <c r="H193">
        <v>1.2999999999999999E-4</v>
      </c>
      <c r="I193">
        <v>1.2999999999999999E-4</v>
      </c>
      <c r="J193">
        <v>1.2999999999999999E-4</v>
      </c>
      <c r="K193">
        <f>$A$7</f>
        <v>10</v>
      </c>
      <c r="L193">
        <v>-1</v>
      </c>
      <c r="M193" t="s">
        <v>462</v>
      </c>
      <c r="N193" s="17">
        <f t="shared" si="70"/>
        <v>-166454605.83729652</v>
      </c>
      <c r="O193" t="s">
        <v>537</v>
      </c>
    </row>
    <row r="194" spans="2:15" x14ac:dyDescent="0.2">
      <c r="B194" s="55"/>
      <c r="C194" t="s">
        <v>274</v>
      </c>
      <c r="D194" s="88">
        <v>1.2999999999999999E-4</v>
      </c>
      <c r="E194" t="s">
        <v>379</v>
      </c>
      <c r="F194">
        <v>3.1E-4</v>
      </c>
      <c r="G194">
        <v>1.2999999999999999E-4</v>
      </c>
      <c r="H194">
        <v>1.2999999999999999E-4</v>
      </c>
      <c r="I194">
        <v>1.2999999999999999E-4</v>
      </c>
      <c r="J194">
        <v>1.2999999999999999E-4</v>
      </c>
      <c r="K194">
        <v>0</v>
      </c>
      <c r="L194">
        <v>0</v>
      </c>
      <c r="M194" t="s">
        <v>463</v>
      </c>
      <c r="N194" s="17">
        <f t="shared" si="70"/>
        <v>0</v>
      </c>
      <c r="O194" t="s">
        <v>537</v>
      </c>
    </row>
    <row r="195" spans="2:15" x14ac:dyDescent="0.2">
      <c r="B195" s="55"/>
      <c r="C195" t="s">
        <v>275</v>
      </c>
      <c r="D195" s="88">
        <v>1.26824</v>
      </c>
      <c r="E195" t="s">
        <v>377</v>
      </c>
      <c r="F195">
        <v>3.0599999999999998E-3</v>
      </c>
      <c r="G195">
        <v>1.26824</v>
      </c>
      <c r="H195">
        <v>1.26824</v>
      </c>
      <c r="I195">
        <v>1.26824</v>
      </c>
      <c r="J195">
        <v>1.26824</v>
      </c>
      <c r="K195">
        <f>$A$6</f>
        <v>100</v>
      </c>
      <c r="L195">
        <v>-1</v>
      </c>
      <c r="M195" t="s">
        <v>461</v>
      </c>
      <c r="N195" s="17">
        <f t="shared" si="70"/>
        <v>-173736966.77701199</v>
      </c>
      <c r="O195" t="s">
        <v>537</v>
      </c>
    </row>
    <row r="196" spans="2:15" x14ac:dyDescent="0.2">
      <c r="B196" s="55"/>
      <c r="C196" t="s">
        <v>276</v>
      </c>
      <c r="D196" s="88">
        <v>1.26824</v>
      </c>
      <c r="E196" t="s">
        <v>377</v>
      </c>
      <c r="F196">
        <v>3.0599999999999998E-3</v>
      </c>
      <c r="G196">
        <v>1.26824</v>
      </c>
      <c r="H196">
        <v>1.26824</v>
      </c>
      <c r="I196">
        <v>1.26824</v>
      </c>
      <c r="J196">
        <v>1.26824</v>
      </c>
      <c r="K196">
        <f>$A$6</f>
        <v>100</v>
      </c>
      <c r="L196">
        <v>-1</v>
      </c>
      <c r="M196" t="s">
        <v>461</v>
      </c>
      <c r="N196" s="17">
        <f t="shared" si="70"/>
        <v>-173736966.77701199</v>
      </c>
      <c r="O196" t="s">
        <v>537</v>
      </c>
    </row>
    <row r="197" spans="2:15" x14ac:dyDescent="0.2">
      <c r="B197" s="55"/>
      <c r="C197" t="s">
        <v>277</v>
      </c>
      <c r="D197" s="88">
        <v>1.2700000000000001E-3</v>
      </c>
      <c r="E197" t="s">
        <v>380</v>
      </c>
      <c r="F197">
        <v>3.1E-4</v>
      </c>
      <c r="G197">
        <v>1.2700000000000001E-3</v>
      </c>
      <c r="H197">
        <v>1.2700000000000001E-3</v>
      </c>
      <c r="I197">
        <v>1.2700000000000001E-3</v>
      </c>
      <c r="J197">
        <v>1.2700000000000001E-3</v>
      </c>
      <c r="K197">
        <f>$A$6</f>
        <v>100</v>
      </c>
      <c r="L197">
        <v>-1</v>
      </c>
      <c r="M197" t="s">
        <v>464</v>
      </c>
      <c r="N197" s="17">
        <f t="shared" si="70"/>
        <v>-340929.01621294272</v>
      </c>
      <c r="O197" t="s">
        <v>537</v>
      </c>
    </row>
    <row r="198" spans="2:15" x14ac:dyDescent="0.2">
      <c r="B198" s="55"/>
      <c r="C198" t="s">
        <v>278</v>
      </c>
      <c r="D198" s="88">
        <v>1.26824</v>
      </c>
      <c r="E198" t="s">
        <v>381</v>
      </c>
      <c r="F198">
        <v>3.0602</v>
      </c>
      <c r="G198">
        <v>1.26824</v>
      </c>
      <c r="H198">
        <v>1.26824</v>
      </c>
      <c r="I198">
        <v>1.26824</v>
      </c>
      <c r="J198">
        <v>1.26824</v>
      </c>
      <c r="K198">
        <f>$A$6</f>
        <v>100</v>
      </c>
      <c r="L198">
        <v>-1</v>
      </c>
      <c r="M198" t="s">
        <v>465</v>
      </c>
      <c r="N198" s="17">
        <f t="shared" ref="N198:N229" si="71">((SUM($B$134,$B$145)*D198)+(SUM(B$135,B$146)*F198)+(SUM(B$136:B$139)*G198)+(B$140*H198)+(SUM(B$141:B$144,B$148:B$151)*I198)+(B$147*J198))*K198*L198</f>
        <v>-1836600967.3466258</v>
      </c>
      <c r="O198" t="s">
        <v>537</v>
      </c>
    </row>
    <row r="199" spans="2:15" x14ac:dyDescent="0.2">
      <c r="B199" s="55"/>
      <c r="C199" t="s">
        <v>330</v>
      </c>
      <c r="D199" s="88">
        <v>1.2999999999999999E-4</v>
      </c>
      <c r="E199" t="s">
        <v>382</v>
      </c>
      <c r="F199">
        <v>3.1E-4</v>
      </c>
      <c r="G199">
        <v>1.2999999999999999E-4</v>
      </c>
      <c r="H199">
        <v>1.2999999999999999E-4</v>
      </c>
      <c r="I199">
        <v>1.2999999999999999E-4</v>
      </c>
      <c r="J199">
        <v>1.2999999999999999E-4</v>
      </c>
      <c r="K199">
        <f>$A$7</f>
        <v>10</v>
      </c>
      <c r="L199">
        <v>-1</v>
      </c>
      <c r="M199" t="s">
        <v>466</v>
      </c>
      <c r="N199" s="17">
        <f t="shared" si="71"/>
        <v>-18625.584414587225</v>
      </c>
      <c r="O199" t="s">
        <v>537</v>
      </c>
    </row>
    <row r="200" spans="2:15" x14ac:dyDescent="0.2">
      <c r="B200" s="55"/>
      <c r="C200" t="s">
        <v>279</v>
      </c>
      <c r="D200" s="88">
        <v>1.2999999999999999E-4</v>
      </c>
      <c r="E200" t="s">
        <v>382</v>
      </c>
      <c r="F200">
        <v>3.1E-4</v>
      </c>
      <c r="G200">
        <v>1.2999999999999999E-4</v>
      </c>
      <c r="H200">
        <v>1.2999999999999999E-4</v>
      </c>
      <c r="I200">
        <v>1.2999999999999999E-4</v>
      </c>
      <c r="J200">
        <v>1.2999999999999999E-4</v>
      </c>
      <c r="K200">
        <f>$A$7</f>
        <v>10</v>
      </c>
      <c r="L200">
        <v>-1</v>
      </c>
      <c r="M200" t="s">
        <v>466</v>
      </c>
      <c r="N200" s="17">
        <f t="shared" si="71"/>
        <v>-18625.584414587225</v>
      </c>
      <c r="O200" t="s">
        <v>537</v>
      </c>
    </row>
    <row r="201" spans="2:15" x14ac:dyDescent="0.2">
      <c r="B201" s="55"/>
      <c r="C201" t="s">
        <v>280</v>
      </c>
      <c r="D201" s="88">
        <v>1.2999999999999999E-4</v>
      </c>
      <c r="E201" t="s">
        <v>382</v>
      </c>
      <c r="F201">
        <v>3.0599999999999998E-3</v>
      </c>
      <c r="G201">
        <v>1.2999999999999999E-4</v>
      </c>
      <c r="H201">
        <v>1.2999999999999999E-4</v>
      </c>
      <c r="I201">
        <v>1.2999999999999999E-4</v>
      </c>
      <c r="J201">
        <v>1.2999999999999999E-4</v>
      </c>
      <c r="K201">
        <v>0</v>
      </c>
      <c r="L201">
        <v>0</v>
      </c>
      <c r="M201" t="s">
        <v>466</v>
      </c>
      <c r="N201" s="17">
        <f t="shared" si="71"/>
        <v>0</v>
      </c>
      <c r="O201" t="s">
        <v>537</v>
      </c>
    </row>
    <row r="202" spans="2:15" x14ac:dyDescent="0.2">
      <c r="B202" s="55"/>
      <c r="C202" t="s">
        <v>331</v>
      </c>
      <c r="D202" s="88">
        <v>1.2700000000000001E-3</v>
      </c>
      <c r="E202" t="s">
        <v>383</v>
      </c>
      <c r="F202">
        <v>3.0599999999999998E-3</v>
      </c>
      <c r="G202">
        <v>1.2700000000000001E-3</v>
      </c>
      <c r="H202">
        <v>1.2700000000000001E-3</v>
      </c>
      <c r="I202">
        <v>1.2700000000000001E-3</v>
      </c>
      <c r="J202">
        <v>1.2700000000000001E-3</v>
      </c>
      <c r="K202">
        <v>0</v>
      </c>
      <c r="L202">
        <v>0</v>
      </c>
      <c r="M202" t="s">
        <v>467</v>
      </c>
      <c r="N202" s="17">
        <f t="shared" si="71"/>
        <v>0</v>
      </c>
      <c r="O202" t="s">
        <v>537</v>
      </c>
    </row>
    <row r="203" spans="2:15" x14ac:dyDescent="0.2">
      <c r="B203" s="55"/>
      <c r="C203" t="s">
        <v>281</v>
      </c>
      <c r="D203" s="88">
        <v>1.2999999999999999E-4</v>
      </c>
      <c r="E203" t="s">
        <v>384</v>
      </c>
      <c r="F203">
        <v>3.1E-4</v>
      </c>
      <c r="G203">
        <v>1.2999999999999999E-4</v>
      </c>
      <c r="H203">
        <v>1.2999999999999999E-4</v>
      </c>
      <c r="I203">
        <v>1.2999999999999999E-4</v>
      </c>
      <c r="J203">
        <v>1.2999999999999999E-4</v>
      </c>
      <c r="K203">
        <f>$A$7</f>
        <v>10</v>
      </c>
      <c r="L203">
        <v>-1</v>
      </c>
      <c r="M203" t="s">
        <v>468</v>
      </c>
      <c r="N203" s="17">
        <f t="shared" si="71"/>
        <v>-18625.584414587225</v>
      </c>
      <c r="O203" t="s">
        <v>537</v>
      </c>
    </row>
    <row r="204" spans="2:15" x14ac:dyDescent="0.2">
      <c r="B204" s="55"/>
      <c r="C204" t="s">
        <v>282</v>
      </c>
      <c r="D204" s="88">
        <v>0.12681999999999999</v>
      </c>
      <c r="E204" t="s">
        <v>385</v>
      </c>
      <c r="F204">
        <v>0.30602000000000001</v>
      </c>
      <c r="G204">
        <v>0.12681999999999999</v>
      </c>
      <c r="H204">
        <v>0.12681999999999999</v>
      </c>
      <c r="I204">
        <v>0.12681999999999999</v>
      </c>
      <c r="J204">
        <v>0.12681999999999999</v>
      </c>
      <c r="K204">
        <v>0</v>
      </c>
      <c r="L204">
        <v>0</v>
      </c>
      <c r="M204" t="s">
        <v>469</v>
      </c>
      <c r="N204" s="17">
        <f t="shared" si="71"/>
        <v>0</v>
      </c>
      <c r="O204" t="s">
        <v>537</v>
      </c>
    </row>
    <row r="205" spans="2:15" x14ac:dyDescent="0.2">
      <c r="B205" s="55"/>
      <c r="C205" t="s">
        <v>332</v>
      </c>
      <c r="D205" s="88">
        <v>1.268E-2</v>
      </c>
      <c r="E205" t="s">
        <v>386</v>
      </c>
      <c r="F205">
        <v>3.0599999999999998E-3</v>
      </c>
      <c r="G205">
        <v>1.268E-2</v>
      </c>
      <c r="H205">
        <v>1.268E-2</v>
      </c>
      <c r="I205">
        <v>1.268E-2</v>
      </c>
      <c r="J205">
        <v>1.268E-2</v>
      </c>
      <c r="K205">
        <v>0</v>
      </c>
      <c r="L205">
        <v>0</v>
      </c>
      <c r="M205" t="s">
        <v>470</v>
      </c>
      <c r="N205" s="17">
        <f t="shared" si="71"/>
        <v>0</v>
      </c>
      <c r="O205" t="s">
        <v>537</v>
      </c>
    </row>
    <row r="206" spans="2:15" x14ac:dyDescent="0.2">
      <c r="B206" s="55"/>
      <c r="C206" t="s">
        <v>283</v>
      </c>
      <c r="D206" s="88">
        <v>1.2700000000000001E-3</v>
      </c>
      <c r="E206" t="s">
        <v>387</v>
      </c>
      <c r="F206">
        <v>3.0599999999999998E-3</v>
      </c>
      <c r="G206">
        <v>1.2700000000000001E-3</v>
      </c>
      <c r="H206">
        <v>1.2700000000000001E-3</v>
      </c>
      <c r="I206">
        <v>1.2700000000000001E-3</v>
      </c>
      <c r="J206">
        <v>1.2700000000000001E-3</v>
      </c>
      <c r="K206">
        <f>$A$7</f>
        <v>10</v>
      </c>
      <c r="L206">
        <v>-1</v>
      </c>
      <c r="M206" t="s">
        <v>471</v>
      </c>
      <c r="N206" s="17">
        <f t="shared" si="71"/>
        <v>-183673.09754187489</v>
      </c>
      <c r="O206" t="s">
        <v>537</v>
      </c>
    </row>
    <row r="207" spans="2:15" x14ac:dyDescent="0.2">
      <c r="B207" s="55"/>
      <c r="C207" t="s">
        <v>284</v>
      </c>
      <c r="D207" s="88">
        <v>1.2999999999999999E-4</v>
      </c>
      <c r="E207" t="s">
        <v>388</v>
      </c>
      <c r="F207">
        <v>3.0602</v>
      </c>
      <c r="G207">
        <v>1.2999999999999999E-4</v>
      </c>
      <c r="H207">
        <v>1.2999999999999999E-4</v>
      </c>
      <c r="I207">
        <v>1.2999999999999999E-4</v>
      </c>
      <c r="J207">
        <v>1.2999999999999999E-4</v>
      </c>
      <c r="K207">
        <f>$A$7</f>
        <v>10</v>
      </c>
      <c r="L207">
        <v>-1</v>
      </c>
      <c r="M207" t="s">
        <v>472</v>
      </c>
      <c r="N207" s="17">
        <f t="shared" si="71"/>
        <v>-166454605.83729652</v>
      </c>
      <c r="O207" t="s">
        <v>537</v>
      </c>
    </row>
    <row r="208" spans="2:15" x14ac:dyDescent="0.2">
      <c r="B208" s="55"/>
      <c r="C208" t="s">
        <v>285</v>
      </c>
      <c r="D208" s="88">
        <v>1.2700000000000001E-3</v>
      </c>
      <c r="E208" t="s">
        <v>389</v>
      </c>
      <c r="F208">
        <v>3.0599999999999998E-3</v>
      </c>
      <c r="G208">
        <v>1.2700000000000001E-3</v>
      </c>
      <c r="H208">
        <v>1.2700000000000001E-3</v>
      </c>
      <c r="I208">
        <v>1.2700000000000001E-3</v>
      </c>
      <c r="J208">
        <v>1.2700000000000001E-3</v>
      </c>
      <c r="K208">
        <f>$A$7</f>
        <v>10</v>
      </c>
      <c r="L208">
        <v>-1</v>
      </c>
      <c r="M208" t="s">
        <v>473</v>
      </c>
      <c r="N208" s="17">
        <f t="shared" si="71"/>
        <v>-183673.09754187489</v>
      </c>
      <c r="O208" t="s">
        <v>537</v>
      </c>
    </row>
    <row r="209" spans="2:15" x14ac:dyDescent="0.2">
      <c r="B209" s="55"/>
      <c r="C209" t="s">
        <v>286</v>
      </c>
      <c r="D209" s="88">
        <v>1.268E-2</v>
      </c>
      <c r="E209" t="s">
        <v>390</v>
      </c>
      <c r="F209">
        <v>3.0599999999999998E-3</v>
      </c>
      <c r="G209">
        <v>1.268E-2</v>
      </c>
      <c r="H209">
        <v>1.268E-2</v>
      </c>
      <c r="I209">
        <v>1.268E-2</v>
      </c>
      <c r="J209">
        <v>1.268E-2</v>
      </c>
      <c r="K209">
        <f>$A$6</f>
        <v>100</v>
      </c>
      <c r="L209">
        <v>-1</v>
      </c>
      <c r="M209" t="s">
        <v>474</v>
      </c>
      <c r="N209" s="17">
        <f t="shared" si="71"/>
        <v>-3384819.4783005682</v>
      </c>
      <c r="O209" t="s">
        <v>537</v>
      </c>
    </row>
    <row r="210" spans="2:15" x14ac:dyDescent="0.2">
      <c r="B210" s="55"/>
      <c r="C210" t="s">
        <v>287</v>
      </c>
      <c r="D210" s="88">
        <v>1.2700000000000001E-3</v>
      </c>
      <c r="E210" t="s">
        <v>391</v>
      </c>
      <c r="F210">
        <v>3.0599999999999998E-3</v>
      </c>
      <c r="G210">
        <v>1.2700000000000001E-3</v>
      </c>
      <c r="H210">
        <v>1.2700000000000001E-3</v>
      </c>
      <c r="I210">
        <v>1.2700000000000001E-3</v>
      </c>
      <c r="J210">
        <v>1.2700000000000001E-3</v>
      </c>
      <c r="K210">
        <f>$A$6</f>
        <v>100</v>
      </c>
      <c r="L210">
        <v>-1</v>
      </c>
      <c r="M210" t="s">
        <v>475</v>
      </c>
      <c r="N210" s="17">
        <f t="shared" si="71"/>
        <v>-1836730.9754187488</v>
      </c>
      <c r="O210" t="s">
        <v>537</v>
      </c>
    </row>
    <row r="211" spans="2:15" x14ac:dyDescent="0.2">
      <c r="B211" s="55"/>
      <c r="C211" t="s">
        <v>288</v>
      </c>
      <c r="D211" s="88">
        <v>1.2700000000000001E-3</v>
      </c>
      <c r="E211" t="s">
        <v>392</v>
      </c>
      <c r="F211">
        <v>3.0599999999999998E-3</v>
      </c>
      <c r="G211">
        <v>1.2700000000000001E-3</v>
      </c>
      <c r="H211">
        <v>1.2700000000000001E-3</v>
      </c>
      <c r="I211">
        <v>1.2700000000000001E-3</v>
      </c>
      <c r="J211">
        <v>1.2700000000000001E-3</v>
      </c>
      <c r="K211">
        <f>$A$6</f>
        <v>100</v>
      </c>
      <c r="L211">
        <v>-1</v>
      </c>
      <c r="M211" t="s">
        <v>476</v>
      </c>
      <c r="N211" s="17">
        <f t="shared" si="71"/>
        <v>-1836730.9754187488</v>
      </c>
      <c r="O211" t="s">
        <v>537</v>
      </c>
    </row>
    <row r="212" spans="2:15" x14ac:dyDescent="0.2">
      <c r="B212" s="55"/>
      <c r="C212" t="s">
        <v>333</v>
      </c>
      <c r="D212" s="88">
        <v>1.2700000000000001E-3</v>
      </c>
      <c r="E212" t="s">
        <v>340</v>
      </c>
      <c r="F212">
        <v>3.0599999999999998E-3</v>
      </c>
      <c r="G212">
        <v>1.2700000000000001E-3</v>
      </c>
      <c r="H212">
        <v>1.2999999999999999E-4</v>
      </c>
      <c r="I212">
        <v>1.2700000000000001E-3</v>
      </c>
      <c r="J212">
        <v>1.2700000000000001E-3</v>
      </c>
      <c r="K212">
        <f>$A$7</f>
        <v>10</v>
      </c>
      <c r="L212">
        <v>-1</v>
      </c>
      <c r="M212" t="s">
        <v>424</v>
      </c>
      <c r="N212" s="17">
        <f t="shared" si="71"/>
        <v>-180877.29238782416</v>
      </c>
      <c r="O212" t="s">
        <v>537</v>
      </c>
    </row>
    <row r="213" spans="2:15" x14ac:dyDescent="0.2">
      <c r="B213" s="55"/>
      <c r="C213" t="s">
        <v>334</v>
      </c>
      <c r="D213" s="88">
        <v>1.268E-2</v>
      </c>
      <c r="E213" t="s">
        <v>393</v>
      </c>
      <c r="F213">
        <v>3.0599999999999999E-2</v>
      </c>
      <c r="G213">
        <v>1.268E-2</v>
      </c>
      <c r="H213">
        <v>1.268E-2</v>
      </c>
      <c r="I213">
        <v>1.268E-2</v>
      </c>
      <c r="J213">
        <v>1.268E-2</v>
      </c>
      <c r="K213">
        <v>0</v>
      </c>
      <c r="L213">
        <v>0</v>
      </c>
      <c r="M213" t="s">
        <v>477</v>
      </c>
      <c r="N213" s="17">
        <f t="shared" si="71"/>
        <v>0</v>
      </c>
      <c r="O213" t="s">
        <v>537</v>
      </c>
    </row>
    <row r="214" spans="2:15" x14ac:dyDescent="0.2">
      <c r="B214" s="55"/>
      <c r="C214" t="s">
        <v>335</v>
      </c>
      <c r="D214" s="88">
        <v>1.2700000000000001E-3</v>
      </c>
      <c r="E214" t="s">
        <v>394</v>
      </c>
      <c r="F214">
        <v>3.0599999999999998E-3</v>
      </c>
      <c r="G214">
        <v>1.268E-2</v>
      </c>
      <c r="H214">
        <v>1.2700000000000001E-3</v>
      </c>
      <c r="I214">
        <v>1.2700000000000001E-3</v>
      </c>
      <c r="J214">
        <v>1.2700000000000001E-3</v>
      </c>
      <c r="K214">
        <f>$A$7</f>
        <v>10</v>
      </c>
      <c r="L214">
        <v>-1</v>
      </c>
      <c r="M214" t="s">
        <v>478</v>
      </c>
      <c r="N214" s="17">
        <f t="shared" si="71"/>
        <v>-199650.85261095312</v>
      </c>
      <c r="O214" t="s">
        <v>537</v>
      </c>
    </row>
    <row r="215" spans="2:15" x14ac:dyDescent="0.2">
      <c r="B215" s="55"/>
      <c r="C215" t="s">
        <v>289</v>
      </c>
      <c r="D215" s="88">
        <v>1.2700000000000001E-3</v>
      </c>
      <c r="E215" t="s">
        <v>395</v>
      </c>
      <c r="F215">
        <v>0.30602000000000001</v>
      </c>
      <c r="G215">
        <v>1.2700000000000001E-3</v>
      </c>
      <c r="H215">
        <v>1.2700000000000001E-3</v>
      </c>
      <c r="I215">
        <v>1.2700000000000001E-3</v>
      </c>
      <c r="J215">
        <v>1.2700000000000001E-3</v>
      </c>
      <c r="K215">
        <f>$A$7</f>
        <v>10</v>
      </c>
      <c r="L215">
        <v>-1</v>
      </c>
      <c r="M215" t="s">
        <v>479</v>
      </c>
      <c r="N215" s="17">
        <f t="shared" si="71"/>
        <v>-16662515.336123368</v>
      </c>
      <c r="O215" t="s">
        <v>537</v>
      </c>
    </row>
    <row r="216" spans="2:15" x14ac:dyDescent="0.2">
      <c r="B216" s="55"/>
      <c r="C216" t="s">
        <v>290</v>
      </c>
      <c r="D216" s="88">
        <v>1.2999999999999999E-4</v>
      </c>
      <c r="E216" t="s">
        <v>396</v>
      </c>
      <c r="F216">
        <v>3.1E-4</v>
      </c>
      <c r="G216">
        <v>1.2999999999999999E-4</v>
      </c>
      <c r="H216">
        <v>1.2999999999999999E-4</v>
      </c>
      <c r="I216">
        <v>1.2999999999999999E-4</v>
      </c>
      <c r="J216">
        <v>1.2999999999999999E-4</v>
      </c>
      <c r="K216">
        <f>$A$7</f>
        <v>10</v>
      </c>
      <c r="L216">
        <v>-1</v>
      </c>
      <c r="M216" t="s">
        <v>480</v>
      </c>
      <c r="N216" s="17">
        <f t="shared" si="71"/>
        <v>-18625.584414587225</v>
      </c>
      <c r="O216" t="s">
        <v>537</v>
      </c>
    </row>
    <row r="217" spans="2:15" x14ac:dyDescent="0.2">
      <c r="B217" s="55"/>
      <c r="C217" t="s">
        <v>291</v>
      </c>
      <c r="D217" s="88">
        <v>1.2999999999999999E-4</v>
      </c>
      <c r="E217" t="s">
        <v>397</v>
      </c>
      <c r="F217">
        <v>3.1E-4</v>
      </c>
      <c r="G217">
        <v>1.2999999999999999E-4</v>
      </c>
      <c r="H217">
        <v>1.2999999999999999E-4</v>
      </c>
      <c r="I217">
        <v>1.2999999999999999E-4</v>
      </c>
      <c r="J217">
        <v>1.2999999999999999E-4</v>
      </c>
      <c r="K217">
        <f>$A$8</f>
        <v>1</v>
      </c>
      <c r="L217">
        <v>-1</v>
      </c>
      <c r="M217" t="s">
        <v>481</v>
      </c>
      <c r="N217" s="17">
        <f t="shared" si="71"/>
        <v>-1862.5584414587227</v>
      </c>
      <c r="O217" t="s">
        <v>537</v>
      </c>
    </row>
    <row r="218" spans="2:15" x14ac:dyDescent="0.2">
      <c r="B218" s="55"/>
      <c r="C218" t="s">
        <v>292</v>
      </c>
      <c r="D218" s="88">
        <v>1.268E-2</v>
      </c>
      <c r="E218" t="s">
        <v>360</v>
      </c>
      <c r="F218">
        <v>3.0599999999999998E-3</v>
      </c>
      <c r="G218">
        <v>1.268E-2</v>
      </c>
      <c r="H218">
        <v>1.268E-2</v>
      </c>
      <c r="I218">
        <v>1.268E-2</v>
      </c>
      <c r="J218">
        <v>1.268E-2</v>
      </c>
      <c r="K218">
        <f>$A$6</f>
        <v>100</v>
      </c>
      <c r="L218">
        <v>-1</v>
      </c>
      <c r="M218" t="s">
        <v>444</v>
      </c>
      <c r="N218" s="17">
        <f t="shared" si="71"/>
        <v>-3384819.4783005682</v>
      </c>
      <c r="O218" t="s">
        <v>537</v>
      </c>
    </row>
    <row r="219" spans="2:15" x14ac:dyDescent="0.2">
      <c r="B219" s="55"/>
      <c r="C219" t="s">
        <v>293</v>
      </c>
      <c r="D219" s="88">
        <v>1.26824</v>
      </c>
      <c r="E219" t="s">
        <v>398</v>
      </c>
      <c r="F219">
        <v>3.0599999999999998E-3</v>
      </c>
      <c r="G219">
        <v>1.26824</v>
      </c>
      <c r="H219">
        <v>1.26824</v>
      </c>
      <c r="I219">
        <v>1.26824</v>
      </c>
      <c r="J219">
        <v>1.26824</v>
      </c>
      <c r="K219">
        <f>$A$7</f>
        <v>10</v>
      </c>
      <c r="L219">
        <v>-1</v>
      </c>
      <c r="M219" t="s">
        <v>482</v>
      </c>
      <c r="N219" s="17">
        <f t="shared" si="71"/>
        <v>-17373696.677701198</v>
      </c>
      <c r="O219" t="s">
        <v>537</v>
      </c>
    </row>
    <row r="220" spans="2:15" x14ac:dyDescent="0.2">
      <c r="B220" s="55"/>
      <c r="C220" t="s">
        <v>294</v>
      </c>
      <c r="D220" s="88">
        <v>1.2999999999999999E-4</v>
      </c>
      <c r="E220" t="s">
        <v>399</v>
      </c>
      <c r="F220">
        <v>3.1E-4</v>
      </c>
      <c r="G220">
        <v>1.2999999999999999E-4</v>
      </c>
      <c r="H220">
        <v>1.2999999999999999E-4</v>
      </c>
      <c r="I220">
        <v>1.2999999999999999E-4</v>
      </c>
      <c r="J220">
        <v>1.2999999999999999E-4</v>
      </c>
      <c r="K220">
        <f>$A$8</f>
        <v>1</v>
      </c>
      <c r="L220">
        <v>-1</v>
      </c>
      <c r="M220" t="s">
        <v>483</v>
      </c>
      <c r="N220" s="17">
        <f t="shared" si="71"/>
        <v>-1862.5584414587227</v>
      </c>
      <c r="O220" t="s">
        <v>537</v>
      </c>
    </row>
    <row r="221" spans="2:15" x14ac:dyDescent="0.2">
      <c r="B221" s="55"/>
      <c r="C221" t="s">
        <v>336</v>
      </c>
      <c r="D221" s="88">
        <v>1.2700000000000001E-3</v>
      </c>
      <c r="E221" t="s">
        <v>400</v>
      </c>
      <c r="F221">
        <v>0</v>
      </c>
      <c r="G221">
        <v>1.2700000000000001E-3</v>
      </c>
      <c r="H221">
        <v>1.2700000000000001E-3</v>
      </c>
      <c r="I221">
        <v>1.2700000000000001E-3</v>
      </c>
      <c r="J221">
        <v>1.2700000000000001E-3</v>
      </c>
      <c r="K221">
        <f>$A$6</f>
        <v>100</v>
      </c>
      <c r="L221">
        <v>-1</v>
      </c>
      <c r="M221" t="s">
        <v>484</v>
      </c>
      <c r="N221" s="17">
        <f t="shared" si="71"/>
        <v>-172311.34081156101</v>
      </c>
      <c r="O221" t="s">
        <v>537</v>
      </c>
    </row>
    <row r="222" spans="2:15" x14ac:dyDescent="0.2">
      <c r="B222" s="55"/>
      <c r="C222" t="s">
        <v>295</v>
      </c>
      <c r="D222" s="88">
        <v>1.2999999999999999E-4</v>
      </c>
      <c r="E222" t="s">
        <v>401</v>
      </c>
      <c r="F222">
        <v>3.1E-4</v>
      </c>
      <c r="G222">
        <v>1.2999999999999999E-4</v>
      </c>
      <c r="H222">
        <v>1.2999999999999999E-4</v>
      </c>
      <c r="I222">
        <v>1.2999999999999999E-4</v>
      </c>
      <c r="J222">
        <v>1.2999999999999999E-4</v>
      </c>
      <c r="K222">
        <f>$A$6</f>
        <v>100</v>
      </c>
      <c r="L222">
        <v>-1</v>
      </c>
      <c r="M222" t="s">
        <v>485</v>
      </c>
      <c r="N222" s="17">
        <f t="shared" si="71"/>
        <v>-186255.84414587225</v>
      </c>
      <c r="O222" t="s">
        <v>537</v>
      </c>
    </row>
    <row r="223" spans="2:15" x14ac:dyDescent="0.2">
      <c r="B223" s="55"/>
      <c r="C223" t="s">
        <v>296</v>
      </c>
      <c r="D223" s="88">
        <v>1.26824</v>
      </c>
      <c r="E223" t="s">
        <v>402</v>
      </c>
      <c r="F223">
        <v>3.0599999999999998E-3</v>
      </c>
      <c r="G223">
        <v>1.26824</v>
      </c>
      <c r="H223">
        <v>1.26824</v>
      </c>
      <c r="I223">
        <v>1.26824</v>
      </c>
      <c r="J223">
        <v>1.26824</v>
      </c>
      <c r="K223">
        <f>$A$7</f>
        <v>10</v>
      </c>
      <c r="L223">
        <v>-1</v>
      </c>
      <c r="M223" t="s">
        <v>486</v>
      </c>
      <c r="N223" s="17">
        <f t="shared" si="71"/>
        <v>-17373696.677701198</v>
      </c>
      <c r="O223" t="s">
        <v>537</v>
      </c>
    </row>
    <row r="224" spans="2:15" x14ac:dyDescent="0.2">
      <c r="B224" s="55"/>
      <c r="C224" t="s">
        <v>297</v>
      </c>
      <c r="D224" s="88">
        <v>1.2999999999999999E-4</v>
      </c>
      <c r="E224" t="s">
        <v>403</v>
      </c>
      <c r="F224">
        <v>3.0599999999999998E-3</v>
      </c>
      <c r="G224">
        <v>1.2999999999999999E-4</v>
      </c>
      <c r="H224">
        <v>1.2999999999999999E-4</v>
      </c>
      <c r="I224">
        <v>1.2999999999999999E-4</v>
      </c>
      <c r="J224">
        <v>1.2999999999999999E-4</v>
      </c>
      <c r="K224">
        <f>$A$7</f>
        <v>10</v>
      </c>
      <c r="L224">
        <v>-1</v>
      </c>
      <c r="M224" t="s">
        <v>487</v>
      </c>
      <c r="N224" s="17">
        <f t="shared" si="71"/>
        <v>-168205.7803351678</v>
      </c>
      <c r="O224" t="s">
        <v>537</v>
      </c>
    </row>
    <row r="225" spans="2:15" x14ac:dyDescent="0.2">
      <c r="B225" s="55"/>
      <c r="C225" t="s">
        <v>298</v>
      </c>
      <c r="D225" s="88">
        <v>1.2700000000000001E-3</v>
      </c>
      <c r="E225" t="s">
        <v>394</v>
      </c>
      <c r="F225">
        <v>3.0599999999999998E-3</v>
      </c>
      <c r="G225">
        <v>1.2999999999999999E-4</v>
      </c>
      <c r="H225">
        <v>1.2999999999999999E-4</v>
      </c>
      <c r="I225">
        <v>1.2999999999999999E-4</v>
      </c>
      <c r="J225">
        <v>1.2999999999999999E-4</v>
      </c>
      <c r="K225">
        <f>$A$7</f>
        <v>10</v>
      </c>
      <c r="L225">
        <v>-1</v>
      </c>
      <c r="M225" t="s">
        <v>478</v>
      </c>
      <c r="N225" s="17">
        <f t="shared" si="71"/>
        <v>-173167.7663314559</v>
      </c>
      <c r="O225" t="s">
        <v>537</v>
      </c>
    </row>
    <row r="226" spans="2:15" x14ac:dyDescent="0.2">
      <c r="B226" s="55"/>
      <c r="C226" t="s">
        <v>299</v>
      </c>
      <c r="D226" s="88">
        <v>1.2999999999999999E-4</v>
      </c>
      <c r="E226" t="s">
        <v>404</v>
      </c>
      <c r="F226">
        <v>0.30602000000000001</v>
      </c>
      <c r="G226">
        <v>1.2999999999999999E-4</v>
      </c>
      <c r="H226">
        <v>1.2999999999999999E-4</v>
      </c>
      <c r="I226">
        <v>1.2999999999999999E-4</v>
      </c>
      <c r="J226">
        <v>1.2999999999999999E-4</v>
      </c>
      <c r="K226">
        <f>$A$7</f>
        <v>10</v>
      </c>
      <c r="L226">
        <v>-1</v>
      </c>
      <c r="M226" t="s">
        <v>488</v>
      </c>
      <c r="N226" s="17">
        <f t="shared" si="71"/>
        <v>-16647048.018916659</v>
      </c>
      <c r="O226" t="s">
        <v>537</v>
      </c>
    </row>
    <row r="227" spans="2:15" x14ac:dyDescent="0.2">
      <c r="B227" s="55"/>
      <c r="C227" t="s">
        <v>300</v>
      </c>
      <c r="D227" s="88">
        <v>0.12681999999999999</v>
      </c>
      <c r="E227" t="s">
        <v>405</v>
      </c>
      <c r="F227">
        <v>3.0599999999999998E-3</v>
      </c>
      <c r="G227">
        <v>0.12681999999999999</v>
      </c>
      <c r="H227">
        <v>0.12681999999999999</v>
      </c>
      <c r="I227">
        <v>0.12681999999999999</v>
      </c>
      <c r="J227">
        <v>0.12681999999999999</v>
      </c>
      <c r="K227">
        <f>$A$7</f>
        <v>10</v>
      </c>
      <c r="L227">
        <v>-1</v>
      </c>
      <c r="M227" t="s">
        <v>489</v>
      </c>
      <c r="N227" s="17">
        <f t="shared" si="71"/>
        <v>-1887113.1635963218</v>
      </c>
      <c r="O227" t="s">
        <v>537</v>
      </c>
    </row>
    <row r="228" spans="2:15" x14ac:dyDescent="0.2">
      <c r="B228" s="55"/>
      <c r="C228" t="s">
        <v>301</v>
      </c>
      <c r="D228" s="88">
        <v>1.2700000000000001E-3</v>
      </c>
      <c r="E228" t="s">
        <v>406</v>
      </c>
      <c r="F228">
        <v>0.30602000000000001</v>
      </c>
      <c r="G228">
        <v>1.2700000000000001E-3</v>
      </c>
      <c r="H228">
        <v>1.2700000000000001E-3</v>
      </c>
      <c r="I228">
        <v>1.2700000000000001E-3</v>
      </c>
      <c r="J228">
        <v>1.2700000000000001E-3</v>
      </c>
      <c r="K228">
        <f>$A$6</f>
        <v>100</v>
      </c>
      <c r="L228">
        <v>-1</v>
      </c>
      <c r="M228" t="s">
        <v>490</v>
      </c>
      <c r="N228" s="17">
        <f t="shared" si="71"/>
        <v>-166625153.36123368</v>
      </c>
      <c r="O228" t="s">
        <v>537</v>
      </c>
    </row>
    <row r="229" spans="2:15" x14ac:dyDescent="0.2">
      <c r="B229" s="55"/>
      <c r="C229" t="s">
        <v>302</v>
      </c>
      <c r="D229" s="88">
        <v>1.2700000000000001E-3</v>
      </c>
      <c r="E229" t="s">
        <v>407</v>
      </c>
      <c r="F229">
        <v>3.0599999999999998E-3</v>
      </c>
      <c r="G229">
        <v>1.2700000000000001E-3</v>
      </c>
      <c r="H229">
        <v>1.2700000000000001E-3</v>
      </c>
      <c r="I229">
        <v>1.2700000000000001E-3</v>
      </c>
      <c r="J229">
        <v>1.2700000000000001E-3</v>
      </c>
      <c r="K229">
        <f>$A$6</f>
        <v>100</v>
      </c>
      <c r="L229">
        <v>-1</v>
      </c>
      <c r="M229" t="s">
        <v>491</v>
      </c>
      <c r="N229" s="17">
        <f t="shared" si="71"/>
        <v>-1836730.9754187488</v>
      </c>
      <c r="O229" t="s">
        <v>537</v>
      </c>
    </row>
    <row r="230" spans="2:15" x14ac:dyDescent="0.2">
      <c r="B230" s="55"/>
      <c r="C230" t="s">
        <v>303</v>
      </c>
      <c r="D230" s="88">
        <v>1.2700000000000001E-3</v>
      </c>
      <c r="E230" t="s">
        <v>408</v>
      </c>
      <c r="F230">
        <v>3.0599999999999998E-3</v>
      </c>
      <c r="G230">
        <v>1.2700000000000001E-3</v>
      </c>
      <c r="H230">
        <v>1.2700000000000001E-3</v>
      </c>
      <c r="I230">
        <v>1.2700000000000001E-3</v>
      </c>
      <c r="J230">
        <v>1.2700000000000001E-3</v>
      </c>
      <c r="K230">
        <f>$A$7</f>
        <v>10</v>
      </c>
      <c r="L230">
        <v>-1</v>
      </c>
      <c r="M230" t="s">
        <v>492</v>
      </c>
      <c r="N230" s="17">
        <f t="shared" ref="N230:N239" si="72">((SUM($B$134,$B$145)*D230)+(SUM(B$135,B$146)*F230)+(SUM(B$136:B$139)*G230)+(B$140*H230)+(SUM(B$141:B$144,B$148:B$151)*I230)+(B$147*J230))*K230*L230</f>
        <v>-183673.09754187489</v>
      </c>
      <c r="O230" t="s">
        <v>537</v>
      </c>
    </row>
    <row r="231" spans="2:15" x14ac:dyDescent="0.2">
      <c r="B231" s="55"/>
      <c r="C231" t="s">
        <v>304</v>
      </c>
      <c r="D231" s="88">
        <v>1.26824</v>
      </c>
      <c r="E231" t="s">
        <v>409</v>
      </c>
      <c r="F231">
        <v>3.0602</v>
      </c>
      <c r="G231">
        <v>1.26824</v>
      </c>
      <c r="H231">
        <v>1.26824</v>
      </c>
      <c r="I231">
        <v>1.26824</v>
      </c>
      <c r="J231">
        <v>1.26824</v>
      </c>
      <c r="K231">
        <f>$A$6</f>
        <v>100</v>
      </c>
      <c r="L231">
        <v>-1</v>
      </c>
      <c r="M231" t="s">
        <v>493</v>
      </c>
      <c r="N231" s="17">
        <f t="shared" si="72"/>
        <v>-1836600967.3466258</v>
      </c>
      <c r="O231" t="s">
        <v>537</v>
      </c>
    </row>
    <row r="232" spans="2:15" x14ac:dyDescent="0.2">
      <c r="B232" s="55"/>
      <c r="C232" t="s">
        <v>305</v>
      </c>
      <c r="D232" s="88">
        <v>1.2700000000000001E-3</v>
      </c>
      <c r="E232" t="s">
        <v>410</v>
      </c>
      <c r="F232">
        <v>3.0599999999999998E-3</v>
      </c>
      <c r="G232">
        <v>1.2700000000000001E-3</v>
      </c>
      <c r="H232">
        <v>1.2700000000000001E-3</v>
      </c>
      <c r="I232">
        <v>1.2700000000000001E-3</v>
      </c>
      <c r="J232">
        <v>1.2700000000000001E-3</v>
      </c>
      <c r="K232">
        <f>$A$7</f>
        <v>10</v>
      </c>
      <c r="L232">
        <v>-1</v>
      </c>
      <c r="M232" t="s">
        <v>494</v>
      </c>
      <c r="N232" s="17">
        <f t="shared" si="72"/>
        <v>-183673.09754187489</v>
      </c>
      <c r="O232" t="s">
        <v>537</v>
      </c>
    </row>
    <row r="233" spans="2:15" x14ac:dyDescent="0.2">
      <c r="B233" s="55"/>
      <c r="C233" t="s">
        <v>306</v>
      </c>
      <c r="D233" s="88">
        <v>1.2700000000000001E-3</v>
      </c>
      <c r="E233" t="s">
        <v>411</v>
      </c>
      <c r="F233">
        <v>3.0599999999999998E-3</v>
      </c>
      <c r="G233">
        <v>1.2700000000000001E-3</v>
      </c>
      <c r="H233">
        <v>1.2700000000000001E-3</v>
      </c>
      <c r="I233">
        <v>1.2700000000000001E-3</v>
      </c>
      <c r="J233">
        <v>1.2700000000000001E-3</v>
      </c>
      <c r="K233">
        <f>$A$8</f>
        <v>1</v>
      </c>
      <c r="L233">
        <v>-1</v>
      </c>
      <c r="M233" t="s">
        <v>495</v>
      </c>
      <c r="N233" s="17">
        <f t="shared" si="72"/>
        <v>-18367.309754187489</v>
      </c>
      <c r="O233" t="s">
        <v>537</v>
      </c>
    </row>
    <row r="234" spans="2:15" x14ac:dyDescent="0.2">
      <c r="B234" s="55"/>
      <c r="C234" t="s">
        <v>307</v>
      </c>
      <c r="D234" s="88">
        <v>1.2700000000000001E-3</v>
      </c>
      <c r="E234" t="s">
        <v>411</v>
      </c>
      <c r="F234">
        <v>3.0599999999999998E-3</v>
      </c>
      <c r="G234">
        <v>1.2700000000000001E-3</v>
      </c>
      <c r="H234">
        <v>1.2700000000000001E-3</v>
      </c>
      <c r="I234">
        <v>1.2700000000000001E-3</v>
      </c>
      <c r="J234">
        <v>1.2700000000000001E-3</v>
      </c>
      <c r="K234">
        <f>$A$8</f>
        <v>1</v>
      </c>
      <c r="L234">
        <v>-1</v>
      </c>
      <c r="M234" t="s">
        <v>495</v>
      </c>
      <c r="N234" s="17">
        <f t="shared" si="72"/>
        <v>-18367.309754187489</v>
      </c>
      <c r="O234" t="s">
        <v>537</v>
      </c>
    </row>
    <row r="235" spans="2:15" x14ac:dyDescent="0.2">
      <c r="B235" s="55"/>
      <c r="C235" t="s">
        <v>337</v>
      </c>
      <c r="D235" s="88">
        <v>0.12681999999999999</v>
      </c>
      <c r="E235" t="s">
        <v>412</v>
      </c>
      <c r="F235">
        <v>3.0599999999999998E-3</v>
      </c>
      <c r="G235">
        <v>0.12681999999999999</v>
      </c>
      <c r="H235">
        <v>0.12681999999999999</v>
      </c>
      <c r="I235">
        <v>0.12681999999999999</v>
      </c>
      <c r="J235">
        <v>0.12681999999999999</v>
      </c>
      <c r="K235">
        <v>0</v>
      </c>
      <c r="L235">
        <v>0</v>
      </c>
      <c r="M235" t="s">
        <v>496</v>
      </c>
      <c r="N235" s="17">
        <f t="shared" si="72"/>
        <v>0</v>
      </c>
      <c r="O235" t="s">
        <v>537</v>
      </c>
    </row>
    <row r="236" spans="2:15" x14ac:dyDescent="0.2">
      <c r="B236" s="55"/>
      <c r="C236" t="s">
        <v>308</v>
      </c>
      <c r="D236" s="88">
        <v>1.2700000000000001E-3</v>
      </c>
      <c r="E236" t="s">
        <v>413</v>
      </c>
      <c r="F236">
        <v>3.0599999999999998E-3</v>
      </c>
      <c r="G236">
        <v>1.2700000000000001E-3</v>
      </c>
      <c r="H236">
        <v>1.2700000000000001E-3</v>
      </c>
      <c r="I236">
        <v>1.2700000000000001E-3</v>
      </c>
      <c r="J236">
        <v>1.2700000000000001E-3</v>
      </c>
      <c r="K236">
        <f>$A$7</f>
        <v>10</v>
      </c>
      <c r="L236">
        <v>-1</v>
      </c>
      <c r="M236" t="s">
        <v>497</v>
      </c>
      <c r="N236" s="17">
        <f t="shared" si="72"/>
        <v>-183673.09754187489</v>
      </c>
      <c r="O236" t="s">
        <v>537</v>
      </c>
    </row>
    <row r="237" spans="2:15" x14ac:dyDescent="0.2">
      <c r="B237" s="55"/>
      <c r="C237" t="s">
        <v>309</v>
      </c>
      <c r="D237" s="88">
        <v>1.2700000000000001E-3</v>
      </c>
      <c r="E237" t="s">
        <v>413</v>
      </c>
      <c r="F237">
        <v>3.0599999999999998E-3</v>
      </c>
      <c r="G237">
        <v>1.2700000000000001E-3</v>
      </c>
      <c r="H237">
        <v>1.2700000000000001E-3</v>
      </c>
      <c r="I237">
        <v>1.2700000000000001E-3</v>
      </c>
      <c r="J237">
        <v>1.2700000000000001E-3</v>
      </c>
      <c r="K237">
        <f>$A$7</f>
        <v>10</v>
      </c>
      <c r="L237">
        <v>-1</v>
      </c>
      <c r="M237" t="s">
        <v>497</v>
      </c>
      <c r="N237" s="17">
        <f t="shared" si="72"/>
        <v>-183673.09754187489</v>
      </c>
      <c r="O237" t="s">
        <v>537</v>
      </c>
    </row>
    <row r="238" spans="2:15" x14ac:dyDescent="0.2">
      <c r="B238" s="55"/>
      <c r="C238" t="s">
        <v>310</v>
      </c>
      <c r="D238" s="88">
        <v>1.2700000000000001E-3</v>
      </c>
      <c r="E238" t="s">
        <v>413</v>
      </c>
      <c r="F238">
        <v>3.0599999999999998E-3</v>
      </c>
      <c r="G238">
        <v>1.2700000000000001E-3</v>
      </c>
      <c r="H238">
        <v>1.2700000000000001E-3</v>
      </c>
      <c r="I238">
        <v>1.2700000000000001E-3</v>
      </c>
      <c r="J238">
        <v>1.2700000000000001E-3</v>
      </c>
      <c r="K238">
        <v>0</v>
      </c>
      <c r="L238">
        <v>0</v>
      </c>
      <c r="M238" t="s">
        <v>497</v>
      </c>
      <c r="N238" s="17">
        <f t="shared" si="72"/>
        <v>0</v>
      </c>
      <c r="O238" t="s">
        <v>537</v>
      </c>
    </row>
    <row r="239" spans="2:15" x14ac:dyDescent="0.2">
      <c r="B239" s="55"/>
      <c r="C239" t="s">
        <v>311</v>
      </c>
      <c r="D239" s="88">
        <v>1.2700000000000001E-3</v>
      </c>
      <c r="E239" t="s">
        <v>414</v>
      </c>
      <c r="F239">
        <v>3.1E-4</v>
      </c>
      <c r="G239">
        <v>1.2700000000000001E-3</v>
      </c>
      <c r="H239">
        <v>1.2700000000000001E-3</v>
      </c>
      <c r="I239">
        <v>1.2700000000000001E-3</v>
      </c>
      <c r="J239">
        <v>1.2700000000000001E-3</v>
      </c>
      <c r="K239">
        <f>$A$7</f>
        <v>10</v>
      </c>
      <c r="L239">
        <v>-1</v>
      </c>
      <c r="M239" t="s">
        <v>498</v>
      </c>
      <c r="N239" s="17">
        <f t="shared" si="72"/>
        <v>-34092.901621294273</v>
      </c>
      <c r="O239" t="s">
        <v>537</v>
      </c>
    </row>
    <row r="240" spans="2:15" x14ac:dyDescent="0.2">
      <c r="B240" s="55"/>
      <c r="C240" s="55"/>
      <c r="D240" s="88"/>
      <c r="E240" s="55"/>
    </row>
    <row r="241" spans="1:17" x14ac:dyDescent="0.2">
      <c r="B241" s="55"/>
      <c r="C241" s="55"/>
      <c r="D241" s="55"/>
      <c r="E241" s="55"/>
    </row>
    <row r="242" spans="1:17" ht="22" customHeight="1" x14ac:dyDescent="0.2">
      <c r="A242" s="372" t="s">
        <v>88</v>
      </c>
      <c r="B242" s="373"/>
      <c r="C242" s="373"/>
      <c r="D242" s="373"/>
      <c r="E242" s="373"/>
      <c r="F242" s="373"/>
      <c r="G242" s="373"/>
      <c r="H242" s="373"/>
      <c r="I242" s="373"/>
      <c r="J242" s="373"/>
      <c r="K242" s="373"/>
      <c r="L242" s="373"/>
      <c r="M242" s="373"/>
      <c r="N242" s="373"/>
      <c r="O242" s="373"/>
      <c r="P242" s="373"/>
      <c r="Q242" s="15"/>
    </row>
    <row r="243" spans="1:17" ht="22" customHeight="1" x14ac:dyDescent="0.2">
      <c r="A243" s="374"/>
      <c r="B243" s="375"/>
      <c r="C243" s="375"/>
      <c r="D243" s="375"/>
      <c r="E243" s="375"/>
      <c r="F243" s="375"/>
      <c r="G243" s="375"/>
      <c r="H243" s="375"/>
      <c r="I243" s="375"/>
      <c r="J243" s="375"/>
      <c r="K243" s="375"/>
      <c r="L243" s="375"/>
      <c r="M243" s="375"/>
      <c r="N243" s="375"/>
      <c r="O243" s="375"/>
      <c r="P243" s="375"/>
      <c r="Q243" s="15"/>
    </row>
    <row r="244" spans="1:17" ht="15" customHeight="1" x14ac:dyDescent="0.2">
      <c r="A244" s="358" t="s">
        <v>8</v>
      </c>
      <c r="B244" s="363" t="s">
        <v>1022</v>
      </c>
      <c r="C244" s="364" t="s">
        <v>503</v>
      </c>
      <c r="D244" s="364"/>
      <c r="E244" s="364"/>
      <c r="F244" s="79" t="s">
        <v>512</v>
      </c>
      <c r="G244" s="79" t="s">
        <v>10</v>
      </c>
      <c r="H244" s="79" t="s">
        <v>507</v>
      </c>
      <c r="I244" s="79" t="s">
        <v>514</v>
      </c>
      <c r="J244" s="328" t="s">
        <v>421</v>
      </c>
      <c r="K244" s="329"/>
      <c r="L244" s="330"/>
      <c r="M244" s="334" t="s">
        <v>28</v>
      </c>
      <c r="N244" s="335"/>
      <c r="O244" s="338" t="s">
        <v>420</v>
      </c>
      <c r="P244" s="339"/>
    </row>
    <row r="245" spans="1:17" x14ac:dyDescent="0.2">
      <c r="A245" s="358"/>
      <c r="B245" s="363"/>
      <c r="C245" s="371" t="s">
        <v>502</v>
      </c>
      <c r="D245" s="371"/>
      <c r="E245" s="371"/>
      <c r="F245" s="87" t="s">
        <v>509</v>
      </c>
      <c r="G245" s="90" t="s">
        <v>513</v>
      </c>
      <c r="H245" s="87" t="s">
        <v>506</v>
      </c>
      <c r="I245" s="7" t="s">
        <v>504</v>
      </c>
      <c r="J245" s="331"/>
      <c r="K245" s="332"/>
      <c r="L245" s="333"/>
      <c r="M245" s="336"/>
      <c r="N245" s="337"/>
      <c r="O245" s="340"/>
      <c r="P245" s="341"/>
    </row>
    <row r="246" spans="1:17" x14ac:dyDescent="0.2">
      <c r="A246" s="358"/>
      <c r="B246" s="363"/>
      <c r="C246" s="6" t="s">
        <v>317</v>
      </c>
      <c r="D246" s="58" t="s">
        <v>319</v>
      </c>
      <c r="E246" s="58" t="s">
        <v>5</v>
      </c>
      <c r="F246" s="58" t="s">
        <v>319</v>
      </c>
      <c r="G246" s="58" t="s">
        <v>319</v>
      </c>
      <c r="H246" s="58" t="s">
        <v>319</v>
      </c>
      <c r="I246" s="58" t="s">
        <v>319</v>
      </c>
      <c r="J246" s="64" t="s">
        <v>0</v>
      </c>
      <c r="K246" s="64" t="s">
        <v>499</v>
      </c>
      <c r="L246" s="64" t="s">
        <v>5</v>
      </c>
      <c r="M246" s="64" t="s">
        <v>0</v>
      </c>
      <c r="N246" s="58" t="s">
        <v>5</v>
      </c>
      <c r="O246" s="64" t="s">
        <v>0</v>
      </c>
      <c r="P246" s="58" t="s">
        <v>5</v>
      </c>
    </row>
    <row r="247" spans="1:17" ht="16" x14ac:dyDescent="0.2">
      <c r="A247" s="81" t="s">
        <v>185</v>
      </c>
      <c r="B247" s="82">
        <v>39567.707403916429</v>
      </c>
      <c r="C247" t="s">
        <v>225</v>
      </c>
      <c r="D247" s="88">
        <v>1.2999999999999999E-4</v>
      </c>
      <c r="E247" t="s">
        <v>338</v>
      </c>
      <c r="F247">
        <v>1.2999999999999999E-4</v>
      </c>
      <c r="G247">
        <v>1.2999999999999999E-4</v>
      </c>
      <c r="H247">
        <v>3.1E-4</v>
      </c>
      <c r="I247">
        <v>1.2999999999999999E-4</v>
      </c>
      <c r="J247">
        <f>$A$6</f>
        <v>100</v>
      </c>
      <c r="K247">
        <v>-1</v>
      </c>
      <c r="L247" t="s">
        <v>422</v>
      </c>
      <c r="M247" s="17">
        <f t="shared" ref="M247:M278" si="73">((SUM(B$247,B$248,B$252,B$256,B$259)*D247)+(SUM(B$249,B$253,B$260,B$264,B$265)*F247)+(SUM(B$250,B$254,B$261)*G247)+(SUM(B$251,B$255,B$262,B$257,B$258,B$263)*H247)+(SUM(B$258,B$263)*0.2*I247))*J247*K247</f>
        <v>-63945.781697750179</v>
      </c>
      <c r="N247" t="s">
        <v>537</v>
      </c>
      <c r="O247" s="69">
        <f>SUM(M247:M352)</f>
        <v>-2868215416.8040929</v>
      </c>
      <c r="P247" t="s">
        <v>537</v>
      </c>
    </row>
    <row r="248" spans="1:17" ht="16" x14ac:dyDescent="0.2">
      <c r="A248" s="81" t="s">
        <v>187</v>
      </c>
      <c r="B248" s="82">
        <v>15102.119112121116</v>
      </c>
      <c r="C248" t="s">
        <v>226</v>
      </c>
      <c r="D248" s="88">
        <v>1.2999999999999999E-4</v>
      </c>
      <c r="E248" t="s">
        <v>339</v>
      </c>
      <c r="F248">
        <v>1.2999999999999999E-4</v>
      </c>
      <c r="G248">
        <v>1.2999999999999999E-4</v>
      </c>
      <c r="H248">
        <v>3.1E-4</v>
      </c>
      <c r="I248">
        <v>1.2999999999999999E-4</v>
      </c>
      <c r="J248">
        <f>$A$7</f>
        <v>10</v>
      </c>
      <c r="K248">
        <v>-1</v>
      </c>
      <c r="L248" t="s">
        <v>423</v>
      </c>
      <c r="M248" s="17">
        <f t="shared" si="73"/>
        <v>-6394.5781697750181</v>
      </c>
      <c r="N248" t="s">
        <v>537</v>
      </c>
    </row>
    <row r="249" spans="1:17" ht="16" x14ac:dyDescent="0.2">
      <c r="A249" s="51" t="s">
        <v>191</v>
      </c>
      <c r="B249" s="82">
        <v>48040.365898811302</v>
      </c>
      <c r="C249" t="s">
        <v>227</v>
      </c>
      <c r="D249" s="88">
        <v>1.2700000000000001E-3</v>
      </c>
      <c r="E249" t="s">
        <v>340</v>
      </c>
      <c r="F249">
        <v>1.2700000000000001E-3</v>
      </c>
      <c r="G249">
        <v>1.2700000000000001E-3</v>
      </c>
      <c r="H249">
        <v>3.0599999999999998E-3</v>
      </c>
      <c r="I249">
        <v>1.2700000000000001E-3</v>
      </c>
      <c r="J249">
        <f>$A$7</f>
        <v>10</v>
      </c>
      <c r="K249">
        <v>-1</v>
      </c>
      <c r="L249" t="s">
        <v>424</v>
      </c>
      <c r="M249" s="17">
        <f t="shared" si="73"/>
        <v>-62986.93136858342</v>
      </c>
      <c r="N249" t="s">
        <v>537</v>
      </c>
    </row>
    <row r="250" spans="1:17" ht="16" x14ac:dyDescent="0.2">
      <c r="A250" s="51" t="s">
        <v>192</v>
      </c>
      <c r="B250" s="82">
        <v>264709.0438175461</v>
      </c>
      <c r="C250" t="s">
        <v>228</v>
      </c>
      <c r="D250" s="88">
        <v>0.12681999999999999</v>
      </c>
      <c r="E250" t="s">
        <v>341</v>
      </c>
      <c r="F250">
        <v>0.12681999999999999</v>
      </c>
      <c r="G250">
        <v>0.12681999999999999</v>
      </c>
      <c r="H250">
        <v>3.0599999999999998E-3</v>
      </c>
      <c r="I250">
        <v>0.12681999999999999</v>
      </c>
      <c r="J250">
        <f>$A$7</f>
        <v>10</v>
      </c>
      <c r="K250">
        <v>-1</v>
      </c>
      <c r="L250" t="s">
        <v>425</v>
      </c>
      <c r="M250" s="17">
        <f t="shared" si="73"/>
        <v>-1332587.5820330973</v>
      </c>
      <c r="N250" t="s">
        <v>537</v>
      </c>
    </row>
    <row r="251" spans="1:17" ht="16" x14ac:dyDescent="0.2">
      <c r="A251" s="51" t="s">
        <v>193</v>
      </c>
      <c r="B251" s="82">
        <v>44702.140687516621</v>
      </c>
      <c r="C251" t="s">
        <v>229</v>
      </c>
      <c r="D251" s="88">
        <v>1.268E-2</v>
      </c>
      <c r="E251" t="s">
        <v>342</v>
      </c>
      <c r="F251">
        <v>1.268E-2</v>
      </c>
      <c r="G251">
        <v>1.268E-2</v>
      </c>
      <c r="H251">
        <v>3.0599999999999998E-3</v>
      </c>
      <c r="I251">
        <v>1.268E-2</v>
      </c>
      <c r="J251">
        <f>$A$6</f>
        <v>100</v>
      </c>
      <c r="K251">
        <v>-1</v>
      </c>
      <c r="L251" t="s">
        <v>426</v>
      </c>
      <c r="M251" s="17">
        <f t="shared" si="73"/>
        <v>-1783684.0029795105</v>
      </c>
      <c r="N251" t="s">
        <v>537</v>
      </c>
    </row>
    <row r="252" spans="1:17" ht="16" x14ac:dyDescent="0.2">
      <c r="A252" s="81" t="s">
        <v>186</v>
      </c>
      <c r="B252" s="82">
        <v>24404.256089857226</v>
      </c>
      <c r="C252" t="s">
        <v>230</v>
      </c>
      <c r="D252" s="88">
        <v>0.12681999999999999</v>
      </c>
      <c r="E252" t="s">
        <v>343</v>
      </c>
      <c r="F252">
        <v>0.12681999999999999</v>
      </c>
      <c r="G252">
        <v>0.12681999999999999</v>
      </c>
      <c r="H252">
        <v>3.0602</v>
      </c>
      <c r="I252">
        <v>0.12681999999999999</v>
      </c>
      <c r="J252">
        <f>$A$6</f>
        <v>100</v>
      </c>
      <c r="K252">
        <v>-1</v>
      </c>
      <c r="L252" t="s">
        <v>427</v>
      </c>
      <c r="M252" s="17">
        <f t="shared" si="73"/>
        <v>-514300170.42576855</v>
      </c>
      <c r="N252" t="s">
        <v>537</v>
      </c>
    </row>
    <row r="253" spans="1:17" ht="16" x14ac:dyDescent="0.2">
      <c r="A253" s="51" t="s">
        <v>194</v>
      </c>
      <c r="B253" s="82">
        <v>48040.365898811302</v>
      </c>
      <c r="C253" t="s">
        <v>231</v>
      </c>
      <c r="D253" s="88">
        <v>0.12681999999999999</v>
      </c>
      <c r="E253" t="s">
        <v>344</v>
      </c>
      <c r="F253">
        <v>1.26824</v>
      </c>
      <c r="G253">
        <v>0.12681999999999999</v>
      </c>
      <c r="H253">
        <v>3.0599999999999998E-3</v>
      </c>
      <c r="I253">
        <v>1.268E-2</v>
      </c>
      <c r="J253">
        <f>$A$7</f>
        <v>10</v>
      </c>
      <c r="K253">
        <v>-1</v>
      </c>
      <c r="L253" t="s">
        <v>428</v>
      </c>
      <c r="M253" s="17">
        <f t="shared" si="73"/>
        <v>-5488709.1853443077</v>
      </c>
      <c r="N253" t="s">
        <v>537</v>
      </c>
    </row>
    <row r="254" spans="1:17" ht="16" x14ac:dyDescent="0.2">
      <c r="A254" s="51" t="s">
        <v>195</v>
      </c>
      <c r="B254" s="82">
        <v>102581.60973099656</v>
      </c>
      <c r="C254" t="s">
        <v>232</v>
      </c>
      <c r="D254" s="88">
        <v>1.2999999999999999E-4</v>
      </c>
      <c r="E254" t="s">
        <v>345</v>
      </c>
      <c r="F254">
        <v>1.2999999999999999E-4</v>
      </c>
      <c r="G254">
        <v>1.2999999999999999E-4</v>
      </c>
      <c r="H254">
        <v>3.1E-4</v>
      </c>
      <c r="I254">
        <v>1.2999999999999999E-4</v>
      </c>
      <c r="J254">
        <f>$A$7</f>
        <v>10</v>
      </c>
      <c r="K254">
        <v>-1</v>
      </c>
      <c r="L254" t="s">
        <v>429</v>
      </c>
      <c r="M254" s="17">
        <f t="shared" si="73"/>
        <v>-6394.5781697750181</v>
      </c>
      <c r="N254" t="s">
        <v>537</v>
      </c>
    </row>
    <row r="255" spans="1:17" ht="16" x14ac:dyDescent="0.2">
      <c r="A255" s="51" t="s">
        <v>196</v>
      </c>
      <c r="B255" s="82">
        <v>44702.140687516621</v>
      </c>
      <c r="C255" t="s">
        <v>233</v>
      </c>
      <c r="D255" s="88">
        <v>1.2999999999999999E-4</v>
      </c>
      <c r="E255" t="s">
        <v>345</v>
      </c>
      <c r="F255">
        <v>1.2999999999999999E-4</v>
      </c>
      <c r="G255">
        <v>1.2999999999999999E-4</v>
      </c>
      <c r="H255">
        <v>3.1E-4</v>
      </c>
      <c r="I255">
        <v>1.2999999999999999E-4</v>
      </c>
      <c r="J255">
        <f>$A$7</f>
        <v>10</v>
      </c>
      <c r="K255">
        <v>-1</v>
      </c>
      <c r="L255" t="s">
        <v>429</v>
      </c>
      <c r="M255" s="17">
        <f t="shared" si="73"/>
        <v>-6394.5781697750181</v>
      </c>
      <c r="N255" t="s">
        <v>537</v>
      </c>
    </row>
    <row r="256" spans="1:17" ht="16" x14ac:dyDescent="0.2">
      <c r="A256" s="81" t="s">
        <v>57</v>
      </c>
      <c r="B256" s="82">
        <v>24404.256089857226</v>
      </c>
      <c r="C256" t="s">
        <v>320</v>
      </c>
      <c r="D256" s="88">
        <v>0</v>
      </c>
      <c r="E256" t="s">
        <v>344</v>
      </c>
      <c r="F256">
        <v>0</v>
      </c>
      <c r="G256">
        <v>1.2999999999999999E-4</v>
      </c>
      <c r="H256">
        <v>0.30602000000000001</v>
      </c>
      <c r="I256">
        <v>1.2999999999999999E-4</v>
      </c>
      <c r="J256">
        <f>$A$6</f>
        <v>100</v>
      </c>
      <c r="K256">
        <v>-1</v>
      </c>
      <c r="L256" t="s">
        <v>428</v>
      </c>
      <c r="M256" s="17">
        <f t="shared" si="73"/>
        <v>-50154145.255007587</v>
      </c>
      <c r="N256" t="s">
        <v>537</v>
      </c>
    </row>
    <row r="257" spans="1:14" ht="16" x14ac:dyDescent="0.2">
      <c r="A257" s="51" t="s">
        <v>166</v>
      </c>
      <c r="B257" s="82">
        <v>818083.42264655035</v>
      </c>
      <c r="C257" t="s">
        <v>321</v>
      </c>
      <c r="D257" s="88">
        <v>0</v>
      </c>
      <c r="E257" t="s">
        <v>344</v>
      </c>
      <c r="F257">
        <v>0</v>
      </c>
      <c r="G257">
        <v>1.2999999999999999E-4</v>
      </c>
      <c r="H257">
        <v>0.30602000000000001</v>
      </c>
      <c r="I257">
        <v>1.2999999999999999E-4</v>
      </c>
      <c r="J257">
        <f>$A$6</f>
        <v>100</v>
      </c>
      <c r="K257">
        <v>-1</v>
      </c>
      <c r="L257" t="s">
        <v>428</v>
      </c>
      <c r="M257" s="17">
        <f t="shared" si="73"/>
        <v>-50154145.255007587</v>
      </c>
      <c r="N257" t="s">
        <v>537</v>
      </c>
    </row>
    <row r="258" spans="1:14" ht="16" x14ac:dyDescent="0.2">
      <c r="A258" s="51" t="s">
        <v>12</v>
      </c>
      <c r="B258" s="82">
        <v>439455.29709185945</v>
      </c>
      <c r="C258" t="s">
        <v>234</v>
      </c>
      <c r="D258" s="88">
        <v>0</v>
      </c>
      <c r="E258" t="s">
        <v>344</v>
      </c>
      <c r="F258">
        <v>0</v>
      </c>
      <c r="G258">
        <v>1.2999999999999999E-4</v>
      </c>
      <c r="H258">
        <v>0.30602000000000001</v>
      </c>
      <c r="I258">
        <v>1.2999999999999999E-4</v>
      </c>
      <c r="J258">
        <v>0</v>
      </c>
      <c r="K258">
        <v>0</v>
      </c>
      <c r="L258" t="s">
        <v>428</v>
      </c>
      <c r="M258" s="17">
        <f t="shared" si="73"/>
        <v>0</v>
      </c>
      <c r="N258" t="s">
        <v>537</v>
      </c>
    </row>
    <row r="259" spans="1:14" ht="16" x14ac:dyDescent="0.2">
      <c r="A259" s="81" t="s">
        <v>57</v>
      </c>
      <c r="B259" s="82">
        <v>24404.381329230819</v>
      </c>
      <c r="C259" t="s">
        <v>235</v>
      </c>
      <c r="D259" s="88">
        <v>0.12681999999999999</v>
      </c>
      <c r="E259" t="s">
        <v>346</v>
      </c>
      <c r="F259">
        <v>0.12681999999999999</v>
      </c>
      <c r="G259">
        <v>0.12681999999999999</v>
      </c>
      <c r="H259">
        <v>0.30602000000000001</v>
      </c>
      <c r="I259">
        <v>0.12681999999999999</v>
      </c>
      <c r="J259">
        <f>$A$8</f>
        <v>1</v>
      </c>
      <c r="K259">
        <v>1</v>
      </c>
      <c r="L259" t="s">
        <v>430</v>
      </c>
      <c r="M259" s="17">
        <f t="shared" si="73"/>
        <v>629720.06613707589</v>
      </c>
      <c r="N259" t="s">
        <v>537</v>
      </c>
    </row>
    <row r="260" spans="1:14" ht="16" x14ac:dyDescent="0.2">
      <c r="A260" s="51" t="s">
        <v>94</v>
      </c>
      <c r="B260" s="82">
        <v>3043.8910169963901</v>
      </c>
      <c r="C260" t="s">
        <v>236</v>
      </c>
      <c r="D260" s="88">
        <v>1.2999999999999999E-4</v>
      </c>
      <c r="E260" t="s">
        <v>347</v>
      </c>
      <c r="F260">
        <v>1.2999999999999999E-4</v>
      </c>
      <c r="G260">
        <v>1.2999999999999999E-4</v>
      </c>
      <c r="H260">
        <v>3.0602</v>
      </c>
      <c r="I260">
        <v>1.2999999999999999E-4</v>
      </c>
      <c r="J260">
        <f>$A$7</f>
        <v>10</v>
      </c>
      <c r="K260">
        <v>-1</v>
      </c>
      <c r="L260" t="s">
        <v>431</v>
      </c>
      <c r="M260" s="17">
        <f t="shared" si="73"/>
        <v>-50148888.357330449</v>
      </c>
      <c r="N260" t="s">
        <v>537</v>
      </c>
    </row>
    <row r="261" spans="1:14" ht="16" x14ac:dyDescent="0.2">
      <c r="A261" s="51" t="s">
        <v>95</v>
      </c>
      <c r="B261" s="82">
        <v>906.69979998421786</v>
      </c>
      <c r="C261" t="s">
        <v>237</v>
      </c>
      <c r="D261" s="88">
        <v>0.12681999999999999</v>
      </c>
      <c r="E261" t="s">
        <v>348</v>
      </c>
      <c r="F261">
        <v>0.12681999999999999</v>
      </c>
      <c r="G261">
        <v>0.12681999999999999</v>
      </c>
      <c r="H261">
        <v>0.30602000000000001</v>
      </c>
      <c r="I261">
        <v>0.12681999999999999</v>
      </c>
      <c r="J261">
        <f>$A$6</f>
        <v>100</v>
      </c>
      <c r="K261">
        <v>-1</v>
      </c>
      <c r="L261" t="s">
        <v>432</v>
      </c>
      <c r="M261" s="17">
        <f t="shared" si="73"/>
        <v>-62972006.613707587</v>
      </c>
      <c r="N261" t="s">
        <v>537</v>
      </c>
    </row>
    <row r="262" spans="1:14" ht="16" x14ac:dyDescent="0.2">
      <c r="A262" s="51" t="s">
        <v>96</v>
      </c>
      <c r="B262" s="82">
        <v>44702.284065752836</v>
      </c>
      <c r="C262" t="s">
        <v>238</v>
      </c>
      <c r="D262" s="88">
        <v>0</v>
      </c>
      <c r="E262" t="s">
        <v>349</v>
      </c>
      <c r="F262">
        <v>0</v>
      </c>
      <c r="G262">
        <v>0</v>
      </c>
      <c r="H262">
        <v>0</v>
      </c>
      <c r="I262">
        <v>0</v>
      </c>
      <c r="J262">
        <f>$A$7</f>
        <v>10</v>
      </c>
      <c r="K262">
        <v>-1</v>
      </c>
      <c r="L262" t="s">
        <v>433</v>
      </c>
      <c r="M262" s="17">
        <f t="shared" si="73"/>
        <v>0</v>
      </c>
      <c r="N262" t="s">
        <v>537</v>
      </c>
    </row>
    <row r="263" spans="1:14" ht="16" x14ac:dyDescent="0.2">
      <c r="A263" s="81" t="s">
        <v>154</v>
      </c>
      <c r="B263" s="82">
        <v>247057.20998110942</v>
      </c>
      <c r="C263" t="s">
        <v>239</v>
      </c>
      <c r="D263" s="88">
        <v>1.2700000000000001E-3</v>
      </c>
      <c r="E263" t="s">
        <v>348</v>
      </c>
      <c r="F263">
        <v>1.2700000000000001E-3</v>
      </c>
      <c r="G263">
        <v>1.2700000000000001E-3</v>
      </c>
      <c r="H263">
        <v>3.0599999999999998E-3</v>
      </c>
      <c r="I263">
        <v>1.2700000000000001E-3</v>
      </c>
      <c r="J263">
        <f>$A$6</f>
        <v>100</v>
      </c>
      <c r="K263">
        <v>-1</v>
      </c>
      <c r="L263" t="s">
        <v>432</v>
      </c>
      <c r="M263" s="17">
        <f t="shared" si="73"/>
        <v>-629869.31368583417</v>
      </c>
      <c r="N263" t="s">
        <v>537</v>
      </c>
    </row>
    <row r="264" spans="1:14" ht="16" x14ac:dyDescent="0.2">
      <c r="A264" s="51" t="s">
        <v>105</v>
      </c>
      <c r="B264" s="82">
        <v>6604.2109040538016</v>
      </c>
      <c r="C264" t="s">
        <v>240</v>
      </c>
      <c r="D264" s="88">
        <v>0</v>
      </c>
      <c r="E264" t="s">
        <v>348</v>
      </c>
      <c r="F264">
        <v>0</v>
      </c>
      <c r="G264">
        <v>0</v>
      </c>
      <c r="H264">
        <v>0</v>
      </c>
      <c r="I264">
        <v>0</v>
      </c>
      <c r="J264">
        <f>$A$6</f>
        <v>100</v>
      </c>
      <c r="K264">
        <v>-1</v>
      </c>
      <c r="L264" t="s">
        <v>432</v>
      </c>
      <c r="M264" s="17">
        <f t="shared" si="73"/>
        <v>0</v>
      </c>
      <c r="N264" t="s">
        <v>537</v>
      </c>
    </row>
    <row r="265" spans="1:14" ht="16" customHeight="1" x14ac:dyDescent="0.2">
      <c r="A265" s="51" t="s">
        <v>106</v>
      </c>
      <c r="B265" s="82">
        <v>272119.69516866299</v>
      </c>
      <c r="C265" t="s">
        <v>241</v>
      </c>
      <c r="D265" s="88">
        <v>0</v>
      </c>
      <c r="E265" t="s">
        <v>350</v>
      </c>
      <c r="F265">
        <v>0</v>
      </c>
      <c r="G265">
        <v>0</v>
      </c>
      <c r="H265">
        <v>0</v>
      </c>
      <c r="I265">
        <v>0</v>
      </c>
      <c r="J265">
        <f>$A$6</f>
        <v>100</v>
      </c>
      <c r="K265">
        <v>-1</v>
      </c>
      <c r="L265" t="s">
        <v>434</v>
      </c>
      <c r="M265" s="17">
        <f t="shared" si="73"/>
        <v>0</v>
      </c>
      <c r="N265" t="s">
        <v>537</v>
      </c>
    </row>
    <row r="266" spans="1:14" ht="15" customHeight="1" x14ac:dyDescent="0.2">
      <c r="A266" s="51"/>
      <c r="B266" s="82"/>
      <c r="C266" t="s">
        <v>242</v>
      </c>
      <c r="D266" s="88">
        <v>0</v>
      </c>
      <c r="E266" t="s">
        <v>351</v>
      </c>
      <c r="F266">
        <v>0</v>
      </c>
      <c r="G266">
        <v>0</v>
      </c>
      <c r="H266">
        <v>0</v>
      </c>
      <c r="I266">
        <v>0</v>
      </c>
      <c r="J266">
        <f>$A$8</f>
        <v>1</v>
      </c>
      <c r="K266">
        <v>1</v>
      </c>
      <c r="L266" t="s">
        <v>435</v>
      </c>
      <c r="M266" s="17">
        <f t="shared" si="73"/>
        <v>0</v>
      </c>
      <c r="N266" t="s">
        <v>537</v>
      </c>
    </row>
    <row r="267" spans="1:14" x14ac:dyDescent="0.2">
      <c r="A267" s="86" t="s">
        <v>17</v>
      </c>
      <c r="B267" s="82">
        <v>2512631.0974211507</v>
      </c>
      <c r="C267" t="s">
        <v>243</v>
      </c>
      <c r="D267" s="88">
        <v>0.12681999999999999</v>
      </c>
      <c r="E267" t="s">
        <v>352</v>
      </c>
      <c r="F267">
        <v>1.26824</v>
      </c>
      <c r="G267">
        <v>1.26824</v>
      </c>
      <c r="H267">
        <v>3.0599999999999998E-3</v>
      </c>
      <c r="I267">
        <v>1.268E-2</v>
      </c>
      <c r="J267">
        <f>$A$6</f>
        <v>100</v>
      </c>
      <c r="K267">
        <v>-1</v>
      </c>
      <c r="L267" t="s">
        <v>436</v>
      </c>
      <c r="M267" s="17">
        <f t="shared" si="73"/>
        <v>-96913874.159350649</v>
      </c>
      <c r="N267" t="s">
        <v>537</v>
      </c>
    </row>
    <row r="268" spans="1:14" x14ac:dyDescent="0.2">
      <c r="C268" t="s">
        <v>244</v>
      </c>
      <c r="D268" s="88">
        <v>1.2700000000000001E-3</v>
      </c>
      <c r="E268" t="s">
        <v>353</v>
      </c>
      <c r="F268">
        <v>1.2700000000000001E-3</v>
      </c>
      <c r="G268">
        <v>1.2700000000000001E-3</v>
      </c>
      <c r="H268">
        <v>3.0599999999999998E-3</v>
      </c>
      <c r="I268">
        <v>1.2700000000000001E-3</v>
      </c>
      <c r="J268">
        <v>0</v>
      </c>
      <c r="K268">
        <v>0</v>
      </c>
      <c r="L268" t="s">
        <v>437</v>
      </c>
      <c r="M268" s="17">
        <f t="shared" si="73"/>
        <v>0</v>
      </c>
      <c r="N268" t="s">
        <v>537</v>
      </c>
    </row>
    <row r="269" spans="1:14" ht="16" x14ac:dyDescent="0.2">
      <c r="A269" s="66" t="s">
        <v>8</v>
      </c>
      <c r="B269" s="76" t="s">
        <v>418</v>
      </c>
      <c r="C269" t="s">
        <v>245</v>
      </c>
      <c r="D269" s="88">
        <v>1.2700000000000001E-3</v>
      </c>
      <c r="E269" t="s">
        <v>351</v>
      </c>
      <c r="F269">
        <v>1.2999999999999999E-4</v>
      </c>
      <c r="G269">
        <v>1.2700000000000001E-3</v>
      </c>
      <c r="H269">
        <v>0.30602000000000001</v>
      </c>
      <c r="I269">
        <v>1.2999999999999999E-4</v>
      </c>
      <c r="J269">
        <f t="shared" ref="J269:J274" si="74">$A$7</f>
        <v>10</v>
      </c>
      <c r="K269">
        <v>-1</v>
      </c>
      <c r="L269" t="s">
        <v>435</v>
      </c>
      <c r="M269" s="17">
        <f t="shared" si="73"/>
        <v>-5021727.2889608033</v>
      </c>
      <c r="N269" t="s">
        <v>537</v>
      </c>
    </row>
    <row r="270" spans="1:14" ht="16" x14ac:dyDescent="0.2">
      <c r="A270" s="81" t="s">
        <v>185</v>
      </c>
      <c r="B270" s="89" t="s">
        <v>502</v>
      </c>
      <c r="C270" t="s">
        <v>246</v>
      </c>
      <c r="D270" s="88">
        <v>1.268E-2</v>
      </c>
      <c r="E270" t="s">
        <v>354</v>
      </c>
      <c r="F270">
        <v>1.268E-2</v>
      </c>
      <c r="G270">
        <v>1.268E-2</v>
      </c>
      <c r="H270">
        <v>3.0599999999999999E-2</v>
      </c>
      <c r="I270">
        <v>1.268E-2</v>
      </c>
      <c r="J270">
        <f t="shared" si="74"/>
        <v>10</v>
      </c>
      <c r="K270">
        <v>-1</v>
      </c>
      <c r="L270" t="s">
        <v>438</v>
      </c>
      <c r="M270" s="17">
        <f t="shared" si="73"/>
        <v>-629667.06746509916</v>
      </c>
      <c r="N270" t="s">
        <v>537</v>
      </c>
    </row>
    <row r="271" spans="1:14" ht="16" x14ac:dyDescent="0.2">
      <c r="A271" s="81" t="s">
        <v>187</v>
      </c>
      <c r="B271" s="89" t="s">
        <v>502</v>
      </c>
      <c r="C271" t="s">
        <v>247</v>
      </c>
      <c r="D271" s="88">
        <v>1.26824</v>
      </c>
      <c r="E271" t="s">
        <v>354</v>
      </c>
      <c r="F271">
        <v>1.26824</v>
      </c>
      <c r="G271">
        <v>1.26824</v>
      </c>
      <c r="H271">
        <v>3.1E-4</v>
      </c>
      <c r="I271">
        <v>1.26824</v>
      </c>
      <c r="J271">
        <f t="shared" si="74"/>
        <v>10</v>
      </c>
      <c r="K271">
        <v>-1</v>
      </c>
      <c r="L271" t="s">
        <v>438</v>
      </c>
      <c r="M271" s="17">
        <f t="shared" si="73"/>
        <v>-12829917.32698839</v>
      </c>
      <c r="N271" t="s">
        <v>537</v>
      </c>
    </row>
    <row r="272" spans="1:14" ht="16" x14ac:dyDescent="0.2">
      <c r="A272" s="51" t="s">
        <v>191</v>
      </c>
      <c r="B272" s="89" t="s">
        <v>509</v>
      </c>
      <c r="C272" t="s">
        <v>248</v>
      </c>
      <c r="D272" s="88">
        <v>1.26824</v>
      </c>
      <c r="E272" t="s">
        <v>350</v>
      </c>
      <c r="F272">
        <v>1.26824</v>
      </c>
      <c r="G272">
        <v>1.26824</v>
      </c>
      <c r="H272">
        <v>0.30602000000000001</v>
      </c>
      <c r="I272">
        <v>1.26824</v>
      </c>
      <c r="J272">
        <f t="shared" si="74"/>
        <v>10</v>
      </c>
      <c r="K272">
        <v>-1</v>
      </c>
      <c r="L272" t="s">
        <v>434</v>
      </c>
      <c r="M272" s="17">
        <f t="shared" si="73"/>
        <v>-17839594.72494296</v>
      </c>
      <c r="N272" t="s">
        <v>537</v>
      </c>
    </row>
    <row r="273" spans="1:14" ht="16" x14ac:dyDescent="0.2">
      <c r="A273" s="51" t="s">
        <v>192</v>
      </c>
      <c r="B273" s="89" t="s">
        <v>513</v>
      </c>
      <c r="C273" t="s">
        <v>322</v>
      </c>
      <c r="D273" s="88">
        <v>1.26824</v>
      </c>
      <c r="E273" t="s">
        <v>355</v>
      </c>
      <c r="F273">
        <v>1.26824</v>
      </c>
      <c r="G273">
        <v>1.26824</v>
      </c>
      <c r="H273">
        <v>3.0599999999999999E-2</v>
      </c>
      <c r="I273">
        <v>1.26824</v>
      </c>
      <c r="J273">
        <f t="shared" si="74"/>
        <v>10</v>
      </c>
      <c r="K273">
        <v>-1</v>
      </c>
      <c r="L273" t="s">
        <v>439</v>
      </c>
      <c r="M273" s="17">
        <f t="shared" si="73"/>
        <v>-13326280.312772447</v>
      </c>
      <c r="N273" t="s">
        <v>537</v>
      </c>
    </row>
    <row r="274" spans="1:14" ht="16" x14ac:dyDescent="0.2">
      <c r="A274" s="51" t="s">
        <v>193</v>
      </c>
      <c r="B274" s="89" t="s">
        <v>506</v>
      </c>
      <c r="C274" t="s">
        <v>249</v>
      </c>
      <c r="D274" s="88">
        <v>0.12681999999999999</v>
      </c>
      <c r="E274" t="s">
        <v>356</v>
      </c>
      <c r="F274">
        <v>0.12681999999999999</v>
      </c>
      <c r="G274">
        <v>0.12681999999999999</v>
      </c>
      <c r="H274">
        <v>3.1E-4</v>
      </c>
      <c r="I274">
        <v>0.12681999999999999</v>
      </c>
      <c r="J274">
        <f t="shared" si="74"/>
        <v>10</v>
      </c>
      <c r="K274">
        <v>-1</v>
      </c>
      <c r="L274" t="s">
        <v>440</v>
      </c>
      <c r="M274" s="17">
        <f t="shared" si="73"/>
        <v>-1287523.263416189</v>
      </c>
      <c r="N274" t="s">
        <v>537</v>
      </c>
    </row>
    <row r="275" spans="1:14" ht="16" x14ac:dyDescent="0.2">
      <c r="A275" s="81" t="s">
        <v>186</v>
      </c>
      <c r="B275" s="89" t="s">
        <v>502</v>
      </c>
      <c r="C275" t="s">
        <v>323</v>
      </c>
      <c r="D275" s="88">
        <v>1.2700000000000001E-3</v>
      </c>
      <c r="E275" t="s">
        <v>357</v>
      </c>
      <c r="F275">
        <v>1.2700000000000001E-3</v>
      </c>
      <c r="G275">
        <v>1.2700000000000001E-3</v>
      </c>
      <c r="H275">
        <v>3.0599999999999998E-3</v>
      </c>
      <c r="I275">
        <v>1.2700000000000001E-3</v>
      </c>
      <c r="J275">
        <f>$A$6</f>
        <v>100</v>
      </c>
      <c r="K275">
        <v>-1</v>
      </c>
      <c r="L275" t="s">
        <v>441</v>
      </c>
      <c r="M275" s="17">
        <f t="shared" si="73"/>
        <v>-629869.31368583417</v>
      </c>
      <c r="N275" t="s">
        <v>537</v>
      </c>
    </row>
    <row r="276" spans="1:14" ht="16" x14ac:dyDescent="0.2">
      <c r="A276" s="51" t="s">
        <v>194</v>
      </c>
      <c r="B276" s="89" t="s">
        <v>509</v>
      </c>
      <c r="C276" t="s">
        <v>324</v>
      </c>
      <c r="D276" s="88">
        <v>1.2700000000000001E-3</v>
      </c>
      <c r="E276" t="s">
        <v>357</v>
      </c>
      <c r="F276">
        <v>1.2700000000000001E-3</v>
      </c>
      <c r="G276">
        <v>1.2700000000000001E-3</v>
      </c>
      <c r="H276">
        <v>3.0599999999999998E-3</v>
      </c>
      <c r="I276">
        <v>1.2700000000000001E-3</v>
      </c>
      <c r="J276">
        <f>$A$6</f>
        <v>100</v>
      </c>
      <c r="K276">
        <v>-1</v>
      </c>
      <c r="L276" t="s">
        <v>441</v>
      </c>
      <c r="M276" s="17">
        <f t="shared" si="73"/>
        <v>-629869.31368583417</v>
      </c>
      <c r="N276" t="s">
        <v>537</v>
      </c>
    </row>
    <row r="277" spans="1:14" ht="16" x14ac:dyDescent="0.2">
      <c r="A277" s="51" t="s">
        <v>195</v>
      </c>
      <c r="B277" s="89" t="s">
        <v>513</v>
      </c>
      <c r="C277" t="s">
        <v>250</v>
      </c>
      <c r="D277" s="88">
        <v>1.2700000000000001E-3</v>
      </c>
      <c r="E277" t="s">
        <v>358</v>
      </c>
      <c r="F277">
        <v>1.2700000000000001E-3</v>
      </c>
      <c r="G277">
        <v>1.2700000000000001E-3</v>
      </c>
      <c r="H277">
        <v>0.30602000000000001</v>
      </c>
      <c r="I277">
        <v>1.2700000000000001E-3</v>
      </c>
      <c r="J277">
        <f>$A$7</f>
        <v>10</v>
      </c>
      <c r="K277">
        <v>1</v>
      </c>
      <c r="L277" t="s">
        <v>442</v>
      </c>
      <c r="M277" s="17">
        <f t="shared" si="73"/>
        <v>5027600.010706245</v>
      </c>
      <c r="N277" t="s">
        <v>537</v>
      </c>
    </row>
    <row r="278" spans="1:14" ht="16" x14ac:dyDescent="0.2">
      <c r="A278" s="51" t="s">
        <v>196</v>
      </c>
      <c r="B278" s="89" t="s">
        <v>506</v>
      </c>
      <c r="C278" t="s">
        <v>251</v>
      </c>
      <c r="D278" s="88">
        <v>0</v>
      </c>
      <c r="E278" t="s">
        <v>359</v>
      </c>
      <c r="F278">
        <v>0</v>
      </c>
      <c r="G278">
        <v>0</v>
      </c>
      <c r="H278">
        <v>3.1E-4</v>
      </c>
      <c r="I278">
        <v>0</v>
      </c>
      <c r="J278">
        <f>$A$6</f>
        <v>100</v>
      </c>
      <c r="K278">
        <v>-1</v>
      </c>
      <c r="L278" t="s">
        <v>443</v>
      </c>
      <c r="M278" s="17">
        <f t="shared" si="73"/>
        <v>-50799.777349969467</v>
      </c>
      <c r="N278" t="s">
        <v>537</v>
      </c>
    </row>
    <row r="279" spans="1:14" ht="16" x14ac:dyDescent="0.2">
      <c r="A279" s="81" t="s">
        <v>57</v>
      </c>
      <c r="B279" s="89" t="s">
        <v>502</v>
      </c>
      <c r="C279" t="s">
        <v>252</v>
      </c>
      <c r="D279" s="88">
        <v>0.12681999999999999</v>
      </c>
      <c r="E279" t="s">
        <v>360</v>
      </c>
      <c r="F279">
        <v>0.12681999999999999</v>
      </c>
      <c r="G279">
        <v>0.12681999999999999</v>
      </c>
      <c r="H279">
        <v>3.0602</v>
      </c>
      <c r="I279">
        <v>0.12681999999999999</v>
      </c>
      <c r="J279">
        <f>$A$7</f>
        <v>10</v>
      </c>
      <c r="K279">
        <v>-1</v>
      </c>
      <c r="L279" t="s">
        <v>444</v>
      </c>
      <c r="M279" s="17">
        <f t="shared" ref="M279:M310" si="75">((SUM(B$247,B$248,B$252,B$256,B$259)*D279)+(SUM(B$249,B$253,B$260,B$264,B$265)*F279)+(SUM(B$250,B$254,B$261)*G279)+(SUM(B$251,B$255,B$262,B$257,B$258,B$263)*H279)+(SUM(B$258,B$263)*0.2*I279))*J279*K279</f>
        <v>-51430017.042576857</v>
      </c>
      <c r="N279" t="s">
        <v>537</v>
      </c>
    </row>
    <row r="280" spans="1:14" ht="16" x14ac:dyDescent="0.2">
      <c r="A280" s="51" t="s">
        <v>166</v>
      </c>
      <c r="B280" s="89" t="s">
        <v>506</v>
      </c>
      <c r="C280" t="s">
        <v>253</v>
      </c>
      <c r="D280" s="88">
        <v>1.268E-2</v>
      </c>
      <c r="E280" t="s">
        <v>361</v>
      </c>
      <c r="F280">
        <v>1.268E-2</v>
      </c>
      <c r="G280">
        <v>1.268E-2</v>
      </c>
      <c r="H280">
        <v>0.30602000000000001</v>
      </c>
      <c r="I280">
        <v>1.268E-2</v>
      </c>
      <c r="J280">
        <f>$A$7</f>
        <v>10</v>
      </c>
      <c r="K280">
        <v>-1</v>
      </c>
      <c r="L280" t="s">
        <v>445</v>
      </c>
      <c r="M280" s="17">
        <f t="shared" si="75"/>
        <v>-5142981.479635613</v>
      </c>
      <c r="N280" t="s">
        <v>537</v>
      </c>
    </row>
    <row r="281" spans="1:14" ht="16" x14ac:dyDescent="0.2">
      <c r="A281" s="51" t="s">
        <v>12</v>
      </c>
      <c r="B281" s="89" t="s">
        <v>515</v>
      </c>
      <c r="C281" t="s">
        <v>325</v>
      </c>
      <c r="D281" s="88">
        <v>1.2700000000000001E-3</v>
      </c>
      <c r="E281" t="s">
        <v>362</v>
      </c>
      <c r="F281">
        <v>1.2700000000000001E-3</v>
      </c>
      <c r="G281">
        <v>1.2700000000000001E-3</v>
      </c>
      <c r="H281">
        <v>3.1E-4</v>
      </c>
      <c r="I281">
        <v>1.2700000000000001E-3</v>
      </c>
      <c r="J281">
        <f>$A$6</f>
        <v>100</v>
      </c>
      <c r="K281">
        <v>-1</v>
      </c>
      <c r="L281" t="s">
        <v>446</v>
      </c>
      <c r="M281" s="17">
        <f t="shared" si="75"/>
        <v>-179226.12751675028</v>
      </c>
      <c r="N281" t="s">
        <v>537</v>
      </c>
    </row>
    <row r="282" spans="1:14" ht="16" x14ac:dyDescent="0.2">
      <c r="A282" s="81" t="s">
        <v>57</v>
      </c>
      <c r="B282" s="89" t="s">
        <v>502</v>
      </c>
      <c r="C282" t="s">
        <v>254</v>
      </c>
      <c r="D282" s="88">
        <v>1.2700000000000001E-3</v>
      </c>
      <c r="E282" t="s">
        <v>363</v>
      </c>
      <c r="F282">
        <v>1.2700000000000001E-3</v>
      </c>
      <c r="G282">
        <v>1.2700000000000001E-3</v>
      </c>
      <c r="H282">
        <v>3.0599999999999998E-3</v>
      </c>
      <c r="I282">
        <v>1.2700000000000001E-3</v>
      </c>
      <c r="J282">
        <f>$A$7</f>
        <v>10</v>
      </c>
      <c r="K282">
        <v>-1</v>
      </c>
      <c r="L282" t="s">
        <v>447</v>
      </c>
      <c r="M282" s="17">
        <f t="shared" si="75"/>
        <v>-62986.93136858342</v>
      </c>
      <c r="N282" t="s">
        <v>537</v>
      </c>
    </row>
    <row r="283" spans="1:14" ht="16" x14ac:dyDescent="0.2">
      <c r="A283" s="51" t="s">
        <v>94</v>
      </c>
      <c r="B283" s="89" t="s">
        <v>509</v>
      </c>
      <c r="C283" t="s">
        <v>255</v>
      </c>
      <c r="D283" s="88">
        <v>0</v>
      </c>
      <c r="E283" t="s">
        <v>364</v>
      </c>
      <c r="F283">
        <v>0</v>
      </c>
      <c r="G283">
        <v>0</v>
      </c>
      <c r="H283">
        <v>0</v>
      </c>
      <c r="I283">
        <v>0</v>
      </c>
      <c r="J283">
        <f>$A$7</f>
        <v>10</v>
      </c>
      <c r="K283">
        <v>-1</v>
      </c>
      <c r="L283" t="s">
        <v>448</v>
      </c>
      <c r="M283" s="17">
        <f t="shared" si="75"/>
        <v>0</v>
      </c>
      <c r="N283" t="s">
        <v>537</v>
      </c>
    </row>
    <row r="284" spans="1:14" ht="16" x14ac:dyDescent="0.2">
      <c r="A284" s="51" t="s">
        <v>95</v>
      </c>
      <c r="B284" s="89" t="s">
        <v>513</v>
      </c>
      <c r="C284" t="s">
        <v>256</v>
      </c>
      <c r="D284" s="88">
        <v>1.2700000000000001E-3</v>
      </c>
      <c r="E284" t="s">
        <v>365</v>
      </c>
      <c r="F284">
        <v>1.2700000000000001E-3</v>
      </c>
      <c r="G284">
        <v>1.2700000000000001E-3</v>
      </c>
      <c r="H284">
        <v>0.30602000000000001</v>
      </c>
      <c r="I284">
        <v>1.2700000000000001E-3</v>
      </c>
      <c r="J284">
        <f>$A$7</f>
        <v>10</v>
      </c>
      <c r="K284">
        <v>-1</v>
      </c>
      <c r="L284" t="s">
        <v>449</v>
      </c>
      <c r="M284" s="17">
        <f t="shared" si="75"/>
        <v>-5027600.010706245</v>
      </c>
      <c r="N284" t="s">
        <v>537</v>
      </c>
    </row>
    <row r="285" spans="1:14" ht="16" x14ac:dyDescent="0.2">
      <c r="A285" s="51" t="s">
        <v>96</v>
      </c>
      <c r="B285" s="89" t="s">
        <v>506</v>
      </c>
      <c r="C285" t="s">
        <v>257</v>
      </c>
      <c r="D285" s="88">
        <v>1.26824</v>
      </c>
      <c r="E285" t="s">
        <v>366</v>
      </c>
      <c r="F285">
        <v>1.26824</v>
      </c>
      <c r="G285">
        <v>1.26824</v>
      </c>
      <c r="H285">
        <v>3.0599999999999998E-3</v>
      </c>
      <c r="I285">
        <v>1.26824</v>
      </c>
      <c r="J285">
        <f>$A$6</f>
        <v>100</v>
      </c>
      <c r="K285">
        <v>-1</v>
      </c>
      <c r="L285" t="s">
        <v>450</v>
      </c>
      <c r="M285" s="17">
        <f t="shared" si="75"/>
        <v>-128749816.45605299</v>
      </c>
      <c r="N285" t="s">
        <v>537</v>
      </c>
    </row>
    <row r="286" spans="1:14" ht="16" x14ac:dyDescent="0.2">
      <c r="A286" s="81" t="s">
        <v>154</v>
      </c>
      <c r="B286" s="89" t="s">
        <v>515</v>
      </c>
      <c r="C286" t="s">
        <v>258</v>
      </c>
      <c r="D286" s="88">
        <v>0.12681999999999999</v>
      </c>
      <c r="E286" t="s">
        <v>367</v>
      </c>
      <c r="F286">
        <v>0.12681999999999999</v>
      </c>
      <c r="G286">
        <v>0.12681999999999999</v>
      </c>
      <c r="H286">
        <v>3.0599999999999998E-3</v>
      </c>
      <c r="I286">
        <v>0.12681999999999999</v>
      </c>
      <c r="J286">
        <f>$A$6</f>
        <v>100</v>
      </c>
      <c r="K286">
        <v>-1</v>
      </c>
      <c r="L286" t="s">
        <v>451</v>
      </c>
      <c r="M286" s="17">
        <f t="shared" si="75"/>
        <v>-13325875.820330974</v>
      </c>
      <c r="N286" t="s">
        <v>537</v>
      </c>
    </row>
    <row r="287" spans="1:14" ht="16" x14ac:dyDescent="0.2">
      <c r="A287" s="51" t="s">
        <v>105</v>
      </c>
      <c r="B287" s="89" t="s">
        <v>509</v>
      </c>
      <c r="C287" t="s">
        <v>326</v>
      </c>
      <c r="D287" s="88">
        <v>1.2700000000000001E-3</v>
      </c>
      <c r="E287" t="s">
        <v>365</v>
      </c>
      <c r="F287">
        <v>1.2700000000000001E-3</v>
      </c>
      <c r="G287">
        <v>1.2700000000000001E-3</v>
      </c>
      <c r="H287">
        <v>3.0599999999999998E-3</v>
      </c>
      <c r="I287">
        <v>1.2700000000000001E-3</v>
      </c>
      <c r="J287">
        <v>0</v>
      </c>
      <c r="K287">
        <v>0</v>
      </c>
      <c r="L287" t="s">
        <v>449</v>
      </c>
      <c r="M287" s="17">
        <f t="shared" si="75"/>
        <v>0</v>
      </c>
      <c r="N287" t="s">
        <v>537</v>
      </c>
    </row>
    <row r="288" spans="1:14" ht="16" x14ac:dyDescent="0.2">
      <c r="A288" s="51" t="s">
        <v>106</v>
      </c>
      <c r="B288" s="89" t="s">
        <v>509</v>
      </c>
      <c r="C288" t="s">
        <v>259</v>
      </c>
      <c r="D288" s="88">
        <v>1.268E-2</v>
      </c>
      <c r="E288" t="s">
        <v>368</v>
      </c>
      <c r="F288">
        <v>1.268E-2</v>
      </c>
      <c r="G288">
        <v>1.268E-2</v>
      </c>
      <c r="H288">
        <v>3.0599999999999998E-3</v>
      </c>
      <c r="I288">
        <v>1.268E-2</v>
      </c>
      <c r="J288">
        <f>$A$6</f>
        <v>100</v>
      </c>
      <c r="K288">
        <v>-1</v>
      </c>
      <c r="L288" t="s">
        <v>452</v>
      </c>
      <c r="M288" s="17">
        <f t="shared" si="75"/>
        <v>-1783684.0029795105</v>
      </c>
      <c r="N288" t="s">
        <v>537</v>
      </c>
    </row>
    <row r="289" spans="3:14" x14ac:dyDescent="0.2">
      <c r="C289" t="s">
        <v>260</v>
      </c>
      <c r="D289" s="88">
        <v>0</v>
      </c>
      <c r="E289" t="s">
        <v>368</v>
      </c>
      <c r="F289">
        <v>0</v>
      </c>
      <c r="G289">
        <v>0</v>
      </c>
      <c r="H289">
        <v>3.0599999999999998E-3</v>
      </c>
      <c r="I289">
        <v>0</v>
      </c>
      <c r="J289">
        <v>0</v>
      </c>
      <c r="K289">
        <v>0</v>
      </c>
      <c r="L289" t="s">
        <v>452</v>
      </c>
      <c r="M289" s="17">
        <f t="shared" si="75"/>
        <v>0</v>
      </c>
      <c r="N289" t="s">
        <v>537</v>
      </c>
    </row>
    <row r="290" spans="3:14" x14ac:dyDescent="0.2">
      <c r="C290" t="s">
        <v>327</v>
      </c>
      <c r="D290" s="88">
        <v>1.2999999999999999E-4</v>
      </c>
      <c r="E290" t="s">
        <v>368</v>
      </c>
      <c r="F290">
        <v>1.2999999999999999E-4</v>
      </c>
      <c r="G290">
        <v>1.2999999999999999E-4</v>
      </c>
      <c r="H290">
        <v>0.30602000000000001</v>
      </c>
      <c r="I290">
        <v>1.2999999999999999E-4</v>
      </c>
      <c r="J290">
        <f>$A$6</f>
        <v>100</v>
      </c>
      <c r="K290">
        <v>-1</v>
      </c>
      <c r="L290" t="s">
        <v>452</v>
      </c>
      <c r="M290" s="17">
        <f t="shared" si="75"/>
        <v>-50160719.761243448</v>
      </c>
      <c r="N290" t="s">
        <v>537</v>
      </c>
    </row>
    <row r="291" spans="3:14" x14ac:dyDescent="0.2">
      <c r="C291" t="s">
        <v>328</v>
      </c>
      <c r="D291" s="88">
        <v>1.2999999999999999E-4</v>
      </c>
      <c r="E291" t="s">
        <v>368</v>
      </c>
      <c r="F291">
        <v>1.2999999999999999E-4</v>
      </c>
      <c r="G291">
        <v>1.2999999999999999E-4</v>
      </c>
      <c r="H291">
        <v>0.30602000000000001</v>
      </c>
      <c r="I291">
        <v>1.2999999999999999E-4</v>
      </c>
      <c r="J291">
        <v>0</v>
      </c>
      <c r="K291">
        <v>0</v>
      </c>
      <c r="L291" t="s">
        <v>452</v>
      </c>
      <c r="M291" s="17">
        <f t="shared" si="75"/>
        <v>0</v>
      </c>
      <c r="N291" t="s">
        <v>537</v>
      </c>
    </row>
    <row r="292" spans="3:14" x14ac:dyDescent="0.2">
      <c r="C292" t="s">
        <v>261</v>
      </c>
      <c r="D292" s="88">
        <v>0.12681999999999999</v>
      </c>
      <c r="E292" t="s">
        <v>369</v>
      </c>
      <c r="F292">
        <v>0.12681999999999999</v>
      </c>
      <c r="G292">
        <v>0.12681999999999999</v>
      </c>
      <c r="H292">
        <v>3.1E-4</v>
      </c>
      <c r="I292">
        <v>0.12681999999999999</v>
      </c>
      <c r="J292">
        <f>$A$6</f>
        <v>100</v>
      </c>
      <c r="K292">
        <v>-1</v>
      </c>
      <c r="L292" t="s">
        <v>453</v>
      </c>
      <c r="M292" s="17">
        <f t="shared" si="75"/>
        <v>-12875232.63416189</v>
      </c>
      <c r="N292" t="s">
        <v>537</v>
      </c>
    </row>
    <row r="293" spans="3:14" x14ac:dyDescent="0.2">
      <c r="C293" t="s">
        <v>263</v>
      </c>
      <c r="D293" s="88">
        <v>1.2999999999999999E-4</v>
      </c>
      <c r="E293" t="s">
        <v>370</v>
      </c>
      <c r="F293">
        <v>1.2999999999999999E-4</v>
      </c>
      <c r="G293">
        <v>1.2999999999999999E-4</v>
      </c>
      <c r="H293">
        <v>3.1E-4</v>
      </c>
      <c r="I293">
        <v>1.2999999999999999E-4</v>
      </c>
      <c r="J293">
        <f>$A$6</f>
        <v>100</v>
      </c>
      <c r="K293">
        <v>-1</v>
      </c>
      <c r="L293" t="s">
        <v>454</v>
      </c>
      <c r="M293" s="17">
        <f t="shared" si="75"/>
        <v>-63945.781697750179</v>
      </c>
      <c r="N293" t="s">
        <v>537</v>
      </c>
    </row>
    <row r="294" spans="3:14" x14ac:dyDescent="0.2">
      <c r="C294" t="s">
        <v>262</v>
      </c>
      <c r="D294" s="88">
        <v>1.2999999999999999E-4</v>
      </c>
      <c r="E294" t="s">
        <v>370</v>
      </c>
      <c r="F294">
        <v>1.2999999999999999E-4</v>
      </c>
      <c r="G294">
        <v>1.2999999999999999E-4</v>
      </c>
      <c r="H294">
        <v>3.0599999999999998E-3</v>
      </c>
      <c r="I294">
        <v>1.2999999999999999E-4</v>
      </c>
      <c r="J294">
        <f>$A$6</f>
        <v>100</v>
      </c>
      <c r="K294">
        <v>-1</v>
      </c>
      <c r="L294" t="s">
        <v>454</v>
      </c>
      <c r="M294" s="17">
        <f t="shared" si="75"/>
        <v>-514588.96786683408</v>
      </c>
      <c r="N294" t="s">
        <v>537</v>
      </c>
    </row>
    <row r="295" spans="3:14" x14ac:dyDescent="0.2">
      <c r="C295" t="s">
        <v>264</v>
      </c>
      <c r="D295" s="88">
        <v>1.2700000000000001E-3</v>
      </c>
      <c r="E295" t="s">
        <v>371</v>
      </c>
      <c r="F295">
        <v>1.2700000000000001E-3</v>
      </c>
      <c r="G295">
        <v>1.2700000000000001E-3</v>
      </c>
      <c r="H295">
        <v>3.0599999999999999E-2</v>
      </c>
      <c r="I295">
        <v>1.2700000000000001E-3</v>
      </c>
      <c r="J295">
        <f>$A$7</f>
        <v>10</v>
      </c>
      <c r="K295">
        <v>-1</v>
      </c>
      <c r="L295" t="s">
        <v>455</v>
      </c>
      <c r="M295" s="17">
        <f t="shared" si="75"/>
        <v>-514285.59853573149</v>
      </c>
      <c r="N295" t="s">
        <v>537</v>
      </c>
    </row>
    <row r="296" spans="3:14" x14ac:dyDescent="0.2">
      <c r="C296" t="s">
        <v>265</v>
      </c>
      <c r="D296" s="88">
        <v>1.2700000000000001E-3</v>
      </c>
      <c r="E296" t="s">
        <v>371</v>
      </c>
      <c r="F296">
        <v>1.2700000000000001E-3</v>
      </c>
      <c r="G296">
        <v>1.2700000000000001E-3</v>
      </c>
      <c r="H296">
        <v>3.0599999999999998E-3</v>
      </c>
      <c r="I296">
        <v>1.2700000000000001E-3</v>
      </c>
      <c r="J296">
        <f>$A$7</f>
        <v>10</v>
      </c>
      <c r="K296">
        <v>-1</v>
      </c>
      <c r="L296" t="s">
        <v>455</v>
      </c>
      <c r="M296" s="17">
        <f t="shared" si="75"/>
        <v>-62986.93136858342</v>
      </c>
      <c r="N296" t="s">
        <v>537</v>
      </c>
    </row>
    <row r="297" spans="3:14" x14ac:dyDescent="0.2">
      <c r="C297" t="s">
        <v>266</v>
      </c>
      <c r="D297" s="88">
        <v>1.2700000000000001E-3</v>
      </c>
      <c r="E297" t="s">
        <v>371</v>
      </c>
      <c r="F297">
        <v>1.2700000000000001E-3</v>
      </c>
      <c r="G297">
        <v>1.2700000000000001E-3</v>
      </c>
      <c r="H297">
        <v>3.0599999999999999E-2</v>
      </c>
      <c r="I297">
        <v>1.2700000000000001E-3</v>
      </c>
      <c r="J297">
        <v>0</v>
      </c>
      <c r="K297">
        <v>0</v>
      </c>
      <c r="L297" t="s">
        <v>455</v>
      </c>
      <c r="M297" s="17">
        <f t="shared" si="75"/>
        <v>0</v>
      </c>
      <c r="N297" t="s">
        <v>537</v>
      </c>
    </row>
    <row r="298" spans="3:14" x14ac:dyDescent="0.2">
      <c r="C298" t="s">
        <v>267</v>
      </c>
      <c r="D298" s="88">
        <v>1.2999999999999999E-4</v>
      </c>
      <c r="E298" t="s">
        <v>372</v>
      </c>
      <c r="F298">
        <v>1.2999999999999999E-4</v>
      </c>
      <c r="G298">
        <v>1.2999999999999999E-4</v>
      </c>
      <c r="H298">
        <v>3.0599999999999998E-3</v>
      </c>
      <c r="I298">
        <v>1.2999999999999999E-4</v>
      </c>
      <c r="J298">
        <v>0</v>
      </c>
      <c r="K298">
        <v>0</v>
      </c>
      <c r="L298" t="s">
        <v>456</v>
      </c>
      <c r="M298" s="17">
        <f t="shared" si="75"/>
        <v>0</v>
      </c>
      <c r="N298" t="s">
        <v>537</v>
      </c>
    </row>
    <row r="299" spans="3:14" x14ac:dyDescent="0.2">
      <c r="C299" t="s">
        <v>329</v>
      </c>
      <c r="D299" s="88">
        <v>0.12681999999999999</v>
      </c>
      <c r="E299" s="75" t="s">
        <v>373</v>
      </c>
      <c r="F299">
        <v>0.12681999999999999</v>
      </c>
      <c r="G299">
        <v>0.12681999999999999</v>
      </c>
      <c r="H299">
        <v>0.30602000000000001</v>
      </c>
      <c r="I299">
        <v>0.12681999999999999</v>
      </c>
      <c r="J299">
        <f>$A$7</f>
        <v>10</v>
      </c>
      <c r="K299">
        <v>-1</v>
      </c>
      <c r="L299" t="s">
        <v>457</v>
      </c>
      <c r="M299" s="17">
        <f t="shared" si="75"/>
        <v>-6297200.6613707589</v>
      </c>
      <c r="N299" t="s">
        <v>537</v>
      </c>
    </row>
    <row r="300" spans="3:14" x14ac:dyDescent="0.2">
      <c r="C300" t="s">
        <v>314</v>
      </c>
      <c r="D300" s="88">
        <v>1.2700000000000001E-3</v>
      </c>
      <c r="E300" s="75" t="s">
        <v>374</v>
      </c>
      <c r="F300">
        <v>1.2700000000000001E-3</v>
      </c>
      <c r="G300">
        <v>1.2700000000000001E-3</v>
      </c>
      <c r="H300">
        <v>3.0599999999999998E-3</v>
      </c>
      <c r="I300">
        <v>1.2700000000000001E-3</v>
      </c>
      <c r="J300">
        <f>$A$7</f>
        <v>10</v>
      </c>
      <c r="K300">
        <v>-1</v>
      </c>
      <c r="L300" t="s">
        <v>458</v>
      </c>
      <c r="M300" s="17">
        <f t="shared" si="75"/>
        <v>-62986.93136858342</v>
      </c>
      <c r="N300" t="s">
        <v>537</v>
      </c>
    </row>
    <row r="301" spans="3:14" x14ac:dyDescent="0.2">
      <c r="C301" t="s">
        <v>268</v>
      </c>
      <c r="D301" s="88">
        <v>1.2700000000000001E-3</v>
      </c>
      <c r="E301" s="75" t="s">
        <v>374</v>
      </c>
      <c r="F301">
        <v>1.2700000000000001E-3</v>
      </c>
      <c r="G301">
        <v>1.2700000000000001E-3</v>
      </c>
      <c r="H301">
        <v>3.0599999999999998E-3</v>
      </c>
      <c r="I301">
        <v>1.2700000000000001E-3</v>
      </c>
      <c r="J301">
        <f>$A$7</f>
        <v>10</v>
      </c>
      <c r="K301">
        <v>-1</v>
      </c>
      <c r="L301" t="s">
        <v>458</v>
      </c>
      <c r="M301" s="17">
        <f t="shared" si="75"/>
        <v>-62986.93136858342</v>
      </c>
      <c r="N301" t="s">
        <v>537</v>
      </c>
    </row>
    <row r="302" spans="3:14" x14ac:dyDescent="0.2">
      <c r="C302" t="s">
        <v>269</v>
      </c>
      <c r="D302" s="88">
        <v>1.2700000000000001E-3</v>
      </c>
      <c r="E302" s="75" t="s">
        <v>374</v>
      </c>
      <c r="F302">
        <v>1.2700000000000001E-3</v>
      </c>
      <c r="G302">
        <v>1.2700000000000001E-3</v>
      </c>
      <c r="H302">
        <v>3.0599999999999998E-3</v>
      </c>
      <c r="I302">
        <v>1.2700000000000001E-3</v>
      </c>
      <c r="J302">
        <v>0</v>
      </c>
      <c r="K302">
        <v>0</v>
      </c>
      <c r="L302" t="s">
        <v>458</v>
      </c>
      <c r="M302" s="17">
        <f t="shared" si="75"/>
        <v>0</v>
      </c>
      <c r="N302" t="s">
        <v>537</v>
      </c>
    </row>
    <row r="303" spans="3:14" x14ac:dyDescent="0.2">
      <c r="C303" t="s">
        <v>270</v>
      </c>
      <c r="D303" s="88">
        <v>1.2700000000000001E-3</v>
      </c>
      <c r="E303" s="75" t="s">
        <v>375</v>
      </c>
      <c r="F303">
        <v>1.2700000000000001E-3</v>
      </c>
      <c r="G303">
        <v>1.2700000000000001E-3</v>
      </c>
      <c r="H303">
        <v>0</v>
      </c>
      <c r="I303">
        <v>1.2700000000000001E-3</v>
      </c>
      <c r="J303">
        <f>$A$6</f>
        <v>100</v>
      </c>
      <c r="K303">
        <v>-1</v>
      </c>
      <c r="L303" t="s">
        <v>459</v>
      </c>
      <c r="M303" s="17">
        <f t="shared" si="75"/>
        <v>-128426.3501667808</v>
      </c>
      <c r="N303" t="s">
        <v>537</v>
      </c>
    </row>
    <row r="304" spans="3:14" x14ac:dyDescent="0.2">
      <c r="C304" t="s">
        <v>271</v>
      </c>
      <c r="D304" s="88">
        <v>0.12681999999999999</v>
      </c>
      <c r="E304" s="75" t="s">
        <v>376</v>
      </c>
      <c r="F304">
        <v>0.12681999999999999</v>
      </c>
      <c r="G304">
        <v>0.12681999999999999</v>
      </c>
      <c r="H304">
        <v>3.0602</v>
      </c>
      <c r="I304">
        <v>0.12681999999999999</v>
      </c>
      <c r="J304">
        <v>0</v>
      </c>
      <c r="K304">
        <v>0</v>
      </c>
      <c r="L304" t="s">
        <v>460</v>
      </c>
      <c r="M304" s="17">
        <f t="shared" si="75"/>
        <v>0</v>
      </c>
      <c r="N304" t="s">
        <v>537</v>
      </c>
    </row>
    <row r="305" spans="3:14" x14ac:dyDescent="0.2">
      <c r="C305" t="s">
        <v>272</v>
      </c>
      <c r="D305" s="88">
        <v>1.26824</v>
      </c>
      <c r="E305" t="s">
        <v>377</v>
      </c>
      <c r="F305">
        <v>1.26824</v>
      </c>
      <c r="G305">
        <v>1.26824</v>
      </c>
      <c r="H305">
        <v>3.0599999999999998E-3</v>
      </c>
      <c r="I305">
        <v>1.26824</v>
      </c>
      <c r="J305">
        <v>0</v>
      </c>
      <c r="K305">
        <v>0</v>
      </c>
      <c r="L305" t="s">
        <v>461</v>
      </c>
      <c r="M305" s="17">
        <f t="shared" si="75"/>
        <v>0</v>
      </c>
      <c r="N305" t="s">
        <v>537</v>
      </c>
    </row>
    <row r="306" spans="3:14" x14ac:dyDescent="0.2">
      <c r="C306" t="s">
        <v>273</v>
      </c>
      <c r="D306" s="88">
        <v>1.2999999999999999E-4</v>
      </c>
      <c r="E306" t="s">
        <v>378</v>
      </c>
      <c r="F306">
        <v>1.2999999999999999E-4</v>
      </c>
      <c r="G306">
        <v>1.2999999999999999E-4</v>
      </c>
      <c r="H306">
        <v>3.0602</v>
      </c>
      <c r="I306">
        <v>1.2999999999999999E-4</v>
      </c>
      <c r="J306">
        <f>$A$7</f>
        <v>10</v>
      </c>
      <c r="K306">
        <v>-1</v>
      </c>
      <c r="L306" t="s">
        <v>462</v>
      </c>
      <c r="M306" s="17">
        <f t="shared" si="75"/>
        <v>-50148888.357330449</v>
      </c>
      <c r="N306" t="s">
        <v>537</v>
      </c>
    </row>
    <row r="307" spans="3:14" x14ac:dyDescent="0.2">
      <c r="C307" t="s">
        <v>274</v>
      </c>
      <c r="D307" s="88">
        <v>1.2999999999999999E-4</v>
      </c>
      <c r="E307" t="s">
        <v>379</v>
      </c>
      <c r="F307">
        <v>1.2999999999999999E-4</v>
      </c>
      <c r="G307">
        <v>1.2999999999999999E-4</v>
      </c>
      <c r="H307">
        <v>3.1E-4</v>
      </c>
      <c r="I307">
        <v>1.2999999999999999E-4</v>
      </c>
      <c r="J307">
        <v>0</v>
      </c>
      <c r="K307">
        <v>0</v>
      </c>
      <c r="L307" t="s">
        <v>463</v>
      </c>
      <c r="M307" s="17">
        <f t="shared" si="75"/>
        <v>0</v>
      </c>
      <c r="N307" t="s">
        <v>537</v>
      </c>
    </row>
    <row r="308" spans="3:14" x14ac:dyDescent="0.2">
      <c r="C308" t="s">
        <v>275</v>
      </c>
      <c r="D308" s="88">
        <v>1.26824</v>
      </c>
      <c r="E308" t="s">
        <v>377</v>
      </c>
      <c r="F308">
        <v>1.26824</v>
      </c>
      <c r="G308">
        <v>1.26824</v>
      </c>
      <c r="H308">
        <v>3.0599999999999998E-3</v>
      </c>
      <c r="I308">
        <v>1.26824</v>
      </c>
      <c r="J308">
        <f>$A$6</f>
        <v>100</v>
      </c>
      <c r="K308">
        <v>-1</v>
      </c>
      <c r="L308" t="s">
        <v>461</v>
      </c>
      <c r="M308" s="17">
        <f t="shared" si="75"/>
        <v>-128749816.45605299</v>
      </c>
      <c r="N308" t="s">
        <v>537</v>
      </c>
    </row>
    <row r="309" spans="3:14" x14ac:dyDescent="0.2">
      <c r="C309" t="s">
        <v>276</v>
      </c>
      <c r="D309" s="88">
        <v>1.26824</v>
      </c>
      <c r="E309" t="s">
        <v>377</v>
      </c>
      <c r="F309">
        <v>1.26824</v>
      </c>
      <c r="G309">
        <v>1.26824</v>
      </c>
      <c r="H309">
        <v>3.0599999999999998E-3</v>
      </c>
      <c r="I309">
        <v>1.26824</v>
      </c>
      <c r="J309">
        <f>$A$6</f>
        <v>100</v>
      </c>
      <c r="K309">
        <v>-1</v>
      </c>
      <c r="L309" t="s">
        <v>461</v>
      </c>
      <c r="M309" s="17">
        <f t="shared" si="75"/>
        <v>-128749816.45605299</v>
      </c>
      <c r="N309" t="s">
        <v>537</v>
      </c>
    </row>
    <row r="310" spans="3:14" x14ac:dyDescent="0.2">
      <c r="C310" t="s">
        <v>277</v>
      </c>
      <c r="D310" s="88">
        <v>1.2700000000000001E-3</v>
      </c>
      <c r="E310" t="s">
        <v>380</v>
      </c>
      <c r="F310">
        <v>1.2700000000000001E-3</v>
      </c>
      <c r="G310">
        <v>1.2700000000000001E-3</v>
      </c>
      <c r="H310">
        <v>3.1E-4</v>
      </c>
      <c r="I310">
        <v>1.2700000000000001E-3</v>
      </c>
      <c r="J310">
        <f>$A$6</f>
        <v>100</v>
      </c>
      <c r="K310">
        <v>-1</v>
      </c>
      <c r="L310" t="s">
        <v>464</v>
      </c>
      <c r="M310" s="17">
        <f t="shared" si="75"/>
        <v>-179226.12751675028</v>
      </c>
      <c r="N310" t="s">
        <v>537</v>
      </c>
    </row>
    <row r="311" spans="3:14" x14ac:dyDescent="0.2">
      <c r="C311" t="s">
        <v>278</v>
      </c>
      <c r="D311" s="88">
        <v>1.26824</v>
      </c>
      <c r="E311" t="s">
        <v>381</v>
      </c>
      <c r="F311">
        <v>1.26824</v>
      </c>
      <c r="G311">
        <v>1.26824</v>
      </c>
      <c r="H311">
        <v>3.0602</v>
      </c>
      <c r="I311">
        <v>1.26824</v>
      </c>
      <c r="J311">
        <f>$A$6</f>
        <v>100</v>
      </c>
      <c r="K311">
        <v>-1</v>
      </c>
      <c r="L311" t="s">
        <v>465</v>
      </c>
      <c r="M311" s="17">
        <f t="shared" ref="M311:M342" si="76">((SUM(B$247,B$248,B$252,B$256,B$259)*D311)+(SUM(B$249,B$253,B$260,B$264,B$265)*F311)+(SUM(B$250,B$254,B$261)*G311)+(SUM(B$251,B$255,B$262,B$257,B$258,B$263)*H311)+(SUM(B$258,B$263)*0.2*I311))*J311*K311</f>
        <v>-629724111.06149065</v>
      </c>
      <c r="N311" t="s">
        <v>537</v>
      </c>
    </row>
    <row r="312" spans="3:14" x14ac:dyDescent="0.2">
      <c r="C312" t="s">
        <v>330</v>
      </c>
      <c r="D312" s="88">
        <v>1.2999999999999999E-4</v>
      </c>
      <c r="E312" t="s">
        <v>382</v>
      </c>
      <c r="F312">
        <v>1.2999999999999999E-4</v>
      </c>
      <c r="G312">
        <v>1.2999999999999999E-4</v>
      </c>
      <c r="H312">
        <v>3.1E-4</v>
      </c>
      <c r="I312">
        <v>1.2999999999999999E-4</v>
      </c>
      <c r="J312">
        <f>$A$7</f>
        <v>10</v>
      </c>
      <c r="K312">
        <v>-1</v>
      </c>
      <c r="L312" t="s">
        <v>466</v>
      </c>
      <c r="M312" s="17">
        <f t="shared" si="76"/>
        <v>-6394.5781697750181</v>
      </c>
      <c r="N312" t="s">
        <v>537</v>
      </c>
    </row>
    <row r="313" spans="3:14" x14ac:dyDescent="0.2">
      <c r="C313" t="s">
        <v>279</v>
      </c>
      <c r="D313" s="88">
        <v>1.2999999999999999E-4</v>
      </c>
      <c r="E313" t="s">
        <v>382</v>
      </c>
      <c r="F313">
        <v>1.2999999999999999E-4</v>
      </c>
      <c r="G313">
        <v>1.2999999999999999E-4</v>
      </c>
      <c r="H313">
        <v>3.1E-4</v>
      </c>
      <c r="I313">
        <v>1.2999999999999999E-4</v>
      </c>
      <c r="J313">
        <f>$A$7</f>
        <v>10</v>
      </c>
      <c r="K313">
        <v>-1</v>
      </c>
      <c r="L313" t="s">
        <v>466</v>
      </c>
      <c r="M313" s="17">
        <f t="shared" si="76"/>
        <v>-6394.5781697750181</v>
      </c>
      <c r="N313" t="s">
        <v>537</v>
      </c>
    </row>
    <row r="314" spans="3:14" x14ac:dyDescent="0.2">
      <c r="C314" t="s">
        <v>280</v>
      </c>
      <c r="D314" s="88">
        <v>1.2999999999999999E-4</v>
      </c>
      <c r="E314" t="s">
        <v>382</v>
      </c>
      <c r="F314">
        <v>1.2999999999999999E-4</v>
      </c>
      <c r="G314">
        <v>1.2999999999999999E-4</v>
      </c>
      <c r="H314">
        <v>3.0599999999999998E-3</v>
      </c>
      <c r="I314">
        <v>1.2999999999999999E-4</v>
      </c>
      <c r="J314">
        <v>0</v>
      </c>
      <c r="K314">
        <v>0</v>
      </c>
      <c r="L314" t="s">
        <v>466</v>
      </c>
      <c r="M314" s="17">
        <f t="shared" si="76"/>
        <v>0</v>
      </c>
      <c r="N314" t="s">
        <v>537</v>
      </c>
    </row>
    <row r="315" spans="3:14" x14ac:dyDescent="0.2">
      <c r="C315" t="s">
        <v>331</v>
      </c>
      <c r="D315" s="88">
        <v>1.2700000000000001E-3</v>
      </c>
      <c r="E315" t="s">
        <v>383</v>
      </c>
      <c r="F315">
        <v>1.2700000000000001E-3</v>
      </c>
      <c r="G315">
        <v>1.2700000000000001E-3</v>
      </c>
      <c r="H315">
        <v>3.0599999999999998E-3</v>
      </c>
      <c r="I315">
        <v>1.2700000000000001E-3</v>
      </c>
      <c r="J315">
        <v>0</v>
      </c>
      <c r="K315">
        <v>0</v>
      </c>
      <c r="L315" t="s">
        <v>467</v>
      </c>
      <c r="M315" s="17">
        <f t="shared" si="76"/>
        <v>0</v>
      </c>
      <c r="N315" t="s">
        <v>537</v>
      </c>
    </row>
    <row r="316" spans="3:14" x14ac:dyDescent="0.2">
      <c r="C316" t="s">
        <v>281</v>
      </c>
      <c r="D316" s="88">
        <v>1.2999999999999999E-4</v>
      </c>
      <c r="E316" t="s">
        <v>384</v>
      </c>
      <c r="F316">
        <v>1.2999999999999999E-4</v>
      </c>
      <c r="G316">
        <v>1.2999999999999999E-4</v>
      </c>
      <c r="H316">
        <v>3.1E-4</v>
      </c>
      <c r="I316">
        <v>1.2999999999999999E-4</v>
      </c>
      <c r="J316">
        <f>$A$7</f>
        <v>10</v>
      </c>
      <c r="K316">
        <v>-1</v>
      </c>
      <c r="L316" t="s">
        <v>468</v>
      </c>
      <c r="M316" s="17">
        <f t="shared" si="76"/>
        <v>-6394.5781697750181</v>
      </c>
      <c r="N316" t="s">
        <v>537</v>
      </c>
    </row>
    <row r="317" spans="3:14" x14ac:dyDescent="0.2">
      <c r="C317" t="s">
        <v>282</v>
      </c>
      <c r="D317" s="88">
        <v>0.12681999999999999</v>
      </c>
      <c r="E317" t="s">
        <v>385</v>
      </c>
      <c r="F317">
        <v>0.12681999999999999</v>
      </c>
      <c r="G317">
        <v>0.12681999999999999</v>
      </c>
      <c r="H317">
        <v>0.30602000000000001</v>
      </c>
      <c r="I317">
        <v>0.12681999999999999</v>
      </c>
      <c r="J317">
        <v>0</v>
      </c>
      <c r="K317">
        <v>0</v>
      </c>
      <c r="L317" t="s">
        <v>469</v>
      </c>
      <c r="M317" s="17">
        <f t="shared" si="76"/>
        <v>0</v>
      </c>
      <c r="N317" t="s">
        <v>537</v>
      </c>
    </row>
    <row r="318" spans="3:14" x14ac:dyDescent="0.2">
      <c r="C318" t="s">
        <v>332</v>
      </c>
      <c r="D318" s="88">
        <v>1.268E-2</v>
      </c>
      <c r="E318" t="s">
        <v>386</v>
      </c>
      <c r="F318">
        <v>1.268E-2</v>
      </c>
      <c r="G318">
        <v>1.268E-2</v>
      </c>
      <c r="H318">
        <v>3.0599999999999998E-3</v>
      </c>
      <c r="I318">
        <v>1.268E-2</v>
      </c>
      <c r="J318">
        <v>0</v>
      </c>
      <c r="K318">
        <v>0</v>
      </c>
      <c r="L318" t="s">
        <v>470</v>
      </c>
      <c r="M318" s="17">
        <f t="shared" si="76"/>
        <v>0</v>
      </c>
      <c r="N318" t="s">
        <v>537</v>
      </c>
    </row>
    <row r="319" spans="3:14" x14ac:dyDescent="0.2">
      <c r="C319" t="s">
        <v>283</v>
      </c>
      <c r="D319" s="88">
        <v>1.2700000000000001E-3</v>
      </c>
      <c r="E319" t="s">
        <v>387</v>
      </c>
      <c r="F319">
        <v>1.2700000000000001E-3</v>
      </c>
      <c r="G319">
        <v>1.2700000000000001E-3</v>
      </c>
      <c r="H319">
        <v>3.0599999999999998E-3</v>
      </c>
      <c r="I319">
        <v>1.2700000000000001E-3</v>
      </c>
      <c r="J319">
        <f>$A$7</f>
        <v>10</v>
      </c>
      <c r="K319">
        <v>-1</v>
      </c>
      <c r="L319" t="s">
        <v>471</v>
      </c>
      <c r="M319" s="17">
        <f t="shared" si="76"/>
        <v>-62986.93136858342</v>
      </c>
      <c r="N319" t="s">
        <v>537</v>
      </c>
    </row>
    <row r="320" spans="3:14" x14ac:dyDescent="0.2">
      <c r="C320" t="s">
        <v>284</v>
      </c>
      <c r="D320" s="88">
        <v>1.2999999999999999E-4</v>
      </c>
      <c r="E320" t="s">
        <v>388</v>
      </c>
      <c r="F320">
        <v>1.2999999999999999E-4</v>
      </c>
      <c r="G320">
        <v>1.2999999999999999E-4</v>
      </c>
      <c r="H320">
        <v>3.0602</v>
      </c>
      <c r="I320">
        <v>1.2999999999999999E-4</v>
      </c>
      <c r="J320">
        <f>$A$7</f>
        <v>10</v>
      </c>
      <c r="K320">
        <v>-1</v>
      </c>
      <c r="L320" t="s">
        <v>472</v>
      </c>
      <c r="M320" s="17">
        <f t="shared" si="76"/>
        <v>-50148888.357330449</v>
      </c>
      <c r="N320" t="s">
        <v>537</v>
      </c>
    </row>
    <row r="321" spans="3:14" x14ac:dyDescent="0.2">
      <c r="C321" t="s">
        <v>285</v>
      </c>
      <c r="D321" s="88">
        <v>1.2700000000000001E-3</v>
      </c>
      <c r="E321" t="s">
        <v>389</v>
      </c>
      <c r="F321">
        <v>1.2700000000000001E-3</v>
      </c>
      <c r="G321">
        <v>1.2700000000000001E-3</v>
      </c>
      <c r="H321">
        <v>3.0599999999999998E-3</v>
      </c>
      <c r="I321">
        <v>1.2700000000000001E-3</v>
      </c>
      <c r="J321">
        <f>$A$7</f>
        <v>10</v>
      </c>
      <c r="K321">
        <v>-1</v>
      </c>
      <c r="L321" t="s">
        <v>473</v>
      </c>
      <c r="M321" s="17">
        <f t="shared" si="76"/>
        <v>-62986.93136858342</v>
      </c>
      <c r="N321" t="s">
        <v>537</v>
      </c>
    </row>
    <row r="322" spans="3:14" x14ac:dyDescent="0.2">
      <c r="C322" t="s">
        <v>286</v>
      </c>
      <c r="D322" s="88">
        <v>1.268E-2</v>
      </c>
      <c r="E322" t="s">
        <v>390</v>
      </c>
      <c r="F322">
        <v>1.268E-2</v>
      </c>
      <c r="G322">
        <v>1.268E-2</v>
      </c>
      <c r="H322">
        <v>3.0599999999999998E-3</v>
      </c>
      <c r="I322">
        <v>1.268E-2</v>
      </c>
      <c r="J322">
        <f>$A$6</f>
        <v>100</v>
      </c>
      <c r="K322">
        <v>-1</v>
      </c>
      <c r="L322" t="s">
        <v>474</v>
      </c>
      <c r="M322" s="17">
        <f t="shared" si="76"/>
        <v>-1783684.0029795105</v>
      </c>
      <c r="N322" t="s">
        <v>537</v>
      </c>
    </row>
    <row r="323" spans="3:14" x14ac:dyDescent="0.2">
      <c r="C323" t="s">
        <v>287</v>
      </c>
      <c r="D323" s="88">
        <v>1.2700000000000001E-3</v>
      </c>
      <c r="E323" t="s">
        <v>391</v>
      </c>
      <c r="F323">
        <v>1.2700000000000001E-3</v>
      </c>
      <c r="G323">
        <v>1.2700000000000001E-3</v>
      </c>
      <c r="H323">
        <v>3.0599999999999998E-3</v>
      </c>
      <c r="I323">
        <v>1.2700000000000001E-3</v>
      </c>
      <c r="J323">
        <f>$A$6</f>
        <v>100</v>
      </c>
      <c r="K323">
        <v>-1</v>
      </c>
      <c r="L323" t="s">
        <v>475</v>
      </c>
      <c r="M323" s="17">
        <f t="shared" si="76"/>
        <v>-629869.31368583417</v>
      </c>
      <c r="N323" t="s">
        <v>537</v>
      </c>
    </row>
    <row r="324" spans="3:14" x14ac:dyDescent="0.2">
      <c r="C324" t="s">
        <v>288</v>
      </c>
      <c r="D324" s="88">
        <v>1.2700000000000001E-3</v>
      </c>
      <c r="E324" t="s">
        <v>392</v>
      </c>
      <c r="F324">
        <v>1.2700000000000001E-3</v>
      </c>
      <c r="G324">
        <v>1.2700000000000001E-3</v>
      </c>
      <c r="H324">
        <v>3.0599999999999998E-3</v>
      </c>
      <c r="I324">
        <v>1.2700000000000001E-3</v>
      </c>
      <c r="J324">
        <f>$A$6</f>
        <v>100</v>
      </c>
      <c r="K324">
        <v>-1</v>
      </c>
      <c r="L324" t="s">
        <v>476</v>
      </c>
      <c r="M324" s="17">
        <f t="shared" si="76"/>
        <v>-629869.31368583417</v>
      </c>
      <c r="N324" t="s">
        <v>537</v>
      </c>
    </row>
    <row r="325" spans="3:14" x14ac:dyDescent="0.2">
      <c r="C325" t="s">
        <v>333</v>
      </c>
      <c r="D325" s="88">
        <v>1.2700000000000001E-3</v>
      </c>
      <c r="E325" t="s">
        <v>340</v>
      </c>
      <c r="F325">
        <v>1.2700000000000001E-3</v>
      </c>
      <c r="G325">
        <v>1.2700000000000001E-3</v>
      </c>
      <c r="H325">
        <v>3.0599999999999998E-3</v>
      </c>
      <c r="I325">
        <v>1.2700000000000001E-3</v>
      </c>
      <c r="J325">
        <f>$A$7</f>
        <v>10</v>
      </c>
      <c r="K325">
        <v>-1</v>
      </c>
      <c r="L325" t="s">
        <v>424</v>
      </c>
      <c r="M325" s="17">
        <f t="shared" si="76"/>
        <v>-62986.93136858342</v>
      </c>
      <c r="N325" t="s">
        <v>537</v>
      </c>
    </row>
    <row r="326" spans="3:14" x14ac:dyDescent="0.2">
      <c r="C326" t="s">
        <v>334</v>
      </c>
      <c r="D326" s="88">
        <v>1.268E-2</v>
      </c>
      <c r="E326" t="s">
        <v>393</v>
      </c>
      <c r="F326">
        <v>1.268E-2</v>
      </c>
      <c r="G326">
        <v>1.268E-2</v>
      </c>
      <c r="H326">
        <v>3.0599999999999999E-2</v>
      </c>
      <c r="I326">
        <v>1.268E-2</v>
      </c>
      <c r="J326">
        <v>0</v>
      </c>
      <c r="K326">
        <v>0</v>
      </c>
      <c r="L326" t="s">
        <v>477</v>
      </c>
      <c r="M326" s="17">
        <f t="shared" si="76"/>
        <v>0</v>
      </c>
      <c r="N326" t="s">
        <v>537</v>
      </c>
    </row>
    <row r="327" spans="3:14" x14ac:dyDescent="0.2">
      <c r="C327" t="s">
        <v>335</v>
      </c>
      <c r="D327" s="88">
        <v>1.2700000000000001E-3</v>
      </c>
      <c r="E327" t="s">
        <v>394</v>
      </c>
      <c r="F327">
        <v>1.2700000000000001E-3</v>
      </c>
      <c r="G327">
        <v>1.2700000000000001E-3</v>
      </c>
      <c r="H327">
        <v>3.0599999999999998E-3</v>
      </c>
      <c r="I327">
        <v>1.268E-2</v>
      </c>
      <c r="J327">
        <f>$A$7</f>
        <v>10</v>
      </c>
      <c r="K327">
        <v>-1</v>
      </c>
      <c r="L327" t="s">
        <v>478</v>
      </c>
      <c r="M327" s="17">
        <f t="shared" si="76"/>
        <v>-78653.146779988572</v>
      </c>
      <c r="N327" t="s">
        <v>537</v>
      </c>
    </row>
    <row r="328" spans="3:14" x14ac:dyDescent="0.2">
      <c r="C328" t="s">
        <v>289</v>
      </c>
      <c r="D328" s="88">
        <v>1.2700000000000001E-3</v>
      </c>
      <c r="E328" t="s">
        <v>395</v>
      </c>
      <c r="F328">
        <v>1.2700000000000001E-3</v>
      </c>
      <c r="G328">
        <v>1.2700000000000001E-3</v>
      </c>
      <c r="H328">
        <v>0.30602000000000001</v>
      </c>
      <c r="I328">
        <v>1.2700000000000001E-3</v>
      </c>
      <c r="J328">
        <f>$A$7</f>
        <v>10</v>
      </c>
      <c r="K328">
        <v>-1</v>
      </c>
      <c r="L328" t="s">
        <v>479</v>
      </c>
      <c r="M328" s="17">
        <f t="shared" si="76"/>
        <v>-5027600.010706245</v>
      </c>
      <c r="N328" t="s">
        <v>537</v>
      </c>
    </row>
    <row r="329" spans="3:14" x14ac:dyDescent="0.2">
      <c r="C329" t="s">
        <v>290</v>
      </c>
      <c r="D329" s="88">
        <v>1.2999999999999999E-4</v>
      </c>
      <c r="E329" t="s">
        <v>396</v>
      </c>
      <c r="F329">
        <v>1.2999999999999999E-4</v>
      </c>
      <c r="G329">
        <v>1.2999999999999999E-4</v>
      </c>
      <c r="H329">
        <v>3.1E-4</v>
      </c>
      <c r="I329">
        <v>1.2999999999999999E-4</v>
      </c>
      <c r="J329">
        <f>$A$7</f>
        <v>10</v>
      </c>
      <c r="K329">
        <v>-1</v>
      </c>
      <c r="L329" t="s">
        <v>480</v>
      </c>
      <c r="M329" s="17">
        <f t="shared" si="76"/>
        <v>-6394.5781697750181</v>
      </c>
      <c r="N329" t="s">
        <v>537</v>
      </c>
    </row>
    <row r="330" spans="3:14" x14ac:dyDescent="0.2">
      <c r="C330" t="s">
        <v>291</v>
      </c>
      <c r="D330" s="88">
        <v>1.2999999999999999E-4</v>
      </c>
      <c r="E330" t="s">
        <v>397</v>
      </c>
      <c r="F330">
        <v>1.2999999999999999E-4</v>
      </c>
      <c r="G330">
        <v>1.2999999999999999E-4</v>
      </c>
      <c r="H330">
        <v>3.1E-4</v>
      </c>
      <c r="I330">
        <v>1.2999999999999999E-4</v>
      </c>
      <c r="J330">
        <f>$A$8</f>
        <v>1</v>
      </c>
      <c r="K330">
        <v>-1</v>
      </c>
      <c r="L330" t="s">
        <v>481</v>
      </c>
      <c r="M330" s="17">
        <f t="shared" si="76"/>
        <v>-639.45781697750181</v>
      </c>
      <c r="N330" t="s">
        <v>537</v>
      </c>
    </row>
    <row r="331" spans="3:14" x14ac:dyDescent="0.2">
      <c r="C331" t="s">
        <v>292</v>
      </c>
      <c r="D331" s="88">
        <v>1.268E-2</v>
      </c>
      <c r="E331" t="s">
        <v>360</v>
      </c>
      <c r="F331">
        <v>1.268E-2</v>
      </c>
      <c r="G331">
        <v>1.268E-2</v>
      </c>
      <c r="H331">
        <v>3.0599999999999998E-3</v>
      </c>
      <c r="I331">
        <v>1.268E-2</v>
      </c>
      <c r="J331">
        <f>$A$6</f>
        <v>100</v>
      </c>
      <c r="K331">
        <v>-1</v>
      </c>
      <c r="L331" t="s">
        <v>444</v>
      </c>
      <c r="M331" s="17">
        <f t="shared" si="76"/>
        <v>-1783684.0029795105</v>
      </c>
      <c r="N331" t="s">
        <v>537</v>
      </c>
    </row>
    <row r="332" spans="3:14" x14ac:dyDescent="0.2">
      <c r="C332" t="s">
        <v>293</v>
      </c>
      <c r="D332" s="88">
        <v>1.26824</v>
      </c>
      <c r="E332" t="s">
        <v>398</v>
      </c>
      <c r="F332">
        <v>1.26824</v>
      </c>
      <c r="G332">
        <v>1.26824</v>
      </c>
      <c r="H332">
        <v>3.0599999999999998E-3</v>
      </c>
      <c r="I332">
        <v>1.26824</v>
      </c>
      <c r="J332">
        <f>$A$7</f>
        <v>10</v>
      </c>
      <c r="K332">
        <v>-1</v>
      </c>
      <c r="L332" t="s">
        <v>482</v>
      </c>
      <c r="M332" s="17">
        <f t="shared" si="76"/>
        <v>-12874981.6456053</v>
      </c>
      <c r="N332" t="s">
        <v>537</v>
      </c>
    </row>
    <row r="333" spans="3:14" x14ac:dyDescent="0.2">
      <c r="C333" t="s">
        <v>294</v>
      </c>
      <c r="D333" s="88">
        <v>1.2999999999999999E-4</v>
      </c>
      <c r="E333" t="s">
        <v>399</v>
      </c>
      <c r="F333">
        <v>1.2999999999999999E-4</v>
      </c>
      <c r="G333">
        <v>1.2999999999999999E-4</v>
      </c>
      <c r="H333">
        <v>3.1E-4</v>
      </c>
      <c r="I333">
        <v>1.2999999999999999E-4</v>
      </c>
      <c r="J333">
        <f>$A$8</f>
        <v>1</v>
      </c>
      <c r="K333">
        <v>-1</v>
      </c>
      <c r="L333" t="s">
        <v>483</v>
      </c>
      <c r="M333" s="17">
        <f t="shared" si="76"/>
        <v>-639.45781697750181</v>
      </c>
      <c r="N333" t="s">
        <v>537</v>
      </c>
    </row>
    <row r="334" spans="3:14" x14ac:dyDescent="0.2">
      <c r="C334" t="s">
        <v>336</v>
      </c>
      <c r="D334" s="88">
        <v>1.2700000000000001E-3</v>
      </c>
      <c r="E334" t="s">
        <v>400</v>
      </c>
      <c r="F334">
        <v>1.2700000000000001E-3</v>
      </c>
      <c r="G334">
        <v>1.2700000000000001E-3</v>
      </c>
      <c r="H334">
        <v>0</v>
      </c>
      <c r="I334">
        <v>1.2700000000000001E-3</v>
      </c>
      <c r="J334">
        <f>$A$6</f>
        <v>100</v>
      </c>
      <c r="K334">
        <v>-1</v>
      </c>
      <c r="L334" t="s">
        <v>484</v>
      </c>
      <c r="M334" s="17">
        <f t="shared" si="76"/>
        <v>-128426.3501667808</v>
      </c>
      <c r="N334" t="s">
        <v>537</v>
      </c>
    </row>
    <row r="335" spans="3:14" x14ac:dyDescent="0.2">
      <c r="C335" t="s">
        <v>295</v>
      </c>
      <c r="D335" s="88">
        <v>1.2999999999999999E-4</v>
      </c>
      <c r="E335" t="s">
        <v>401</v>
      </c>
      <c r="F335">
        <v>1.2999999999999999E-4</v>
      </c>
      <c r="G335">
        <v>1.2999999999999999E-4</v>
      </c>
      <c r="H335">
        <v>3.1E-4</v>
      </c>
      <c r="I335">
        <v>1.2999999999999999E-4</v>
      </c>
      <c r="J335">
        <f>$A$6</f>
        <v>100</v>
      </c>
      <c r="K335">
        <v>-1</v>
      </c>
      <c r="L335" t="s">
        <v>485</v>
      </c>
      <c r="M335" s="17">
        <f t="shared" si="76"/>
        <v>-63945.781697750179</v>
      </c>
      <c r="N335" t="s">
        <v>537</v>
      </c>
    </row>
    <row r="336" spans="3:14" x14ac:dyDescent="0.2">
      <c r="C336" t="s">
        <v>296</v>
      </c>
      <c r="D336" s="88">
        <v>1.26824</v>
      </c>
      <c r="E336" t="s">
        <v>402</v>
      </c>
      <c r="F336">
        <v>1.26824</v>
      </c>
      <c r="G336">
        <v>1.26824</v>
      </c>
      <c r="H336">
        <v>3.0599999999999998E-3</v>
      </c>
      <c r="I336">
        <v>1.26824</v>
      </c>
      <c r="J336">
        <f>$A$7</f>
        <v>10</v>
      </c>
      <c r="K336">
        <v>-1</v>
      </c>
      <c r="L336" t="s">
        <v>486</v>
      </c>
      <c r="M336" s="17">
        <f t="shared" si="76"/>
        <v>-12874981.6456053</v>
      </c>
      <c r="N336" t="s">
        <v>537</v>
      </c>
    </row>
    <row r="337" spans="3:14" x14ac:dyDescent="0.2">
      <c r="C337" t="s">
        <v>297</v>
      </c>
      <c r="D337" s="88">
        <v>1.2999999999999999E-4</v>
      </c>
      <c r="E337" t="s">
        <v>403</v>
      </c>
      <c r="F337">
        <v>1.2999999999999999E-4</v>
      </c>
      <c r="G337">
        <v>1.2999999999999999E-4</v>
      </c>
      <c r="H337">
        <v>3.0599999999999998E-3</v>
      </c>
      <c r="I337">
        <v>1.2999999999999999E-4</v>
      </c>
      <c r="J337">
        <f>$A$7</f>
        <v>10</v>
      </c>
      <c r="K337">
        <v>-1</v>
      </c>
      <c r="L337" t="s">
        <v>487</v>
      </c>
      <c r="M337" s="17">
        <f t="shared" si="76"/>
        <v>-51458.896786683406</v>
      </c>
      <c r="N337" t="s">
        <v>537</v>
      </c>
    </row>
    <row r="338" spans="3:14" x14ac:dyDescent="0.2">
      <c r="C338" t="s">
        <v>298</v>
      </c>
      <c r="D338" s="88">
        <v>1.2700000000000001E-3</v>
      </c>
      <c r="E338" t="s">
        <v>394</v>
      </c>
      <c r="F338">
        <v>1.2999999999999999E-4</v>
      </c>
      <c r="G338">
        <v>1.2999999999999999E-4</v>
      </c>
      <c r="H338">
        <v>3.0599999999999998E-3</v>
      </c>
      <c r="I338">
        <v>1.2999999999999999E-4</v>
      </c>
      <c r="J338">
        <f>$A$7</f>
        <v>10</v>
      </c>
      <c r="K338">
        <v>-1</v>
      </c>
      <c r="L338" t="s">
        <v>478</v>
      </c>
      <c r="M338" s="17">
        <f t="shared" si="76"/>
        <v>-52916.759794968224</v>
      </c>
      <c r="N338" t="s">
        <v>537</v>
      </c>
    </row>
    <row r="339" spans="3:14" x14ac:dyDescent="0.2">
      <c r="C339" t="s">
        <v>299</v>
      </c>
      <c r="D339" s="88">
        <v>1.2999999999999999E-4</v>
      </c>
      <c r="E339" t="s">
        <v>404</v>
      </c>
      <c r="F339">
        <v>1.2999999999999999E-4</v>
      </c>
      <c r="G339">
        <v>1.2999999999999999E-4</v>
      </c>
      <c r="H339">
        <v>0.30602000000000001</v>
      </c>
      <c r="I339">
        <v>1.2999999999999999E-4</v>
      </c>
      <c r="J339">
        <f>$A$7</f>
        <v>10</v>
      </c>
      <c r="K339">
        <v>-1</v>
      </c>
      <c r="L339" t="s">
        <v>488</v>
      </c>
      <c r="M339" s="17">
        <f t="shared" si="76"/>
        <v>-5016071.9761243453</v>
      </c>
      <c r="N339" t="s">
        <v>537</v>
      </c>
    </row>
    <row r="340" spans="3:14" x14ac:dyDescent="0.2">
      <c r="C340" t="s">
        <v>300</v>
      </c>
      <c r="D340" s="88">
        <v>0.12681999999999999</v>
      </c>
      <c r="E340" t="s">
        <v>405</v>
      </c>
      <c r="F340">
        <v>0.12681999999999999</v>
      </c>
      <c r="G340">
        <v>0.12681999999999999</v>
      </c>
      <c r="H340">
        <v>3.0599999999999998E-3</v>
      </c>
      <c r="I340">
        <v>0.12681999999999999</v>
      </c>
      <c r="J340">
        <f>$A$7</f>
        <v>10</v>
      </c>
      <c r="K340">
        <v>-1</v>
      </c>
      <c r="L340" t="s">
        <v>489</v>
      </c>
      <c r="M340" s="17">
        <f t="shared" si="76"/>
        <v>-1332587.5820330973</v>
      </c>
      <c r="N340" t="s">
        <v>537</v>
      </c>
    </row>
    <row r="341" spans="3:14" x14ac:dyDescent="0.2">
      <c r="C341" t="s">
        <v>301</v>
      </c>
      <c r="D341" s="88">
        <v>1.2700000000000001E-3</v>
      </c>
      <c r="E341" t="s">
        <v>406</v>
      </c>
      <c r="F341">
        <v>1.2700000000000001E-3</v>
      </c>
      <c r="G341">
        <v>1.2700000000000001E-3</v>
      </c>
      <c r="H341">
        <v>0.30602000000000001</v>
      </c>
      <c r="I341">
        <v>1.2700000000000001E-3</v>
      </c>
      <c r="J341">
        <f>$A$6</f>
        <v>100</v>
      </c>
      <c r="K341">
        <v>-1</v>
      </c>
      <c r="L341" t="s">
        <v>490</v>
      </c>
      <c r="M341" s="17">
        <f t="shared" si="76"/>
        <v>-50276000.107062452</v>
      </c>
      <c r="N341" t="s">
        <v>537</v>
      </c>
    </row>
    <row r="342" spans="3:14" x14ac:dyDescent="0.2">
      <c r="C342" t="s">
        <v>302</v>
      </c>
      <c r="D342" s="88">
        <v>1.2700000000000001E-3</v>
      </c>
      <c r="E342" t="s">
        <v>407</v>
      </c>
      <c r="F342">
        <v>1.2700000000000001E-3</v>
      </c>
      <c r="G342">
        <v>1.2700000000000001E-3</v>
      </c>
      <c r="H342">
        <v>3.0599999999999998E-3</v>
      </c>
      <c r="I342">
        <v>1.2700000000000001E-3</v>
      </c>
      <c r="J342">
        <f>$A$6</f>
        <v>100</v>
      </c>
      <c r="K342">
        <v>-1</v>
      </c>
      <c r="L342" t="s">
        <v>491</v>
      </c>
      <c r="M342" s="17">
        <f t="shared" si="76"/>
        <v>-629869.31368583417</v>
      </c>
      <c r="N342" t="s">
        <v>537</v>
      </c>
    </row>
    <row r="343" spans="3:14" x14ac:dyDescent="0.2">
      <c r="C343" t="s">
        <v>303</v>
      </c>
      <c r="D343" s="88">
        <v>1.2700000000000001E-3</v>
      </c>
      <c r="E343" t="s">
        <v>408</v>
      </c>
      <c r="F343">
        <v>1.2700000000000001E-3</v>
      </c>
      <c r="G343">
        <v>1.2700000000000001E-3</v>
      </c>
      <c r="H343">
        <v>3.0599999999999998E-3</v>
      </c>
      <c r="I343">
        <v>1.2700000000000001E-3</v>
      </c>
      <c r="J343">
        <f>$A$7</f>
        <v>10</v>
      </c>
      <c r="K343">
        <v>-1</v>
      </c>
      <c r="L343" t="s">
        <v>492</v>
      </c>
      <c r="M343" s="17">
        <f t="shared" ref="M343:M352" si="77">((SUM(B$247,B$248,B$252,B$256,B$259)*D343)+(SUM(B$249,B$253,B$260,B$264,B$265)*F343)+(SUM(B$250,B$254,B$261)*G343)+(SUM(B$251,B$255,B$262,B$257,B$258,B$263)*H343)+(SUM(B$258,B$263)*0.2*I343))*J343*K343</f>
        <v>-62986.93136858342</v>
      </c>
      <c r="N343" t="s">
        <v>537</v>
      </c>
    </row>
    <row r="344" spans="3:14" x14ac:dyDescent="0.2">
      <c r="C344" t="s">
        <v>304</v>
      </c>
      <c r="D344" s="88">
        <v>1.26824</v>
      </c>
      <c r="E344" t="s">
        <v>409</v>
      </c>
      <c r="F344">
        <v>1.26824</v>
      </c>
      <c r="G344">
        <v>1.26824</v>
      </c>
      <c r="H344">
        <v>3.0602</v>
      </c>
      <c r="I344">
        <v>1.26824</v>
      </c>
      <c r="J344">
        <f>$A$6</f>
        <v>100</v>
      </c>
      <c r="K344">
        <v>-1</v>
      </c>
      <c r="L344" t="s">
        <v>493</v>
      </c>
      <c r="M344" s="17">
        <f t="shared" si="77"/>
        <v>-629724111.06149065</v>
      </c>
      <c r="N344" t="s">
        <v>537</v>
      </c>
    </row>
    <row r="345" spans="3:14" x14ac:dyDescent="0.2">
      <c r="C345" t="s">
        <v>305</v>
      </c>
      <c r="D345" s="88">
        <v>1.2700000000000001E-3</v>
      </c>
      <c r="E345" t="s">
        <v>410</v>
      </c>
      <c r="F345">
        <v>1.2700000000000001E-3</v>
      </c>
      <c r="G345">
        <v>1.2700000000000001E-3</v>
      </c>
      <c r="H345">
        <v>3.0599999999999998E-3</v>
      </c>
      <c r="I345">
        <v>1.2700000000000001E-3</v>
      </c>
      <c r="J345">
        <f>$A$7</f>
        <v>10</v>
      </c>
      <c r="K345">
        <v>-1</v>
      </c>
      <c r="L345" t="s">
        <v>494</v>
      </c>
      <c r="M345" s="17">
        <f t="shared" si="77"/>
        <v>-62986.93136858342</v>
      </c>
      <c r="N345" t="s">
        <v>537</v>
      </c>
    </row>
    <row r="346" spans="3:14" x14ac:dyDescent="0.2">
      <c r="C346" t="s">
        <v>306</v>
      </c>
      <c r="D346" s="88">
        <v>1.2700000000000001E-3</v>
      </c>
      <c r="E346" t="s">
        <v>411</v>
      </c>
      <c r="F346">
        <v>1.2700000000000001E-3</v>
      </c>
      <c r="G346">
        <v>1.2700000000000001E-3</v>
      </c>
      <c r="H346">
        <v>3.0599999999999998E-3</v>
      </c>
      <c r="I346">
        <v>1.2700000000000001E-3</v>
      </c>
      <c r="J346">
        <f>$A$8</f>
        <v>1</v>
      </c>
      <c r="K346">
        <v>-1</v>
      </c>
      <c r="L346" t="s">
        <v>495</v>
      </c>
      <c r="M346" s="17">
        <f t="shared" si="77"/>
        <v>-6298.6931368583419</v>
      </c>
      <c r="N346" t="s">
        <v>537</v>
      </c>
    </row>
    <row r="347" spans="3:14" x14ac:dyDescent="0.2">
      <c r="C347" t="s">
        <v>307</v>
      </c>
      <c r="D347" s="88">
        <v>1.2700000000000001E-3</v>
      </c>
      <c r="E347" t="s">
        <v>411</v>
      </c>
      <c r="F347">
        <v>1.2700000000000001E-3</v>
      </c>
      <c r="G347">
        <v>1.2700000000000001E-3</v>
      </c>
      <c r="H347">
        <v>3.0599999999999998E-3</v>
      </c>
      <c r="I347">
        <v>1.2700000000000001E-3</v>
      </c>
      <c r="J347">
        <f>$A$8</f>
        <v>1</v>
      </c>
      <c r="K347">
        <v>-1</v>
      </c>
      <c r="L347" t="s">
        <v>495</v>
      </c>
      <c r="M347" s="17">
        <f t="shared" si="77"/>
        <v>-6298.6931368583419</v>
      </c>
      <c r="N347" t="s">
        <v>537</v>
      </c>
    </row>
    <row r="348" spans="3:14" ht="16" customHeight="1" x14ac:dyDescent="0.2">
      <c r="C348" t="s">
        <v>337</v>
      </c>
      <c r="D348" s="88">
        <v>0.12681999999999999</v>
      </c>
      <c r="E348" t="s">
        <v>412</v>
      </c>
      <c r="F348">
        <v>0.12681999999999999</v>
      </c>
      <c r="G348">
        <v>0.12681999999999999</v>
      </c>
      <c r="H348">
        <v>3.0599999999999998E-3</v>
      </c>
      <c r="I348">
        <v>0.12681999999999999</v>
      </c>
      <c r="J348">
        <v>0</v>
      </c>
      <c r="K348">
        <v>0</v>
      </c>
      <c r="L348" t="s">
        <v>496</v>
      </c>
      <c r="M348" s="17">
        <f t="shared" si="77"/>
        <v>0</v>
      </c>
      <c r="N348" t="s">
        <v>537</v>
      </c>
    </row>
    <row r="349" spans="3:14" ht="15" customHeight="1" x14ac:dyDescent="0.2">
      <c r="C349" t="s">
        <v>308</v>
      </c>
      <c r="D349" s="88">
        <v>1.2700000000000001E-3</v>
      </c>
      <c r="E349" t="s">
        <v>413</v>
      </c>
      <c r="F349">
        <v>1.2700000000000001E-3</v>
      </c>
      <c r="G349">
        <v>1.2700000000000001E-3</v>
      </c>
      <c r="H349">
        <v>3.0599999999999998E-3</v>
      </c>
      <c r="I349">
        <v>1.2700000000000001E-3</v>
      </c>
      <c r="J349">
        <f>$A$7</f>
        <v>10</v>
      </c>
      <c r="K349">
        <v>-1</v>
      </c>
      <c r="L349" t="s">
        <v>497</v>
      </c>
      <c r="M349" s="17">
        <f t="shared" si="77"/>
        <v>-62986.93136858342</v>
      </c>
      <c r="N349" t="s">
        <v>537</v>
      </c>
    </row>
    <row r="350" spans="3:14" x14ac:dyDescent="0.2">
      <c r="C350" t="s">
        <v>309</v>
      </c>
      <c r="D350" s="88">
        <v>1.2700000000000001E-3</v>
      </c>
      <c r="E350" t="s">
        <v>413</v>
      </c>
      <c r="F350">
        <v>1.2700000000000001E-3</v>
      </c>
      <c r="G350">
        <v>1.2700000000000001E-3</v>
      </c>
      <c r="H350">
        <v>3.0599999999999998E-3</v>
      </c>
      <c r="I350">
        <v>1.2700000000000001E-3</v>
      </c>
      <c r="J350">
        <f>$A$7</f>
        <v>10</v>
      </c>
      <c r="K350">
        <v>-1</v>
      </c>
      <c r="L350" t="s">
        <v>497</v>
      </c>
      <c r="M350" s="17">
        <f t="shared" si="77"/>
        <v>-62986.93136858342</v>
      </c>
      <c r="N350" t="s">
        <v>537</v>
      </c>
    </row>
    <row r="351" spans="3:14" x14ac:dyDescent="0.2">
      <c r="C351" t="s">
        <v>310</v>
      </c>
      <c r="D351" s="88">
        <v>1.2700000000000001E-3</v>
      </c>
      <c r="E351" t="s">
        <v>413</v>
      </c>
      <c r="F351">
        <v>1.2700000000000001E-3</v>
      </c>
      <c r="G351">
        <v>1.2700000000000001E-3</v>
      </c>
      <c r="H351">
        <v>3.0599999999999998E-3</v>
      </c>
      <c r="I351">
        <v>1.2700000000000001E-3</v>
      </c>
      <c r="J351">
        <v>0</v>
      </c>
      <c r="K351">
        <v>0</v>
      </c>
      <c r="L351" t="s">
        <v>497</v>
      </c>
      <c r="M351" s="17">
        <f t="shared" si="77"/>
        <v>0</v>
      </c>
      <c r="N351" t="s">
        <v>537</v>
      </c>
    </row>
    <row r="352" spans="3:14" x14ac:dyDescent="0.2">
      <c r="C352" t="s">
        <v>311</v>
      </c>
      <c r="D352" s="88">
        <v>1.2700000000000001E-3</v>
      </c>
      <c r="E352" t="s">
        <v>414</v>
      </c>
      <c r="F352">
        <v>1.2700000000000001E-3</v>
      </c>
      <c r="G352">
        <v>1.2700000000000001E-3</v>
      </c>
      <c r="H352">
        <v>3.1E-4</v>
      </c>
      <c r="I352">
        <v>1.2700000000000001E-3</v>
      </c>
      <c r="J352">
        <f>$A$7</f>
        <v>10</v>
      </c>
      <c r="K352">
        <v>-1</v>
      </c>
      <c r="L352" t="s">
        <v>498</v>
      </c>
      <c r="M352" s="17">
        <f t="shared" si="77"/>
        <v>-17922.612751675028</v>
      </c>
      <c r="N352" t="s">
        <v>537</v>
      </c>
    </row>
    <row r="354" spans="1:15" ht="22" customHeight="1" x14ac:dyDescent="0.2">
      <c r="A354" s="377" t="s">
        <v>72</v>
      </c>
      <c r="B354" s="378"/>
      <c r="C354" s="378"/>
      <c r="D354" s="378"/>
      <c r="E354" s="378"/>
      <c r="F354" s="378"/>
      <c r="G354" s="378"/>
      <c r="H354" s="378"/>
      <c r="I354" s="378"/>
      <c r="J354" s="378"/>
      <c r="K354" s="378"/>
      <c r="L354" s="378"/>
      <c r="M354" s="378"/>
      <c r="N354" s="378"/>
      <c r="O354" s="378"/>
    </row>
    <row r="355" spans="1:15" ht="15" customHeight="1" x14ac:dyDescent="0.2">
      <c r="A355" s="379"/>
      <c r="B355" s="380"/>
      <c r="C355" s="380"/>
      <c r="D355" s="380"/>
      <c r="E355" s="380"/>
      <c r="F355" s="380"/>
      <c r="G355" s="380"/>
      <c r="H355" s="380"/>
      <c r="I355" s="380"/>
      <c r="J355" s="380"/>
      <c r="K355" s="380"/>
      <c r="L355" s="380"/>
      <c r="M355" s="380"/>
      <c r="N355" s="380"/>
      <c r="O355" s="380"/>
    </row>
    <row r="356" spans="1:15" ht="16" customHeight="1" x14ac:dyDescent="0.2">
      <c r="A356" s="358" t="s">
        <v>8</v>
      </c>
      <c r="B356" s="363" t="s">
        <v>1022</v>
      </c>
      <c r="C356" s="364" t="s">
        <v>503</v>
      </c>
      <c r="D356" s="364"/>
      <c r="E356" s="364"/>
      <c r="F356" s="79" t="s">
        <v>512</v>
      </c>
      <c r="G356" s="79" t="s">
        <v>10</v>
      </c>
      <c r="H356" s="79" t="s">
        <v>507</v>
      </c>
      <c r="I356" s="328" t="s">
        <v>421</v>
      </c>
      <c r="J356" s="329"/>
      <c r="K356" s="330"/>
      <c r="L356" s="334" t="s">
        <v>28</v>
      </c>
      <c r="M356" s="335"/>
      <c r="N356" s="338" t="s">
        <v>420</v>
      </c>
      <c r="O356" s="339"/>
    </row>
    <row r="357" spans="1:15" x14ac:dyDescent="0.2">
      <c r="A357" s="358"/>
      <c r="B357" s="363"/>
      <c r="C357" s="61" t="s">
        <v>502</v>
      </c>
      <c r="D357" s="61"/>
      <c r="E357" s="61"/>
      <c r="F357" s="87" t="s">
        <v>509</v>
      </c>
      <c r="G357" s="90" t="s">
        <v>513</v>
      </c>
      <c r="H357" s="87" t="s">
        <v>506</v>
      </c>
      <c r="I357" s="331"/>
      <c r="J357" s="332"/>
      <c r="K357" s="333"/>
      <c r="L357" s="336"/>
      <c r="M357" s="337"/>
      <c r="N357" s="340"/>
      <c r="O357" s="341"/>
    </row>
    <row r="358" spans="1:15" x14ac:dyDescent="0.2">
      <c r="A358" s="358"/>
      <c r="B358" s="363"/>
      <c r="C358" s="6" t="s">
        <v>317</v>
      </c>
      <c r="D358" s="58" t="s">
        <v>319</v>
      </c>
      <c r="E358" s="58" t="s">
        <v>5</v>
      </c>
      <c r="F358" s="58" t="s">
        <v>319</v>
      </c>
      <c r="G358" s="58" t="s">
        <v>319</v>
      </c>
      <c r="H358" s="58" t="s">
        <v>319</v>
      </c>
      <c r="I358" s="64" t="s">
        <v>0</v>
      </c>
      <c r="J358" s="64" t="s">
        <v>499</v>
      </c>
      <c r="K358" s="64" t="s">
        <v>5</v>
      </c>
      <c r="L358" s="64" t="s">
        <v>0</v>
      </c>
      <c r="M358" s="58" t="s">
        <v>5</v>
      </c>
      <c r="N358" s="64" t="s">
        <v>0</v>
      </c>
      <c r="O358" s="58" t="s">
        <v>5</v>
      </c>
    </row>
    <row r="359" spans="1:15" ht="16" x14ac:dyDescent="0.2">
      <c r="A359" s="51" t="s">
        <v>165</v>
      </c>
      <c r="B359" s="82">
        <v>43285398.800840698</v>
      </c>
      <c r="C359" t="s">
        <v>225</v>
      </c>
      <c r="D359" s="88">
        <v>1.2999999999999999E-4</v>
      </c>
      <c r="E359" t="s">
        <v>338</v>
      </c>
      <c r="F359">
        <v>1.2999999999999999E-4</v>
      </c>
      <c r="G359">
        <v>1.2999999999999999E-4</v>
      </c>
      <c r="H359">
        <v>3.1E-4</v>
      </c>
      <c r="I359">
        <f>$A$6</f>
        <v>100</v>
      </c>
      <c r="J359">
        <v>-1</v>
      </c>
      <c r="K359" t="s">
        <v>422</v>
      </c>
      <c r="L359" s="17">
        <f>((SUM(B$359,B$362,B$365,B$369,B$370)*H359)+(SUM(B$360,B$363)*F359)+(SUM(B$361,B$364)*G359)+(SUM(B$366:B$368)*D359))*I359*J359</f>
        <v>-1569089.5495968733</v>
      </c>
      <c r="M359" t="s">
        <v>537</v>
      </c>
      <c r="N359" s="69">
        <f>SUM(L359:L464)</f>
        <v>-63844010822.644844</v>
      </c>
      <c r="O359" t="s">
        <v>537</v>
      </c>
    </row>
    <row r="360" spans="1:15" ht="16" x14ac:dyDescent="0.2">
      <c r="A360" s="51" t="s">
        <v>159</v>
      </c>
      <c r="B360" s="82">
        <v>3209.4488889215386</v>
      </c>
      <c r="C360" t="s">
        <v>226</v>
      </c>
      <c r="D360" s="88">
        <v>1.2999999999999999E-4</v>
      </c>
      <c r="E360" t="s">
        <v>339</v>
      </c>
      <c r="F360">
        <v>1.2999999999999999E-4</v>
      </c>
      <c r="G360">
        <v>1.2999999999999999E-4</v>
      </c>
      <c r="H360">
        <v>3.1E-4</v>
      </c>
      <c r="I360">
        <f>$A$7</f>
        <v>10</v>
      </c>
      <c r="J360">
        <v>-1</v>
      </c>
      <c r="K360" t="s">
        <v>423</v>
      </c>
      <c r="L360" s="17">
        <f t="shared" ref="L360:L423" si="78">((SUM(B$359,B$362,B$365,B$369,B$370)*H360)+(SUM(B$360,B$363)*F360)+(SUM(B$361,B$364)*G360)+(SUM(B$366:B$368)*D360))*I360*J360</f>
        <v>-156908.95495968731</v>
      </c>
      <c r="M360" t="s">
        <v>537</v>
      </c>
    </row>
    <row r="361" spans="1:15" ht="16" x14ac:dyDescent="0.2">
      <c r="A361" s="51" t="s">
        <v>160</v>
      </c>
      <c r="B361" s="82">
        <v>796.67949383314453</v>
      </c>
      <c r="C361" t="s">
        <v>227</v>
      </c>
      <c r="D361" s="88">
        <v>1.2700000000000001E-3</v>
      </c>
      <c r="E361" t="s">
        <v>340</v>
      </c>
      <c r="F361">
        <v>1.2700000000000001E-3</v>
      </c>
      <c r="G361">
        <v>1.2700000000000001E-3</v>
      </c>
      <c r="H361">
        <v>3.0599999999999998E-3</v>
      </c>
      <c r="I361">
        <f>$A$7</f>
        <v>10</v>
      </c>
      <c r="J361">
        <v>-1</v>
      </c>
      <c r="K361" t="s">
        <v>424</v>
      </c>
      <c r="L361" s="17">
        <f t="shared" si="78"/>
        <v>-1547752.3593683226</v>
      </c>
      <c r="M361" t="s">
        <v>537</v>
      </c>
    </row>
    <row r="362" spans="1:15" ht="16" x14ac:dyDescent="0.2">
      <c r="A362" s="51" t="s">
        <v>161</v>
      </c>
      <c r="B362" s="82">
        <v>3466639.9405518603</v>
      </c>
      <c r="C362" t="s">
        <v>228</v>
      </c>
      <c r="D362" s="88">
        <v>0.12681999999999999</v>
      </c>
      <c r="E362" t="s">
        <v>341</v>
      </c>
      <c r="F362">
        <v>0.12681999999999999</v>
      </c>
      <c r="G362">
        <v>0.12681999999999999</v>
      </c>
      <c r="H362">
        <v>3.0599999999999998E-3</v>
      </c>
      <c r="I362">
        <f>$A$7</f>
        <v>10</v>
      </c>
      <c r="J362">
        <v>-1</v>
      </c>
      <c r="K362" t="s">
        <v>425</v>
      </c>
      <c r="L362" s="17">
        <f t="shared" si="78"/>
        <v>-11903201.257602185</v>
      </c>
      <c r="M362" t="s">
        <v>537</v>
      </c>
    </row>
    <row r="363" spans="1:15" ht="16" x14ac:dyDescent="0.2">
      <c r="A363" s="51" t="s">
        <v>162</v>
      </c>
      <c r="B363" s="82">
        <v>1667.6078877744092</v>
      </c>
      <c r="C363" t="s">
        <v>229</v>
      </c>
      <c r="D363" s="88">
        <v>1.268E-2</v>
      </c>
      <c r="E363" t="s">
        <v>342</v>
      </c>
      <c r="F363">
        <v>1.268E-2</v>
      </c>
      <c r="G363">
        <v>1.268E-2</v>
      </c>
      <c r="H363">
        <v>3.0599999999999998E-3</v>
      </c>
      <c r="I363">
        <f>$A$6</f>
        <v>100</v>
      </c>
      <c r="J363">
        <v>-1</v>
      </c>
      <c r="K363" t="s">
        <v>426</v>
      </c>
      <c r="L363" s="17">
        <f t="shared" si="78"/>
        <v>-24888568.749306358</v>
      </c>
      <c r="M363" t="s">
        <v>537</v>
      </c>
    </row>
    <row r="364" spans="1:15" ht="16" customHeight="1" x14ac:dyDescent="0.2">
      <c r="A364" s="51" t="s">
        <v>163</v>
      </c>
      <c r="B364" s="82">
        <v>413.9492647881687</v>
      </c>
      <c r="C364" t="s">
        <v>230</v>
      </c>
      <c r="D364" s="88">
        <v>0.12681999999999999</v>
      </c>
      <c r="E364" t="s">
        <v>343</v>
      </c>
      <c r="F364">
        <v>0.12681999999999999</v>
      </c>
      <c r="G364">
        <v>0.12681999999999999</v>
      </c>
      <c r="H364">
        <v>3.0602</v>
      </c>
      <c r="I364">
        <f>$A$6</f>
        <v>100</v>
      </c>
      <c r="J364">
        <v>-1</v>
      </c>
      <c r="K364" t="s">
        <v>427</v>
      </c>
      <c r="L364" s="17">
        <f t="shared" si="78"/>
        <v>-14535564137.876637</v>
      </c>
      <c r="M364" t="s">
        <v>537</v>
      </c>
    </row>
    <row r="365" spans="1:15" ht="15" customHeight="1" x14ac:dyDescent="0.2">
      <c r="A365" s="51" t="s">
        <v>164</v>
      </c>
      <c r="B365" s="82">
        <v>385182.21561687347</v>
      </c>
      <c r="C365" t="s">
        <v>231</v>
      </c>
      <c r="D365" s="88">
        <v>0.12681999999999999</v>
      </c>
      <c r="E365" t="s">
        <v>344</v>
      </c>
      <c r="F365">
        <v>1.26824</v>
      </c>
      <c r="G365">
        <v>0.12681999999999999</v>
      </c>
      <c r="H365">
        <v>3.0599999999999998E-3</v>
      </c>
      <c r="I365">
        <f>$A$7</f>
        <v>10</v>
      </c>
      <c r="J365">
        <v>-1</v>
      </c>
      <c r="K365" t="s">
        <v>428</v>
      </c>
      <c r="L365" s="17">
        <f t="shared" si="78"/>
        <v>-11958868.95906275</v>
      </c>
      <c r="M365" t="s">
        <v>537</v>
      </c>
    </row>
    <row r="366" spans="1:15" ht="16" x14ac:dyDescent="0.2">
      <c r="A366" s="81" t="s">
        <v>151</v>
      </c>
      <c r="B366" s="82">
        <v>6827939.1276458269</v>
      </c>
      <c r="C366" t="s">
        <v>232</v>
      </c>
      <c r="D366" s="88">
        <v>1.2999999999999999E-4</v>
      </c>
      <c r="E366" t="s">
        <v>345</v>
      </c>
      <c r="F366">
        <v>1.2999999999999999E-4</v>
      </c>
      <c r="G366">
        <v>1.2999999999999999E-4</v>
      </c>
      <c r="H366">
        <v>3.1E-4</v>
      </c>
      <c r="I366">
        <f>$A$7</f>
        <v>10</v>
      </c>
      <c r="J366">
        <v>-1</v>
      </c>
      <c r="K366" t="s">
        <v>429</v>
      </c>
      <c r="L366" s="17">
        <f t="shared" si="78"/>
        <v>-156908.95495968731</v>
      </c>
      <c r="M366" t="s">
        <v>537</v>
      </c>
    </row>
    <row r="367" spans="1:15" ht="16" x14ac:dyDescent="0.2">
      <c r="A367" s="81" t="s">
        <v>152</v>
      </c>
      <c r="B367" s="82">
        <v>1177323.0126889644</v>
      </c>
      <c r="C367" t="s">
        <v>233</v>
      </c>
      <c r="D367" s="88">
        <v>1.2999999999999999E-4</v>
      </c>
      <c r="E367" t="s">
        <v>345</v>
      </c>
      <c r="F367">
        <v>1.2999999999999999E-4</v>
      </c>
      <c r="G367">
        <v>1.2999999999999999E-4</v>
      </c>
      <c r="H367">
        <v>3.1E-4</v>
      </c>
      <c r="I367">
        <f>$A$7</f>
        <v>10</v>
      </c>
      <c r="J367">
        <v>-1</v>
      </c>
      <c r="K367" t="s">
        <v>429</v>
      </c>
      <c r="L367" s="17">
        <f t="shared" si="78"/>
        <v>-156908.95495968731</v>
      </c>
      <c r="M367" t="s">
        <v>537</v>
      </c>
    </row>
    <row r="368" spans="1:15" ht="16" x14ac:dyDescent="0.2">
      <c r="A368" s="81" t="s">
        <v>153</v>
      </c>
      <c r="B368" s="82">
        <v>236717.79518434417</v>
      </c>
      <c r="C368" t="s">
        <v>320</v>
      </c>
      <c r="D368" s="88">
        <v>0</v>
      </c>
      <c r="E368" t="s">
        <v>344</v>
      </c>
      <c r="F368">
        <v>0</v>
      </c>
      <c r="G368">
        <v>1.2999999999999999E-4</v>
      </c>
      <c r="H368">
        <v>0.30602000000000001</v>
      </c>
      <c r="I368">
        <f>$A$6</f>
        <v>100</v>
      </c>
      <c r="J368">
        <v>-1</v>
      </c>
      <c r="K368" t="s">
        <v>428</v>
      </c>
      <c r="L368" s="17">
        <f t="shared" si="78"/>
        <v>-1443096230.1688161</v>
      </c>
      <c r="M368" t="s">
        <v>537</v>
      </c>
    </row>
    <row r="369" spans="1:13" ht="16" x14ac:dyDescent="0.2">
      <c r="A369" s="51" t="s">
        <v>76</v>
      </c>
      <c r="B369" s="82">
        <v>16336.509668766957</v>
      </c>
      <c r="C369" t="s">
        <v>321</v>
      </c>
      <c r="D369" s="88">
        <v>0</v>
      </c>
      <c r="E369" t="s">
        <v>344</v>
      </c>
      <c r="F369">
        <v>0</v>
      </c>
      <c r="G369">
        <v>1.2999999999999999E-4</v>
      </c>
      <c r="H369">
        <v>0.30602000000000001</v>
      </c>
      <c r="I369">
        <f>$A$6</f>
        <v>100</v>
      </c>
      <c r="J369">
        <v>-1</v>
      </c>
      <c r="K369" t="s">
        <v>428</v>
      </c>
      <c r="L369" s="17">
        <f t="shared" si="78"/>
        <v>-1443096230.1688161</v>
      </c>
      <c r="M369" t="s">
        <v>537</v>
      </c>
    </row>
    <row r="370" spans="1:13" ht="16" customHeight="1" x14ac:dyDescent="0.2">
      <c r="A370" s="51" t="s">
        <v>77</v>
      </c>
      <c r="B370" s="82">
        <v>3367.3889077789145</v>
      </c>
      <c r="C370" t="s">
        <v>234</v>
      </c>
      <c r="D370" s="88">
        <v>0</v>
      </c>
      <c r="E370" t="s">
        <v>344</v>
      </c>
      <c r="F370">
        <v>0</v>
      </c>
      <c r="G370">
        <v>1.2999999999999999E-4</v>
      </c>
      <c r="H370">
        <v>0.30602000000000001</v>
      </c>
      <c r="I370">
        <v>0</v>
      </c>
      <c r="J370">
        <v>0</v>
      </c>
      <c r="K370" t="s">
        <v>428</v>
      </c>
      <c r="L370" s="17">
        <f t="shared" si="78"/>
        <v>0</v>
      </c>
      <c r="M370" t="s">
        <v>537</v>
      </c>
    </row>
    <row r="371" spans="1:13" ht="15" customHeight="1" x14ac:dyDescent="0.2">
      <c r="A371" s="1"/>
      <c r="B371" s="82"/>
      <c r="C371" t="s">
        <v>235</v>
      </c>
      <c r="D371" s="88">
        <v>0.12681999999999999</v>
      </c>
      <c r="E371" t="s">
        <v>346</v>
      </c>
      <c r="F371">
        <v>0.12681999999999999</v>
      </c>
      <c r="G371">
        <v>0.12681999999999999</v>
      </c>
      <c r="H371">
        <v>0.30602000000000001</v>
      </c>
      <c r="I371">
        <f>$A$8</f>
        <v>1</v>
      </c>
      <c r="J371">
        <v>1</v>
      </c>
      <c r="K371" t="s">
        <v>430</v>
      </c>
      <c r="L371" s="17">
        <f t="shared" si="78"/>
        <v>15476982.080008546</v>
      </c>
      <c r="M371" t="s">
        <v>537</v>
      </c>
    </row>
    <row r="372" spans="1:13" x14ac:dyDescent="0.2">
      <c r="A372" s="86" t="s">
        <v>9</v>
      </c>
      <c r="B372" s="82">
        <v>55404992.476640426</v>
      </c>
      <c r="C372" t="s">
        <v>236</v>
      </c>
      <c r="D372" s="88">
        <v>1.2999999999999999E-4</v>
      </c>
      <c r="E372" t="s">
        <v>347</v>
      </c>
      <c r="F372">
        <v>1.2999999999999999E-4</v>
      </c>
      <c r="G372">
        <v>1.2999999999999999E-4</v>
      </c>
      <c r="H372">
        <v>3.0602</v>
      </c>
      <c r="I372">
        <f>$A$7</f>
        <v>10</v>
      </c>
      <c r="J372">
        <v>-1</v>
      </c>
      <c r="K372" t="s">
        <v>431</v>
      </c>
      <c r="L372" s="17">
        <f t="shared" si="78"/>
        <v>-1443106936.9185495</v>
      </c>
      <c r="M372" t="s">
        <v>537</v>
      </c>
    </row>
    <row r="373" spans="1:13" x14ac:dyDescent="0.2">
      <c r="C373" t="s">
        <v>237</v>
      </c>
      <c r="D373" s="88">
        <v>0.12681999999999999</v>
      </c>
      <c r="E373" t="s">
        <v>348</v>
      </c>
      <c r="F373">
        <v>0.12681999999999999</v>
      </c>
      <c r="G373">
        <v>0.12681999999999999</v>
      </c>
      <c r="H373">
        <v>0.30602000000000001</v>
      </c>
      <c r="I373">
        <f>$A$6</f>
        <v>100</v>
      </c>
      <c r="J373">
        <v>-1</v>
      </c>
      <c r="K373" t="s">
        <v>432</v>
      </c>
      <c r="L373" s="17">
        <f t="shared" si="78"/>
        <v>-1547698208.0008545</v>
      </c>
      <c r="M373" t="s">
        <v>537</v>
      </c>
    </row>
    <row r="374" spans="1:13" ht="16" x14ac:dyDescent="0.2">
      <c r="A374" s="66" t="s">
        <v>8</v>
      </c>
      <c r="B374" s="76" t="s">
        <v>418</v>
      </c>
      <c r="C374" t="s">
        <v>238</v>
      </c>
      <c r="D374" s="88">
        <v>0</v>
      </c>
      <c r="E374" t="s">
        <v>349</v>
      </c>
      <c r="F374">
        <v>0</v>
      </c>
      <c r="G374">
        <v>0</v>
      </c>
      <c r="H374">
        <v>0</v>
      </c>
      <c r="I374">
        <f>$A$7</f>
        <v>10</v>
      </c>
      <c r="J374">
        <v>-1</v>
      </c>
      <c r="K374" t="s">
        <v>433</v>
      </c>
      <c r="L374" s="17">
        <f t="shared" si="78"/>
        <v>0</v>
      </c>
      <c r="M374" t="s">
        <v>537</v>
      </c>
    </row>
    <row r="375" spans="1:13" ht="16" x14ac:dyDescent="0.2">
      <c r="A375" s="51" t="s">
        <v>165</v>
      </c>
      <c r="B375" s="89" t="s">
        <v>506</v>
      </c>
      <c r="C375" t="s">
        <v>239</v>
      </c>
      <c r="D375" s="88">
        <v>1.2700000000000001E-3</v>
      </c>
      <c r="E375" t="s">
        <v>348</v>
      </c>
      <c r="F375">
        <v>1.2700000000000001E-3</v>
      </c>
      <c r="G375">
        <v>1.2700000000000001E-3</v>
      </c>
      <c r="H375">
        <v>3.0599999999999998E-3</v>
      </c>
      <c r="I375">
        <f>$A$6</f>
        <v>100</v>
      </c>
      <c r="J375">
        <v>-1</v>
      </c>
      <c r="K375" t="s">
        <v>432</v>
      </c>
      <c r="L375" s="17">
        <f t="shared" si="78"/>
        <v>-15477523.593683226</v>
      </c>
      <c r="M375" t="s">
        <v>537</v>
      </c>
    </row>
    <row r="376" spans="1:13" ht="16" x14ac:dyDescent="0.2">
      <c r="A376" s="51" t="s">
        <v>159</v>
      </c>
      <c r="B376" s="89" t="s">
        <v>509</v>
      </c>
      <c r="C376" t="s">
        <v>240</v>
      </c>
      <c r="D376" s="88">
        <v>0</v>
      </c>
      <c r="E376" t="s">
        <v>348</v>
      </c>
      <c r="F376">
        <v>0</v>
      </c>
      <c r="G376">
        <v>0</v>
      </c>
      <c r="H376">
        <v>0</v>
      </c>
      <c r="I376">
        <f>$A$6</f>
        <v>100</v>
      </c>
      <c r="J376">
        <v>-1</v>
      </c>
      <c r="K376" t="s">
        <v>432</v>
      </c>
      <c r="L376" s="17">
        <f t="shared" si="78"/>
        <v>0</v>
      </c>
      <c r="M376" t="s">
        <v>537</v>
      </c>
    </row>
    <row r="377" spans="1:13" ht="16" x14ac:dyDescent="0.2">
      <c r="A377" s="51" t="s">
        <v>160</v>
      </c>
      <c r="B377" s="90" t="s">
        <v>513</v>
      </c>
      <c r="C377" t="s">
        <v>241</v>
      </c>
      <c r="D377" s="88">
        <v>0</v>
      </c>
      <c r="E377" t="s">
        <v>350</v>
      </c>
      <c r="F377">
        <v>0</v>
      </c>
      <c r="G377">
        <v>0</v>
      </c>
      <c r="H377">
        <v>0</v>
      </c>
      <c r="I377">
        <f>$A$6</f>
        <v>100</v>
      </c>
      <c r="J377">
        <v>-1</v>
      </c>
      <c r="K377" t="s">
        <v>434</v>
      </c>
      <c r="L377" s="17">
        <f t="shared" si="78"/>
        <v>0</v>
      </c>
      <c r="M377" t="s">
        <v>537</v>
      </c>
    </row>
    <row r="378" spans="1:13" ht="16" x14ac:dyDescent="0.2">
      <c r="A378" s="51" t="s">
        <v>161</v>
      </c>
      <c r="B378" s="89" t="s">
        <v>506</v>
      </c>
      <c r="C378" t="s">
        <v>242</v>
      </c>
      <c r="D378" s="88">
        <v>0</v>
      </c>
      <c r="E378" t="s">
        <v>351</v>
      </c>
      <c r="F378">
        <v>0</v>
      </c>
      <c r="G378">
        <v>0</v>
      </c>
      <c r="H378">
        <v>0</v>
      </c>
      <c r="I378">
        <f>$A$8</f>
        <v>1</v>
      </c>
      <c r="J378">
        <v>1</v>
      </c>
      <c r="K378" t="s">
        <v>435</v>
      </c>
      <c r="L378" s="17">
        <f t="shared" si="78"/>
        <v>0</v>
      </c>
      <c r="M378" t="s">
        <v>537</v>
      </c>
    </row>
    <row r="379" spans="1:13" ht="16" x14ac:dyDescent="0.2">
      <c r="A379" s="51" t="s">
        <v>162</v>
      </c>
      <c r="B379" s="89" t="s">
        <v>509</v>
      </c>
      <c r="C379" t="s">
        <v>243</v>
      </c>
      <c r="D379" s="88">
        <v>0.12681999999999999</v>
      </c>
      <c r="E379" t="s">
        <v>352</v>
      </c>
      <c r="F379">
        <v>1.26824</v>
      </c>
      <c r="G379">
        <v>1.26824</v>
      </c>
      <c r="H379">
        <v>3.0599999999999998E-3</v>
      </c>
      <c r="I379">
        <f>$A$6</f>
        <v>100</v>
      </c>
      <c r="J379">
        <v>-1</v>
      </c>
      <c r="K379" t="s">
        <v>436</v>
      </c>
      <c r="L379" s="17">
        <f t="shared" si="78"/>
        <v>-119726873.17839405</v>
      </c>
      <c r="M379" t="s">
        <v>537</v>
      </c>
    </row>
    <row r="380" spans="1:13" ht="16" x14ac:dyDescent="0.2">
      <c r="A380" s="51" t="s">
        <v>163</v>
      </c>
      <c r="B380" s="90" t="s">
        <v>513</v>
      </c>
      <c r="C380" t="s">
        <v>244</v>
      </c>
      <c r="D380" s="88">
        <v>1.2700000000000001E-3</v>
      </c>
      <c r="E380" t="s">
        <v>353</v>
      </c>
      <c r="F380">
        <v>1.2700000000000001E-3</v>
      </c>
      <c r="G380">
        <v>1.2700000000000001E-3</v>
      </c>
      <c r="H380">
        <v>3.0599999999999998E-3</v>
      </c>
      <c r="I380">
        <v>0</v>
      </c>
      <c r="J380">
        <v>0</v>
      </c>
      <c r="K380" t="s">
        <v>437</v>
      </c>
      <c r="L380" s="17">
        <f t="shared" si="78"/>
        <v>0</v>
      </c>
      <c r="M380" t="s">
        <v>537</v>
      </c>
    </row>
    <row r="381" spans="1:13" ht="16" x14ac:dyDescent="0.2">
      <c r="A381" s="51" t="s">
        <v>164</v>
      </c>
      <c r="B381" s="89" t="s">
        <v>506</v>
      </c>
      <c r="C381" t="s">
        <v>245</v>
      </c>
      <c r="D381" s="88">
        <v>1.2700000000000001E-3</v>
      </c>
      <c r="E381" t="s">
        <v>351</v>
      </c>
      <c r="F381">
        <v>1.2999999999999999E-4</v>
      </c>
      <c r="G381">
        <v>1.2700000000000001E-3</v>
      </c>
      <c r="H381">
        <v>0.30602000000000001</v>
      </c>
      <c r="I381">
        <f t="shared" ref="I381:I386" si="79">$A$7</f>
        <v>10</v>
      </c>
      <c r="J381">
        <v>-1</v>
      </c>
      <c r="K381" t="s">
        <v>435</v>
      </c>
      <c r="L381" s="17">
        <f t="shared" si="78"/>
        <v>-144414316.30340433</v>
      </c>
      <c r="M381" t="s">
        <v>537</v>
      </c>
    </row>
    <row r="382" spans="1:13" ht="16" x14ac:dyDescent="0.2">
      <c r="A382" s="81" t="s">
        <v>151</v>
      </c>
      <c r="B382" s="61" t="s">
        <v>502</v>
      </c>
      <c r="C382" t="s">
        <v>246</v>
      </c>
      <c r="D382" s="88">
        <v>1.268E-2</v>
      </c>
      <c r="E382" t="s">
        <v>354</v>
      </c>
      <c r="F382">
        <v>1.268E-2</v>
      </c>
      <c r="G382">
        <v>1.268E-2</v>
      </c>
      <c r="H382">
        <v>3.0599999999999999E-2</v>
      </c>
      <c r="I382">
        <f t="shared" si="79"/>
        <v>10</v>
      </c>
      <c r="J382">
        <v>-1</v>
      </c>
      <c r="K382" t="s">
        <v>438</v>
      </c>
      <c r="L382" s="17">
        <f t="shared" si="78"/>
        <v>-15475873.980159013</v>
      </c>
      <c r="M382" t="s">
        <v>537</v>
      </c>
    </row>
    <row r="383" spans="1:13" ht="16" x14ac:dyDescent="0.2">
      <c r="A383" s="81" t="s">
        <v>152</v>
      </c>
      <c r="B383" s="61" t="s">
        <v>502</v>
      </c>
      <c r="C383" t="s">
        <v>247</v>
      </c>
      <c r="D383" s="88">
        <v>1.26824</v>
      </c>
      <c r="E383" t="s">
        <v>354</v>
      </c>
      <c r="F383">
        <v>1.26824</v>
      </c>
      <c r="G383">
        <v>1.26824</v>
      </c>
      <c r="H383">
        <v>3.1E-4</v>
      </c>
      <c r="I383">
        <f t="shared" si="79"/>
        <v>10</v>
      </c>
      <c r="J383">
        <v>-1</v>
      </c>
      <c r="K383" t="s">
        <v>438</v>
      </c>
      <c r="L383" s="17">
        <f t="shared" si="78"/>
        <v>-104751479.2643133</v>
      </c>
      <c r="M383" t="s">
        <v>537</v>
      </c>
    </row>
    <row r="384" spans="1:13" ht="16" x14ac:dyDescent="0.2">
      <c r="A384" s="81" t="s">
        <v>153</v>
      </c>
      <c r="B384" s="61" t="s">
        <v>502</v>
      </c>
      <c r="C384" t="s">
        <v>248</v>
      </c>
      <c r="D384" s="88">
        <v>1.26824</v>
      </c>
      <c r="E384" t="s">
        <v>350</v>
      </c>
      <c r="F384">
        <v>1.26824</v>
      </c>
      <c r="G384">
        <v>1.26824</v>
      </c>
      <c r="H384">
        <v>0.30602000000000001</v>
      </c>
      <c r="I384">
        <f t="shared" si="79"/>
        <v>10</v>
      </c>
      <c r="J384">
        <v>-1</v>
      </c>
      <c r="K384" t="s">
        <v>434</v>
      </c>
      <c r="L384" s="17">
        <f t="shared" si="78"/>
        <v>-248914914.24032521</v>
      </c>
      <c r="M384" t="s">
        <v>537</v>
      </c>
    </row>
    <row r="385" spans="1:13" ht="16" x14ac:dyDescent="0.2">
      <c r="A385" s="51" t="s">
        <v>76</v>
      </c>
      <c r="B385" s="89" t="s">
        <v>506</v>
      </c>
      <c r="C385" t="s">
        <v>322</v>
      </c>
      <c r="D385" s="88">
        <v>1.26824</v>
      </c>
      <c r="E385" t="s">
        <v>355</v>
      </c>
      <c r="F385">
        <v>1.26824</v>
      </c>
      <c r="G385">
        <v>1.26824</v>
      </c>
      <c r="H385">
        <v>3.0599999999999999E-2</v>
      </c>
      <c r="I385">
        <f t="shared" si="79"/>
        <v>10</v>
      </c>
      <c r="J385">
        <v>-1</v>
      </c>
      <c r="K385" t="s">
        <v>439</v>
      </c>
      <c r="L385" s="17">
        <f t="shared" si="78"/>
        <v>-119035311.80307031</v>
      </c>
      <c r="M385" t="s">
        <v>537</v>
      </c>
    </row>
    <row r="386" spans="1:13" ht="16" x14ac:dyDescent="0.2">
      <c r="A386" s="51" t="s">
        <v>77</v>
      </c>
      <c r="B386" s="89" t="s">
        <v>506</v>
      </c>
      <c r="C386" t="s">
        <v>249</v>
      </c>
      <c r="D386" s="88">
        <v>0.12681999999999999</v>
      </c>
      <c r="E386" t="s">
        <v>356</v>
      </c>
      <c r="F386">
        <v>0.12681999999999999</v>
      </c>
      <c r="G386">
        <v>0.12681999999999999</v>
      </c>
      <c r="H386">
        <v>3.1E-4</v>
      </c>
      <c r="I386">
        <f t="shared" si="79"/>
        <v>10</v>
      </c>
      <c r="J386">
        <v>-1</v>
      </c>
      <c r="K386" t="s">
        <v>440</v>
      </c>
      <c r="L386" s="17">
        <f t="shared" si="78"/>
        <v>-10606385.824073572</v>
      </c>
      <c r="M386" t="s">
        <v>537</v>
      </c>
    </row>
    <row r="387" spans="1:13" x14ac:dyDescent="0.2">
      <c r="A387" s="68"/>
      <c r="B387" s="40"/>
      <c r="C387" t="s">
        <v>323</v>
      </c>
      <c r="D387" s="88">
        <v>1.2700000000000001E-3</v>
      </c>
      <c r="E387" t="s">
        <v>357</v>
      </c>
      <c r="F387">
        <v>1.2700000000000001E-3</v>
      </c>
      <c r="G387">
        <v>1.2700000000000001E-3</v>
      </c>
      <c r="H387">
        <v>3.0599999999999998E-3</v>
      </c>
      <c r="I387">
        <f>$A$6</f>
        <v>100</v>
      </c>
      <c r="J387">
        <v>-1</v>
      </c>
      <c r="K387" t="s">
        <v>441</v>
      </c>
      <c r="L387" s="17">
        <f t="shared" si="78"/>
        <v>-15477523.593683226</v>
      </c>
      <c r="M387" t="s">
        <v>537</v>
      </c>
    </row>
    <row r="388" spans="1:13" x14ac:dyDescent="0.2">
      <c r="A388" s="68"/>
      <c r="B388" s="40"/>
      <c r="C388" t="s">
        <v>324</v>
      </c>
      <c r="D388" s="88">
        <v>1.2700000000000001E-3</v>
      </c>
      <c r="E388" t="s">
        <v>357</v>
      </c>
      <c r="F388">
        <v>1.2700000000000001E-3</v>
      </c>
      <c r="G388">
        <v>1.2700000000000001E-3</v>
      </c>
      <c r="H388">
        <v>3.0599999999999998E-3</v>
      </c>
      <c r="I388">
        <f>$A$6</f>
        <v>100</v>
      </c>
      <c r="J388">
        <v>-1</v>
      </c>
      <c r="K388" t="s">
        <v>441</v>
      </c>
      <c r="L388" s="17">
        <f t="shared" si="78"/>
        <v>-15477523.593683226</v>
      </c>
      <c r="M388" t="s">
        <v>537</v>
      </c>
    </row>
    <row r="389" spans="1:13" x14ac:dyDescent="0.2">
      <c r="A389" s="68"/>
      <c r="B389" s="40"/>
      <c r="C389" t="s">
        <v>250</v>
      </c>
      <c r="D389" s="88">
        <v>1.2700000000000001E-3</v>
      </c>
      <c r="E389" t="s">
        <v>358</v>
      </c>
      <c r="F389">
        <v>1.2700000000000001E-3</v>
      </c>
      <c r="G389">
        <v>1.2700000000000001E-3</v>
      </c>
      <c r="H389">
        <v>0.30602000000000001</v>
      </c>
      <c r="I389">
        <f>$A$7</f>
        <v>10</v>
      </c>
      <c r="J389">
        <v>1</v>
      </c>
      <c r="K389" t="s">
        <v>442</v>
      </c>
      <c r="L389" s="17">
        <f t="shared" si="78"/>
        <v>144414371.90185159</v>
      </c>
      <c r="M389" t="s">
        <v>537</v>
      </c>
    </row>
    <row r="390" spans="1:13" x14ac:dyDescent="0.2">
      <c r="A390" s="68"/>
      <c r="B390" s="40"/>
      <c r="C390" t="s">
        <v>251</v>
      </c>
      <c r="D390" s="88">
        <v>0</v>
      </c>
      <c r="E390" t="s">
        <v>359</v>
      </c>
      <c r="F390">
        <v>0</v>
      </c>
      <c r="G390">
        <v>0</v>
      </c>
      <c r="H390">
        <v>3.1E-4</v>
      </c>
      <c r="I390">
        <f>$A$6</f>
        <v>100</v>
      </c>
      <c r="J390">
        <v>-1</v>
      </c>
      <c r="K390" t="s">
        <v>443</v>
      </c>
      <c r="L390" s="17">
        <f t="shared" si="78"/>
        <v>-1461864.6705231653</v>
      </c>
      <c r="M390" t="s">
        <v>537</v>
      </c>
    </row>
    <row r="391" spans="1:13" x14ac:dyDescent="0.2">
      <c r="A391" s="68"/>
      <c r="B391" s="40"/>
      <c r="C391" t="s">
        <v>252</v>
      </c>
      <c r="D391" s="88">
        <v>0.12681999999999999</v>
      </c>
      <c r="E391" t="s">
        <v>360</v>
      </c>
      <c r="F391">
        <v>0.12681999999999999</v>
      </c>
      <c r="G391">
        <v>0.12681999999999999</v>
      </c>
      <c r="H391">
        <v>3.0602</v>
      </c>
      <c r="I391">
        <f>$A$7</f>
        <v>10</v>
      </c>
      <c r="J391">
        <v>-1</v>
      </c>
      <c r="K391" t="s">
        <v>444</v>
      </c>
      <c r="L391" s="17">
        <f t="shared" si="78"/>
        <v>-1453556413.7876635</v>
      </c>
      <c r="M391" t="s">
        <v>537</v>
      </c>
    </row>
    <row r="392" spans="1:13" x14ac:dyDescent="0.2">
      <c r="A392" s="68"/>
      <c r="B392" s="40"/>
      <c r="C392" t="s">
        <v>253</v>
      </c>
      <c r="D392" s="88">
        <v>1.268E-2</v>
      </c>
      <c r="E392" t="s">
        <v>361</v>
      </c>
      <c r="F392">
        <v>1.268E-2</v>
      </c>
      <c r="G392">
        <v>1.268E-2</v>
      </c>
      <c r="H392">
        <v>0.30602000000000001</v>
      </c>
      <c r="I392">
        <f>$A$7</f>
        <v>10</v>
      </c>
      <c r="J392">
        <v>-1</v>
      </c>
      <c r="K392" t="s">
        <v>445</v>
      </c>
      <c r="L392" s="17">
        <f t="shared" si="78"/>
        <v>-145355476.41741392</v>
      </c>
      <c r="M392" t="s">
        <v>537</v>
      </c>
    </row>
    <row r="393" spans="1:13" x14ac:dyDescent="0.2">
      <c r="A393" s="68"/>
      <c r="B393" s="40"/>
      <c r="C393" t="s">
        <v>325</v>
      </c>
      <c r="D393" s="88">
        <v>1.2700000000000001E-3</v>
      </c>
      <c r="E393" t="s">
        <v>362</v>
      </c>
      <c r="F393">
        <v>1.2700000000000001E-3</v>
      </c>
      <c r="G393">
        <v>1.2700000000000001E-3</v>
      </c>
      <c r="H393">
        <v>3.1E-4</v>
      </c>
      <c r="I393">
        <f>$A$6</f>
        <v>100</v>
      </c>
      <c r="J393">
        <v>-1</v>
      </c>
      <c r="K393" t="s">
        <v>446</v>
      </c>
      <c r="L393" s="17">
        <f t="shared" si="78"/>
        <v>-2509369.2583970805</v>
      </c>
      <c r="M393" t="s">
        <v>537</v>
      </c>
    </row>
    <row r="394" spans="1:13" x14ac:dyDescent="0.2">
      <c r="A394" s="68"/>
      <c r="B394" s="40"/>
      <c r="C394" t="s">
        <v>254</v>
      </c>
      <c r="D394" s="88">
        <v>1.2700000000000001E-3</v>
      </c>
      <c r="E394" t="s">
        <v>363</v>
      </c>
      <c r="F394">
        <v>1.2700000000000001E-3</v>
      </c>
      <c r="G394">
        <v>1.2700000000000001E-3</v>
      </c>
      <c r="H394">
        <v>3.0599999999999998E-3</v>
      </c>
      <c r="I394">
        <f>$A$7</f>
        <v>10</v>
      </c>
      <c r="J394">
        <v>-1</v>
      </c>
      <c r="K394" t="s">
        <v>447</v>
      </c>
      <c r="L394" s="17">
        <f t="shared" si="78"/>
        <v>-1547752.3593683226</v>
      </c>
      <c r="M394" t="s">
        <v>537</v>
      </c>
    </row>
    <row r="395" spans="1:13" x14ac:dyDescent="0.2">
      <c r="A395" s="68"/>
      <c r="B395" s="40"/>
      <c r="C395" t="s">
        <v>255</v>
      </c>
      <c r="D395" s="88">
        <v>0</v>
      </c>
      <c r="E395" t="s">
        <v>364</v>
      </c>
      <c r="F395">
        <v>0</v>
      </c>
      <c r="G395">
        <v>0</v>
      </c>
      <c r="H395">
        <v>0</v>
      </c>
      <c r="I395">
        <f>$A$7</f>
        <v>10</v>
      </c>
      <c r="J395">
        <v>-1</v>
      </c>
      <c r="K395" t="s">
        <v>448</v>
      </c>
      <c r="L395" s="17">
        <f t="shared" si="78"/>
        <v>0</v>
      </c>
      <c r="M395" t="s">
        <v>537</v>
      </c>
    </row>
    <row r="396" spans="1:13" x14ac:dyDescent="0.2">
      <c r="A396" s="68"/>
      <c r="B396" s="40"/>
      <c r="C396" t="s">
        <v>256</v>
      </c>
      <c r="D396" s="88">
        <v>1.2700000000000001E-3</v>
      </c>
      <c r="E396" t="s">
        <v>365</v>
      </c>
      <c r="F396">
        <v>1.2700000000000001E-3</v>
      </c>
      <c r="G396">
        <v>1.2700000000000001E-3</v>
      </c>
      <c r="H396">
        <v>0.30602000000000001</v>
      </c>
      <c r="I396">
        <f>$A$7</f>
        <v>10</v>
      </c>
      <c r="J396">
        <v>-1</v>
      </c>
      <c r="K396" t="s">
        <v>449</v>
      </c>
      <c r="L396" s="17">
        <f t="shared" si="78"/>
        <v>-144414371.90185159</v>
      </c>
      <c r="M396" t="s">
        <v>537</v>
      </c>
    </row>
    <row r="397" spans="1:13" x14ac:dyDescent="0.2">
      <c r="A397" s="68"/>
      <c r="B397" s="40"/>
      <c r="C397" t="s">
        <v>257</v>
      </c>
      <c r="D397" s="88">
        <v>1.26824</v>
      </c>
      <c r="E397" t="s">
        <v>366</v>
      </c>
      <c r="F397">
        <v>1.26824</v>
      </c>
      <c r="G397">
        <v>1.26824</v>
      </c>
      <c r="H397">
        <v>3.0599999999999998E-3</v>
      </c>
      <c r="I397">
        <f>$A$6</f>
        <v>100</v>
      </c>
      <c r="J397">
        <v>-1</v>
      </c>
      <c r="K397" t="s">
        <v>450</v>
      </c>
      <c r="L397" s="17">
        <f t="shared" si="78"/>
        <v>-1060482946.9784193</v>
      </c>
      <c r="M397" t="s">
        <v>537</v>
      </c>
    </row>
    <row r="398" spans="1:13" x14ac:dyDescent="0.2">
      <c r="A398" s="68"/>
      <c r="B398" s="40"/>
      <c r="C398" t="s">
        <v>258</v>
      </c>
      <c r="D398" s="88">
        <v>0.12681999999999999</v>
      </c>
      <c r="E398" t="s">
        <v>367</v>
      </c>
      <c r="F398">
        <v>0.12681999999999999</v>
      </c>
      <c r="G398">
        <v>0.12681999999999999</v>
      </c>
      <c r="H398">
        <v>3.0599999999999998E-3</v>
      </c>
      <c r="I398">
        <f>$A$6</f>
        <v>100</v>
      </c>
      <c r="J398">
        <v>-1</v>
      </c>
      <c r="K398" t="s">
        <v>451</v>
      </c>
      <c r="L398" s="17">
        <f t="shared" si="78"/>
        <v>-119032012.57602187</v>
      </c>
      <c r="M398" t="s">
        <v>537</v>
      </c>
    </row>
    <row r="399" spans="1:13" x14ac:dyDescent="0.2">
      <c r="A399" s="68"/>
      <c r="B399" s="40"/>
      <c r="C399" t="s">
        <v>326</v>
      </c>
      <c r="D399" s="88">
        <v>1.2700000000000001E-3</v>
      </c>
      <c r="E399" t="s">
        <v>365</v>
      </c>
      <c r="F399">
        <v>1.2700000000000001E-3</v>
      </c>
      <c r="G399">
        <v>1.2700000000000001E-3</v>
      </c>
      <c r="H399">
        <v>3.0599999999999998E-3</v>
      </c>
      <c r="I399">
        <v>0</v>
      </c>
      <c r="J399">
        <v>0</v>
      </c>
      <c r="K399" t="s">
        <v>449</v>
      </c>
      <c r="L399" s="17">
        <f t="shared" si="78"/>
        <v>0</v>
      </c>
      <c r="M399" t="s">
        <v>537</v>
      </c>
    </row>
    <row r="400" spans="1:13" x14ac:dyDescent="0.2">
      <c r="A400" s="68"/>
      <c r="B400" s="40"/>
      <c r="C400" t="s">
        <v>259</v>
      </c>
      <c r="D400" s="88">
        <v>1.268E-2</v>
      </c>
      <c r="E400" t="s">
        <v>368</v>
      </c>
      <c r="F400">
        <v>1.268E-2</v>
      </c>
      <c r="G400">
        <v>1.268E-2</v>
      </c>
      <c r="H400">
        <v>3.0599999999999998E-3</v>
      </c>
      <c r="I400">
        <f>$A$6</f>
        <v>100</v>
      </c>
      <c r="J400">
        <v>-1</v>
      </c>
      <c r="K400" t="s">
        <v>452</v>
      </c>
      <c r="L400" s="17">
        <f t="shared" si="78"/>
        <v>-24888568.749306358</v>
      </c>
      <c r="M400" t="s">
        <v>537</v>
      </c>
    </row>
    <row r="401" spans="1:13" x14ac:dyDescent="0.2">
      <c r="A401" s="68"/>
      <c r="B401" s="40"/>
      <c r="C401" t="s">
        <v>260</v>
      </c>
      <c r="D401" s="88">
        <v>0</v>
      </c>
      <c r="E401" t="s">
        <v>368</v>
      </c>
      <c r="F401">
        <v>0</v>
      </c>
      <c r="G401">
        <v>0</v>
      </c>
      <c r="H401">
        <v>3.0599999999999998E-3</v>
      </c>
      <c r="I401">
        <v>0</v>
      </c>
      <c r="J401">
        <v>0</v>
      </c>
      <c r="K401" t="s">
        <v>452</v>
      </c>
      <c r="L401" s="17">
        <f t="shared" si="78"/>
        <v>0</v>
      </c>
      <c r="M401" t="s">
        <v>537</v>
      </c>
    </row>
    <row r="402" spans="1:13" x14ac:dyDescent="0.2">
      <c r="A402" s="68"/>
      <c r="B402" s="40"/>
      <c r="C402" t="s">
        <v>327</v>
      </c>
      <c r="D402" s="88">
        <v>1.2999999999999999E-4</v>
      </c>
      <c r="E402" t="s">
        <v>368</v>
      </c>
      <c r="F402">
        <v>1.2999999999999999E-4</v>
      </c>
      <c r="G402">
        <v>1.2999999999999999E-4</v>
      </c>
      <c r="H402">
        <v>0.30602000000000001</v>
      </c>
      <c r="I402">
        <f>$A$6</f>
        <v>100</v>
      </c>
      <c r="J402">
        <v>-1</v>
      </c>
      <c r="K402" t="s">
        <v>452</v>
      </c>
      <c r="L402" s="17">
        <f t="shared" si="78"/>
        <v>-1443203439.309716</v>
      </c>
      <c r="M402" t="s">
        <v>537</v>
      </c>
    </row>
    <row r="403" spans="1:13" x14ac:dyDescent="0.2">
      <c r="A403" s="68"/>
      <c r="B403" s="40"/>
      <c r="C403" t="s">
        <v>328</v>
      </c>
      <c r="D403" s="88">
        <v>1.2999999999999999E-4</v>
      </c>
      <c r="E403" t="s">
        <v>368</v>
      </c>
      <c r="F403">
        <v>1.2999999999999999E-4</v>
      </c>
      <c r="G403">
        <v>1.2999999999999999E-4</v>
      </c>
      <c r="H403">
        <v>0.30602000000000001</v>
      </c>
      <c r="I403">
        <v>0</v>
      </c>
      <c r="J403">
        <v>0</v>
      </c>
      <c r="K403" t="s">
        <v>452</v>
      </c>
      <c r="L403" s="17">
        <f t="shared" si="78"/>
        <v>0</v>
      </c>
      <c r="M403" t="s">
        <v>537</v>
      </c>
    </row>
    <row r="404" spans="1:13" x14ac:dyDescent="0.2">
      <c r="A404" s="68"/>
      <c r="B404" s="40"/>
      <c r="C404" t="s">
        <v>261</v>
      </c>
      <c r="D404" s="88">
        <v>0.12681999999999999</v>
      </c>
      <c r="E404" t="s">
        <v>369</v>
      </c>
      <c r="F404">
        <v>0.12681999999999999</v>
      </c>
      <c r="G404">
        <v>0.12681999999999999</v>
      </c>
      <c r="H404">
        <v>3.1E-4</v>
      </c>
      <c r="I404">
        <f>$A$6</f>
        <v>100</v>
      </c>
      <c r="J404">
        <v>-1</v>
      </c>
      <c r="K404" t="s">
        <v>453</v>
      </c>
      <c r="L404" s="17">
        <f t="shared" si="78"/>
        <v>-106063858.24073571</v>
      </c>
      <c r="M404" t="s">
        <v>537</v>
      </c>
    </row>
    <row r="405" spans="1:13" x14ac:dyDescent="0.2">
      <c r="A405" s="68"/>
      <c r="B405" s="40"/>
      <c r="C405" t="s">
        <v>263</v>
      </c>
      <c r="D405" s="88">
        <v>1.2999999999999999E-4</v>
      </c>
      <c r="E405" t="s">
        <v>370</v>
      </c>
      <c r="F405">
        <v>1.2999999999999999E-4</v>
      </c>
      <c r="G405">
        <v>1.2999999999999999E-4</v>
      </c>
      <c r="H405">
        <v>3.1E-4</v>
      </c>
      <c r="I405">
        <f>$A$6</f>
        <v>100</v>
      </c>
      <c r="J405">
        <v>-1</v>
      </c>
      <c r="K405" t="s">
        <v>454</v>
      </c>
      <c r="L405" s="17">
        <f t="shared" si="78"/>
        <v>-1569089.5495968733</v>
      </c>
      <c r="M405" t="s">
        <v>537</v>
      </c>
    </row>
    <row r="406" spans="1:13" x14ac:dyDescent="0.2">
      <c r="A406" s="68"/>
      <c r="B406" s="40"/>
      <c r="C406" t="s">
        <v>262</v>
      </c>
      <c r="D406" s="88">
        <v>1.2999999999999999E-4</v>
      </c>
      <c r="E406" t="s">
        <v>370</v>
      </c>
      <c r="F406">
        <v>1.2999999999999999E-4</v>
      </c>
      <c r="G406">
        <v>1.2999999999999999E-4</v>
      </c>
      <c r="H406">
        <v>3.0599999999999998E-3</v>
      </c>
      <c r="I406">
        <f>$A$6</f>
        <v>100</v>
      </c>
      <c r="J406">
        <v>-1</v>
      </c>
      <c r="K406" t="s">
        <v>454</v>
      </c>
      <c r="L406" s="17">
        <f t="shared" si="78"/>
        <v>-14537243.884883018</v>
      </c>
      <c r="M406" t="s">
        <v>537</v>
      </c>
    </row>
    <row r="407" spans="1:13" x14ac:dyDescent="0.2">
      <c r="A407" s="68"/>
      <c r="B407" s="40"/>
      <c r="C407" t="s">
        <v>264</v>
      </c>
      <c r="D407" s="88">
        <v>1.2700000000000001E-3</v>
      </c>
      <c r="E407" t="s">
        <v>371</v>
      </c>
      <c r="F407">
        <v>1.2700000000000001E-3</v>
      </c>
      <c r="G407">
        <v>1.2700000000000001E-3</v>
      </c>
      <c r="H407">
        <v>3.0599999999999999E-2</v>
      </c>
      <c r="I407">
        <f>$A$7</f>
        <v>10</v>
      </c>
      <c r="J407">
        <v>-1</v>
      </c>
      <c r="K407" t="s">
        <v>455</v>
      </c>
      <c r="L407" s="17">
        <f t="shared" si="78"/>
        <v>-14534769.464596698</v>
      </c>
      <c r="M407" t="s">
        <v>537</v>
      </c>
    </row>
    <row r="408" spans="1:13" x14ac:dyDescent="0.2">
      <c r="A408" s="68"/>
      <c r="B408" s="40"/>
      <c r="C408" t="s">
        <v>265</v>
      </c>
      <c r="D408" s="88">
        <v>1.2700000000000001E-3</v>
      </c>
      <c r="E408" t="s">
        <v>371</v>
      </c>
      <c r="F408">
        <v>1.2700000000000001E-3</v>
      </c>
      <c r="G408">
        <v>1.2700000000000001E-3</v>
      </c>
      <c r="H408">
        <v>3.0599999999999998E-3</v>
      </c>
      <c r="I408">
        <f>$A$7</f>
        <v>10</v>
      </c>
      <c r="J408">
        <v>-1</v>
      </c>
      <c r="K408" t="s">
        <v>455</v>
      </c>
      <c r="L408" s="17">
        <f t="shared" si="78"/>
        <v>-1547752.3593683226</v>
      </c>
      <c r="M408" t="s">
        <v>537</v>
      </c>
    </row>
    <row r="409" spans="1:13" x14ac:dyDescent="0.2">
      <c r="A409" s="68"/>
      <c r="B409" s="40"/>
      <c r="C409" t="s">
        <v>266</v>
      </c>
      <c r="D409" s="88">
        <v>1.2700000000000001E-3</v>
      </c>
      <c r="E409" t="s">
        <v>371</v>
      </c>
      <c r="F409">
        <v>1.2700000000000001E-3</v>
      </c>
      <c r="G409">
        <v>1.2700000000000001E-3</v>
      </c>
      <c r="H409">
        <v>3.0599999999999999E-2</v>
      </c>
      <c r="I409">
        <v>0</v>
      </c>
      <c r="J409">
        <v>0</v>
      </c>
      <c r="K409" t="s">
        <v>455</v>
      </c>
      <c r="L409" s="17">
        <f t="shared" si="78"/>
        <v>0</v>
      </c>
      <c r="M409" t="s">
        <v>537</v>
      </c>
    </row>
    <row r="410" spans="1:13" x14ac:dyDescent="0.2">
      <c r="A410" s="68"/>
      <c r="B410" s="40"/>
      <c r="C410" t="s">
        <v>267</v>
      </c>
      <c r="D410" s="88">
        <v>1.2999999999999999E-4</v>
      </c>
      <c r="E410" t="s">
        <v>372</v>
      </c>
      <c r="F410">
        <v>1.2999999999999999E-4</v>
      </c>
      <c r="G410">
        <v>1.2999999999999999E-4</v>
      </c>
      <c r="H410">
        <v>3.0599999999999998E-3</v>
      </c>
      <c r="I410">
        <v>0</v>
      </c>
      <c r="J410">
        <v>0</v>
      </c>
      <c r="K410" t="s">
        <v>456</v>
      </c>
      <c r="L410" s="17">
        <f t="shared" si="78"/>
        <v>0</v>
      </c>
      <c r="M410" t="s">
        <v>537</v>
      </c>
    </row>
    <row r="411" spans="1:13" x14ac:dyDescent="0.2">
      <c r="A411" s="68"/>
      <c r="B411" s="40"/>
      <c r="C411" t="s">
        <v>329</v>
      </c>
      <c r="D411" s="88">
        <v>0.12681999999999999</v>
      </c>
      <c r="E411" s="75" t="s">
        <v>373</v>
      </c>
      <c r="F411">
        <v>0.12681999999999999</v>
      </c>
      <c r="G411">
        <v>0.12681999999999999</v>
      </c>
      <c r="H411">
        <v>0.30602000000000001</v>
      </c>
      <c r="I411">
        <f>$A$7</f>
        <v>10</v>
      </c>
      <c r="J411">
        <v>-1</v>
      </c>
      <c r="K411" t="s">
        <v>457</v>
      </c>
      <c r="L411" s="17">
        <f t="shared" si="78"/>
        <v>-154769820.80008546</v>
      </c>
      <c r="M411" t="s">
        <v>537</v>
      </c>
    </row>
    <row r="412" spans="1:13" x14ac:dyDescent="0.2">
      <c r="A412" s="68"/>
      <c r="B412" s="40"/>
      <c r="C412" t="s">
        <v>314</v>
      </c>
      <c r="D412" s="88">
        <v>1.2700000000000001E-3</v>
      </c>
      <c r="E412" s="75" t="s">
        <v>374</v>
      </c>
      <c r="F412">
        <v>1.2700000000000001E-3</v>
      </c>
      <c r="G412">
        <v>1.2700000000000001E-3</v>
      </c>
      <c r="H412">
        <v>3.0599999999999998E-3</v>
      </c>
      <c r="I412">
        <f>$A$7</f>
        <v>10</v>
      </c>
      <c r="J412">
        <v>-1</v>
      </c>
      <c r="K412" t="s">
        <v>458</v>
      </c>
      <c r="L412" s="17">
        <f t="shared" si="78"/>
        <v>-1547752.3593683226</v>
      </c>
      <c r="M412" t="s">
        <v>537</v>
      </c>
    </row>
    <row r="413" spans="1:13" x14ac:dyDescent="0.2">
      <c r="A413" s="68"/>
      <c r="B413" s="40"/>
      <c r="C413" t="s">
        <v>268</v>
      </c>
      <c r="D413" s="88">
        <v>1.2700000000000001E-3</v>
      </c>
      <c r="E413" s="75" t="s">
        <v>374</v>
      </c>
      <c r="F413">
        <v>1.2700000000000001E-3</v>
      </c>
      <c r="G413">
        <v>1.2700000000000001E-3</v>
      </c>
      <c r="H413">
        <v>3.0599999999999998E-3</v>
      </c>
      <c r="I413">
        <f>$A$7</f>
        <v>10</v>
      </c>
      <c r="J413">
        <v>-1</v>
      </c>
      <c r="K413" t="s">
        <v>458</v>
      </c>
      <c r="L413" s="17">
        <f t="shared" si="78"/>
        <v>-1547752.3593683226</v>
      </c>
      <c r="M413" t="s">
        <v>537</v>
      </c>
    </row>
    <row r="414" spans="1:13" x14ac:dyDescent="0.2">
      <c r="A414" s="68"/>
      <c r="B414" s="40"/>
      <c r="C414" t="s">
        <v>269</v>
      </c>
      <c r="D414" s="88">
        <v>1.2700000000000001E-3</v>
      </c>
      <c r="E414" s="75" t="s">
        <v>374</v>
      </c>
      <c r="F414">
        <v>1.2700000000000001E-3</v>
      </c>
      <c r="G414">
        <v>1.2700000000000001E-3</v>
      </c>
      <c r="H414">
        <v>3.0599999999999998E-3</v>
      </c>
      <c r="I414">
        <v>0</v>
      </c>
      <c r="J414">
        <v>0</v>
      </c>
      <c r="K414" t="s">
        <v>458</v>
      </c>
      <c r="L414" s="17">
        <f t="shared" si="78"/>
        <v>0</v>
      </c>
      <c r="M414" t="s">
        <v>537</v>
      </c>
    </row>
    <row r="415" spans="1:13" x14ac:dyDescent="0.2">
      <c r="A415" s="68"/>
      <c r="B415" s="40"/>
      <c r="C415" t="s">
        <v>270</v>
      </c>
      <c r="D415" s="88">
        <v>1.2700000000000001E-3</v>
      </c>
      <c r="E415" s="75" t="s">
        <v>375</v>
      </c>
      <c r="F415">
        <v>1.2700000000000001E-3</v>
      </c>
      <c r="G415">
        <v>1.2700000000000001E-3</v>
      </c>
      <c r="H415">
        <v>0</v>
      </c>
      <c r="I415">
        <f>$A$6</f>
        <v>100</v>
      </c>
      <c r="J415">
        <v>-1</v>
      </c>
      <c r="K415" t="s">
        <v>459</v>
      </c>
      <c r="L415" s="17">
        <f t="shared" si="78"/>
        <v>-1047504.5878739154</v>
      </c>
      <c r="M415" t="s">
        <v>537</v>
      </c>
    </row>
    <row r="416" spans="1:13" x14ac:dyDescent="0.2">
      <c r="A416" s="68"/>
      <c r="B416" s="40"/>
      <c r="C416" t="s">
        <v>271</v>
      </c>
      <c r="D416" s="88">
        <v>0.12681999999999999</v>
      </c>
      <c r="E416" s="75" t="s">
        <v>376</v>
      </c>
      <c r="F416">
        <v>0.12681999999999999</v>
      </c>
      <c r="G416">
        <v>0.12681999999999999</v>
      </c>
      <c r="H416">
        <v>3.0602</v>
      </c>
      <c r="I416">
        <v>0</v>
      </c>
      <c r="J416">
        <v>0</v>
      </c>
      <c r="K416" t="s">
        <v>460</v>
      </c>
      <c r="L416" s="17">
        <f t="shared" si="78"/>
        <v>0</v>
      </c>
      <c r="M416" t="s">
        <v>537</v>
      </c>
    </row>
    <row r="417" spans="1:13" x14ac:dyDescent="0.2">
      <c r="A417" s="68"/>
      <c r="B417" s="40"/>
      <c r="C417" t="s">
        <v>272</v>
      </c>
      <c r="D417" s="88">
        <v>1.26824</v>
      </c>
      <c r="E417" t="s">
        <v>377</v>
      </c>
      <c r="F417">
        <v>1.26824</v>
      </c>
      <c r="G417">
        <v>1.26824</v>
      </c>
      <c r="H417">
        <v>3.0599999999999998E-3</v>
      </c>
      <c r="I417">
        <v>0</v>
      </c>
      <c r="J417">
        <v>0</v>
      </c>
      <c r="K417" t="s">
        <v>461</v>
      </c>
      <c r="L417" s="17">
        <f t="shared" si="78"/>
        <v>0</v>
      </c>
      <c r="M417" t="s">
        <v>537</v>
      </c>
    </row>
    <row r="418" spans="1:13" x14ac:dyDescent="0.2">
      <c r="A418" s="68"/>
      <c r="B418" s="40"/>
      <c r="C418" t="s">
        <v>273</v>
      </c>
      <c r="D418" s="88">
        <v>1.2999999999999999E-4</v>
      </c>
      <c r="E418" t="s">
        <v>378</v>
      </c>
      <c r="F418">
        <v>1.2999999999999999E-4</v>
      </c>
      <c r="G418">
        <v>1.2999999999999999E-4</v>
      </c>
      <c r="H418">
        <v>3.0602</v>
      </c>
      <c r="I418">
        <f>$A$7</f>
        <v>10</v>
      </c>
      <c r="J418">
        <v>-1</v>
      </c>
      <c r="K418" t="s">
        <v>462</v>
      </c>
      <c r="L418" s="17">
        <f t="shared" si="78"/>
        <v>-1443106936.9185495</v>
      </c>
      <c r="M418" t="s">
        <v>537</v>
      </c>
    </row>
    <row r="419" spans="1:13" x14ac:dyDescent="0.2">
      <c r="A419" s="68"/>
      <c r="B419" s="40"/>
      <c r="C419" t="s">
        <v>274</v>
      </c>
      <c r="D419" s="88">
        <v>1.2999999999999999E-4</v>
      </c>
      <c r="E419" t="s">
        <v>379</v>
      </c>
      <c r="F419">
        <v>1.2999999999999999E-4</v>
      </c>
      <c r="G419">
        <v>1.2999999999999999E-4</v>
      </c>
      <c r="H419">
        <v>3.1E-4</v>
      </c>
      <c r="I419">
        <v>0</v>
      </c>
      <c r="J419">
        <v>0</v>
      </c>
      <c r="K419" t="s">
        <v>463</v>
      </c>
      <c r="L419" s="17">
        <f t="shared" si="78"/>
        <v>0</v>
      </c>
      <c r="M419" t="s">
        <v>537</v>
      </c>
    </row>
    <row r="420" spans="1:13" x14ac:dyDescent="0.2">
      <c r="A420" s="68"/>
      <c r="B420" s="40"/>
      <c r="C420" t="s">
        <v>275</v>
      </c>
      <c r="D420" s="88">
        <v>1.26824</v>
      </c>
      <c r="E420" t="s">
        <v>377</v>
      </c>
      <c r="F420">
        <v>1.26824</v>
      </c>
      <c r="G420">
        <v>1.26824</v>
      </c>
      <c r="H420">
        <v>3.0599999999999998E-3</v>
      </c>
      <c r="I420">
        <f>$A$6</f>
        <v>100</v>
      </c>
      <c r="J420">
        <v>-1</v>
      </c>
      <c r="K420" t="s">
        <v>461</v>
      </c>
      <c r="L420" s="17">
        <f t="shared" si="78"/>
        <v>-1060482946.9784193</v>
      </c>
      <c r="M420" t="s">
        <v>537</v>
      </c>
    </row>
    <row r="421" spans="1:13" x14ac:dyDescent="0.2">
      <c r="A421" s="68"/>
      <c r="B421" s="40"/>
      <c r="C421" t="s">
        <v>276</v>
      </c>
      <c r="D421" s="88">
        <v>1.26824</v>
      </c>
      <c r="E421" t="s">
        <v>377</v>
      </c>
      <c r="F421">
        <v>1.26824</v>
      </c>
      <c r="G421">
        <v>1.26824</v>
      </c>
      <c r="H421">
        <v>3.0599999999999998E-3</v>
      </c>
      <c r="I421">
        <f>$A$6</f>
        <v>100</v>
      </c>
      <c r="J421">
        <v>-1</v>
      </c>
      <c r="K421" t="s">
        <v>461</v>
      </c>
      <c r="L421" s="17">
        <f t="shared" si="78"/>
        <v>-1060482946.9784193</v>
      </c>
      <c r="M421" t="s">
        <v>537</v>
      </c>
    </row>
    <row r="422" spans="1:13" x14ac:dyDescent="0.2">
      <c r="A422" s="68"/>
      <c r="B422" s="40"/>
      <c r="C422" t="s">
        <v>277</v>
      </c>
      <c r="D422" s="88">
        <v>1.2700000000000001E-3</v>
      </c>
      <c r="E422" t="s">
        <v>380</v>
      </c>
      <c r="F422">
        <v>1.2700000000000001E-3</v>
      </c>
      <c r="G422">
        <v>1.2700000000000001E-3</v>
      </c>
      <c r="H422">
        <v>3.1E-4</v>
      </c>
      <c r="I422">
        <f>$A$6</f>
        <v>100</v>
      </c>
      <c r="J422">
        <v>-1</v>
      </c>
      <c r="K422" t="s">
        <v>464</v>
      </c>
      <c r="L422" s="17">
        <f t="shared" si="78"/>
        <v>-2509369.2583970805</v>
      </c>
      <c r="M422" t="s">
        <v>537</v>
      </c>
    </row>
    <row r="423" spans="1:13" x14ac:dyDescent="0.2">
      <c r="A423" s="68"/>
      <c r="B423" s="40"/>
      <c r="C423" t="s">
        <v>278</v>
      </c>
      <c r="D423" s="88">
        <v>1.26824</v>
      </c>
      <c r="E423" t="s">
        <v>381</v>
      </c>
      <c r="F423">
        <v>1.26824</v>
      </c>
      <c r="G423">
        <v>1.26824</v>
      </c>
      <c r="H423">
        <v>3.0602</v>
      </c>
      <c r="I423">
        <f>$A$6</f>
        <v>100</v>
      </c>
      <c r="J423">
        <v>-1</v>
      </c>
      <c r="K423" t="s">
        <v>465</v>
      </c>
      <c r="L423" s="17">
        <f t="shared" si="78"/>
        <v>-15477015072.279034</v>
      </c>
      <c r="M423" t="s">
        <v>537</v>
      </c>
    </row>
    <row r="424" spans="1:13" x14ac:dyDescent="0.2">
      <c r="A424" s="68"/>
      <c r="B424" s="40"/>
      <c r="C424" t="s">
        <v>330</v>
      </c>
      <c r="D424" s="88">
        <v>1.2999999999999999E-4</v>
      </c>
      <c r="E424" t="s">
        <v>382</v>
      </c>
      <c r="F424">
        <v>1.2999999999999999E-4</v>
      </c>
      <c r="G424">
        <v>1.2999999999999999E-4</v>
      </c>
      <c r="H424">
        <v>3.1E-4</v>
      </c>
      <c r="I424">
        <f>$A$7</f>
        <v>10</v>
      </c>
      <c r="J424">
        <v>-1</v>
      </c>
      <c r="K424" t="s">
        <v>466</v>
      </c>
      <c r="L424" s="17">
        <f t="shared" ref="L424:L464" si="80">((SUM(B$359,B$362,B$365,B$369,B$370)*H424)+(SUM(B$360,B$363)*F424)+(SUM(B$361,B$364)*G424)+(SUM(B$366:B$368)*D424))*I424*J424</f>
        <v>-156908.95495968731</v>
      </c>
      <c r="M424" t="s">
        <v>537</v>
      </c>
    </row>
    <row r="425" spans="1:13" x14ac:dyDescent="0.2">
      <c r="A425" s="68"/>
      <c r="B425" s="40"/>
      <c r="C425" t="s">
        <v>279</v>
      </c>
      <c r="D425" s="88">
        <v>1.2999999999999999E-4</v>
      </c>
      <c r="E425" t="s">
        <v>382</v>
      </c>
      <c r="F425">
        <v>1.2999999999999999E-4</v>
      </c>
      <c r="G425">
        <v>1.2999999999999999E-4</v>
      </c>
      <c r="H425">
        <v>3.1E-4</v>
      </c>
      <c r="I425">
        <f>$A$7</f>
        <v>10</v>
      </c>
      <c r="J425">
        <v>-1</v>
      </c>
      <c r="K425" t="s">
        <v>466</v>
      </c>
      <c r="L425" s="17">
        <f t="shared" si="80"/>
        <v>-156908.95495968731</v>
      </c>
      <c r="M425" t="s">
        <v>537</v>
      </c>
    </row>
    <row r="426" spans="1:13" x14ac:dyDescent="0.2">
      <c r="A426" s="68"/>
      <c r="B426" s="40"/>
      <c r="C426" t="s">
        <v>280</v>
      </c>
      <c r="D426" s="88">
        <v>1.2999999999999999E-4</v>
      </c>
      <c r="E426" t="s">
        <v>382</v>
      </c>
      <c r="F426">
        <v>1.2999999999999999E-4</v>
      </c>
      <c r="G426">
        <v>1.2999999999999999E-4</v>
      </c>
      <c r="H426">
        <v>3.0599999999999998E-3</v>
      </c>
      <c r="I426">
        <v>0</v>
      </c>
      <c r="J426">
        <v>0</v>
      </c>
      <c r="K426" t="s">
        <v>466</v>
      </c>
      <c r="L426" s="17">
        <f t="shared" si="80"/>
        <v>0</v>
      </c>
      <c r="M426" t="s">
        <v>537</v>
      </c>
    </row>
    <row r="427" spans="1:13" x14ac:dyDescent="0.2">
      <c r="A427" s="68"/>
      <c r="B427" s="40"/>
      <c r="C427" t="s">
        <v>331</v>
      </c>
      <c r="D427" s="88">
        <v>1.2700000000000001E-3</v>
      </c>
      <c r="E427" t="s">
        <v>383</v>
      </c>
      <c r="F427">
        <v>1.2700000000000001E-3</v>
      </c>
      <c r="G427">
        <v>1.2700000000000001E-3</v>
      </c>
      <c r="H427">
        <v>3.0599999999999998E-3</v>
      </c>
      <c r="I427">
        <v>0</v>
      </c>
      <c r="J427">
        <v>0</v>
      </c>
      <c r="K427" t="s">
        <v>467</v>
      </c>
      <c r="L427" s="17">
        <f t="shared" si="80"/>
        <v>0</v>
      </c>
      <c r="M427" t="s">
        <v>537</v>
      </c>
    </row>
    <row r="428" spans="1:13" x14ac:dyDescent="0.2">
      <c r="A428" s="68"/>
      <c r="B428" s="40"/>
      <c r="C428" t="s">
        <v>281</v>
      </c>
      <c r="D428" s="88">
        <v>1.2999999999999999E-4</v>
      </c>
      <c r="E428" t="s">
        <v>384</v>
      </c>
      <c r="F428">
        <v>1.2999999999999999E-4</v>
      </c>
      <c r="G428">
        <v>1.2999999999999999E-4</v>
      </c>
      <c r="H428">
        <v>3.1E-4</v>
      </c>
      <c r="I428">
        <f>$A$7</f>
        <v>10</v>
      </c>
      <c r="J428">
        <v>-1</v>
      </c>
      <c r="K428" t="s">
        <v>468</v>
      </c>
      <c r="L428" s="17">
        <f t="shared" si="80"/>
        <v>-156908.95495968731</v>
      </c>
      <c r="M428" t="s">
        <v>537</v>
      </c>
    </row>
    <row r="429" spans="1:13" x14ac:dyDescent="0.2">
      <c r="A429" s="68"/>
      <c r="B429" s="40"/>
      <c r="C429" t="s">
        <v>282</v>
      </c>
      <c r="D429" s="88">
        <v>0.12681999999999999</v>
      </c>
      <c r="E429" t="s">
        <v>385</v>
      </c>
      <c r="F429">
        <v>0.12681999999999999</v>
      </c>
      <c r="G429">
        <v>0.12681999999999999</v>
      </c>
      <c r="H429">
        <v>0.30602000000000001</v>
      </c>
      <c r="I429">
        <v>0</v>
      </c>
      <c r="J429">
        <v>0</v>
      </c>
      <c r="K429" t="s">
        <v>469</v>
      </c>
      <c r="L429" s="17">
        <f t="shared" si="80"/>
        <v>0</v>
      </c>
      <c r="M429" t="s">
        <v>537</v>
      </c>
    </row>
    <row r="430" spans="1:13" x14ac:dyDescent="0.2">
      <c r="A430" s="68"/>
      <c r="B430" s="40"/>
      <c r="C430" t="s">
        <v>332</v>
      </c>
      <c r="D430" s="88">
        <v>1.268E-2</v>
      </c>
      <c r="E430" t="s">
        <v>386</v>
      </c>
      <c r="F430">
        <v>1.268E-2</v>
      </c>
      <c r="G430">
        <v>1.268E-2</v>
      </c>
      <c r="H430">
        <v>3.0599999999999998E-3</v>
      </c>
      <c r="I430">
        <v>0</v>
      </c>
      <c r="J430">
        <v>0</v>
      </c>
      <c r="K430" t="s">
        <v>470</v>
      </c>
      <c r="L430" s="17">
        <f t="shared" si="80"/>
        <v>0</v>
      </c>
      <c r="M430" t="s">
        <v>537</v>
      </c>
    </row>
    <row r="431" spans="1:13" x14ac:dyDescent="0.2">
      <c r="A431" s="68"/>
      <c r="B431" s="40"/>
      <c r="C431" t="s">
        <v>283</v>
      </c>
      <c r="D431" s="88">
        <v>1.2700000000000001E-3</v>
      </c>
      <c r="E431" t="s">
        <v>387</v>
      </c>
      <c r="F431">
        <v>1.2700000000000001E-3</v>
      </c>
      <c r="G431">
        <v>1.2700000000000001E-3</v>
      </c>
      <c r="H431">
        <v>3.0599999999999998E-3</v>
      </c>
      <c r="I431">
        <f>$A$7</f>
        <v>10</v>
      </c>
      <c r="J431">
        <v>-1</v>
      </c>
      <c r="K431" t="s">
        <v>471</v>
      </c>
      <c r="L431" s="17">
        <f t="shared" si="80"/>
        <v>-1547752.3593683226</v>
      </c>
      <c r="M431" t="s">
        <v>537</v>
      </c>
    </row>
    <row r="432" spans="1:13" x14ac:dyDescent="0.2">
      <c r="A432" s="68"/>
      <c r="B432" s="40"/>
      <c r="C432" t="s">
        <v>284</v>
      </c>
      <c r="D432" s="88">
        <v>1.2999999999999999E-4</v>
      </c>
      <c r="E432" t="s">
        <v>388</v>
      </c>
      <c r="F432">
        <v>1.2999999999999999E-4</v>
      </c>
      <c r="G432">
        <v>1.2999999999999999E-4</v>
      </c>
      <c r="H432">
        <v>3.0602</v>
      </c>
      <c r="I432">
        <f>$A$7</f>
        <v>10</v>
      </c>
      <c r="J432">
        <v>-1</v>
      </c>
      <c r="K432" t="s">
        <v>472</v>
      </c>
      <c r="L432" s="17">
        <f t="shared" si="80"/>
        <v>-1443106936.9185495</v>
      </c>
      <c r="M432" t="s">
        <v>537</v>
      </c>
    </row>
    <row r="433" spans="1:13" x14ac:dyDescent="0.2">
      <c r="A433" s="68"/>
      <c r="B433" s="40"/>
      <c r="C433" t="s">
        <v>285</v>
      </c>
      <c r="D433" s="88">
        <v>1.2700000000000001E-3</v>
      </c>
      <c r="E433" t="s">
        <v>389</v>
      </c>
      <c r="F433">
        <v>1.2700000000000001E-3</v>
      </c>
      <c r="G433">
        <v>1.2700000000000001E-3</v>
      </c>
      <c r="H433">
        <v>3.0599999999999998E-3</v>
      </c>
      <c r="I433">
        <f>$A$7</f>
        <v>10</v>
      </c>
      <c r="J433">
        <v>-1</v>
      </c>
      <c r="K433" t="s">
        <v>473</v>
      </c>
      <c r="L433" s="17">
        <f t="shared" si="80"/>
        <v>-1547752.3593683226</v>
      </c>
      <c r="M433" t="s">
        <v>537</v>
      </c>
    </row>
    <row r="434" spans="1:13" x14ac:dyDescent="0.2">
      <c r="A434" s="68"/>
      <c r="B434" s="40"/>
      <c r="C434" t="s">
        <v>286</v>
      </c>
      <c r="D434" s="88">
        <v>1.268E-2</v>
      </c>
      <c r="E434" t="s">
        <v>390</v>
      </c>
      <c r="F434">
        <v>1.268E-2</v>
      </c>
      <c r="G434">
        <v>1.268E-2</v>
      </c>
      <c r="H434">
        <v>3.0599999999999998E-3</v>
      </c>
      <c r="I434">
        <f>$A$6</f>
        <v>100</v>
      </c>
      <c r="J434">
        <v>-1</v>
      </c>
      <c r="K434" t="s">
        <v>474</v>
      </c>
      <c r="L434" s="17">
        <f t="shared" si="80"/>
        <v>-24888568.749306358</v>
      </c>
      <c r="M434" t="s">
        <v>537</v>
      </c>
    </row>
    <row r="435" spans="1:13" x14ac:dyDescent="0.2">
      <c r="A435" s="68"/>
      <c r="B435" s="40"/>
      <c r="C435" t="s">
        <v>287</v>
      </c>
      <c r="D435" s="88">
        <v>1.2700000000000001E-3</v>
      </c>
      <c r="E435" t="s">
        <v>391</v>
      </c>
      <c r="F435">
        <v>1.2700000000000001E-3</v>
      </c>
      <c r="G435">
        <v>1.2700000000000001E-3</v>
      </c>
      <c r="H435">
        <v>3.0599999999999998E-3</v>
      </c>
      <c r="I435">
        <f>$A$6</f>
        <v>100</v>
      </c>
      <c r="J435">
        <v>-1</v>
      </c>
      <c r="K435" t="s">
        <v>475</v>
      </c>
      <c r="L435" s="17">
        <f t="shared" si="80"/>
        <v>-15477523.593683226</v>
      </c>
      <c r="M435" t="s">
        <v>537</v>
      </c>
    </row>
    <row r="436" spans="1:13" x14ac:dyDescent="0.2">
      <c r="A436" s="68"/>
      <c r="B436" s="40"/>
      <c r="C436" t="s">
        <v>288</v>
      </c>
      <c r="D436" s="88">
        <v>1.2700000000000001E-3</v>
      </c>
      <c r="E436" t="s">
        <v>392</v>
      </c>
      <c r="F436">
        <v>1.2700000000000001E-3</v>
      </c>
      <c r="G436">
        <v>1.2700000000000001E-3</v>
      </c>
      <c r="H436">
        <v>3.0599999999999998E-3</v>
      </c>
      <c r="I436">
        <f>$A$6</f>
        <v>100</v>
      </c>
      <c r="J436">
        <v>-1</v>
      </c>
      <c r="K436" t="s">
        <v>476</v>
      </c>
      <c r="L436" s="17">
        <f t="shared" si="80"/>
        <v>-15477523.593683226</v>
      </c>
      <c r="M436" t="s">
        <v>537</v>
      </c>
    </row>
    <row r="437" spans="1:13" x14ac:dyDescent="0.2">
      <c r="A437" s="68"/>
      <c r="B437" s="40"/>
      <c r="C437" t="s">
        <v>333</v>
      </c>
      <c r="D437" s="88">
        <v>1.2700000000000001E-3</v>
      </c>
      <c r="E437" t="s">
        <v>340</v>
      </c>
      <c r="F437">
        <v>1.2700000000000001E-3</v>
      </c>
      <c r="G437">
        <v>1.2700000000000001E-3</v>
      </c>
      <c r="H437">
        <v>3.0599999999999998E-3</v>
      </c>
      <c r="I437">
        <f>$A$7</f>
        <v>10</v>
      </c>
      <c r="J437">
        <v>-1</v>
      </c>
      <c r="K437" t="s">
        <v>424</v>
      </c>
      <c r="L437" s="17">
        <f t="shared" si="80"/>
        <v>-1547752.3593683226</v>
      </c>
      <c r="M437" t="s">
        <v>537</v>
      </c>
    </row>
    <row r="438" spans="1:13" x14ac:dyDescent="0.2">
      <c r="A438" s="68"/>
      <c r="B438" s="40"/>
      <c r="C438" t="s">
        <v>334</v>
      </c>
      <c r="D438" s="88">
        <v>1.268E-2</v>
      </c>
      <c r="E438" t="s">
        <v>393</v>
      </c>
      <c r="F438">
        <v>1.268E-2</v>
      </c>
      <c r="G438">
        <v>1.268E-2</v>
      </c>
      <c r="H438">
        <v>3.0599999999999999E-2</v>
      </c>
      <c r="I438">
        <v>0</v>
      </c>
      <c r="J438">
        <v>0</v>
      </c>
      <c r="K438" t="s">
        <v>477</v>
      </c>
      <c r="L438" s="17">
        <f t="shared" si="80"/>
        <v>0</v>
      </c>
      <c r="M438" t="s">
        <v>537</v>
      </c>
    </row>
    <row r="439" spans="1:13" x14ac:dyDescent="0.2">
      <c r="A439" s="68"/>
      <c r="B439" s="40"/>
      <c r="C439" t="s">
        <v>335</v>
      </c>
      <c r="D439" s="88">
        <v>1.2700000000000001E-3</v>
      </c>
      <c r="E439" t="s">
        <v>394</v>
      </c>
      <c r="F439">
        <v>1.2700000000000001E-3</v>
      </c>
      <c r="G439">
        <v>1.2700000000000001E-3</v>
      </c>
      <c r="H439">
        <v>3.0599999999999998E-3</v>
      </c>
      <c r="I439">
        <f>$A$7</f>
        <v>10</v>
      </c>
      <c r="J439">
        <v>-1</v>
      </c>
      <c r="K439" t="s">
        <v>478</v>
      </c>
      <c r="L439" s="17">
        <f t="shared" si="80"/>
        <v>-1547752.3593683226</v>
      </c>
      <c r="M439" t="s">
        <v>537</v>
      </c>
    </row>
    <row r="440" spans="1:13" x14ac:dyDescent="0.2">
      <c r="A440" s="68"/>
      <c r="B440" s="40"/>
      <c r="C440" t="s">
        <v>289</v>
      </c>
      <c r="D440" s="88">
        <v>1.2700000000000001E-3</v>
      </c>
      <c r="E440" t="s">
        <v>395</v>
      </c>
      <c r="F440">
        <v>1.2700000000000001E-3</v>
      </c>
      <c r="G440">
        <v>1.2700000000000001E-3</v>
      </c>
      <c r="H440">
        <v>0.30602000000000001</v>
      </c>
      <c r="I440">
        <f>$A$7</f>
        <v>10</v>
      </c>
      <c r="J440">
        <v>-1</v>
      </c>
      <c r="K440" t="s">
        <v>479</v>
      </c>
      <c r="L440" s="17">
        <f t="shared" si="80"/>
        <v>-144414371.90185159</v>
      </c>
      <c r="M440" t="s">
        <v>537</v>
      </c>
    </row>
    <row r="441" spans="1:13" x14ac:dyDescent="0.2">
      <c r="A441" s="68"/>
      <c r="B441" s="40"/>
      <c r="C441" t="s">
        <v>290</v>
      </c>
      <c r="D441" s="88">
        <v>1.2999999999999999E-4</v>
      </c>
      <c r="E441" t="s">
        <v>396</v>
      </c>
      <c r="F441">
        <v>1.2999999999999999E-4</v>
      </c>
      <c r="G441">
        <v>1.2999999999999999E-4</v>
      </c>
      <c r="H441">
        <v>3.1E-4</v>
      </c>
      <c r="I441">
        <f>$A$7</f>
        <v>10</v>
      </c>
      <c r="J441">
        <v>-1</v>
      </c>
      <c r="K441" t="s">
        <v>480</v>
      </c>
      <c r="L441" s="17">
        <f t="shared" si="80"/>
        <v>-156908.95495968731</v>
      </c>
      <c r="M441" t="s">
        <v>537</v>
      </c>
    </row>
    <row r="442" spans="1:13" x14ac:dyDescent="0.2">
      <c r="A442" s="68"/>
      <c r="B442" s="40"/>
      <c r="C442" t="s">
        <v>291</v>
      </c>
      <c r="D442" s="88">
        <v>1.2999999999999999E-4</v>
      </c>
      <c r="E442" t="s">
        <v>397</v>
      </c>
      <c r="F442">
        <v>1.2999999999999999E-4</v>
      </c>
      <c r="G442">
        <v>1.2999999999999999E-4</v>
      </c>
      <c r="H442">
        <v>3.1E-4</v>
      </c>
      <c r="I442">
        <f>$A$8</f>
        <v>1</v>
      </c>
      <c r="J442">
        <v>-1</v>
      </c>
      <c r="K442" t="s">
        <v>481</v>
      </c>
      <c r="L442" s="17">
        <f t="shared" si="80"/>
        <v>-15690.895495968733</v>
      </c>
      <c r="M442" t="s">
        <v>537</v>
      </c>
    </row>
    <row r="443" spans="1:13" x14ac:dyDescent="0.2">
      <c r="A443" s="68"/>
      <c r="B443" s="40"/>
      <c r="C443" t="s">
        <v>292</v>
      </c>
      <c r="D443" s="88">
        <v>1.268E-2</v>
      </c>
      <c r="E443" t="s">
        <v>360</v>
      </c>
      <c r="F443">
        <v>1.268E-2</v>
      </c>
      <c r="G443">
        <v>1.268E-2</v>
      </c>
      <c r="H443">
        <v>3.0599999999999998E-3</v>
      </c>
      <c r="I443">
        <f>$A$6</f>
        <v>100</v>
      </c>
      <c r="J443">
        <v>-1</v>
      </c>
      <c r="K443" t="s">
        <v>444</v>
      </c>
      <c r="L443" s="17">
        <f t="shared" si="80"/>
        <v>-24888568.749306358</v>
      </c>
      <c r="M443" t="s">
        <v>537</v>
      </c>
    </row>
    <row r="444" spans="1:13" x14ac:dyDescent="0.2">
      <c r="A444" s="68"/>
      <c r="B444" s="40"/>
      <c r="C444" t="s">
        <v>293</v>
      </c>
      <c r="D444" s="88">
        <v>1.26824</v>
      </c>
      <c r="E444" t="s">
        <v>398</v>
      </c>
      <c r="F444">
        <v>1.26824</v>
      </c>
      <c r="G444">
        <v>1.26824</v>
      </c>
      <c r="H444">
        <v>3.0599999999999998E-3</v>
      </c>
      <c r="I444">
        <f>$A$7</f>
        <v>10</v>
      </c>
      <c r="J444">
        <v>-1</v>
      </c>
      <c r="K444" t="s">
        <v>482</v>
      </c>
      <c r="L444" s="17">
        <f t="shared" si="80"/>
        <v>-106048294.69784193</v>
      </c>
      <c r="M444" t="s">
        <v>537</v>
      </c>
    </row>
    <row r="445" spans="1:13" x14ac:dyDescent="0.2">
      <c r="A445" s="68"/>
      <c r="B445" s="40"/>
      <c r="C445" t="s">
        <v>294</v>
      </c>
      <c r="D445" s="88">
        <v>1.2999999999999999E-4</v>
      </c>
      <c r="E445" t="s">
        <v>399</v>
      </c>
      <c r="F445">
        <v>1.2999999999999999E-4</v>
      </c>
      <c r="G445">
        <v>1.2999999999999999E-4</v>
      </c>
      <c r="H445">
        <v>3.1E-4</v>
      </c>
      <c r="I445">
        <f>$A$8</f>
        <v>1</v>
      </c>
      <c r="J445">
        <v>-1</v>
      </c>
      <c r="K445" t="s">
        <v>483</v>
      </c>
      <c r="L445" s="17">
        <f t="shared" si="80"/>
        <v>-15690.895495968733</v>
      </c>
      <c r="M445" t="s">
        <v>537</v>
      </c>
    </row>
    <row r="446" spans="1:13" x14ac:dyDescent="0.2">
      <c r="A446" s="68"/>
      <c r="B446" s="40"/>
      <c r="C446" t="s">
        <v>336</v>
      </c>
      <c r="D446" s="88">
        <v>1.2700000000000001E-3</v>
      </c>
      <c r="E446" t="s">
        <v>400</v>
      </c>
      <c r="F446">
        <v>1.2700000000000001E-3</v>
      </c>
      <c r="G446">
        <v>1.2700000000000001E-3</v>
      </c>
      <c r="H446">
        <v>0</v>
      </c>
      <c r="I446">
        <f>$A$6</f>
        <v>100</v>
      </c>
      <c r="J446">
        <v>-1</v>
      </c>
      <c r="K446" t="s">
        <v>484</v>
      </c>
      <c r="L446" s="17">
        <f t="shared" si="80"/>
        <v>-1047504.5878739154</v>
      </c>
      <c r="M446" t="s">
        <v>537</v>
      </c>
    </row>
    <row r="447" spans="1:13" x14ac:dyDescent="0.2">
      <c r="A447" s="68"/>
      <c r="B447" s="40"/>
      <c r="C447" t="s">
        <v>295</v>
      </c>
      <c r="D447" s="88">
        <v>1.2999999999999999E-4</v>
      </c>
      <c r="E447" t="s">
        <v>401</v>
      </c>
      <c r="F447">
        <v>1.2999999999999999E-4</v>
      </c>
      <c r="G447">
        <v>1.2999999999999999E-4</v>
      </c>
      <c r="H447">
        <v>3.1E-4</v>
      </c>
      <c r="I447">
        <f>$A$6</f>
        <v>100</v>
      </c>
      <c r="J447">
        <v>-1</v>
      </c>
      <c r="K447" t="s">
        <v>485</v>
      </c>
      <c r="L447" s="17">
        <f t="shared" si="80"/>
        <v>-1569089.5495968733</v>
      </c>
      <c r="M447" t="s">
        <v>537</v>
      </c>
    </row>
    <row r="448" spans="1:13" x14ac:dyDescent="0.2">
      <c r="A448" s="68"/>
      <c r="B448" s="40"/>
      <c r="C448" t="s">
        <v>296</v>
      </c>
      <c r="D448" s="88">
        <v>1.26824</v>
      </c>
      <c r="E448" t="s">
        <v>402</v>
      </c>
      <c r="F448">
        <v>1.26824</v>
      </c>
      <c r="G448">
        <v>1.26824</v>
      </c>
      <c r="H448">
        <v>3.0599999999999998E-3</v>
      </c>
      <c r="I448">
        <f>$A$7</f>
        <v>10</v>
      </c>
      <c r="J448">
        <v>-1</v>
      </c>
      <c r="K448" t="s">
        <v>486</v>
      </c>
      <c r="L448" s="17">
        <f t="shared" si="80"/>
        <v>-106048294.69784193</v>
      </c>
      <c r="M448" t="s">
        <v>537</v>
      </c>
    </row>
    <row r="449" spans="1:13" x14ac:dyDescent="0.2">
      <c r="A449" s="68"/>
      <c r="B449" s="40"/>
      <c r="C449" t="s">
        <v>297</v>
      </c>
      <c r="D449" s="88">
        <v>1.2999999999999999E-4</v>
      </c>
      <c r="E449" t="s">
        <v>403</v>
      </c>
      <c r="F449">
        <v>1.2999999999999999E-4</v>
      </c>
      <c r="G449">
        <v>1.2999999999999999E-4</v>
      </c>
      <c r="H449">
        <v>3.0599999999999998E-3</v>
      </c>
      <c r="I449">
        <f>$A$7</f>
        <v>10</v>
      </c>
      <c r="J449">
        <v>-1</v>
      </c>
      <c r="K449" t="s">
        <v>487</v>
      </c>
      <c r="L449" s="17">
        <f t="shared" si="80"/>
        <v>-1453724.3884883018</v>
      </c>
      <c r="M449" t="s">
        <v>537</v>
      </c>
    </row>
    <row r="450" spans="1:13" x14ac:dyDescent="0.2">
      <c r="A450" s="68"/>
      <c r="B450" s="40"/>
      <c r="C450" t="s">
        <v>298</v>
      </c>
      <c r="D450" s="88">
        <v>1.2700000000000001E-3</v>
      </c>
      <c r="E450" t="s">
        <v>394</v>
      </c>
      <c r="F450">
        <v>1.2999999999999999E-4</v>
      </c>
      <c r="G450">
        <v>1.2999999999999999E-4</v>
      </c>
      <c r="H450">
        <v>3.0599999999999998E-3</v>
      </c>
      <c r="I450">
        <f>$A$7</f>
        <v>10</v>
      </c>
      <c r="J450">
        <v>-1</v>
      </c>
      <c r="K450" t="s">
        <v>478</v>
      </c>
      <c r="L450" s="17">
        <f t="shared" si="80"/>
        <v>-1547682.95975322</v>
      </c>
      <c r="M450" t="s">
        <v>537</v>
      </c>
    </row>
    <row r="451" spans="1:13" x14ac:dyDescent="0.2">
      <c r="A451" s="68"/>
      <c r="B451" s="40"/>
      <c r="C451" t="s">
        <v>299</v>
      </c>
      <c r="D451" s="88">
        <v>1.2999999999999999E-4</v>
      </c>
      <c r="E451" t="s">
        <v>404</v>
      </c>
      <c r="F451">
        <v>1.2999999999999999E-4</v>
      </c>
      <c r="G451">
        <v>1.2999999999999999E-4</v>
      </c>
      <c r="H451">
        <v>0.30602000000000001</v>
      </c>
      <c r="I451">
        <f>$A$7</f>
        <v>10</v>
      </c>
      <c r="J451">
        <v>-1</v>
      </c>
      <c r="K451" t="s">
        <v>488</v>
      </c>
      <c r="L451" s="17">
        <f t="shared" si="80"/>
        <v>-144320343.93097159</v>
      </c>
      <c r="M451" t="s">
        <v>537</v>
      </c>
    </row>
    <row r="452" spans="1:13" x14ac:dyDescent="0.2">
      <c r="A452" s="68"/>
      <c r="B452" s="40"/>
      <c r="C452" t="s">
        <v>300</v>
      </c>
      <c r="D452" s="88">
        <v>0.12681999999999999</v>
      </c>
      <c r="E452" t="s">
        <v>405</v>
      </c>
      <c r="F452">
        <v>0.12681999999999999</v>
      </c>
      <c r="G452">
        <v>0.12681999999999999</v>
      </c>
      <c r="H452">
        <v>3.0599999999999998E-3</v>
      </c>
      <c r="I452">
        <f>$A$7</f>
        <v>10</v>
      </c>
      <c r="J452">
        <v>-1</v>
      </c>
      <c r="K452" t="s">
        <v>489</v>
      </c>
      <c r="L452" s="17">
        <f t="shared" si="80"/>
        <v>-11903201.257602185</v>
      </c>
      <c r="M452" t="s">
        <v>537</v>
      </c>
    </row>
    <row r="453" spans="1:13" x14ac:dyDescent="0.2">
      <c r="A453" s="68"/>
      <c r="B453" s="40"/>
      <c r="C453" t="s">
        <v>301</v>
      </c>
      <c r="D453" s="88">
        <v>1.2700000000000001E-3</v>
      </c>
      <c r="E453" t="s">
        <v>406</v>
      </c>
      <c r="F453">
        <v>1.2700000000000001E-3</v>
      </c>
      <c r="G453">
        <v>1.2700000000000001E-3</v>
      </c>
      <c r="H453">
        <v>0.30602000000000001</v>
      </c>
      <c r="I453">
        <f>$A$6</f>
        <v>100</v>
      </c>
      <c r="J453">
        <v>-1</v>
      </c>
      <c r="K453" t="s">
        <v>490</v>
      </c>
      <c r="L453" s="17">
        <f t="shared" si="80"/>
        <v>-1444143719.0185161</v>
      </c>
      <c r="M453" t="s">
        <v>537</v>
      </c>
    </row>
    <row r="454" spans="1:13" x14ac:dyDescent="0.2">
      <c r="A454" s="68"/>
      <c r="B454" s="40"/>
      <c r="C454" t="s">
        <v>302</v>
      </c>
      <c r="D454" s="88">
        <v>1.2700000000000001E-3</v>
      </c>
      <c r="E454" t="s">
        <v>407</v>
      </c>
      <c r="F454">
        <v>1.2700000000000001E-3</v>
      </c>
      <c r="G454">
        <v>1.2700000000000001E-3</v>
      </c>
      <c r="H454">
        <v>3.0599999999999998E-3</v>
      </c>
      <c r="I454">
        <f>$A$6</f>
        <v>100</v>
      </c>
      <c r="J454">
        <v>-1</v>
      </c>
      <c r="K454" t="s">
        <v>491</v>
      </c>
      <c r="L454" s="17">
        <f t="shared" si="80"/>
        <v>-15477523.593683226</v>
      </c>
      <c r="M454" t="s">
        <v>537</v>
      </c>
    </row>
    <row r="455" spans="1:13" x14ac:dyDescent="0.2">
      <c r="A455" s="68"/>
      <c r="B455" s="40"/>
      <c r="C455" t="s">
        <v>303</v>
      </c>
      <c r="D455" s="88">
        <v>1.2700000000000001E-3</v>
      </c>
      <c r="E455" t="s">
        <v>408</v>
      </c>
      <c r="F455">
        <v>1.2700000000000001E-3</v>
      </c>
      <c r="G455">
        <v>1.2700000000000001E-3</v>
      </c>
      <c r="H455">
        <v>3.0599999999999998E-3</v>
      </c>
      <c r="I455">
        <f>$A$7</f>
        <v>10</v>
      </c>
      <c r="J455">
        <v>-1</v>
      </c>
      <c r="K455" t="s">
        <v>492</v>
      </c>
      <c r="L455" s="17">
        <f t="shared" si="80"/>
        <v>-1547752.3593683226</v>
      </c>
      <c r="M455" t="s">
        <v>537</v>
      </c>
    </row>
    <row r="456" spans="1:13" x14ac:dyDescent="0.2">
      <c r="C456" t="s">
        <v>304</v>
      </c>
      <c r="D456" s="88">
        <v>1.26824</v>
      </c>
      <c r="E456" t="s">
        <v>409</v>
      </c>
      <c r="F456">
        <v>1.26824</v>
      </c>
      <c r="G456">
        <v>1.26824</v>
      </c>
      <c r="H456">
        <v>3.0602</v>
      </c>
      <c r="I456">
        <f>$A$6</f>
        <v>100</v>
      </c>
      <c r="J456">
        <v>-1</v>
      </c>
      <c r="K456" t="s">
        <v>493</v>
      </c>
      <c r="L456" s="17">
        <f t="shared" si="80"/>
        <v>-15477015072.279034</v>
      </c>
      <c r="M456" t="s">
        <v>537</v>
      </c>
    </row>
    <row r="457" spans="1:13" x14ac:dyDescent="0.2">
      <c r="C457" t="s">
        <v>305</v>
      </c>
      <c r="D457" s="88">
        <v>1.2700000000000001E-3</v>
      </c>
      <c r="E457" t="s">
        <v>410</v>
      </c>
      <c r="F457">
        <v>1.2700000000000001E-3</v>
      </c>
      <c r="G457">
        <v>1.2700000000000001E-3</v>
      </c>
      <c r="H457">
        <v>3.0599999999999998E-3</v>
      </c>
      <c r="I457">
        <f>$A$7</f>
        <v>10</v>
      </c>
      <c r="J457">
        <v>-1</v>
      </c>
      <c r="K457" t="s">
        <v>494</v>
      </c>
      <c r="L457" s="17">
        <f t="shared" si="80"/>
        <v>-1547752.3593683226</v>
      </c>
      <c r="M457" t="s">
        <v>537</v>
      </c>
    </row>
    <row r="458" spans="1:13" x14ac:dyDescent="0.2">
      <c r="C458" t="s">
        <v>306</v>
      </c>
      <c r="D458" s="88">
        <v>1.2700000000000001E-3</v>
      </c>
      <c r="E458" t="s">
        <v>411</v>
      </c>
      <c r="F458">
        <v>1.2700000000000001E-3</v>
      </c>
      <c r="G458">
        <v>1.2700000000000001E-3</v>
      </c>
      <c r="H458">
        <v>3.0599999999999998E-3</v>
      </c>
      <c r="I458">
        <f>$A$8</f>
        <v>1</v>
      </c>
      <c r="J458">
        <v>-1</v>
      </c>
      <c r="K458" t="s">
        <v>495</v>
      </c>
      <c r="L458" s="17">
        <f t="shared" si="80"/>
        <v>-154775.23593683226</v>
      </c>
      <c r="M458" t="s">
        <v>537</v>
      </c>
    </row>
    <row r="459" spans="1:13" x14ac:dyDescent="0.2">
      <c r="C459" t="s">
        <v>307</v>
      </c>
      <c r="D459" s="88">
        <v>1.2700000000000001E-3</v>
      </c>
      <c r="E459" t="s">
        <v>411</v>
      </c>
      <c r="F459">
        <v>1.2700000000000001E-3</v>
      </c>
      <c r="G459">
        <v>1.2700000000000001E-3</v>
      </c>
      <c r="H459">
        <v>3.0599999999999998E-3</v>
      </c>
      <c r="I459">
        <f>$A$8</f>
        <v>1</v>
      </c>
      <c r="J459">
        <v>-1</v>
      </c>
      <c r="K459" t="s">
        <v>495</v>
      </c>
      <c r="L459" s="17">
        <f t="shared" si="80"/>
        <v>-154775.23593683226</v>
      </c>
      <c r="M459" t="s">
        <v>537</v>
      </c>
    </row>
    <row r="460" spans="1:13" x14ac:dyDescent="0.2">
      <c r="C460" t="s">
        <v>337</v>
      </c>
      <c r="D460" s="88">
        <v>0.12681999999999999</v>
      </c>
      <c r="E460" t="s">
        <v>412</v>
      </c>
      <c r="F460">
        <v>0.12681999999999999</v>
      </c>
      <c r="G460">
        <v>0.12681999999999999</v>
      </c>
      <c r="H460">
        <v>3.0599999999999998E-3</v>
      </c>
      <c r="I460">
        <v>0</v>
      </c>
      <c r="J460">
        <v>0</v>
      </c>
      <c r="K460" t="s">
        <v>496</v>
      </c>
      <c r="L460" s="17">
        <f t="shared" si="80"/>
        <v>0</v>
      </c>
      <c r="M460" t="s">
        <v>537</v>
      </c>
    </row>
    <row r="461" spans="1:13" x14ac:dyDescent="0.2">
      <c r="C461" t="s">
        <v>308</v>
      </c>
      <c r="D461" s="88">
        <v>1.2700000000000001E-3</v>
      </c>
      <c r="E461" t="s">
        <v>413</v>
      </c>
      <c r="F461">
        <v>1.2700000000000001E-3</v>
      </c>
      <c r="G461">
        <v>1.2700000000000001E-3</v>
      </c>
      <c r="H461">
        <v>3.0599999999999998E-3</v>
      </c>
      <c r="I461">
        <f>$A$7</f>
        <v>10</v>
      </c>
      <c r="J461">
        <v>-1</v>
      </c>
      <c r="K461" t="s">
        <v>497</v>
      </c>
      <c r="L461" s="17">
        <f t="shared" si="80"/>
        <v>-1547752.3593683226</v>
      </c>
      <c r="M461" t="s">
        <v>537</v>
      </c>
    </row>
    <row r="462" spans="1:13" x14ac:dyDescent="0.2">
      <c r="C462" t="s">
        <v>309</v>
      </c>
      <c r="D462" s="88">
        <v>1.2700000000000001E-3</v>
      </c>
      <c r="E462" t="s">
        <v>413</v>
      </c>
      <c r="F462">
        <v>1.2700000000000001E-3</v>
      </c>
      <c r="G462">
        <v>1.2700000000000001E-3</v>
      </c>
      <c r="H462">
        <v>3.0599999999999998E-3</v>
      </c>
      <c r="I462">
        <f>$A$7</f>
        <v>10</v>
      </c>
      <c r="J462">
        <v>-1</v>
      </c>
      <c r="K462" t="s">
        <v>497</v>
      </c>
      <c r="L462" s="17">
        <f t="shared" si="80"/>
        <v>-1547752.3593683226</v>
      </c>
      <c r="M462" t="s">
        <v>537</v>
      </c>
    </row>
    <row r="463" spans="1:13" x14ac:dyDescent="0.2">
      <c r="C463" t="s">
        <v>310</v>
      </c>
      <c r="D463" s="88">
        <v>1.2700000000000001E-3</v>
      </c>
      <c r="E463" t="s">
        <v>413</v>
      </c>
      <c r="F463">
        <v>1.2700000000000001E-3</v>
      </c>
      <c r="G463">
        <v>1.2700000000000001E-3</v>
      </c>
      <c r="H463">
        <v>3.0599999999999998E-3</v>
      </c>
      <c r="I463">
        <v>0</v>
      </c>
      <c r="J463">
        <v>0</v>
      </c>
      <c r="K463" t="s">
        <v>497</v>
      </c>
      <c r="L463" s="17">
        <f t="shared" si="80"/>
        <v>0</v>
      </c>
      <c r="M463" t="s">
        <v>537</v>
      </c>
    </row>
    <row r="464" spans="1:13" x14ac:dyDescent="0.2">
      <c r="C464" t="s">
        <v>311</v>
      </c>
      <c r="D464" s="88">
        <v>1.2700000000000001E-3</v>
      </c>
      <c r="E464" t="s">
        <v>414</v>
      </c>
      <c r="F464">
        <v>1.2700000000000001E-3</v>
      </c>
      <c r="G464">
        <v>1.2700000000000001E-3</v>
      </c>
      <c r="H464">
        <v>3.1E-4</v>
      </c>
      <c r="I464">
        <f>$A$7</f>
        <v>10</v>
      </c>
      <c r="J464">
        <v>-1</v>
      </c>
      <c r="K464" t="s">
        <v>498</v>
      </c>
      <c r="L464" s="17">
        <f t="shared" si="80"/>
        <v>-250936.92583970807</v>
      </c>
      <c r="M464" t="s">
        <v>537</v>
      </c>
    </row>
    <row r="467" spans="1:15" ht="22" customHeight="1" x14ac:dyDescent="0.2">
      <c r="A467" s="359" t="s">
        <v>85</v>
      </c>
      <c r="B467" s="360"/>
      <c r="C467" s="360"/>
      <c r="D467" s="360"/>
      <c r="E467" s="360"/>
      <c r="F467" s="360"/>
      <c r="G467" s="360"/>
      <c r="H467" s="360"/>
      <c r="I467" s="360"/>
      <c r="J467" s="360"/>
      <c r="K467" s="360"/>
      <c r="L467" s="360"/>
      <c r="M467" s="360"/>
      <c r="N467" s="360"/>
      <c r="O467" s="360"/>
    </row>
    <row r="468" spans="1:15" ht="15" customHeight="1" x14ac:dyDescent="0.2">
      <c r="A468" s="361"/>
      <c r="B468" s="362"/>
      <c r="C468" s="362"/>
      <c r="D468" s="362"/>
      <c r="E468" s="362"/>
      <c r="F468" s="362"/>
      <c r="G468" s="362"/>
      <c r="H468" s="362"/>
      <c r="I468" s="362"/>
      <c r="J468" s="362"/>
      <c r="K468" s="362"/>
      <c r="L468" s="362"/>
      <c r="M468" s="362"/>
      <c r="N468" s="362"/>
      <c r="O468" s="362"/>
    </row>
    <row r="469" spans="1:15" ht="16" customHeight="1" x14ac:dyDescent="0.2">
      <c r="A469" s="358" t="s">
        <v>8</v>
      </c>
      <c r="B469" s="363" t="s">
        <v>1022</v>
      </c>
      <c r="C469" s="364" t="s">
        <v>503</v>
      </c>
      <c r="D469" s="364"/>
      <c r="E469" s="364"/>
      <c r="F469" s="79" t="s">
        <v>512</v>
      </c>
      <c r="G469" s="79" t="s">
        <v>10</v>
      </c>
      <c r="H469" s="78" t="s">
        <v>507</v>
      </c>
      <c r="I469" s="328" t="s">
        <v>421</v>
      </c>
      <c r="J469" s="329"/>
      <c r="K469" s="330"/>
      <c r="L469" s="334" t="s">
        <v>28</v>
      </c>
      <c r="M469" s="335"/>
      <c r="N469" s="338" t="s">
        <v>420</v>
      </c>
      <c r="O469" s="339"/>
    </row>
    <row r="470" spans="1:15" ht="16" customHeight="1" x14ac:dyDescent="0.2">
      <c r="A470" s="358"/>
      <c r="B470" s="363"/>
      <c r="C470" s="61" t="s">
        <v>502</v>
      </c>
      <c r="D470" s="61"/>
      <c r="E470" s="61"/>
      <c r="F470" s="87" t="s">
        <v>509</v>
      </c>
      <c r="G470" s="90" t="s">
        <v>513</v>
      </c>
      <c r="H470" s="89" t="s">
        <v>506</v>
      </c>
      <c r="I470" s="331"/>
      <c r="J470" s="332"/>
      <c r="K470" s="333"/>
      <c r="L470" s="336"/>
      <c r="M470" s="337"/>
      <c r="N470" s="340"/>
      <c r="O470" s="341"/>
    </row>
    <row r="471" spans="1:15" ht="15" customHeight="1" x14ac:dyDescent="0.2">
      <c r="A471" s="358"/>
      <c r="B471" s="363"/>
      <c r="C471" s="6" t="s">
        <v>317</v>
      </c>
      <c r="D471" s="58" t="s">
        <v>319</v>
      </c>
      <c r="E471" s="58" t="s">
        <v>5</v>
      </c>
      <c r="F471" s="58" t="s">
        <v>319</v>
      </c>
      <c r="G471" s="58" t="s">
        <v>319</v>
      </c>
      <c r="H471" s="58" t="s">
        <v>319</v>
      </c>
      <c r="I471" s="64" t="s">
        <v>0</v>
      </c>
      <c r="J471" s="64" t="s">
        <v>499</v>
      </c>
      <c r="K471" s="64" t="s">
        <v>5</v>
      </c>
      <c r="L471" s="64" t="s">
        <v>0</v>
      </c>
      <c r="M471" s="58" t="s">
        <v>5</v>
      </c>
      <c r="N471" s="64" t="s">
        <v>0</v>
      </c>
      <c r="O471" s="58" t="s">
        <v>5</v>
      </c>
    </row>
    <row r="472" spans="1:15" ht="16" x14ac:dyDescent="0.2">
      <c r="A472" s="81" t="s">
        <v>57</v>
      </c>
      <c r="B472" s="82">
        <v>13596.244102742508</v>
      </c>
      <c r="C472" t="s">
        <v>225</v>
      </c>
      <c r="D472" s="88">
        <v>1.2999999999999999E-4</v>
      </c>
      <c r="E472" t="s">
        <v>338</v>
      </c>
      <c r="F472">
        <v>1.2999999999999999E-4</v>
      </c>
      <c r="G472">
        <v>1.2999999999999999E-4</v>
      </c>
      <c r="H472">
        <v>3.1E-4</v>
      </c>
      <c r="I472">
        <f>$A$6</f>
        <v>100</v>
      </c>
      <c r="J472">
        <v>-1</v>
      </c>
      <c r="K472" t="s">
        <v>422</v>
      </c>
      <c r="L472" s="17">
        <f>((B$472*D472)+(B$473*F472)+(B$474*G472)+(SUM(B$475:B$477)*H472))*I472*J472</f>
        <v>-11457.384133047064</v>
      </c>
      <c r="M472" t="s">
        <v>537</v>
      </c>
      <c r="N472" s="69">
        <f>SUM(L472:L577)</f>
        <v>-676571473.81622291</v>
      </c>
      <c r="O472" t="s">
        <v>537</v>
      </c>
    </row>
    <row r="473" spans="1:15" ht="16" x14ac:dyDescent="0.2">
      <c r="A473" s="51" t="s">
        <v>46</v>
      </c>
      <c r="B473" s="82">
        <v>91509.664600757111</v>
      </c>
      <c r="C473" t="s">
        <v>226</v>
      </c>
      <c r="D473" s="88">
        <v>1.2999999999999999E-4</v>
      </c>
      <c r="E473" t="s">
        <v>339</v>
      </c>
      <c r="F473">
        <v>1.2999999999999999E-4</v>
      </c>
      <c r="G473">
        <v>1.2999999999999999E-4</v>
      </c>
      <c r="H473">
        <v>3.1E-4</v>
      </c>
      <c r="I473">
        <f>$A$7</f>
        <v>10</v>
      </c>
      <c r="J473">
        <v>-1</v>
      </c>
      <c r="K473" t="s">
        <v>423</v>
      </c>
      <c r="L473" s="17">
        <f t="shared" ref="L473:L536" si="81">((B$472*D473)+(B$473*F473)+(B$474*G473)+(SUM(B$475:B$477)*H473))*I473*J473</f>
        <v>-1145.7384133047065</v>
      </c>
      <c r="M473" t="s">
        <v>537</v>
      </c>
    </row>
    <row r="474" spans="1:15" ht="16" x14ac:dyDescent="0.2">
      <c r="A474" s="51" t="s">
        <v>47</v>
      </c>
      <c r="B474" s="82">
        <v>493806.56862875522</v>
      </c>
      <c r="C474" t="s">
        <v>227</v>
      </c>
      <c r="D474" s="88">
        <v>1.2700000000000001E-3</v>
      </c>
      <c r="E474" t="s">
        <v>340</v>
      </c>
      <c r="F474">
        <v>1.2700000000000001E-3</v>
      </c>
      <c r="G474">
        <v>1.2700000000000001E-3</v>
      </c>
      <c r="H474">
        <v>3.0599999999999998E-3</v>
      </c>
      <c r="I474">
        <f>$A$7</f>
        <v>10</v>
      </c>
      <c r="J474">
        <v>-1</v>
      </c>
      <c r="K474" t="s">
        <v>424</v>
      </c>
      <c r="L474" s="17">
        <f t="shared" si="81"/>
        <v>-11230.335913360579</v>
      </c>
      <c r="M474" t="s">
        <v>537</v>
      </c>
    </row>
    <row r="475" spans="1:15" ht="16" x14ac:dyDescent="0.2">
      <c r="A475" s="51" t="s">
        <v>48</v>
      </c>
      <c r="B475" s="82">
        <v>3555.7737483024885</v>
      </c>
      <c r="C475" t="s">
        <v>228</v>
      </c>
      <c r="D475" s="88">
        <v>0.12681999999999999</v>
      </c>
      <c r="E475" t="s">
        <v>341</v>
      </c>
      <c r="F475">
        <v>0.12681999999999999</v>
      </c>
      <c r="G475">
        <v>0.12681999999999999</v>
      </c>
      <c r="H475">
        <v>3.0599999999999998E-3</v>
      </c>
      <c r="I475">
        <f>$A$7</f>
        <v>10</v>
      </c>
      <c r="J475">
        <v>-1</v>
      </c>
      <c r="K475" t="s">
        <v>425</v>
      </c>
      <c r="L475" s="17">
        <f t="shared" si="81"/>
        <v>-763164.95120400656</v>
      </c>
      <c r="M475" t="s">
        <v>537</v>
      </c>
    </row>
    <row r="476" spans="1:15" ht="16" x14ac:dyDescent="0.2">
      <c r="A476" s="81" t="s">
        <v>83</v>
      </c>
      <c r="B476" s="82">
        <v>112340.63789839575</v>
      </c>
      <c r="C476" t="s">
        <v>229</v>
      </c>
      <c r="D476" s="88">
        <v>1.268E-2</v>
      </c>
      <c r="E476" t="s">
        <v>342</v>
      </c>
      <c r="F476">
        <v>1.268E-2</v>
      </c>
      <c r="G476">
        <v>1.268E-2</v>
      </c>
      <c r="H476">
        <v>3.0599999999999998E-3</v>
      </c>
      <c r="I476">
        <f>$A$6</f>
        <v>100</v>
      </c>
      <c r="J476">
        <v>-1</v>
      </c>
      <c r="K476" t="s">
        <v>426</v>
      </c>
      <c r="L476" s="17">
        <f t="shared" si="81"/>
        <v>-795662.49576970853</v>
      </c>
      <c r="M476" t="s">
        <v>537</v>
      </c>
    </row>
    <row r="477" spans="1:15" ht="16" x14ac:dyDescent="0.2">
      <c r="A477" s="81" t="s">
        <v>84</v>
      </c>
      <c r="B477" s="82">
        <v>2539.7795703260531</v>
      </c>
      <c r="C477" t="s">
        <v>230</v>
      </c>
      <c r="D477" s="88">
        <v>0.12681999999999999</v>
      </c>
      <c r="E477" t="s">
        <v>343</v>
      </c>
      <c r="F477">
        <v>0.12681999999999999</v>
      </c>
      <c r="G477">
        <v>0.12681999999999999</v>
      </c>
      <c r="H477">
        <v>3.0602</v>
      </c>
      <c r="I477">
        <f>$A$6</f>
        <v>100</v>
      </c>
      <c r="J477">
        <v>-1</v>
      </c>
      <c r="K477" t="s">
        <v>427</v>
      </c>
      <c r="L477" s="17">
        <f t="shared" si="81"/>
        <v>-43839251.273761429</v>
      </c>
      <c r="M477" t="s">
        <v>537</v>
      </c>
    </row>
    <row r="478" spans="1:15" x14ac:dyDescent="0.2">
      <c r="A478" s="51"/>
      <c r="B478" s="82"/>
      <c r="C478" t="s">
        <v>231</v>
      </c>
      <c r="D478" s="88">
        <v>0.12681999999999999</v>
      </c>
      <c r="E478" t="s">
        <v>344</v>
      </c>
      <c r="F478">
        <v>1.26824</v>
      </c>
      <c r="G478">
        <v>0.12681999999999999</v>
      </c>
      <c r="H478">
        <v>3.0599999999999998E-3</v>
      </c>
      <c r="I478">
        <f>$A$7</f>
        <v>10</v>
      </c>
      <c r="J478">
        <v>-1</v>
      </c>
      <c r="K478" t="s">
        <v>428</v>
      </c>
      <c r="L478" s="17">
        <f t="shared" si="81"/>
        <v>-1807674.5648899684</v>
      </c>
      <c r="M478" t="s">
        <v>537</v>
      </c>
    </row>
    <row r="479" spans="1:15" x14ac:dyDescent="0.2">
      <c r="A479" s="1" t="s">
        <v>9</v>
      </c>
      <c r="B479" s="82">
        <v>717348.66854927922</v>
      </c>
      <c r="C479" t="s">
        <v>232</v>
      </c>
      <c r="D479" s="88">
        <v>1.2999999999999999E-4</v>
      </c>
      <c r="E479" t="s">
        <v>345</v>
      </c>
      <c r="F479">
        <v>1.2999999999999999E-4</v>
      </c>
      <c r="G479">
        <v>1.2999999999999999E-4</v>
      </c>
      <c r="H479">
        <v>3.1E-4</v>
      </c>
      <c r="I479">
        <f>$A$7</f>
        <v>10</v>
      </c>
      <c r="J479">
        <v>-1</v>
      </c>
      <c r="K479" t="s">
        <v>429</v>
      </c>
      <c r="L479" s="17">
        <f t="shared" si="81"/>
        <v>-1145.7384133047065</v>
      </c>
      <c r="M479" t="s">
        <v>537</v>
      </c>
    </row>
    <row r="480" spans="1:15" x14ac:dyDescent="0.2">
      <c r="A480" s="38"/>
      <c r="B480" s="55"/>
      <c r="C480" t="s">
        <v>233</v>
      </c>
      <c r="D480" s="88">
        <v>1.2999999999999999E-4</v>
      </c>
      <c r="E480" t="s">
        <v>345</v>
      </c>
      <c r="F480">
        <v>1.2999999999999999E-4</v>
      </c>
      <c r="G480">
        <v>1.2999999999999999E-4</v>
      </c>
      <c r="H480">
        <v>3.1E-4</v>
      </c>
      <c r="I480">
        <f>$A$7</f>
        <v>10</v>
      </c>
      <c r="J480">
        <v>-1</v>
      </c>
      <c r="K480" t="s">
        <v>429</v>
      </c>
      <c r="L480" s="17">
        <f t="shared" si="81"/>
        <v>-1145.7384133047065</v>
      </c>
      <c r="M480" t="s">
        <v>537</v>
      </c>
    </row>
    <row r="481" spans="1:13" ht="16" x14ac:dyDescent="0.2">
      <c r="A481" s="66" t="s">
        <v>8</v>
      </c>
      <c r="B481" s="76" t="s">
        <v>418</v>
      </c>
      <c r="C481" t="s">
        <v>320</v>
      </c>
      <c r="D481" s="88">
        <v>0</v>
      </c>
      <c r="E481" t="s">
        <v>344</v>
      </c>
      <c r="F481">
        <v>0</v>
      </c>
      <c r="G481">
        <v>1.2999999999999999E-4</v>
      </c>
      <c r="H481">
        <v>0.30602000000000001</v>
      </c>
      <c r="I481">
        <f>$A$6</f>
        <v>100</v>
      </c>
      <c r="J481">
        <v>-1</v>
      </c>
      <c r="K481" t="s">
        <v>428</v>
      </c>
      <c r="L481" s="17">
        <f t="shared" si="81"/>
        <v>-3630803.8090155516</v>
      </c>
      <c r="M481" t="s">
        <v>537</v>
      </c>
    </row>
    <row r="482" spans="1:13" ht="16" x14ac:dyDescent="0.2">
      <c r="A482" s="81" t="s">
        <v>57</v>
      </c>
      <c r="B482" s="61" t="s">
        <v>502</v>
      </c>
      <c r="C482" t="s">
        <v>321</v>
      </c>
      <c r="D482" s="88">
        <v>0</v>
      </c>
      <c r="E482" t="s">
        <v>344</v>
      </c>
      <c r="F482">
        <v>0</v>
      </c>
      <c r="G482">
        <v>1.2999999999999999E-4</v>
      </c>
      <c r="H482">
        <v>0.30602000000000001</v>
      </c>
      <c r="I482">
        <f>$A$6</f>
        <v>100</v>
      </c>
      <c r="J482">
        <v>-1</v>
      </c>
      <c r="K482" t="s">
        <v>428</v>
      </c>
      <c r="L482" s="17">
        <f t="shared" si="81"/>
        <v>-3630803.8090155516</v>
      </c>
      <c r="M482" t="s">
        <v>537</v>
      </c>
    </row>
    <row r="483" spans="1:13" ht="16" x14ac:dyDescent="0.2">
      <c r="A483" s="51" t="s">
        <v>46</v>
      </c>
      <c r="B483" s="89" t="s">
        <v>509</v>
      </c>
      <c r="C483" t="s">
        <v>234</v>
      </c>
      <c r="D483" s="88">
        <v>0</v>
      </c>
      <c r="E483" t="s">
        <v>344</v>
      </c>
      <c r="F483">
        <v>0</v>
      </c>
      <c r="G483">
        <v>1.2999999999999999E-4</v>
      </c>
      <c r="H483">
        <v>0.30602000000000001</v>
      </c>
      <c r="I483">
        <v>0</v>
      </c>
      <c r="J483">
        <v>0</v>
      </c>
      <c r="K483" t="s">
        <v>428</v>
      </c>
      <c r="L483" s="17">
        <f t="shared" si="81"/>
        <v>0</v>
      </c>
      <c r="M483" t="s">
        <v>537</v>
      </c>
    </row>
    <row r="484" spans="1:13" ht="16" x14ac:dyDescent="0.2">
      <c r="A484" s="51" t="s">
        <v>47</v>
      </c>
      <c r="B484" s="90" t="s">
        <v>513</v>
      </c>
      <c r="C484" t="s">
        <v>235</v>
      </c>
      <c r="D484" s="88">
        <v>0.12681999999999999</v>
      </c>
      <c r="E484" t="s">
        <v>346</v>
      </c>
      <c r="F484">
        <v>0.12681999999999999</v>
      </c>
      <c r="G484">
        <v>0.12681999999999999</v>
      </c>
      <c r="H484">
        <v>0.30602000000000001</v>
      </c>
      <c r="I484">
        <f>$A$8</f>
        <v>1</v>
      </c>
      <c r="J484">
        <v>1</v>
      </c>
      <c r="K484" t="s">
        <v>430</v>
      </c>
      <c r="L484" s="17">
        <f t="shared" si="81"/>
        <v>112197.92361151033</v>
      </c>
      <c r="M484" t="s">
        <v>537</v>
      </c>
    </row>
    <row r="485" spans="1:13" ht="16" x14ac:dyDescent="0.2">
      <c r="A485" s="51" t="s">
        <v>48</v>
      </c>
      <c r="B485" s="89" t="s">
        <v>506</v>
      </c>
      <c r="C485" t="s">
        <v>236</v>
      </c>
      <c r="D485" s="88">
        <v>1.2999999999999999E-4</v>
      </c>
      <c r="E485" t="s">
        <v>347</v>
      </c>
      <c r="F485">
        <v>1.2999999999999999E-4</v>
      </c>
      <c r="G485">
        <v>1.2999999999999999E-4</v>
      </c>
      <c r="H485">
        <v>3.0602</v>
      </c>
      <c r="I485">
        <f>$A$7</f>
        <v>10</v>
      </c>
      <c r="J485">
        <v>-1</v>
      </c>
      <c r="K485" t="s">
        <v>431</v>
      </c>
      <c r="L485" s="17">
        <f t="shared" si="81"/>
        <v>-3625162.9098439086</v>
      </c>
      <c r="M485" t="s">
        <v>537</v>
      </c>
    </row>
    <row r="486" spans="1:13" ht="16" x14ac:dyDescent="0.2">
      <c r="A486" s="81" t="s">
        <v>83</v>
      </c>
      <c r="B486" s="89" t="s">
        <v>506</v>
      </c>
      <c r="C486" t="s">
        <v>237</v>
      </c>
      <c r="D486" s="88">
        <v>0.12681999999999999</v>
      </c>
      <c r="E486" t="s">
        <v>348</v>
      </c>
      <c r="F486">
        <v>0.12681999999999999</v>
      </c>
      <c r="G486">
        <v>0.12681999999999999</v>
      </c>
      <c r="H486">
        <v>0.30602000000000001</v>
      </c>
      <c r="I486">
        <f>$A$6</f>
        <v>100</v>
      </c>
      <c r="J486">
        <v>-1</v>
      </c>
      <c r="K486" t="s">
        <v>432</v>
      </c>
      <c r="L486" s="17">
        <f t="shared" si="81"/>
        <v>-11219792.361151032</v>
      </c>
      <c r="M486" t="s">
        <v>537</v>
      </c>
    </row>
    <row r="487" spans="1:13" ht="16" x14ac:dyDescent="0.2">
      <c r="A487" s="81" t="s">
        <v>84</v>
      </c>
      <c r="B487" s="89" t="s">
        <v>506</v>
      </c>
      <c r="C487" t="s">
        <v>238</v>
      </c>
      <c r="D487" s="88">
        <v>0</v>
      </c>
      <c r="E487" t="s">
        <v>349</v>
      </c>
      <c r="F487">
        <v>0</v>
      </c>
      <c r="G487">
        <v>0</v>
      </c>
      <c r="H487">
        <v>0</v>
      </c>
      <c r="I487">
        <f>$A$7</f>
        <v>10</v>
      </c>
      <c r="J487">
        <v>-1</v>
      </c>
      <c r="K487" t="s">
        <v>433</v>
      </c>
      <c r="L487" s="17">
        <f t="shared" si="81"/>
        <v>0</v>
      </c>
      <c r="M487" t="s">
        <v>537</v>
      </c>
    </row>
    <row r="488" spans="1:13" x14ac:dyDescent="0.2">
      <c r="A488" s="38"/>
      <c r="B488" s="55"/>
      <c r="C488" t="s">
        <v>239</v>
      </c>
      <c r="D488" s="88">
        <v>1.2700000000000001E-3</v>
      </c>
      <c r="E488" t="s">
        <v>348</v>
      </c>
      <c r="F488">
        <v>1.2700000000000001E-3</v>
      </c>
      <c r="G488">
        <v>1.2700000000000001E-3</v>
      </c>
      <c r="H488">
        <v>3.0599999999999998E-3</v>
      </c>
      <c r="I488">
        <f>$A$6</f>
        <v>100</v>
      </c>
      <c r="J488">
        <v>-1</v>
      </c>
      <c r="K488" t="s">
        <v>432</v>
      </c>
      <c r="L488" s="17">
        <f t="shared" si="81"/>
        <v>-112303.3591336058</v>
      </c>
      <c r="M488" t="s">
        <v>537</v>
      </c>
    </row>
    <row r="489" spans="1:13" x14ac:dyDescent="0.2">
      <c r="A489" s="38"/>
      <c r="B489" s="55"/>
      <c r="C489" t="s">
        <v>240</v>
      </c>
      <c r="D489" s="88">
        <v>0</v>
      </c>
      <c r="E489" t="s">
        <v>348</v>
      </c>
      <c r="F489">
        <v>0</v>
      </c>
      <c r="G489">
        <v>0</v>
      </c>
      <c r="H489">
        <v>0</v>
      </c>
      <c r="I489">
        <f>$A$6</f>
        <v>100</v>
      </c>
      <c r="J489">
        <v>-1</v>
      </c>
      <c r="K489" t="s">
        <v>432</v>
      </c>
      <c r="L489" s="17">
        <f t="shared" si="81"/>
        <v>0</v>
      </c>
      <c r="M489" t="s">
        <v>537</v>
      </c>
    </row>
    <row r="490" spans="1:13" x14ac:dyDescent="0.2">
      <c r="A490" s="38"/>
      <c r="B490" s="55"/>
      <c r="C490" t="s">
        <v>241</v>
      </c>
      <c r="D490" s="88">
        <v>0</v>
      </c>
      <c r="E490" t="s">
        <v>350</v>
      </c>
      <c r="F490">
        <v>0</v>
      </c>
      <c r="G490">
        <v>0</v>
      </c>
      <c r="H490">
        <v>0</v>
      </c>
      <c r="I490">
        <f>$A$6</f>
        <v>100</v>
      </c>
      <c r="J490">
        <v>-1</v>
      </c>
      <c r="K490" t="s">
        <v>434</v>
      </c>
      <c r="L490" s="17">
        <f t="shared" si="81"/>
        <v>0</v>
      </c>
      <c r="M490" t="s">
        <v>537</v>
      </c>
    </row>
    <row r="491" spans="1:13" x14ac:dyDescent="0.2">
      <c r="A491" s="38"/>
      <c r="B491" s="55"/>
      <c r="C491" t="s">
        <v>242</v>
      </c>
      <c r="D491" s="88">
        <v>0</v>
      </c>
      <c r="E491" t="s">
        <v>351</v>
      </c>
      <c r="F491">
        <v>0</v>
      </c>
      <c r="G491">
        <v>0</v>
      </c>
      <c r="H491">
        <v>0</v>
      </c>
      <c r="I491">
        <f>$A$8</f>
        <v>1</v>
      </c>
      <c r="J491">
        <v>1</v>
      </c>
      <c r="K491" t="s">
        <v>435</v>
      </c>
      <c r="L491" s="17">
        <f t="shared" si="81"/>
        <v>0</v>
      </c>
      <c r="M491" t="s">
        <v>537</v>
      </c>
    </row>
    <row r="492" spans="1:13" x14ac:dyDescent="0.2">
      <c r="A492" s="38"/>
      <c r="B492" s="55"/>
      <c r="C492" t="s">
        <v>243</v>
      </c>
      <c r="D492" s="88">
        <v>0.12681999999999999</v>
      </c>
      <c r="E492" t="s">
        <v>352</v>
      </c>
      <c r="F492">
        <v>1.26824</v>
      </c>
      <c r="G492">
        <v>1.26824</v>
      </c>
      <c r="H492">
        <v>3.0599999999999998E-3</v>
      </c>
      <c r="I492">
        <f>$A$6</f>
        <v>100</v>
      </c>
      <c r="J492">
        <v>-1</v>
      </c>
      <c r="K492" t="s">
        <v>436</v>
      </c>
      <c r="L492" s="17">
        <f t="shared" si="81"/>
        <v>-74440815.005323052</v>
      </c>
      <c r="M492" t="s">
        <v>537</v>
      </c>
    </row>
    <row r="493" spans="1:13" x14ac:dyDescent="0.2">
      <c r="A493" s="38"/>
      <c r="B493" s="55"/>
      <c r="C493" t="s">
        <v>244</v>
      </c>
      <c r="D493" s="88">
        <v>1.2700000000000001E-3</v>
      </c>
      <c r="E493" t="s">
        <v>353</v>
      </c>
      <c r="F493">
        <v>1.2700000000000001E-3</v>
      </c>
      <c r="G493">
        <v>1.2700000000000001E-3</v>
      </c>
      <c r="H493">
        <v>3.0599999999999998E-3</v>
      </c>
      <c r="I493">
        <v>0</v>
      </c>
      <c r="J493">
        <v>0</v>
      </c>
      <c r="K493" t="s">
        <v>437</v>
      </c>
      <c r="L493" s="17">
        <f t="shared" si="81"/>
        <v>0</v>
      </c>
      <c r="M493" t="s">
        <v>537</v>
      </c>
    </row>
    <row r="494" spans="1:13" x14ac:dyDescent="0.2">
      <c r="A494" s="38"/>
      <c r="B494" s="55"/>
      <c r="C494" t="s">
        <v>245</v>
      </c>
      <c r="D494" s="88">
        <v>1.2700000000000001E-3</v>
      </c>
      <c r="E494" t="s">
        <v>351</v>
      </c>
      <c r="F494">
        <v>1.2999999999999999E-4</v>
      </c>
      <c r="G494">
        <v>1.2700000000000001E-3</v>
      </c>
      <c r="H494">
        <v>0.30602000000000001</v>
      </c>
      <c r="I494">
        <f t="shared" ref="I494:I499" si="82">$A$7</f>
        <v>10</v>
      </c>
      <c r="J494">
        <v>-1</v>
      </c>
      <c r="K494" t="s">
        <v>435</v>
      </c>
      <c r="L494" s="17">
        <f t="shared" si="81"/>
        <v>-369001.41064800875</v>
      </c>
      <c r="M494" t="s">
        <v>537</v>
      </c>
    </row>
    <row r="495" spans="1:13" x14ac:dyDescent="0.2">
      <c r="A495" s="38"/>
      <c r="B495" s="55"/>
      <c r="C495" t="s">
        <v>246</v>
      </c>
      <c r="D495" s="88">
        <v>1.268E-2</v>
      </c>
      <c r="E495" t="s">
        <v>354</v>
      </c>
      <c r="F495">
        <v>1.268E-2</v>
      </c>
      <c r="G495">
        <v>1.268E-2</v>
      </c>
      <c r="H495">
        <v>3.0599999999999999E-2</v>
      </c>
      <c r="I495">
        <f t="shared" si="82"/>
        <v>10</v>
      </c>
      <c r="J495">
        <v>-1</v>
      </c>
      <c r="K495" t="s">
        <v>438</v>
      </c>
      <c r="L495" s="17">
        <f t="shared" si="81"/>
        <v>-112183.57663813935</v>
      </c>
      <c r="M495" t="s">
        <v>537</v>
      </c>
    </row>
    <row r="496" spans="1:13" x14ac:dyDescent="0.2">
      <c r="A496" s="38"/>
      <c r="B496" s="55"/>
      <c r="C496" t="s">
        <v>247</v>
      </c>
      <c r="D496" s="88">
        <v>1.26824</v>
      </c>
      <c r="E496" t="s">
        <v>354</v>
      </c>
      <c r="F496">
        <v>1.26824</v>
      </c>
      <c r="G496">
        <v>1.26824</v>
      </c>
      <c r="H496">
        <v>3.1E-4</v>
      </c>
      <c r="I496">
        <f t="shared" si="82"/>
        <v>10</v>
      </c>
      <c r="J496">
        <v>-1</v>
      </c>
      <c r="K496" t="s">
        <v>438</v>
      </c>
      <c r="L496" s="17">
        <f t="shared" si="81"/>
        <v>-7596014.7547113625</v>
      </c>
      <c r="M496" t="s">
        <v>537</v>
      </c>
    </row>
    <row r="497" spans="1:13" x14ac:dyDescent="0.2">
      <c r="A497" s="38"/>
      <c r="B497" s="55"/>
      <c r="C497" t="s">
        <v>248</v>
      </c>
      <c r="D497" s="88">
        <v>1.26824</v>
      </c>
      <c r="E497" t="s">
        <v>350</v>
      </c>
      <c r="F497">
        <v>1.26824</v>
      </c>
      <c r="G497">
        <v>1.26824</v>
      </c>
      <c r="H497">
        <v>0.30602000000000001</v>
      </c>
      <c r="I497">
        <f t="shared" si="82"/>
        <v>10</v>
      </c>
      <c r="J497">
        <v>-1</v>
      </c>
      <c r="K497" t="s">
        <v>434</v>
      </c>
      <c r="L497" s="17">
        <f t="shared" si="81"/>
        <v>-7958086.0348809278</v>
      </c>
      <c r="M497" t="s">
        <v>537</v>
      </c>
    </row>
    <row r="498" spans="1:13" x14ac:dyDescent="0.2">
      <c r="A498" s="38"/>
      <c r="B498" s="55"/>
      <c r="C498" t="s">
        <v>322</v>
      </c>
      <c r="D498" s="88">
        <v>1.26824</v>
      </c>
      <c r="E498" t="s">
        <v>355</v>
      </c>
      <c r="F498">
        <v>1.26824</v>
      </c>
      <c r="G498">
        <v>1.26824</v>
      </c>
      <c r="H498">
        <v>3.0599999999999999E-2</v>
      </c>
      <c r="I498">
        <f t="shared" si="82"/>
        <v>10</v>
      </c>
      <c r="J498">
        <v>-1</v>
      </c>
      <c r="K498" t="s">
        <v>439</v>
      </c>
      <c r="L498" s="17">
        <f t="shared" si="81"/>
        <v>-7631889.0770309987</v>
      </c>
      <c r="M498" t="s">
        <v>537</v>
      </c>
    </row>
    <row r="499" spans="1:13" x14ac:dyDescent="0.2">
      <c r="A499" s="38"/>
      <c r="B499" s="55"/>
      <c r="C499" t="s">
        <v>249</v>
      </c>
      <c r="D499" s="88">
        <v>0.12681999999999999</v>
      </c>
      <c r="E499" t="s">
        <v>356</v>
      </c>
      <c r="F499">
        <v>0.12681999999999999</v>
      </c>
      <c r="G499">
        <v>0.12681999999999999</v>
      </c>
      <c r="H499">
        <v>3.1E-4</v>
      </c>
      <c r="I499">
        <f t="shared" si="82"/>
        <v>10</v>
      </c>
      <c r="J499">
        <v>-1</v>
      </c>
      <c r="K499" t="s">
        <v>440</v>
      </c>
      <c r="L499" s="17">
        <f t="shared" si="81"/>
        <v>-759907.95594553824</v>
      </c>
      <c r="M499" t="s">
        <v>537</v>
      </c>
    </row>
    <row r="500" spans="1:13" x14ac:dyDescent="0.2">
      <c r="A500" s="38"/>
      <c r="B500" s="55"/>
      <c r="C500" t="s">
        <v>323</v>
      </c>
      <c r="D500" s="88">
        <v>1.2700000000000001E-3</v>
      </c>
      <c r="E500" t="s">
        <v>357</v>
      </c>
      <c r="F500">
        <v>1.2700000000000001E-3</v>
      </c>
      <c r="G500">
        <v>1.2700000000000001E-3</v>
      </c>
      <c r="H500">
        <v>3.0599999999999998E-3</v>
      </c>
      <c r="I500">
        <f>$A$6</f>
        <v>100</v>
      </c>
      <c r="J500">
        <v>-1</v>
      </c>
      <c r="K500" t="s">
        <v>441</v>
      </c>
      <c r="L500" s="17">
        <f t="shared" si="81"/>
        <v>-112303.3591336058</v>
      </c>
      <c r="M500" t="s">
        <v>537</v>
      </c>
    </row>
    <row r="501" spans="1:13" x14ac:dyDescent="0.2">
      <c r="A501" s="38"/>
      <c r="B501" s="55"/>
      <c r="C501" t="s">
        <v>324</v>
      </c>
      <c r="D501" s="88">
        <v>1.2700000000000001E-3</v>
      </c>
      <c r="E501" t="s">
        <v>357</v>
      </c>
      <c r="F501">
        <v>1.2700000000000001E-3</v>
      </c>
      <c r="G501">
        <v>1.2700000000000001E-3</v>
      </c>
      <c r="H501">
        <v>3.0599999999999998E-3</v>
      </c>
      <c r="I501">
        <f>$A$6</f>
        <v>100</v>
      </c>
      <c r="J501">
        <v>-1</v>
      </c>
      <c r="K501" t="s">
        <v>441</v>
      </c>
      <c r="L501" s="17">
        <f t="shared" si="81"/>
        <v>-112303.3591336058</v>
      </c>
      <c r="M501" t="s">
        <v>537</v>
      </c>
    </row>
    <row r="502" spans="1:13" x14ac:dyDescent="0.2">
      <c r="A502" s="38"/>
      <c r="B502" s="55"/>
      <c r="C502" t="s">
        <v>250</v>
      </c>
      <c r="D502" s="88">
        <v>1.2700000000000001E-3</v>
      </c>
      <c r="E502" t="s">
        <v>358</v>
      </c>
      <c r="F502">
        <v>1.2700000000000001E-3</v>
      </c>
      <c r="G502">
        <v>1.2700000000000001E-3</v>
      </c>
      <c r="H502">
        <v>0.30602000000000001</v>
      </c>
      <c r="I502">
        <f>$A$7</f>
        <v>10</v>
      </c>
      <c r="J502">
        <v>1</v>
      </c>
      <c r="K502" t="s">
        <v>442</v>
      </c>
      <c r="L502" s="17">
        <f t="shared" si="81"/>
        <v>370044.62082445738</v>
      </c>
      <c r="M502" t="s">
        <v>537</v>
      </c>
    </row>
    <row r="503" spans="1:13" x14ac:dyDescent="0.2">
      <c r="A503" s="38"/>
      <c r="B503" s="55"/>
      <c r="C503" t="s">
        <v>251</v>
      </c>
      <c r="D503" s="88">
        <v>0</v>
      </c>
      <c r="E503" t="s">
        <v>359</v>
      </c>
      <c r="F503">
        <v>0</v>
      </c>
      <c r="G503">
        <v>0</v>
      </c>
      <c r="H503">
        <v>3.1E-4</v>
      </c>
      <c r="I503">
        <f>$A$6</f>
        <v>100</v>
      </c>
      <c r="J503">
        <v>-1</v>
      </c>
      <c r="K503" t="s">
        <v>443</v>
      </c>
      <c r="L503" s="17">
        <f t="shared" si="81"/>
        <v>-3671.5219277277529</v>
      </c>
      <c r="M503" t="s">
        <v>537</v>
      </c>
    </row>
    <row r="504" spans="1:13" x14ac:dyDescent="0.2">
      <c r="A504" s="38"/>
      <c r="B504" s="55"/>
      <c r="C504" t="s">
        <v>252</v>
      </c>
      <c r="D504" s="88">
        <v>0.12681999999999999</v>
      </c>
      <c r="E504" t="s">
        <v>360</v>
      </c>
      <c r="F504">
        <v>0.12681999999999999</v>
      </c>
      <c r="G504">
        <v>0.12681999999999999</v>
      </c>
      <c r="H504">
        <v>3.0602</v>
      </c>
      <c r="I504">
        <f>$A$7</f>
        <v>10</v>
      </c>
      <c r="J504">
        <v>-1</v>
      </c>
      <c r="K504" t="s">
        <v>444</v>
      </c>
      <c r="L504" s="17">
        <f t="shared" si="81"/>
        <v>-4383925.1273761429</v>
      </c>
      <c r="M504" t="s">
        <v>537</v>
      </c>
    </row>
    <row r="505" spans="1:13" x14ac:dyDescent="0.2">
      <c r="A505" s="38"/>
      <c r="B505" s="55"/>
      <c r="C505" t="s">
        <v>253</v>
      </c>
      <c r="D505" s="88">
        <v>1.268E-2</v>
      </c>
      <c r="E505" t="s">
        <v>361</v>
      </c>
      <c r="F505">
        <v>1.268E-2</v>
      </c>
      <c r="G505">
        <v>1.268E-2</v>
      </c>
      <c r="H505">
        <v>0.30602000000000001</v>
      </c>
      <c r="I505">
        <f>$A$7</f>
        <v>10</v>
      </c>
      <c r="J505">
        <v>-1</v>
      </c>
      <c r="K505" t="s">
        <v>445</v>
      </c>
      <c r="L505" s="17">
        <f t="shared" si="81"/>
        <v>-438380.53448806773</v>
      </c>
      <c r="M505" t="s">
        <v>537</v>
      </c>
    </row>
    <row r="506" spans="1:13" x14ac:dyDescent="0.2">
      <c r="A506" s="38"/>
      <c r="B506" s="55"/>
      <c r="C506" t="s">
        <v>325</v>
      </c>
      <c r="D506" s="88">
        <v>1.2700000000000001E-3</v>
      </c>
      <c r="E506" t="s">
        <v>362</v>
      </c>
      <c r="F506">
        <v>1.2700000000000001E-3</v>
      </c>
      <c r="G506">
        <v>1.2700000000000001E-3</v>
      </c>
      <c r="H506">
        <v>3.1E-4</v>
      </c>
      <c r="I506">
        <f>$A$6</f>
        <v>100</v>
      </c>
      <c r="J506">
        <v>-1</v>
      </c>
      <c r="K506" t="s">
        <v>446</v>
      </c>
      <c r="L506" s="17">
        <f t="shared" si="81"/>
        <v>-79733.406548924133</v>
      </c>
      <c r="M506" t="s">
        <v>537</v>
      </c>
    </row>
    <row r="507" spans="1:13" x14ac:dyDescent="0.2">
      <c r="A507" s="38"/>
      <c r="B507" s="55"/>
      <c r="C507" t="s">
        <v>254</v>
      </c>
      <c r="D507" s="88">
        <v>1.2700000000000001E-3</v>
      </c>
      <c r="E507" t="s">
        <v>363</v>
      </c>
      <c r="F507">
        <v>1.2700000000000001E-3</v>
      </c>
      <c r="G507">
        <v>1.2700000000000001E-3</v>
      </c>
      <c r="H507">
        <v>3.0599999999999998E-3</v>
      </c>
      <c r="I507">
        <f>$A$7</f>
        <v>10</v>
      </c>
      <c r="J507">
        <v>-1</v>
      </c>
      <c r="K507" t="s">
        <v>447</v>
      </c>
      <c r="L507" s="17">
        <f t="shared" si="81"/>
        <v>-11230.335913360579</v>
      </c>
      <c r="M507" t="s">
        <v>537</v>
      </c>
    </row>
    <row r="508" spans="1:13" x14ac:dyDescent="0.2">
      <c r="A508" s="38"/>
      <c r="B508" s="55"/>
      <c r="C508" t="s">
        <v>255</v>
      </c>
      <c r="D508" s="88">
        <v>0</v>
      </c>
      <c r="E508" t="s">
        <v>364</v>
      </c>
      <c r="F508">
        <v>0</v>
      </c>
      <c r="G508">
        <v>0</v>
      </c>
      <c r="H508">
        <v>0</v>
      </c>
      <c r="I508">
        <f>$A$7</f>
        <v>10</v>
      </c>
      <c r="J508">
        <v>-1</v>
      </c>
      <c r="K508" t="s">
        <v>448</v>
      </c>
      <c r="L508" s="17">
        <f t="shared" si="81"/>
        <v>0</v>
      </c>
      <c r="M508" t="s">
        <v>537</v>
      </c>
    </row>
    <row r="509" spans="1:13" x14ac:dyDescent="0.2">
      <c r="A509" s="38"/>
      <c r="B509" s="55"/>
      <c r="C509" t="s">
        <v>256</v>
      </c>
      <c r="D509" s="88">
        <v>1.2700000000000001E-3</v>
      </c>
      <c r="E509" t="s">
        <v>365</v>
      </c>
      <c r="F509">
        <v>1.2700000000000001E-3</v>
      </c>
      <c r="G509">
        <v>1.2700000000000001E-3</v>
      </c>
      <c r="H509">
        <v>0.30602000000000001</v>
      </c>
      <c r="I509">
        <f>$A$7</f>
        <v>10</v>
      </c>
      <c r="J509">
        <v>-1</v>
      </c>
      <c r="K509" t="s">
        <v>449</v>
      </c>
      <c r="L509" s="17">
        <f t="shared" si="81"/>
        <v>-370044.62082445738</v>
      </c>
      <c r="M509" t="s">
        <v>537</v>
      </c>
    </row>
    <row r="510" spans="1:13" x14ac:dyDescent="0.2">
      <c r="A510" s="38"/>
      <c r="B510" s="55"/>
      <c r="C510" t="s">
        <v>257</v>
      </c>
      <c r="D510" s="88">
        <v>1.26824</v>
      </c>
      <c r="E510" t="s">
        <v>366</v>
      </c>
      <c r="F510">
        <v>1.26824</v>
      </c>
      <c r="G510">
        <v>1.26824</v>
      </c>
      <c r="H510">
        <v>3.0599999999999998E-3</v>
      </c>
      <c r="I510">
        <f>$A$6</f>
        <v>100</v>
      </c>
      <c r="J510">
        <v>-1</v>
      </c>
      <c r="K510" t="s">
        <v>450</v>
      </c>
      <c r="L510" s="17">
        <f t="shared" si="81"/>
        <v>-75992717.499698296</v>
      </c>
      <c r="M510" t="s">
        <v>537</v>
      </c>
    </row>
    <row r="511" spans="1:13" x14ac:dyDescent="0.2">
      <c r="A511" s="38"/>
      <c r="B511" s="55"/>
      <c r="C511" t="s">
        <v>258</v>
      </c>
      <c r="D511" s="88">
        <v>0.12681999999999999</v>
      </c>
      <c r="E511" t="s">
        <v>367</v>
      </c>
      <c r="F511">
        <v>0.12681999999999999</v>
      </c>
      <c r="G511">
        <v>0.12681999999999999</v>
      </c>
      <c r="H511">
        <v>3.0599999999999998E-3</v>
      </c>
      <c r="I511">
        <f>$A$6</f>
        <v>100</v>
      </c>
      <c r="J511">
        <v>-1</v>
      </c>
      <c r="K511" t="s">
        <v>451</v>
      </c>
      <c r="L511" s="17">
        <f t="shared" si="81"/>
        <v>-7631649.5120400647</v>
      </c>
      <c r="M511" t="s">
        <v>537</v>
      </c>
    </row>
    <row r="512" spans="1:13" x14ac:dyDescent="0.2">
      <c r="A512" s="38"/>
      <c r="B512" s="55"/>
      <c r="C512" t="s">
        <v>326</v>
      </c>
      <c r="D512" s="88">
        <v>1.2700000000000001E-3</v>
      </c>
      <c r="E512" t="s">
        <v>365</v>
      </c>
      <c r="F512">
        <v>1.2700000000000001E-3</v>
      </c>
      <c r="G512">
        <v>1.2700000000000001E-3</v>
      </c>
      <c r="H512">
        <v>3.0599999999999998E-3</v>
      </c>
      <c r="I512">
        <v>0</v>
      </c>
      <c r="J512">
        <v>0</v>
      </c>
      <c r="K512" t="s">
        <v>449</v>
      </c>
      <c r="L512" s="17">
        <f t="shared" si="81"/>
        <v>0</v>
      </c>
      <c r="M512" t="s">
        <v>537</v>
      </c>
    </row>
    <row r="513" spans="1:13" x14ac:dyDescent="0.2">
      <c r="A513" s="38"/>
      <c r="B513" s="55"/>
      <c r="C513" t="s">
        <v>259</v>
      </c>
      <c r="D513" s="88">
        <v>1.268E-2</v>
      </c>
      <c r="E513" t="s">
        <v>368</v>
      </c>
      <c r="F513">
        <v>1.268E-2</v>
      </c>
      <c r="G513">
        <v>1.268E-2</v>
      </c>
      <c r="H513">
        <v>3.0599999999999998E-3</v>
      </c>
      <c r="I513">
        <f>$A$6</f>
        <v>100</v>
      </c>
      <c r="J513">
        <v>-1</v>
      </c>
      <c r="K513" t="s">
        <v>452</v>
      </c>
      <c r="L513" s="17">
        <f t="shared" si="81"/>
        <v>-795662.49576970853</v>
      </c>
      <c r="M513" t="s">
        <v>537</v>
      </c>
    </row>
    <row r="514" spans="1:13" x14ac:dyDescent="0.2">
      <c r="A514" s="38"/>
      <c r="B514" s="55"/>
      <c r="C514" t="s">
        <v>260</v>
      </c>
      <c r="D514" s="88">
        <v>0</v>
      </c>
      <c r="E514" t="s">
        <v>368</v>
      </c>
      <c r="F514">
        <v>0</v>
      </c>
      <c r="G514">
        <v>0</v>
      </c>
      <c r="H514">
        <v>3.0599999999999998E-3</v>
      </c>
      <c r="I514">
        <v>0</v>
      </c>
      <c r="J514">
        <v>0</v>
      </c>
      <c r="K514" t="s">
        <v>452</v>
      </c>
      <c r="L514" s="17">
        <f t="shared" si="81"/>
        <v>0</v>
      </c>
      <c r="M514" t="s">
        <v>537</v>
      </c>
    </row>
    <row r="515" spans="1:13" x14ac:dyDescent="0.2">
      <c r="A515" s="38"/>
      <c r="B515" s="55"/>
      <c r="C515" t="s">
        <v>327</v>
      </c>
      <c r="D515" s="88">
        <v>1.2999999999999999E-4</v>
      </c>
      <c r="E515" t="s">
        <v>368</v>
      </c>
      <c r="F515">
        <v>1.2999999999999999E-4</v>
      </c>
      <c r="G515">
        <v>1.2999999999999999E-4</v>
      </c>
      <c r="H515">
        <v>0.30602000000000001</v>
      </c>
      <c r="I515">
        <f>$A$6</f>
        <v>100</v>
      </c>
      <c r="J515">
        <v>-1</v>
      </c>
      <c r="K515" t="s">
        <v>452</v>
      </c>
      <c r="L515" s="17">
        <f t="shared" si="81"/>
        <v>-3632170.1858286969</v>
      </c>
      <c r="M515" t="s">
        <v>537</v>
      </c>
    </row>
    <row r="516" spans="1:13" x14ac:dyDescent="0.2">
      <c r="A516" s="38"/>
      <c r="B516" s="55"/>
      <c r="C516" t="s">
        <v>328</v>
      </c>
      <c r="D516" s="88">
        <v>1.2999999999999999E-4</v>
      </c>
      <c r="E516" t="s">
        <v>368</v>
      </c>
      <c r="F516">
        <v>1.2999999999999999E-4</v>
      </c>
      <c r="G516">
        <v>1.2999999999999999E-4</v>
      </c>
      <c r="H516">
        <v>0.30602000000000001</v>
      </c>
      <c r="I516">
        <v>0</v>
      </c>
      <c r="J516">
        <v>0</v>
      </c>
      <c r="K516" t="s">
        <v>452</v>
      </c>
      <c r="L516" s="17">
        <f t="shared" si="81"/>
        <v>0</v>
      </c>
      <c r="M516" t="s">
        <v>537</v>
      </c>
    </row>
    <row r="517" spans="1:13" x14ac:dyDescent="0.2">
      <c r="A517" s="38"/>
      <c r="B517" s="55"/>
      <c r="C517" t="s">
        <v>261</v>
      </c>
      <c r="D517" s="88">
        <v>0.12681999999999999</v>
      </c>
      <c r="E517" t="s">
        <v>369</v>
      </c>
      <c r="F517">
        <v>0.12681999999999999</v>
      </c>
      <c r="G517">
        <v>0.12681999999999999</v>
      </c>
      <c r="H517">
        <v>3.1E-4</v>
      </c>
      <c r="I517">
        <f>$A$6</f>
        <v>100</v>
      </c>
      <c r="J517">
        <v>-1</v>
      </c>
      <c r="K517" t="s">
        <v>453</v>
      </c>
      <c r="L517" s="17">
        <f t="shared" si="81"/>
        <v>-7599079.5594553826</v>
      </c>
      <c r="M517" t="s">
        <v>537</v>
      </c>
    </row>
    <row r="518" spans="1:13" x14ac:dyDescent="0.2">
      <c r="A518" s="38"/>
      <c r="B518" s="55"/>
      <c r="C518" t="s">
        <v>263</v>
      </c>
      <c r="D518" s="88">
        <v>1.2999999999999999E-4</v>
      </c>
      <c r="E518" t="s">
        <v>370</v>
      </c>
      <c r="F518">
        <v>1.2999999999999999E-4</v>
      </c>
      <c r="G518">
        <v>1.2999999999999999E-4</v>
      </c>
      <c r="H518">
        <v>3.1E-4</v>
      </c>
      <c r="I518">
        <f>$A$6</f>
        <v>100</v>
      </c>
      <c r="J518">
        <v>-1</v>
      </c>
      <c r="K518" t="s">
        <v>454</v>
      </c>
      <c r="L518" s="17">
        <f t="shared" si="81"/>
        <v>-11457.384133047064</v>
      </c>
      <c r="M518" t="s">
        <v>537</v>
      </c>
    </row>
    <row r="519" spans="1:13" x14ac:dyDescent="0.2">
      <c r="A519" s="38"/>
      <c r="B519" s="55"/>
      <c r="C519" t="s">
        <v>262</v>
      </c>
      <c r="D519" s="88">
        <v>1.2999999999999999E-4</v>
      </c>
      <c r="E519" t="s">
        <v>370</v>
      </c>
      <c r="F519">
        <v>1.2999999999999999E-4</v>
      </c>
      <c r="G519">
        <v>1.2999999999999999E-4</v>
      </c>
      <c r="H519">
        <v>3.0599999999999998E-3</v>
      </c>
      <c r="I519">
        <f>$A$6</f>
        <v>100</v>
      </c>
      <c r="J519">
        <v>-1</v>
      </c>
      <c r="K519" t="s">
        <v>454</v>
      </c>
      <c r="L519" s="17">
        <f t="shared" si="81"/>
        <v>-44027.336717728744</v>
      </c>
      <c r="M519" t="s">
        <v>537</v>
      </c>
    </row>
    <row r="520" spans="1:13" x14ac:dyDescent="0.2">
      <c r="A520" s="38"/>
      <c r="B520" s="55"/>
      <c r="C520" t="s">
        <v>264</v>
      </c>
      <c r="D520" s="88">
        <v>1.2700000000000001E-3</v>
      </c>
      <c r="E520" t="s">
        <v>371</v>
      </c>
      <c r="F520">
        <v>1.2700000000000001E-3</v>
      </c>
      <c r="G520">
        <v>1.2700000000000001E-3</v>
      </c>
      <c r="H520">
        <v>3.0599999999999999E-2</v>
      </c>
      <c r="I520">
        <f>$A$7</f>
        <v>10</v>
      </c>
      <c r="J520">
        <v>-1</v>
      </c>
      <c r="K520" t="s">
        <v>455</v>
      </c>
      <c r="L520" s="17">
        <f t="shared" si="81"/>
        <v>-43847.66297452907</v>
      </c>
      <c r="M520" t="s">
        <v>537</v>
      </c>
    </row>
    <row r="521" spans="1:13" x14ac:dyDescent="0.2">
      <c r="A521" s="38"/>
      <c r="B521" s="55"/>
      <c r="C521" t="s">
        <v>265</v>
      </c>
      <c r="D521" s="88">
        <v>1.2700000000000001E-3</v>
      </c>
      <c r="E521" t="s">
        <v>371</v>
      </c>
      <c r="F521">
        <v>1.2700000000000001E-3</v>
      </c>
      <c r="G521">
        <v>1.2700000000000001E-3</v>
      </c>
      <c r="H521">
        <v>3.0599999999999998E-3</v>
      </c>
      <c r="I521">
        <f>$A$7</f>
        <v>10</v>
      </c>
      <c r="J521">
        <v>-1</v>
      </c>
      <c r="K521" t="s">
        <v>455</v>
      </c>
      <c r="L521" s="17">
        <f t="shared" si="81"/>
        <v>-11230.335913360579</v>
      </c>
      <c r="M521" t="s">
        <v>537</v>
      </c>
    </row>
    <row r="522" spans="1:13" x14ac:dyDescent="0.2">
      <c r="A522" s="38"/>
      <c r="B522" s="55"/>
      <c r="C522" t="s">
        <v>266</v>
      </c>
      <c r="D522" s="88">
        <v>1.2700000000000001E-3</v>
      </c>
      <c r="E522" t="s">
        <v>371</v>
      </c>
      <c r="F522">
        <v>1.2700000000000001E-3</v>
      </c>
      <c r="G522">
        <v>1.2700000000000001E-3</v>
      </c>
      <c r="H522">
        <v>3.0599999999999999E-2</v>
      </c>
      <c r="I522">
        <v>0</v>
      </c>
      <c r="J522">
        <v>0</v>
      </c>
      <c r="K522" t="s">
        <v>455</v>
      </c>
      <c r="L522" s="17">
        <f t="shared" si="81"/>
        <v>0</v>
      </c>
      <c r="M522" t="s">
        <v>537</v>
      </c>
    </row>
    <row r="523" spans="1:13" x14ac:dyDescent="0.2">
      <c r="A523" s="38"/>
      <c r="B523" s="55"/>
      <c r="C523" t="s">
        <v>267</v>
      </c>
      <c r="D523" s="88">
        <v>1.2999999999999999E-4</v>
      </c>
      <c r="E523" t="s">
        <v>372</v>
      </c>
      <c r="F523">
        <v>1.2999999999999999E-4</v>
      </c>
      <c r="G523">
        <v>1.2999999999999999E-4</v>
      </c>
      <c r="H523">
        <v>3.0599999999999998E-3</v>
      </c>
      <c r="I523">
        <v>0</v>
      </c>
      <c r="J523">
        <v>0</v>
      </c>
      <c r="K523" t="s">
        <v>456</v>
      </c>
      <c r="L523" s="17">
        <f t="shared" si="81"/>
        <v>0</v>
      </c>
      <c r="M523" t="s">
        <v>537</v>
      </c>
    </row>
    <row r="524" spans="1:13" x14ac:dyDescent="0.2">
      <c r="A524" s="38"/>
      <c r="B524" s="55"/>
      <c r="C524" t="s">
        <v>329</v>
      </c>
      <c r="D524" s="88">
        <v>0.12681999999999999</v>
      </c>
      <c r="E524" s="75" t="s">
        <v>373</v>
      </c>
      <c r="F524">
        <v>0.12681999999999999</v>
      </c>
      <c r="G524">
        <v>0.12681999999999999</v>
      </c>
      <c r="H524">
        <v>0.30602000000000001</v>
      </c>
      <c r="I524">
        <f>$A$7</f>
        <v>10</v>
      </c>
      <c r="J524">
        <v>-1</v>
      </c>
      <c r="K524" t="s">
        <v>457</v>
      </c>
      <c r="L524" s="17">
        <f t="shared" si="81"/>
        <v>-1121979.2361151034</v>
      </c>
      <c r="M524" t="s">
        <v>537</v>
      </c>
    </row>
    <row r="525" spans="1:13" x14ac:dyDescent="0.2">
      <c r="A525" s="38"/>
      <c r="B525" s="55"/>
      <c r="C525" t="s">
        <v>314</v>
      </c>
      <c r="D525" s="88">
        <v>1.2700000000000001E-3</v>
      </c>
      <c r="E525" s="75" t="s">
        <v>374</v>
      </c>
      <c r="F525">
        <v>1.2700000000000001E-3</v>
      </c>
      <c r="G525">
        <v>1.2700000000000001E-3</v>
      </c>
      <c r="H525">
        <v>3.0599999999999998E-3</v>
      </c>
      <c r="I525">
        <f>$A$7</f>
        <v>10</v>
      </c>
      <c r="J525">
        <v>-1</v>
      </c>
      <c r="K525" t="s">
        <v>458</v>
      </c>
      <c r="L525" s="17">
        <f t="shared" si="81"/>
        <v>-11230.335913360579</v>
      </c>
      <c r="M525" t="s">
        <v>537</v>
      </c>
    </row>
    <row r="526" spans="1:13" x14ac:dyDescent="0.2">
      <c r="A526" s="38"/>
      <c r="B526" s="55"/>
      <c r="C526" t="s">
        <v>268</v>
      </c>
      <c r="D526" s="88">
        <v>1.2700000000000001E-3</v>
      </c>
      <c r="E526" s="75" t="s">
        <v>374</v>
      </c>
      <c r="F526">
        <v>1.2700000000000001E-3</v>
      </c>
      <c r="G526">
        <v>1.2700000000000001E-3</v>
      </c>
      <c r="H526">
        <v>3.0599999999999998E-3</v>
      </c>
      <c r="I526">
        <f>$A$7</f>
        <v>10</v>
      </c>
      <c r="J526">
        <v>-1</v>
      </c>
      <c r="K526" t="s">
        <v>458</v>
      </c>
      <c r="L526" s="17">
        <f t="shared" si="81"/>
        <v>-11230.335913360579</v>
      </c>
      <c r="M526" t="s">
        <v>537</v>
      </c>
    </row>
    <row r="527" spans="1:13" x14ac:dyDescent="0.2">
      <c r="A527" s="38"/>
      <c r="B527" s="55"/>
      <c r="C527" t="s">
        <v>269</v>
      </c>
      <c r="D527" s="88">
        <v>1.2700000000000001E-3</v>
      </c>
      <c r="E527" s="75" t="s">
        <v>374</v>
      </c>
      <c r="F527">
        <v>1.2700000000000001E-3</v>
      </c>
      <c r="G527">
        <v>1.2700000000000001E-3</v>
      </c>
      <c r="H527">
        <v>3.0599999999999998E-3</v>
      </c>
      <c r="I527">
        <v>0</v>
      </c>
      <c r="J527">
        <v>0</v>
      </c>
      <c r="K527" t="s">
        <v>458</v>
      </c>
      <c r="L527" s="17">
        <f t="shared" si="81"/>
        <v>0</v>
      </c>
      <c r="M527" t="s">
        <v>537</v>
      </c>
    </row>
    <row r="528" spans="1:13" x14ac:dyDescent="0.2">
      <c r="A528" s="38"/>
      <c r="B528" s="55"/>
      <c r="C528" t="s">
        <v>270</v>
      </c>
      <c r="D528" s="88">
        <v>1.2700000000000001E-3</v>
      </c>
      <c r="E528" s="75" t="s">
        <v>375</v>
      </c>
      <c r="F528">
        <v>1.2700000000000001E-3</v>
      </c>
      <c r="G528">
        <v>1.2700000000000001E-3</v>
      </c>
      <c r="H528">
        <v>0</v>
      </c>
      <c r="I528">
        <f>$A$6</f>
        <v>100</v>
      </c>
      <c r="J528">
        <v>-1</v>
      </c>
      <c r="K528" t="s">
        <v>459</v>
      </c>
      <c r="L528" s="17">
        <f t="shared" si="81"/>
        <v>-76061.884621196368</v>
      </c>
      <c r="M528" t="s">
        <v>537</v>
      </c>
    </row>
    <row r="529" spans="1:13" x14ac:dyDescent="0.2">
      <c r="A529" s="38"/>
      <c r="B529" s="55"/>
      <c r="C529" t="s">
        <v>271</v>
      </c>
      <c r="D529" s="88">
        <v>0.12681999999999999</v>
      </c>
      <c r="E529" s="75" t="s">
        <v>376</v>
      </c>
      <c r="F529">
        <v>0.12681999999999999</v>
      </c>
      <c r="G529">
        <v>0.12681999999999999</v>
      </c>
      <c r="H529">
        <v>3.0602</v>
      </c>
      <c r="I529">
        <v>0</v>
      </c>
      <c r="J529">
        <v>0</v>
      </c>
      <c r="K529" t="s">
        <v>460</v>
      </c>
      <c r="L529" s="17">
        <f t="shared" si="81"/>
        <v>0</v>
      </c>
      <c r="M529" t="s">
        <v>537</v>
      </c>
    </row>
    <row r="530" spans="1:13" x14ac:dyDescent="0.2">
      <c r="A530" s="38"/>
      <c r="B530" s="55"/>
      <c r="C530" t="s">
        <v>272</v>
      </c>
      <c r="D530" s="88">
        <v>1.26824</v>
      </c>
      <c r="E530" t="s">
        <v>377</v>
      </c>
      <c r="F530">
        <v>1.26824</v>
      </c>
      <c r="G530">
        <v>1.26824</v>
      </c>
      <c r="H530">
        <v>3.0599999999999998E-3</v>
      </c>
      <c r="I530">
        <v>0</v>
      </c>
      <c r="J530">
        <v>0</v>
      </c>
      <c r="K530" t="s">
        <v>461</v>
      </c>
      <c r="L530" s="17">
        <f t="shared" si="81"/>
        <v>0</v>
      </c>
      <c r="M530" t="s">
        <v>537</v>
      </c>
    </row>
    <row r="531" spans="1:13" x14ac:dyDescent="0.2">
      <c r="A531" s="38"/>
      <c r="B531" s="55"/>
      <c r="C531" t="s">
        <v>273</v>
      </c>
      <c r="D531" s="88">
        <v>1.2999999999999999E-4</v>
      </c>
      <c r="E531" t="s">
        <v>378</v>
      </c>
      <c r="F531">
        <v>1.2999999999999999E-4</v>
      </c>
      <c r="G531">
        <v>1.2999999999999999E-4</v>
      </c>
      <c r="H531">
        <v>3.0602</v>
      </c>
      <c r="I531">
        <f>$A$7</f>
        <v>10</v>
      </c>
      <c r="J531">
        <v>-1</v>
      </c>
      <c r="K531" t="s">
        <v>462</v>
      </c>
      <c r="L531" s="17">
        <f t="shared" si="81"/>
        <v>-3625162.9098439086</v>
      </c>
      <c r="M531" t="s">
        <v>537</v>
      </c>
    </row>
    <row r="532" spans="1:13" x14ac:dyDescent="0.2">
      <c r="A532" s="38"/>
      <c r="B532" s="55"/>
      <c r="C532" t="s">
        <v>274</v>
      </c>
      <c r="D532" s="88">
        <v>1.2999999999999999E-4</v>
      </c>
      <c r="E532" t="s">
        <v>379</v>
      </c>
      <c r="F532">
        <v>1.2999999999999999E-4</v>
      </c>
      <c r="G532">
        <v>1.2999999999999999E-4</v>
      </c>
      <c r="H532">
        <v>3.1E-4</v>
      </c>
      <c r="I532">
        <v>0</v>
      </c>
      <c r="J532">
        <v>0</v>
      </c>
      <c r="K532" t="s">
        <v>463</v>
      </c>
      <c r="L532" s="17">
        <f t="shared" si="81"/>
        <v>0</v>
      </c>
      <c r="M532" t="s">
        <v>537</v>
      </c>
    </row>
    <row r="533" spans="1:13" x14ac:dyDescent="0.2">
      <c r="A533" s="38"/>
      <c r="B533" s="55"/>
      <c r="C533" t="s">
        <v>275</v>
      </c>
      <c r="D533" s="88">
        <v>1.26824</v>
      </c>
      <c r="E533" t="s">
        <v>377</v>
      </c>
      <c r="F533">
        <v>1.26824</v>
      </c>
      <c r="G533">
        <v>1.26824</v>
      </c>
      <c r="H533">
        <v>3.0599999999999998E-3</v>
      </c>
      <c r="I533">
        <f>$A$6</f>
        <v>100</v>
      </c>
      <c r="J533">
        <v>-1</v>
      </c>
      <c r="K533" t="s">
        <v>461</v>
      </c>
      <c r="L533" s="17">
        <f t="shared" si="81"/>
        <v>-75992717.499698296</v>
      </c>
      <c r="M533" t="s">
        <v>537</v>
      </c>
    </row>
    <row r="534" spans="1:13" x14ac:dyDescent="0.2">
      <c r="A534" s="38"/>
      <c r="B534" s="55"/>
      <c r="C534" t="s">
        <v>276</v>
      </c>
      <c r="D534" s="88">
        <v>1.26824</v>
      </c>
      <c r="E534" t="s">
        <v>377</v>
      </c>
      <c r="F534">
        <v>1.26824</v>
      </c>
      <c r="G534">
        <v>1.26824</v>
      </c>
      <c r="H534">
        <v>3.0599999999999998E-3</v>
      </c>
      <c r="I534">
        <f>$A$6</f>
        <v>100</v>
      </c>
      <c r="J534">
        <v>-1</v>
      </c>
      <c r="K534" t="s">
        <v>461</v>
      </c>
      <c r="L534" s="17">
        <f t="shared" si="81"/>
        <v>-75992717.499698296</v>
      </c>
      <c r="M534" t="s">
        <v>537</v>
      </c>
    </row>
    <row r="535" spans="1:13" x14ac:dyDescent="0.2">
      <c r="A535" s="38"/>
      <c r="B535" s="55"/>
      <c r="C535" t="s">
        <v>277</v>
      </c>
      <c r="D535" s="88">
        <v>1.2700000000000001E-3</v>
      </c>
      <c r="E535" t="s">
        <v>380</v>
      </c>
      <c r="F535">
        <v>1.2700000000000001E-3</v>
      </c>
      <c r="G535">
        <v>1.2700000000000001E-3</v>
      </c>
      <c r="H535">
        <v>3.1E-4</v>
      </c>
      <c r="I535">
        <f>$A$6</f>
        <v>100</v>
      </c>
      <c r="J535">
        <v>-1</v>
      </c>
      <c r="K535" t="s">
        <v>464</v>
      </c>
      <c r="L535" s="17">
        <f t="shared" si="81"/>
        <v>-79733.406548924133</v>
      </c>
      <c r="M535" t="s">
        <v>537</v>
      </c>
    </row>
    <row r="536" spans="1:13" x14ac:dyDescent="0.2">
      <c r="A536" s="38"/>
      <c r="B536" s="55"/>
      <c r="C536" t="s">
        <v>278</v>
      </c>
      <c r="D536" s="88">
        <v>1.26824</v>
      </c>
      <c r="E536" t="s">
        <v>381</v>
      </c>
      <c r="F536">
        <v>1.26824</v>
      </c>
      <c r="G536">
        <v>1.26824</v>
      </c>
      <c r="H536">
        <v>3.0602</v>
      </c>
      <c r="I536">
        <f>$A$6</f>
        <v>100</v>
      </c>
      <c r="J536">
        <v>-1</v>
      </c>
      <c r="K536" t="s">
        <v>465</v>
      </c>
      <c r="L536" s="17">
        <f t="shared" si="81"/>
        <v>-112200319.26141968</v>
      </c>
      <c r="M536" t="s">
        <v>537</v>
      </c>
    </row>
    <row r="537" spans="1:13" x14ac:dyDescent="0.2">
      <c r="A537" s="38"/>
      <c r="B537" s="55"/>
      <c r="C537" t="s">
        <v>330</v>
      </c>
      <c r="D537" s="88">
        <v>1.2999999999999999E-4</v>
      </c>
      <c r="E537" t="s">
        <v>382</v>
      </c>
      <c r="F537">
        <v>1.2999999999999999E-4</v>
      </c>
      <c r="G537">
        <v>1.2999999999999999E-4</v>
      </c>
      <c r="H537">
        <v>3.1E-4</v>
      </c>
      <c r="I537">
        <f>$A$7</f>
        <v>10</v>
      </c>
      <c r="J537">
        <v>-1</v>
      </c>
      <c r="K537" t="s">
        <v>466</v>
      </c>
      <c r="L537" s="17">
        <f t="shared" ref="L537:L577" si="83">((B$472*D537)+(B$473*F537)+(B$474*G537)+(SUM(B$475:B$477)*H537))*I537*J537</f>
        <v>-1145.7384133047065</v>
      </c>
      <c r="M537" t="s">
        <v>537</v>
      </c>
    </row>
    <row r="538" spans="1:13" x14ac:dyDescent="0.2">
      <c r="A538" s="38"/>
      <c r="B538" s="55"/>
      <c r="C538" t="s">
        <v>279</v>
      </c>
      <c r="D538" s="88">
        <v>1.2999999999999999E-4</v>
      </c>
      <c r="E538" t="s">
        <v>382</v>
      </c>
      <c r="F538">
        <v>1.2999999999999999E-4</v>
      </c>
      <c r="G538">
        <v>1.2999999999999999E-4</v>
      </c>
      <c r="H538">
        <v>3.1E-4</v>
      </c>
      <c r="I538">
        <f>$A$7</f>
        <v>10</v>
      </c>
      <c r="J538">
        <v>-1</v>
      </c>
      <c r="K538" t="s">
        <v>466</v>
      </c>
      <c r="L538" s="17">
        <f t="shared" si="83"/>
        <v>-1145.7384133047065</v>
      </c>
      <c r="M538" t="s">
        <v>537</v>
      </c>
    </row>
    <row r="539" spans="1:13" x14ac:dyDescent="0.2">
      <c r="A539" s="38"/>
      <c r="B539" s="55"/>
      <c r="C539" t="s">
        <v>280</v>
      </c>
      <c r="D539" s="88">
        <v>1.2999999999999999E-4</v>
      </c>
      <c r="E539" t="s">
        <v>382</v>
      </c>
      <c r="F539">
        <v>1.2999999999999999E-4</v>
      </c>
      <c r="G539">
        <v>1.2999999999999999E-4</v>
      </c>
      <c r="H539">
        <v>3.0599999999999998E-3</v>
      </c>
      <c r="I539">
        <v>0</v>
      </c>
      <c r="J539">
        <v>0</v>
      </c>
      <c r="K539" t="s">
        <v>466</v>
      </c>
      <c r="L539" s="17">
        <f t="shared" si="83"/>
        <v>0</v>
      </c>
      <c r="M539" t="s">
        <v>537</v>
      </c>
    </row>
    <row r="540" spans="1:13" x14ac:dyDescent="0.2">
      <c r="A540" s="38"/>
      <c r="B540" s="55"/>
      <c r="C540" t="s">
        <v>331</v>
      </c>
      <c r="D540" s="88">
        <v>1.2700000000000001E-3</v>
      </c>
      <c r="E540" t="s">
        <v>383</v>
      </c>
      <c r="F540">
        <v>1.2700000000000001E-3</v>
      </c>
      <c r="G540">
        <v>1.2700000000000001E-3</v>
      </c>
      <c r="H540">
        <v>3.0599999999999998E-3</v>
      </c>
      <c r="I540">
        <v>0</v>
      </c>
      <c r="J540">
        <v>0</v>
      </c>
      <c r="K540" t="s">
        <v>467</v>
      </c>
      <c r="L540" s="17">
        <f t="shared" si="83"/>
        <v>0</v>
      </c>
      <c r="M540" t="s">
        <v>537</v>
      </c>
    </row>
    <row r="541" spans="1:13" x14ac:dyDescent="0.2">
      <c r="A541" s="38"/>
      <c r="B541" s="55"/>
      <c r="C541" t="s">
        <v>281</v>
      </c>
      <c r="D541" s="88">
        <v>1.2999999999999999E-4</v>
      </c>
      <c r="E541" t="s">
        <v>384</v>
      </c>
      <c r="F541">
        <v>1.2999999999999999E-4</v>
      </c>
      <c r="G541">
        <v>1.2999999999999999E-4</v>
      </c>
      <c r="H541">
        <v>3.1E-4</v>
      </c>
      <c r="I541">
        <f>$A$7</f>
        <v>10</v>
      </c>
      <c r="J541">
        <v>-1</v>
      </c>
      <c r="K541" t="s">
        <v>468</v>
      </c>
      <c r="L541" s="17">
        <f t="shared" si="83"/>
        <v>-1145.7384133047065</v>
      </c>
      <c r="M541" t="s">
        <v>537</v>
      </c>
    </row>
    <row r="542" spans="1:13" x14ac:dyDescent="0.2">
      <c r="A542" s="38"/>
      <c r="B542" s="55"/>
      <c r="C542" t="s">
        <v>282</v>
      </c>
      <c r="D542" s="88">
        <v>0.12681999999999999</v>
      </c>
      <c r="E542" t="s">
        <v>385</v>
      </c>
      <c r="F542">
        <v>0.12681999999999999</v>
      </c>
      <c r="G542">
        <v>0.12681999999999999</v>
      </c>
      <c r="H542">
        <v>0.30602000000000001</v>
      </c>
      <c r="I542">
        <v>0</v>
      </c>
      <c r="J542">
        <v>0</v>
      </c>
      <c r="K542" t="s">
        <v>469</v>
      </c>
      <c r="L542" s="17">
        <f t="shared" si="83"/>
        <v>0</v>
      </c>
      <c r="M542" t="s">
        <v>537</v>
      </c>
    </row>
    <row r="543" spans="1:13" x14ac:dyDescent="0.2">
      <c r="A543" s="38"/>
      <c r="B543" s="55"/>
      <c r="C543" t="s">
        <v>332</v>
      </c>
      <c r="D543" s="88">
        <v>1.268E-2</v>
      </c>
      <c r="E543" t="s">
        <v>386</v>
      </c>
      <c r="F543">
        <v>1.268E-2</v>
      </c>
      <c r="G543">
        <v>1.268E-2</v>
      </c>
      <c r="H543">
        <v>3.0599999999999998E-3</v>
      </c>
      <c r="I543">
        <v>0</v>
      </c>
      <c r="J543">
        <v>0</v>
      </c>
      <c r="K543" t="s">
        <v>470</v>
      </c>
      <c r="L543" s="17">
        <f t="shared" si="83"/>
        <v>0</v>
      </c>
      <c r="M543" t="s">
        <v>537</v>
      </c>
    </row>
    <row r="544" spans="1:13" x14ac:dyDescent="0.2">
      <c r="A544" s="38"/>
      <c r="B544" s="55"/>
      <c r="C544" t="s">
        <v>283</v>
      </c>
      <c r="D544" s="88">
        <v>1.2700000000000001E-3</v>
      </c>
      <c r="E544" t="s">
        <v>387</v>
      </c>
      <c r="F544">
        <v>1.2700000000000001E-3</v>
      </c>
      <c r="G544">
        <v>1.2700000000000001E-3</v>
      </c>
      <c r="H544">
        <v>3.0599999999999998E-3</v>
      </c>
      <c r="I544">
        <f>$A$7</f>
        <v>10</v>
      </c>
      <c r="J544">
        <v>-1</v>
      </c>
      <c r="K544" t="s">
        <v>471</v>
      </c>
      <c r="L544" s="17">
        <f t="shared" si="83"/>
        <v>-11230.335913360579</v>
      </c>
      <c r="M544" t="s">
        <v>537</v>
      </c>
    </row>
    <row r="545" spans="1:13" x14ac:dyDescent="0.2">
      <c r="A545" s="38"/>
      <c r="B545" s="55"/>
      <c r="C545" t="s">
        <v>284</v>
      </c>
      <c r="D545" s="88">
        <v>1.2999999999999999E-4</v>
      </c>
      <c r="E545" t="s">
        <v>388</v>
      </c>
      <c r="F545">
        <v>1.2999999999999999E-4</v>
      </c>
      <c r="G545">
        <v>1.2999999999999999E-4</v>
      </c>
      <c r="H545">
        <v>3.0602</v>
      </c>
      <c r="I545">
        <f>$A$7</f>
        <v>10</v>
      </c>
      <c r="J545">
        <v>-1</v>
      </c>
      <c r="K545" t="s">
        <v>472</v>
      </c>
      <c r="L545" s="17">
        <f t="shared" si="83"/>
        <v>-3625162.9098439086</v>
      </c>
      <c r="M545" t="s">
        <v>537</v>
      </c>
    </row>
    <row r="546" spans="1:13" x14ac:dyDescent="0.2">
      <c r="A546" s="38"/>
      <c r="B546" s="55"/>
      <c r="C546" t="s">
        <v>285</v>
      </c>
      <c r="D546" s="88">
        <v>1.2700000000000001E-3</v>
      </c>
      <c r="E546" t="s">
        <v>389</v>
      </c>
      <c r="F546">
        <v>1.2700000000000001E-3</v>
      </c>
      <c r="G546">
        <v>1.2700000000000001E-3</v>
      </c>
      <c r="H546">
        <v>3.0599999999999998E-3</v>
      </c>
      <c r="I546">
        <f>$A$7</f>
        <v>10</v>
      </c>
      <c r="J546">
        <v>-1</v>
      </c>
      <c r="K546" t="s">
        <v>473</v>
      </c>
      <c r="L546" s="17">
        <f t="shared" si="83"/>
        <v>-11230.335913360579</v>
      </c>
      <c r="M546" t="s">
        <v>537</v>
      </c>
    </row>
    <row r="547" spans="1:13" x14ac:dyDescent="0.2">
      <c r="A547" s="38"/>
      <c r="B547" s="55"/>
      <c r="C547" t="s">
        <v>286</v>
      </c>
      <c r="D547" s="88">
        <v>1.268E-2</v>
      </c>
      <c r="E547" t="s">
        <v>390</v>
      </c>
      <c r="F547">
        <v>1.268E-2</v>
      </c>
      <c r="G547">
        <v>1.268E-2</v>
      </c>
      <c r="H547">
        <v>3.0599999999999998E-3</v>
      </c>
      <c r="I547">
        <f>$A$6</f>
        <v>100</v>
      </c>
      <c r="J547">
        <v>-1</v>
      </c>
      <c r="K547" t="s">
        <v>474</v>
      </c>
      <c r="L547" s="17">
        <f t="shared" si="83"/>
        <v>-795662.49576970853</v>
      </c>
      <c r="M547" t="s">
        <v>537</v>
      </c>
    </row>
    <row r="548" spans="1:13" x14ac:dyDescent="0.2">
      <c r="A548" s="38"/>
      <c r="B548" s="55"/>
      <c r="C548" t="s">
        <v>287</v>
      </c>
      <c r="D548" s="88">
        <v>1.2700000000000001E-3</v>
      </c>
      <c r="E548" t="s">
        <v>391</v>
      </c>
      <c r="F548">
        <v>1.2700000000000001E-3</v>
      </c>
      <c r="G548">
        <v>1.2700000000000001E-3</v>
      </c>
      <c r="H548">
        <v>3.0599999999999998E-3</v>
      </c>
      <c r="I548">
        <f>$A$6</f>
        <v>100</v>
      </c>
      <c r="J548">
        <v>-1</v>
      </c>
      <c r="K548" t="s">
        <v>475</v>
      </c>
      <c r="L548" s="17">
        <f t="shared" si="83"/>
        <v>-112303.3591336058</v>
      </c>
      <c r="M548" t="s">
        <v>537</v>
      </c>
    </row>
    <row r="549" spans="1:13" x14ac:dyDescent="0.2">
      <c r="A549" s="38"/>
      <c r="B549" s="55"/>
      <c r="C549" t="s">
        <v>288</v>
      </c>
      <c r="D549" s="88">
        <v>1.2700000000000001E-3</v>
      </c>
      <c r="E549" t="s">
        <v>392</v>
      </c>
      <c r="F549">
        <v>1.2700000000000001E-3</v>
      </c>
      <c r="G549">
        <v>1.2700000000000001E-3</v>
      </c>
      <c r="H549">
        <v>3.0599999999999998E-3</v>
      </c>
      <c r="I549">
        <f>$A$6</f>
        <v>100</v>
      </c>
      <c r="J549">
        <v>-1</v>
      </c>
      <c r="K549" t="s">
        <v>476</v>
      </c>
      <c r="L549" s="17">
        <f t="shared" si="83"/>
        <v>-112303.3591336058</v>
      </c>
      <c r="M549" t="s">
        <v>537</v>
      </c>
    </row>
    <row r="550" spans="1:13" x14ac:dyDescent="0.2">
      <c r="A550" s="38"/>
      <c r="B550" s="55"/>
      <c r="C550" t="s">
        <v>333</v>
      </c>
      <c r="D550" s="88">
        <v>1.2700000000000001E-3</v>
      </c>
      <c r="E550" t="s">
        <v>340</v>
      </c>
      <c r="F550">
        <v>1.2700000000000001E-3</v>
      </c>
      <c r="G550">
        <v>1.2700000000000001E-3</v>
      </c>
      <c r="H550">
        <v>3.0599999999999998E-3</v>
      </c>
      <c r="I550">
        <f>$A$7</f>
        <v>10</v>
      </c>
      <c r="J550">
        <v>-1</v>
      </c>
      <c r="K550" t="s">
        <v>424</v>
      </c>
      <c r="L550" s="17">
        <f t="shared" si="83"/>
        <v>-11230.335913360579</v>
      </c>
      <c r="M550" t="s">
        <v>537</v>
      </c>
    </row>
    <row r="551" spans="1:13" x14ac:dyDescent="0.2">
      <c r="A551" s="38"/>
      <c r="B551" s="55"/>
      <c r="C551" t="s">
        <v>334</v>
      </c>
      <c r="D551" s="88">
        <v>1.268E-2</v>
      </c>
      <c r="E551" t="s">
        <v>393</v>
      </c>
      <c r="F551">
        <v>1.268E-2</v>
      </c>
      <c r="G551">
        <v>1.268E-2</v>
      </c>
      <c r="H551">
        <v>3.0599999999999999E-2</v>
      </c>
      <c r="I551">
        <v>0</v>
      </c>
      <c r="J551">
        <v>0</v>
      </c>
      <c r="K551" t="s">
        <v>477</v>
      </c>
      <c r="L551" s="17">
        <f t="shared" si="83"/>
        <v>0</v>
      </c>
      <c r="M551" t="s">
        <v>537</v>
      </c>
    </row>
    <row r="552" spans="1:13" x14ac:dyDescent="0.2">
      <c r="A552" s="38"/>
      <c r="B552" s="55"/>
      <c r="C552" t="s">
        <v>335</v>
      </c>
      <c r="D552" s="88">
        <v>1.2700000000000001E-3</v>
      </c>
      <c r="E552" t="s">
        <v>394</v>
      </c>
      <c r="F552">
        <v>1.2700000000000001E-3</v>
      </c>
      <c r="G552">
        <v>1.2700000000000001E-3</v>
      </c>
      <c r="H552">
        <v>3.0599999999999998E-3</v>
      </c>
      <c r="I552">
        <f>$A$7</f>
        <v>10</v>
      </c>
      <c r="J552">
        <v>-1</v>
      </c>
      <c r="K552" t="s">
        <v>478</v>
      </c>
      <c r="L552" s="17">
        <f t="shared" si="83"/>
        <v>-11230.335913360579</v>
      </c>
      <c r="M552" t="s">
        <v>537</v>
      </c>
    </row>
    <row r="553" spans="1:13" x14ac:dyDescent="0.2">
      <c r="A553" s="38"/>
      <c r="B553" s="55"/>
      <c r="C553" t="s">
        <v>289</v>
      </c>
      <c r="D553" s="88">
        <v>1.2700000000000001E-3</v>
      </c>
      <c r="E553" t="s">
        <v>395</v>
      </c>
      <c r="F553">
        <v>1.2700000000000001E-3</v>
      </c>
      <c r="G553">
        <v>1.2700000000000001E-3</v>
      </c>
      <c r="H553">
        <v>0.30602000000000001</v>
      </c>
      <c r="I553">
        <f>$A$7</f>
        <v>10</v>
      </c>
      <c r="J553">
        <v>-1</v>
      </c>
      <c r="K553" t="s">
        <v>479</v>
      </c>
      <c r="L553" s="17">
        <f t="shared" si="83"/>
        <v>-370044.62082445738</v>
      </c>
      <c r="M553" t="s">
        <v>537</v>
      </c>
    </row>
    <row r="554" spans="1:13" x14ac:dyDescent="0.2">
      <c r="A554" s="38"/>
      <c r="B554" s="55"/>
      <c r="C554" t="s">
        <v>290</v>
      </c>
      <c r="D554" s="88">
        <v>1.2999999999999999E-4</v>
      </c>
      <c r="E554" t="s">
        <v>396</v>
      </c>
      <c r="F554">
        <v>1.2999999999999999E-4</v>
      </c>
      <c r="G554">
        <v>1.2999999999999999E-4</v>
      </c>
      <c r="H554">
        <v>3.1E-4</v>
      </c>
      <c r="I554">
        <f>$A$7</f>
        <v>10</v>
      </c>
      <c r="J554">
        <v>-1</v>
      </c>
      <c r="K554" t="s">
        <v>480</v>
      </c>
      <c r="L554" s="17">
        <f t="shared" si="83"/>
        <v>-1145.7384133047065</v>
      </c>
      <c r="M554" t="s">
        <v>537</v>
      </c>
    </row>
    <row r="555" spans="1:13" x14ac:dyDescent="0.2">
      <c r="A555" s="38"/>
      <c r="B555" s="55"/>
      <c r="C555" t="s">
        <v>291</v>
      </c>
      <c r="D555" s="88">
        <v>1.2999999999999999E-4</v>
      </c>
      <c r="E555" t="s">
        <v>397</v>
      </c>
      <c r="F555">
        <v>1.2999999999999999E-4</v>
      </c>
      <c r="G555">
        <v>1.2999999999999999E-4</v>
      </c>
      <c r="H555">
        <v>3.1E-4</v>
      </c>
      <c r="I555">
        <f>$A$8</f>
        <v>1</v>
      </c>
      <c r="J555">
        <v>-1</v>
      </c>
      <c r="K555" t="s">
        <v>481</v>
      </c>
      <c r="L555" s="17">
        <f t="shared" si="83"/>
        <v>-114.57384133047064</v>
      </c>
      <c r="M555" t="s">
        <v>537</v>
      </c>
    </row>
    <row r="556" spans="1:13" x14ac:dyDescent="0.2">
      <c r="A556" s="38"/>
      <c r="B556" s="55"/>
      <c r="C556" t="s">
        <v>292</v>
      </c>
      <c r="D556" s="88">
        <v>1.268E-2</v>
      </c>
      <c r="E556" t="s">
        <v>360</v>
      </c>
      <c r="F556">
        <v>1.268E-2</v>
      </c>
      <c r="G556">
        <v>1.268E-2</v>
      </c>
      <c r="H556">
        <v>3.0599999999999998E-3</v>
      </c>
      <c r="I556">
        <f>$A$6</f>
        <v>100</v>
      </c>
      <c r="J556">
        <v>-1</v>
      </c>
      <c r="K556" t="s">
        <v>444</v>
      </c>
      <c r="L556" s="17">
        <f t="shared" si="83"/>
        <v>-795662.49576970853</v>
      </c>
      <c r="M556" t="s">
        <v>537</v>
      </c>
    </row>
    <row r="557" spans="1:13" x14ac:dyDescent="0.2">
      <c r="A557" s="38"/>
      <c r="B557" s="55"/>
      <c r="C557" t="s">
        <v>293</v>
      </c>
      <c r="D557" s="88">
        <v>1.26824</v>
      </c>
      <c r="E557" t="s">
        <v>398</v>
      </c>
      <c r="F557">
        <v>1.26824</v>
      </c>
      <c r="G557">
        <v>1.26824</v>
      </c>
      <c r="H557">
        <v>3.0599999999999998E-3</v>
      </c>
      <c r="I557">
        <f>$A$7</f>
        <v>10</v>
      </c>
      <c r="J557">
        <v>-1</v>
      </c>
      <c r="K557" t="s">
        <v>482</v>
      </c>
      <c r="L557" s="17">
        <f t="shared" si="83"/>
        <v>-7599271.7499698307</v>
      </c>
      <c r="M557" t="s">
        <v>537</v>
      </c>
    </row>
    <row r="558" spans="1:13" x14ac:dyDescent="0.2">
      <c r="A558" s="38"/>
      <c r="B558" s="55"/>
      <c r="C558" t="s">
        <v>294</v>
      </c>
      <c r="D558" s="88">
        <v>1.2999999999999999E-4</v>
      </c>
      <c r="E558" t="s">
        <v>399</v>
      </c>
      <c r="F558">
        <v>1.2999999999999999E-4</v>
      </c>
      <c r="G558">
        <v>1.2999999999999999E-4</v>
      </c>
      <c r="H558">
        <v>3.1E-4</v>
      </c>
      <c r="I558">
        <f>$A$8</f>
        <v>1</v>
      </c>
      <c r="J558">
        <v>-1</v>
      </c>
      <c r="K558" t="s">
        <v>483</v>
      </c>
      <c r="L558" s="17">
        <f t="shared" si="83"/>
        <v>-114.57384133047064</v>
      </c>
      <c r="M558" t="s">
        <v>537</v>
      </c>
    </row>
    <row r="559" spans="1:13" x14ac:dyDescent="0.2">
      <c r="A559" s="38"/>
      <c r="B559" s="55"/>
      <c r="C559" t="s">
        <v>336</v>
      </c>
      <c r="D559" s="88">
        <v>1.2700000000000001E-3</v>
      </c>
      <c r="E559" t="s">
        <v>400</v>
      </c>
      <c r="F559">
        <v>1.2700000000000001E-3</v>
      </c>
      <c r="G559">
        <v>1.2700000000000001E-3</v>
      </c>
      <c r="H559">
        <v>0</v>
      </c>
      <c r="I559">
        <f>$A$6</f>
        <v>100</v>
      </c>
      <c r="J559">
        <v>-1</v>
      </c>
      <c r="K559" t="s">
        <v>484</v>
      </c>
      <c r="L559" s="17">
        <f t="shared" si="83"/>
        <v>-76061.884621196368</v>
      </c>
      <c r="M559" t="s">
        <v>537</v>
      </c>
    </row>
    <row r="560" spans="1:13" x14ac:dyDescent="0.2">
      <c r="A560" s="38"/>
      <c r="B560" s="55"/>
      <c r="C560" t="s">
        <v>295</v>
      </c>
      <c r="D560" s="88">
        <v>1.2999999999999999E-4</v>
      </c>
      <c r="E560" t="s">
        <v>401</v>
      </c>
      <c r="F560">
        <v>1.2999999999999999E-4</v>
      </c>
      <c r="G560">
        <v>1.2999999999999999E-4</v>
      </c>
      <c r="H560">
        <v>3.1E-4</v>
      </c>
      <c r="I560">
        <f>$A$6</f>
        <v>100</v>
      </c>
      <c r="J560">
        <v>-1</v>
      </c>
      <c r="K560" t="s">
        <v>485</v>
      </c>
      <c r="L560" s="17">
        <f t="shared" si="83"/>
        <v>-11457.384133047064</v>
      </c>
      <c r="M560" t="s">
        <v>537</v>
      </c>
    </row>
    <row r="561" spans="1:13" x14ac:dyDescent="0.2">
      <c r="A561" s="38"/>
      <c r="B561" s="55"/>
      <c r="C561" t="s">
        <v>296</v>
      </c>
      <c r="D561" s="88">
        <v>1.26824</v>
      </c>
      <c r="E561" t="s">
        <v>402</v>
      </c>
      <c r="F561">
        <v>1.26824</v>
      </c>
      <c r="G561">
        <v>1.26824</v>
      </c>
      <c r="H561">
        <v>3.0599999999999998E-3</v>
      </c>
      <c r="I561">
        <f>$A$7</f>
        <v>10</v>
      </c>
      <c r="J561">
        <v>-1</v>
      </c>
      <c r="K561" t="s">
        <v>486</v>
      </c>
      <c r="L561" s="17">
        <f t="shared" si="83"/>
        <v>-7599271.7499698307</v>
      </c>
      <c r="M561" t="s">
        <v>537</v>
      </c>
    </row>
    <row r="562" spans="1:13" x14ac:dyDescent="0.2">
      <c r="A562" s="38"/>
      <c r="B562" s="55"/>
      <c r="C562" t="s">
        <v>297</v>
      </c>
      <c r="D562" s="88">
        <v>1.2999999999999999E-4</v>
      </c>
      <c r="E562" t="s">
        <v>403</v>
      </c>
      <c r="F562">
        <v>1.2999999999999999E-4</v>
      </c>
      <c r="G562">
        <v>1.2999999999999999E-4</v>
      </c>
      <c r="H562">
        <v>3.0599999999999998E-3</v>
      </c>
      <c r="I562">
        <f>$A$7</f>
        <v>10</v>
      </c>
      <c r="J562">
        <v>-1</v>
      </c>
      <c r="K562" t="s">
        <v>487</v>
      </c>
      <c r="L562" s="17">
        <f t="shared" si="83"/>
        <v>-4402.733671772874</v>
      </c>
      <c r="M562" t="s">
        <v>537</v>
      </c>
    </row>
    <row r="563" spans="1:13" x14ac:dyDescent="0.2">
      <c r="A563" s="38"/>
      <c r="B563" s="55"/>
      <c r="C563" t="s">
        <v>298</v>
      </c>
      <c r="D563" s="88">
        <v>1.2700000000000001E-3</v>
      </c>
      <c r="E563" t="s">
        <v>394</v>
      </c>
      <c r="F563">
        <v>1.2999999999999999E-4</v>
      </c>
      <c r="G563">
        <v>1.2999999999999999E-4</v>
      </c>
      <c r="H563">
        <v>3.0599999999999998E-3</v>
      </c>
      <c r="I563">
        <f>$A$7</f>
        <v>10</v>
      </c>
      <c r="J563">
        <v>-1</v>
      </c>
      <c r="K563" t="s">
        <v>478</v>
      </c>
      <c r="L563" s="17">
        <f t="shared" si="83"/>
        <v>-4557.7308545441383</v>
      </c>
      <c r="M563" t="s">
        <v>537</v>
      </c>
    </row>
    <row r="564" spans="1:13" x14ac:dyDescent="0.2">
      <c r="A564" s="38"/>
      <c r="B564" s="55"/>
      <c r="C564" t="s">
        <v>299</v>
      </c>
      <c r="D564" s="88">
        <v>1.2999999999999999E-4</v>
      </c>
      <c r="E564" t="s">
        <v>404</v>
      </c>
      <c r="F564">
        <v>1.2999999999999999E-4</v>
      </c>
      <c r="G564">
        <v>1.2999999999999999E-4</v>
      </c>
      <c r="H564">
        <v>0.30602000000000001</v>
      </c>
      <c r="I564">
        <f>$A$7</f>
        <v>10</v>
      </c>
      <c r="J564">
        <v>-1</v>
      </c>
      <c r="K564" t="s">
        <v>488</v>
      </c>
      <c r="L564" s="17">
        <f t="shared" si="83"/>
        <v>-363217.01858286973</v>
      </c>
      <c r="M564" t="s">
        <v>537</v>
      </c>
    </row>
    <row r="565" spans="1:13" x14ac:dyDescent="0.2">
      <c r="A565" s="38"/>
      <c r="B565" s="55"/>
      <c r="C565" t="s">
        <v>300</v>
      </c>
      <c r="D565" s="88">
        <v>0.12681999999999999</v>
      </c>
      <c r="E565" t="s">
        <v>405</v>
      </c>
      <c r="F565">
        <v>0.12681999999999999</v>
      </c>
      <c r="G565">
        <v>0.12681999999999999</v>
      </c>
      <c r="H565">
        <v>3.0599999999999998E-3</v>
      </c>
      <c r="I565">
        <f>$A$7</f>
        <v>10</v>
      </c>
      <c r="J565">
        <v>-1</v>
      </c>
      <c r="K565" t="s">
        <v>489</v>
      </c>
      <c r="L565" s="17">
        <f t="shared" si="83"/>
        <v>-763164.95120400656</v>
      </c>
      <c r="M565" t="s">
        <v>537</v>
      </c>
    </row>
    <row r="566" spans="1:13" x14ac:dyDescent="0.2">
      <c r="A566" s="38"/>
      <c r="B566" s="55"/>
      <c r="C566" t="s">
        <v>301</v>
      </c>
      <c r="D566" s="88">
        <v>1.2700000000000001E-3</v>
      </c>
      <c r="E566" t="s">
        <v>406</v>
      </c>
      <c r="F566">
        <v>1.2700000000000001E-3</v>
      </c>
      <c r="G566">
        <v>1.2700000000000001E-3</v>
      </c>
      <c r="H566">
        <v>0.30602000000000001</v>
      </c>
      <c r="I566">
        <f>$A$6</f>
        <v>100</v>
      </c>
      <c r="J566">
        <v>-1</v>
      </c>
      <c r="K566" t="s">
        <v>490</v>
      </c>
      <c r="L566" s="17">
        <f t="shared" si="83"/>
        <v>-3700446.2082445738</v>
      </c>
      <c r="M566" t="s">
        <v>537</v>
      </c>
    </row>
    <row r="567" spans="1:13" x14ac:dyDescent="0.2">
      <c r="A567" s="38"/>
      <c r="B567" s="55"/>
      <c r="C567" t="s">
        <v>302</v>
      </c>
      <c r="D567" s="88">
        <v>1.2700000000000001E-3</v>
      </c>
      <c r="E567" t="s">
        <v>407</v>
      </c>
      <c r="F567">
        <v>1.2700000000000001E-3</v>
      </c>
      <c r="G567">
        <v>1.2700000000000001E-3</v>
      </c>
      <c r="H567">
        <v>3.0599999999999998E-3</v>
      </c>
      <c r="I567">
        <f>$A$6</f>
        <v>100</v>
      </c>
      <c r="J567">
        <v>-1</v>
      </c>
      <c r="K567" t="s">
        <v>491</v>
      </c>
      <c r="L567" s="17">
        <f t="shared" si="83"/>
        <v>-112303.3591336058</v>
      </c>
      <c r="M567" t="s">
        <v>537</v>
      </c>
    </row>
    <row r="568" spans="1:13" x14ac:dyDescent="0.2">
      <c r="A568" s="38"/>
      <c r="B568" s="55"/>
      <c r="C568" t="s">
        <v>303</v>
      </c>
      <c r="D568" s="88">
        <v>1.2700000000000001E-3</v>
      </c>
      <c r="E568" t="s">
        <v>408</v>
      </c>
      <c r="F568">
        <v>1.2700000000000001E-3</v>
      </c>
      <c r="G568">
        <v>1.2700000000000001E-3</v>
      </c>
      <c r="H568">
        <v>3.0599999999999998E-3</v>
      </c>
      <c r="I568">
        <f>$A$7</f>
        <v>10</v>
      </c>
      <c r="J568">
        <v>-1</v>
      </c>
      <c r="K568" t="s">
        <v>492</v>
      </c>
      <c r="L568" s="17">
        <f t="shared" si="83"/>
        <v>-11230.335913360579</v>
      </c>
      <c r="M568" t="s">
        <v>537</v>
      </c>
    </row>
    <row r="569" spans="1:13" x14ac:dyDescent="0.2">
      <c r="A569" s="38"/>
      <c r="B569" s="55"/>
      <c r="C569" t="s">
        <v>304</v>
      </c>
      <c r="D569" s="88">
        <v>1.26824</v>
      </c>
      <c r="E569" t="s">
        <v>409</v>
      </c>
      <c r="F569">
        <v>1.26824</v>
      </c>
      <c r="G569">
        <v>1.26824</v>
      </c>
      <c r="H569">
        <v>3.0602</v>
      </c>
      <c r="I569">
        <f>$A$6</f>
        <v>100</v>
      </c>
      <c r="J569">
        <v>-1</v>
      </c>
      <c r="K569" t="s">
        <v>493</v>
      </c>
      <c r="L569" s="17">
        <f t="shared" si="83"/>
        <v>-112200319.26141968</v>
      </c>
      <c r="M569" t="s">
        <v>537</v>
      </c>
    </row>
    <row r="570" spans="1:13" x14ac:dyDescent="0.2">
      <c r="A570" s="38"/>
      <c r="B570" s="55"/>
      <c r="C570" t="s">
        <v>305</v>
      </c>
      <c r="D570" s="88">
        <v>1.2700000000000001E-3</v>
      </c>
      <c r="E570" t="s">
        <v>410</v>
      </c>
      <c r="F570">
        <v>1.2700000000000001E-3</v>
      </c>
      <c r="G570">
        <v>1.2700000000000001E-3</v>
      </c>
      <c r="H570">
        <v>3.0599999999999998E-3</v>
      </c>
      <c r="I570">
        <f>$A$7</f>
        <v>10</v>
      </c>
      <c r="J570">
        <v>-1</v>
      </c>
      <c r="K570" t="s">
        <v>494</v>
      </c>
      <c r="L570" s="17">
        <f t="shared" si="83"/>
        <v>-11230.335913360579</v>
      </c>
      <c r="M570" t="s">
        <v>537</v>
      </c>
    </row>
    <row r="571" spans="1:13" x14ac:dyDescent="0.2">
      <c r="A571" s="38"/>
      <c r="B571" s="55"/>
      <c r="C571" t="s">
        <v>306</v>
      </c>
      <c r="D571" s="88">
        <v>1.2700000000000001E-3</v>
      </c>
      <c r="E571" t="s">
        <v>411</v>
      </c>
      <c r="F571">
        <v>1.2700000000000001E-3</v>
      </c>
      <c r="G571">
        <v>1.2700000000000001E-3</v>
      </c>
      <c r="H571">
        <v>3.0599999999999998E-3</v>
      </c>
      <c r="I571">
        <f>$A$8</f>
        <v>1</v>
      </c>
      <c r="J571">
        <v>-1</v>
      </c>
      <c r="K571" t="s">
        <v>495</v>
      </c>
      <c r="L571" s="17">
        <f t="shared" si="83"/>
        <v>-1123.033591336058</v>
      </c>
      <c r="M571" t="s">
        <v>537</v>
      </c>
    </row>
    <row r="572" spans="1:13" x14ac:dyDescent="0.2">
      <c r="A572" s="38"/>
      <c r="B572" s="55"/>
      <c r="C572" t="s">
        <v>307</v>
      </c>
      <c r="D572" s="88">
        <v>1.2700000000000001E-3</v>
      </c>
      <c r="E572" t="s">
        <v>411</v>
      </c>
      <c r="F572">
        <v>1.2700000000000001E-3</v>
      </c>
      <c r="G572">
        <v>1.2700000000000001E-3</v>
      </c>
      <c r="H572">
        <v>3.0599999999999998E-3</v>
      </c>
      <c r="I572">
        <f>$A$8</f>
        <v>1</v>
      </c>
      <c r="J572">
        <v>-1</v>
      </c>
      <c r="K572" t="s">
        <v>495</v>
      </c>
      <c r="L572" s="17">
        <f t="shared" si="83"/>
        <v>-1123.033591336058</v>
      </c>
      <c r="M572" t="s">
        <v>537</v>
      </c>
    </row>
    <row r="573" spans="1:13" x14ac:dyDescent="0.2">
      <c r="A573" s="38"/>
      <c r="B573" s="55"/>
      <c r="C573" t="s">
        <v>337</v>
      </c>
      <c r="D573" s="88">
        <v>0.12681999999999999</v>
      </c>
      <c r="E573" t="s">
        <v>412</v>
      </c>
      <c r="F573">
        <v>0.12681999999999999</v>
      </c>
      <c r="G573">
        <v>0.12681999999999999</v>
      </c>
      <c r="H573">
        <v>3.0599999999999998E-3</v>
      </c>
      <c r="I573">
        <v>0</v>
      </c>
      <c r="J573">
        <v>0</v>
      </c>
      <c r="K573" t="s">
        <v>496</v>
      </c>
      <c r="L573" s="17">
        <f t="shared" si="83"/>
        <v>0</v>
      </c>
      <c r="M573" t="s">
        <v>537</v>
      </c>
    </row>
    <row r="574" spans="1:13" x14ac:dyDescent="0.2">
      <c r="A574" s="38"/>
      <c r="B574" s="55"/>
      <c r="C574" t="s">
        <v>308</v>
      </c>
      <c r="D574" s="88">
        <v>1.2700000000000001E-3</v>
      </c>
      <c r="E574" t="s">
        <v>413</v>
      </c>
      <c r="F574">
        <v>1.2700000000000001E-3</v>
      </c>
      <c r="G574">
        <v>1.2700000000000001E-3</v>
      </c>
      <c r="H574">
        <v>3.0599999999999998E-3</v>
      </c>
      <c r="I574">
        <f>$A$7</f>
        <v>10</v>
      </c>
      <c r="J574">
        <v>-1</v>
      </c>
      <c r="K574" t="s">
        <v>497</v>
      </c>
      <c r="L574" s="17">
        <f t="shared" si="83"/>
        <v>-11230.335913360579</v>
      </c>
      <c r="M574" t="s">
        <v>537</v>
      </c>
    </row>
    <row r="575" spans="1:13" x14ac:dyDescent="0.2">
      <c r="A575" s="38"/>
      <c r="B575" s="55"/>
      <c r="C575" t="s">
        <v>309</v>
      </c>
      <c r="D575" s="88">
        <v>1.2700000000000001E-3</v>
      </c>
      <c r="E575" t="s">
        <v>413</v>
      </c>
      <c r="F575">
        <v>1.2700000000000001E-3</v>
      </c>
      <c r="G575">
        <v>1.2700000000000001E-3</v>
      </c>
      <c r="H575">
        <v>3.0599999999999998E-3</v>
      </c>
      <c r="I575">
        <f>$A$7</f>
        <v>10</v>
      </c>
      <c r="J575">
        <v>-1</v>
      </c>
      <c r="K575" t="s">
        <v>497</v>
      </c>
      <c r="L575" s="17">
        <f t="shared" si="83"/>
        <v>-11230.335913360579</v>
      </c>
      <c r="M575" t="s">
        <v>537</v>
      </c>
    </row>
    <row r="576" spans="1:13" x14ac:dyDescent="0.2">
      <c r="A576" s="38"/>
      <c r="B576" s="55"/>
      <c r="C576" t="s">
        <v>310</v>
      </c>
      <c r="D576" s="88">
        <v>1.2700000000000001E-3</v>
      </c>
      <c r="E576" t="s">
        <v>413</v>
      </c>
      <c r="F576">
        <v>1.2700000000000001E-3</v>
      </c>
      <c r="G576">
        <v>1.2700000000000001E-3</v>
      </c>
      <c r="H576">
        <v>3.0599999999999998E-3</v>
      </c>
      <c r="I576">
        <v>0</v>
      </c>
      <c r="J576">
        <v>0</v>
      </c>
      <c r="K576" t="s">
        <v>497</v>
      </c>
      <c r="L576" s="17">
        <f t="shared" si="83"/>
        <v>0</v>
      </c>
      <c r="M576" t="s">
        <v>537</v>
      </c>
    </row>
    <row r="577" spans="1:16" x14ac:dyDescent="0.2">
      <c r="A577" s="38"/>
      <c r="B577" s="55"/>
      <c r="C577" t="s">
        <v>311</v>
      </c>
      <c r="D577" s="88">
        <v>1.2700000000000001E-3</v>
      </c>
      <c r="E577" t="s">
        <v>414</v>
      </c>
      <c r="F577">
        <v>1.2700000000000001E-3</v>
      </c>
      <c r="G577">
        <v>1.2700000000000001E-3</v>
      </c>
      <c r="H577">
        <v>3.1E-4</v>
      </c>
      <c r="I577">
        <f>$A$7</f>
        <v>10</v>
      </c>
      <c r="J577">
        <v>-1</v>
      </c>
      <c r="K577" t="s">
        <v>498</v>
      </c>
      <c r="L577" s="17">
        <f t="shared" si="83"/>
        <v>-7973.3406548924131</v>
      </c>
      <c r="M577" t="s">
        <v>537</v>
      </c>
    </row>
    <row r="578" spans="1:16" x14ac:dyDescent="0.2">
      <c r="A578" s="38"/>
      <c r="B578" s="55"/>
      <c r="C578" s="55"/>
      <c r="D578" s="55"/>
      <c r="E578" s="55"/>
    </row>
    <row r="579" spans="1:16" x14ac:dyDescent="0.2">
      <c r="A579" s="38"/>
      <c r="B579" s="55"/>
      <c r="C579" s="55"/>
      <c r="D579" s="55"/>
      <c r="E579" s="55"/>
    </row>
    <row r="580" spans="1:16" ht="22" customHeight="1" x14ac:dyDescent="0.2">
      <c r="A580" s="365" t="s">
        <v>70</v>
      </c>
      <c r="B580" s="366"/>
      <c r="C580" s="366"/>
      <c r="D580" s="366"/>
      <c r="E580" s="366"/>
      <c r="F580" s="366"/>
      <c r="G580" s="366"/>
      <c r="H580" s="366"/>
      <c r="I580" s="366"/>
      <c r="J580" s="366"/>
      <c r="K580" s="366"/>
      <c r="L580" s="366"/>
      <c r="M580" s="366"/>
      <c r="N580" s="366"/>
      <c r="O580" s="366"/>
      <c r="P580" s="366"/>
    </row>
    <row r="581" spans="1:16" ht="15" customHeight="1" x14ac:dyDescent="0.2">
      <c r="A581" s="367"/>
      <c r="B581" s="368"/>
      <c r="C581" s="368"/>
      <c r="D581" s="368"/>
      <c r="E581" s="368"/>
      <c r="F581" s="368"/>
      <c r="G581" s="368"/>
      <c r="H581" s="368"/>
      <c r="I581" s="368"/>
      <c r="J581" s="368"/>
      <c r="K581" s="368"/>
      <c r="L581" s="368"/>
      <c r="M581" s="368"/>
      <c r="N581" s="368"/>
      <c r="O581" s="368"/>
      <c r="P581" s="368"/>
    </row>
    <row r="582" spans="1:16" ht="16" customHeight="1" x14ac:dyDescent="0.2">
      <c r="A582" s="358" t="s">
        <v>8</v>
      </c>
      <c r="B582" s="363" t="s">
        <v>1022</v>
      </c>
      <c r="C582" s="364" t="s">
        <v>503</v>
      </c>
      <c r="D582" s="364"/>
      <c r="E582" s="364"/>
      <c r="F582" s="79" t="s">
        <v>512</v>
      </c>
      <c r="G582" s="79" t="s">
        <v>10</v>
      </c>
      <c r="H582" s="78" t="s">
        <v>507</v>
      </c>
      <c r="I582" s="79" t="s">
        <v>50</v>
      </c>
      <c r="J582" s="328" t="s">
        <v>421</v>
      </c>
      <c r="K582" s="329"/>
      <c r="L582" s="330"/>
      <c r="M582" s="334" t="s">
        <v>28</v>
      </c>
      <c r="N582" s="335"/>
      <c r="O582" s="338" t="s">
        <v>420</v>
      </c>
      <c r="P582" s="339"/>
    </row>
    <row r="583" spans="1:16" x14ac:dyDescent="0.2">
      <c r="A583" s="358"/>
      <c r="B583" s="363"/>
      <c r="C583" s="61" t="s">
        <v>502</v>
      </c>
      <c r="D583" s="61"/>
      <c r="E583" s="61"/>
      <c r="F583" s="87" t="s">
        <v>509</v>
      </c>
      <c r="G583" s="90" t="s">
        <v>513</v>
      </c>
      <c r="H583" s="89" t="s">
        <v>506</v>
      </c>
      <c r="I583" s="87" t="s">
        <v>508</v>
      </c>
      <c r="J583" s="331"/>
      <c r="K583" s="332"/>
      <c r="L583" s="333"/>
      <c r="M583" s="336"/>
      <c r="N583" s="337"/>
      <c r="O583" s="340"/>
      <c r="P583" s="341"/>
    </row>
    <row r="584" spans="1:16" x14ac:dyDescent="0.2">
      <c r="A584" s="358"/>
      <c r="B584" s="363"/>
      <c r="C584" s="6" t="s">
        <v>317</v>
      </c>
      <c r="D584" s="58" t="s">
        <v>319</v>
      </c>
      <c r="E584" s="58" t="s">
        <v>5</v>
      </c>
      <c r="F584" s="58" t="s">
        <v>319</v>
      </c>
      <c r="G584" s="58" t="s">
        <v>319</v>
      </c>
      <c r="H584" s="58" t="s">
        <v>319</v>
      </c>
      <c r="I584" s="58" t="s">
        <v>319</v>
      </c>
      <c r="J584" s="64" t="s">
        <v>0</v>
      </c>
      <c r="K584" s="64" t="s">
        <v>499</v>
      </c>
      <c r="L584" s="64" t="s">
        <v>5</v>
      </c>
      <c r="M584" s="64" t="s">
        <v>0</v>
      </c>
      <c r="N584" s="58" t="s">
        <v>5</v>
      </c>
      <c r="O584" s="64" t="s">
        <v>0</v>
      </c>
      <c r="P584" s="58" t="s">
        <v>5</v>
      </c>
    </row>
    <row r="585" spans="1:16" ht="16" x14ac:dyDescent="0.2">
      <c r="A585" s="81" t="s">
        <v>57</v>
      </c>
      <c r="B585" s="82">
        <v>13596.244102742508</v>
      </c>
      <c r="C585" t="s">
        <v>225</v>
      </c>
      <c r="D585" s="88">
        <v>1.2999999999999999E-4</v>
      </c>
      <c r="E585" t="s">
        <v>338</v>
      </c>
      <c r="F585">
        <v>1.2999999999999999E-4</v>
      </c>
      <c r="G585">
        <v>1.2999999999999999E-4</v>
      </c>
      <c r="H585">
        <v>3.1E-4</v>
      </c>
      <c r="I585">
        <v>1.2999999999999999E-4</v>
      </c>
      <c r="J585">
        <f>PSI_OC!$A$6</f>
        <v>100</v>
      </c>
      <c r="K585">
        <v>-1</v>
      </c>
      <c r="L585" t="s">
        <v>422</v>
      </c>
      <c r="M585" s="17">
        <f>((B$585*D585)+(SUM(B$586,B$587,B$590,B$591)*H585)+(B$588*F585)+(B$589*G585)+(B$592*I585))*J585*K585</f>
        <v>-74828.364185315761</v>
      </c>
      <c r="N585" t="s">
        <v>537</v>
      </c>
      <c r="O585" s="69">
        <f>SUM(M585:M690)</f>
        <v>-4161584524.1594934</v>
      </c>
      <c r="P585" t="s">
        <v>537</v>
      </c>
    </row>
    <row r="586" spans="1:16" ht="16" x14ac:dyDescent="0.2">
      <c r="A586" s="81" t="s">
        <v>83</v>
      </c>
      <c r="B586" s="82">
        <v>112340.63789839575</v>
      </c>
      <c r="C586" t="s">
        <v>226</v>
      </c>
      <c r="D586" s="88">
        <v>1.2999999999999999E-4</v>
      </c>
      <c r="E586" t="s">
        <v>339</v>
      </c>
      <c r="F586">
        <v>1.2999999999999999E-4</v>
      </c>
      <c r="G586">
        <v>1.2999999999999999E-4</v>
      </c>
      <c r="H586">
        <v>3.1E-4</v>
      </c>
      <c r="I586">
        <v>1.2999999999999999E-4</v>
      </c>
      <c r="J586">
        <f>PSI_OC!$A$7</f>
        <v>10</v>
      </c>
      <c r="K586">
        <v>-1</v>
      </c>
      <c r="L586" t="s">
        <v>423</v>
      </c>
      <c r="M586" s="17">
        <f t="shared" ref="M586:M649" si="84">((B$585*D586)+(SUM(B$586,B$587,B$590,B$591)*H586)+(B$588*F586)+(B$589*G586)+(B$592*I586))*J586*K586</f>
        <v>-7482.8364185315768</v>
      </c>
      <c r="N586" t="s">
        <v>537</v>
      </c>
    </row>
    <row r="587" spans="1:16" ht="16" x14ac:dyDescent="0.2">
      <c r="A587" s="81" t="s">
        <v>84</v>
      </c>
      <c r="B587" s="82">
        <v>2539.7795703260531</v>
      </c>
      <c r="C587" t="s">
        <v>227</v>
      </c>
      <c r="D587" s="88">
        <v>1.2700000000000001E-3</v>
      </c>
      <c r="E587" t="s">
        <v>340</v>
      </c>
      <c r="F587">
        <v>1.2700000000000001E-3</v>
      </c>
      <c r="G587">
        <v>1.2700000000000001E-3</v>
      </c>
      <c r="H587">
        <v>3.0599999999999998E-3</v>
      </c>
      <c r="I587">
        <v>1.2700000000000001E-3</v>
      </c>
      <c r="J587">
        <f>PSI_OC!$A$7</f>
        <v>10</v>
      </c>
      <c r="K587">
        <v>-1</v>
      </c>
      <c r="L587" t="s">
        <v>424</v>
      </c>
      <c r="M587" s="17">
        <f t="shared" si="84"/>
        <v>-73446.398025063332</v>
      </c>
      <c r="N587" t="s">
        <v>537</v>
      </c>
    </row>
    <row r="588" spans="1:16" ht="16" x14ac:dyDescent="0.2">
      <c r="A588" s="51" t="s">
        <v>46</v>
      </c>
      <c r="B588" s="82">
        <v>91509.664600757111</v>
      </c>
      <c r="C588" t="s">
        <v>228</v>
      </c>
      <c r="D588" s="88">
        <v>0.12681999999999999</v>
      </c>
      <c r="E588" t="s">
        <v>341</v>
      </c>
      <c r="F588">
        <v>0.12681999999999999</v>
      </c>
      <c r="G588">
        <v>0.12681999999999999</v>
      </c>
      <c r="H588">
        <v>3.0599999999999998E-3</v>
      </c>
      <c r="I588">
        <v>0.12681999999999999</v>
      </c>
      <c r="J588">
        <f>PSI_OC!$A$7</f>
        <v>10</v>
      </c>
      <c r="K588">
        <v>-1</v>
      </c>
      <c r="L588" t="s">
        <v>425</v>
      </c>
      <c r="M588" s="17">
        <f t="shared" si="84"/>
        <v>-4026619.4336930527</v>
      </c>
      <c r="N588" t="s">
        <v>537</v>
      </c>
    </row>
    <row r="589" spans="1:16" ht="16" x14ac:dyDescent="0.2">
      <c r="A589" s="51" t="s">
        <v>47</v>
      </c>
      <c r="B589" s="82">
        <v>493806.56862875522</v>
      </c>
      <c r="C589" t="s">
        <v>229</v>
      </c>
      <c r="D589" s="88">
        <v>1.268E-2</v>
      </c>
      <c r="E589" t="s">
        <v>342</v>
      </c>
      <c r="F589">
        <v>1.268E-2</v>
      </c>
      <c r="G589">
        <v>1.268E-2</v>
      </c>
      <c r="H589">
        <v>3.0599999999999998E-3</v>
      </c>
      <c r="I589">
        <v>1.268E-2</v>
      </c>
      <c r="J589">
        <f>PSI_OC!$A$6</f>
        <v>100</v>
      </c>
      <c r="K589">
        <v>-1</v>
      </c>
      <c r="L589" t="s">
        <v>426</v>
      </c>
      <c r="M589" s="17">
        <f t="shared" si="84"/>
        <v>-4327112.6729604518</v>
      </c>
      <c r="N589" t="s">
        <v>537</v>
      </c>
    </row>
    <row r="590" spans="1:16" ht="16" x14ac:dyDescent="0.2">
      <c r="A590" s="51" t="s">
        <v>48</v>
      </c>
      <c r="B590" s="82">
        <v>158.99201399589785</v>
      </c>
      <c r="C590" t="s">
        <v>230</v>
      </c>
      <c r="D590" s="88">
        <v>0.12681999999999999</v>
      </c>
      <c r="E590" t="s">
        <v>343</v>
      </c>
      <c r="F590">
        <v>0.12681999999999999</v>
      </c>
      <c r="G590">
        <v>0.12681999999999999</v>
      </c>
      <c r="H590">
        <v>3.0602</v>
      </c>
      <c r="I590">
        <v>0.12681999999999999</v>
      </c>
      <c r="J590">
        <f>PSI_OC!$A$6</f>
        <v>100</v>
      </c>
      <c r="K590">
        <v>-1</v>
      </c>
      <c r="L590" t="s">
        <v>427</v>
      </c>
      <c r="M590" s="17">
        <f t="shared" si="84"/>
        <v>-374534565.86487603</v>
      </c>
      <c r="N590" t="s">
        <v>537</v>
      </c>
    </row>
    <row r="591" spans="1:16" ht="16" x14ac:dyDescent="0.2">
      <c r="A591" s="51" t="s">
        <v>41</v>
      </c>
      <c r="B591" s="82">
        <v>978362.82766685833</v>
      </c>
      <c r="C591" t="s">
        <v>231</v>
      </c>
      <c r="D591" s="88">
        <v>0.12681999999999999</v>
      </c>
      <c r="E591" t="s">
        <v>344</v>
      </c>
      <c r="F591">
        <v>1.26824</v>
      </c>
      <c r="G591">
        <v>0.12681999999999999</v>
      </c>
      <c r="H591">
        <v>3.0599999999999998E-3</v>
      </c>
      <c r="I591">
        <v>1.26824</v>
      </c>
      <c r="J591">
        <f>PSI_OC!$A$7</f>
        <v>10</v>
      </c>
      <c r="K591">
        <v>-1</v>
      </c>
      <c r="L591" t="s">
        <v>428</v>
      </c>
      <c r="M591" s="17">
        <f t="shared" si="84"/>
        <v>-34174733.64942687</v>
      </c>
      <c r="N591" t="s">
        <v>537</v>
      </c>
    </row>
    <row r="592" spans="1:16" ht="16" x14ac:dyDescent="0.2">
      <c r="A592" s="51" t="s">
        <v>40</v>
      </c>
      <c r="B592" s="82">
        <v>2549771.7406430459</v>
      </c>
      <c r="C592" t="s">
        <v>232</v>
      </c>
      <c r="D592" s="88">
        <v>1.2999999999999999E-4</v>
      </c>
      <c r="E592" t="s">
        <v>345</v>
      </c>
      <c r="F592">
        <v>1.2999999999999999E-4</v>
      </c>
      <c r="G592">
        <v>1.2999999999999999E-4</v>
      </c>
      <c r="H592">
        <v>3.1E-4</v>
      </c>
      <c r="I592">
        <v>1.2999999999999999E-4</v>
      </c>
      <c r="J592">
        <f>PSI_OC!$A$7</f>
        <v>10</v>
      </c>
      <c r="K592">
        <v>-1</v>
      </c>
      <c r="L592" t="s">
        <v>429</v>
      </c>
      <c r="M592" s="17">
        <f t="shared" si="84"/>
        <v>-7482.8364185315768</v>
      </c>
      <c r="N592" t="s">
        <v>537</v>
      </c>
    </row>
    <row r="593" spans="1:14" x14ac:dyDescent="0.2">
      <c r="A593" s="1" t="s">
        <v>17</v>
      </c>
      <c r="B593" s="82">
        <v>4242086.4551248765</v>
      </c>
      <c r="C593" t="s">
        <v>233</v>
      </c>
      <c r="D593" s="88">
        <v>1.2999999999999999E-4</v>
      </c>
      <c r="E593" t="s">
        <v>345</v>
      </c>
      <c r="F593">
        <v>1.2999999999999999E-4</v>
      </c>
      <c r="G593">
        <v>1.2999999999999999E-4</v>
      </c>
      <c r="H593">
        <v>3.1E-4</v>
      </c>
      <c r="I593">
        <v>1.2999999999999999E-4</v>
      </c>
      <c r="J593">
        <f>PSI_OC!$A$7</f>
        <v>10</v>
      </c>
      <c r="K593">
        <v>-1</v>
      </c>
      <c r="L593" t="s">
        <v>429</v>
      </c>
      <c r="M593" s="17">
        <f t="shared" si="84"/>
        <v>-7482.8364185315768</v>
      </c>
      <c r="N593" t="s">
        <v>537</v>
      </c>
    </row>
    <row r="594" spans="1:14" x14ac:dyDescent="0.2">
      <c r="C594" t="s">
        <v>320</v>
      </c>
      <c r="D594" s="88">
        <v>0</v>
      </c>
      <c r="E594" t="s">
        <v>344</v>
      </c>
      <c r="F594">
        <v>0</v>
      </c>
      <c r="G594">
        <v>1.2999999999999999E-4</v>
      </c>
      <c r="H594">
        <v>0.30602000000000001</v>
      </c>
      <c r="I594">
        <v>0</v>
      </c>
      <c r="J594">
        <f>PSI_OC!$A$6</f>
        <v>100</v>
      </c>
      <c r="K594">
        <v>-1</v>
      </c>
      <c r="L594" t="s">
        <v>428</v>
      </c>
      <c r="M594" s="17">
        <f t="shared" si="84"/>
        <v>-33466714.746643499</v>
      </c>
      <c r="N594" t="s">
        <v>537</v>
      </c>
    </row>
    <row r="595" spans="1:14" ht="16" x14ac:dyDescent="0.2">
      <c r="A595" s="91" t="s">
        <v>8</v>
      </c>
      <c r="B595" s="84" t="s">
        <v>318</v>
      </c>
      <c r="C595" t="s">
        <v>321</v>
      </c>
      <c r="D595" s="88">
        <v>0</v>
      </c>
      <c r="E595" t="s">
        <v>344</v>
      </c>
      <c r="F595">
        <v>0</v>
      </c>
      <c r="G595">
        <v>1.2999999999999999E-4</v>
      </c>
      <c r="H595">
        <v>0.30602000000000001</v>
      </c>
      <c r="I595">
        <v>0</v>
      </c>
      <c r="J595">
        <f>PSI_OC!$A$6</f>
        <v>100</v>
      </c>
      <c r="K595">
        <v>-1</v>
      </c>
      <c r="L595" t="s">
        <v>428</v>
      </c>
      <c r="M595" s="17">
        <f t="shared" si="84"/>
        <v>-33466714.746643499</v>
      </c>
      <c r="N595" t="s">
        <v>537</v>
      </c>
    </row>
    <row r="596" spans="1:14" ht="16" customHeight="1" x14ac:dyDescent="0.2">
      <c r="A596" s="81" t="s">
        <v>57</v>
      </c>
      <c r="B596" s="61" t="s">
        <v>502</v>
      </c>
      <c r="C596" t="s">
        <v>234</v>
      </c>
      <c r="D596" s="88">
        <v>0</v>
      </c>
      <c r="E596" t="s">
        <v>344</v>
      </c>
      <c r="F596">
        <v>0</v>
      </c>
      <c r="G596">
        <v>1.2999999999999999E-4</v>
      </c>
      <c r="H596">
        <v>0.30602000000000001</v>
      </c>
      <c r="I596">
        <v>0</v>
      </c>
      <c r="J596">
        <v>0</v>
      </c>
      <c r="K596">
        <v>0</v>
      </c>
      <c r="L596" t="s">
        <v>428</v>
      </c>
      <c r="M596" s="17">
        <f t="shared" si="84"/>
        <v>0</v>
      </c>
      <c r="N596" t="s">
        <v>537</v>
      </c>
    </row>
    <row r="597" spans="1:14" ht="15" customHeight="1" x14ac:dyDescent="0.2">
      <c r="A597" s="81" t="s">
        <v>83</v>
      </c>
      <c r="B597" s="89" t="s">
        <v>506</v>
      </c>
      <c r="C597" t="s">
        <v>235</v>
      </c>
      <c r="D597" s="88">
        <v>0.12681999999999999</v>
      </c>
      <c r="E597" t="s">
        <v>346</v>
      </c>
      <c r="F597">
        <v>0.12681999999999999</v>
      </c>
      <c r="G597">
        <v>0.12681999999999999</v>
      </c>
      <c r="H597">
        <v>0.30602000000000001</v>
      </c>
      <c r="I597">
        <v>0.12681999999999999</v>
      </c>
      <c r="J597">
        <f>PSI_OC!$A$8</f>
        <v>1</v>
      </c>
      <c r="K597">
        <v>1</v>
      </c>
      <c r="L597" t="s">
        <v>430</v>
      </c>
      <c r="M597" s="17">
        <f t="shared" si="84"/>
        <v>733919.08513614081</v>
      </c>
      <c r="N597" t="s">
        <v>537</v>
      </c>
    </row>
    <row r="598" spans="1:14" ht="16" x14ac:dyDescent="0.2">
      <c r="A598" s="81" t="s">
        <v>84</v>
      </c>
      <c r="B598" s="89" t="s">
        <v>506</v>
      </c>
      <c r="C598" t="s">
        <v>236</v>
      </c>
      <c r="D598" s="88">
        <v>1.2999999999999999E-4</v>
      </c>
      <c r="E598" t="s">
        <v>347</v>
      </c>
      <c r="F598">
        <v>1.2999999999999999E-4</v>
      </c>
      <c r="G598">
        <v>1.2999999999999999E-4</v>
      </c>
      <c r="H598">
        <v>3.0602</v>
      </c>
      <c r="I598">
        <v>1.2999999999999999E-4</v>
      </c>
      <c r="J598">
        <f>PSI_OC!$A$7</f>
        <v>10</v>
      </c>
      <c r="K598">
        <v>-1</v>
      </c>
      <c r="L598" t="s">
        <v>431</v>
      </c>
      <c r="M598" s="17">
        <f t="shared" si="84"/>
        <v>-33464388.550734691</v>
      </c>
      <c r="N598" t="s">
        <v>537</v>
      </c>
    </row>
    <row r="599" spans="1:14" ht="16" x14ac:dyDescent="0.2">
      <c r="A599" s="51" t="s">
        <v>46</v>
      </c>
      <c r="B599" s="89" t="s">
        <v>509</v>
      </c>
      <c r="C599" t="s">
        <v>237</v>
      </c>
      <c r="D599" s="88">
        <v>0.12681999999999999</v>
      </c>
      <c r="E599" t="s">
        <v>348</v>
      </c>
      <c r="F599">
        <v>0.12681999999999999</v>
      </c>
      <c r="G599">
        <v>0.12681999999999999</v>
      </c>
      <c r="H599">
        <v>0.30602000000000001</v>
      </c>
      <c r="I599">
        <v>0.12681999999999999</v>
      </c>
      <c r="J599">
        <f>PSI_OC!$A$6</f>
        <v>100</v>
      </c>
      <c r="K599">
        <v>-1</v>
      </c>
      <c r="L599" t="s">
        <v>432</v>
      </c>
      <c r="M599" s="17">
        <f t="shared" si="84"/>
        <v>-73391908.513614088</v>
      </c>
      <c r="N599" t="s">
        <v>537</v>
      </c>
    </row>
    <row r="600" spans="1:14" ht="16" x14ac:dyDescent="0.2">
      <c r="A600" s="51" t="s">
        <v>47</v>
      </c>
      <c r="B600" s="90" t="s">
        <v>513</v>
      </c>
      <c r="C600" t="s">
        <v>238</v>
      </c>
      <c r="D600" s="88">
        <v>0</v>
      </c>
      <c r="E600" t="s">
        <v>349</v>
      </c>
      <c r="F600">
        <v>0</v>
      </c>
      <c r="G600">
        <v>0</v>
      </c>
      <c r="H600">
        <v>0</v>
      </c>
      <c r="I600">
        <v>0</v>
      </c>
      <c r="J600">
        <f>PSI_OC!$A$7</f>
        <v>10</v>
      </c>
      <c r="K600">
        <v>-1</v>
      </c>
      <c r="L600" t="s">
        <v>433</v>
      </c>
      <c r="M600" s="17">
        <f t="shared" si="84"/>
        <v>0</v>
      </c>
      <c r="N600" t="s">
        <v>537</v>
      </c>
    </row>
    <row r="601" spans="1:14" ht="16" x14ac:dyDescent="0.2">
      <c r="A601" s="51" t="s">
        <v>48</v>
      </c>
      <c r="B601" s="89" t="s">
        <v>506</v>
      </c>
      <c r="C601" t="s">
        <v>239</v>
      </c>
      <c r="D601" s="88">
        <v>1.2700000000000001E-3</v>
      </c>
      <c r="E601" t="s">
        <v>348</v>
      </c>
      <c r="F601">
        <v>1.2700000000000001E-3</v>
      </c>
      <c r="G601">
        <v>1.2700000000000001E-3</v>
      </c>
      <c r="H601">
        <v>3.0599999999999998E-3</v>
      </c>
      <c r="I601">
        <v>1.2700000000000001E-3</v>
      </c>
      <c r="J601">
        <f>PSI_OC!$A$6</f>
        <v>100</v>
      </c>
      <c r="K601">
        <v>-1</v>
      </c>
      <c r="L601" t="s">
        <v>432</v>
      </c>
      <c r="M601" s="17">
        <f t="shared" si="84"/>
        <v>-734463.98025063332</v>
      </c>
      <c r="N601" t="s">
        <v>537</v>
      </c>
    </row>
    <row r="602" spans="1:14" ht="16" x14ac:dyDescent="0.2">
      <c r="A602" s="51" t="s">
        <v>41</v>
      </c>
      <c r="B602" s="89" t="s">
        <v>506</v>
      </c>
      <c r="C602" t="s">
        <v>240</v>
      </c>
      <c r="D602" s="88">
        <v>0</v>
      </c>
      <c r="E602" t="s">
        <v>348</v>
      </c>
      <c r="F602">
        <v>0</v>
      </c>
      <c r="G602">
        <v>0</v>
      </c>
      <c r="H602">
        <v>0</v>
      </c>
      <c r="I602">
        <v>0</v>
      </c>
      <c r="J602">
        <f>PSI_OC!$A$6</f>
        <v>100</v>
      </c>
      <c r="K602">
        <v>-1</v>
      </c>
      <c r="L602" t="s">
        <v>432</v>
      </c>
      <c r="M602" s="17">
        <f t="shared" si="84"/>
        <v>0</v>
      </c>
      <c r="N602" t="s">
        <v>537</v>
      </c>
    </row>
    <row r="603" spans="1:14" ht="16" x14ac:dyDescent="0.2">
      <c r="A603" s="51" t="s">
        <v>40</v>
      </c>
      <c r="B603" s="89" t="s">
        <v>508</v>
      </c>
      <c r="C603" t="s">
        <v>241</v>
      </c>
      <c r="D603" s="88">
        <v>0</v>
      </c>
      <c r="E603" t="s">
        <v>350</v>
      </c>
      <c r="F603">
        <v>0</v>
      </c>
      <c r="G603">
        <v>0</v>
      </c>
      <c r="H603">
        <v>0</v>
      </c>
      <c r="I603">
        <v>0</v>
      </c>
      <c r="J603">
        <f>PSI_OC!$A$6</f>
        <v>100</v>
      </c>
      <c r="K603">
        <v>-1</v>
      </c>
      <c r="L603" t="s">
        <v>434</v>
      </c>
      <c r="M603" s="17">
        <f t="shared" si="84"/>
        <v>0</v>
      </c>
      <c r="N603" t="s">
        <v>537</v>
      </c>
    </row>
    <row r="604" spans="1:14" x14ac:dyDescent="0.2">
      <c r="C604" t="s">
        <v>242</v>
      </c>
      <c r="D604" s="88">
        <v>0</v>
      </c>
      <c r="E604" t="s">
        <v>351</v>
      </c>
      <c r="F604">
        <v>0</v>
      </c>
      <c r="G604">
        <v>0</v>
      </c>
      <c r="H604">
        <v>0</v>
      </c>
      <c r="I604">
        <v>0</v>
      </c>
      <c r="J604">
        <f>PSI_OC!$A$8</f>
        <v>1</v>
      </c>
      <c r="K604">
        <v>1</v>
      </c>
      <c r="L604" t="s">
        <v>435</v>
      </c>
      <c r="M604" s="17">
        <f t="shared" si="84"/>
        <v>0</v>
      </c>
      <c r="N604" t="s">
        <v>537</v>
      </c>
    </row>
    <row r="605" spans="1:14" x14ac:dyDescent="0.2">
      <c r="C605" t="s">
        <v>243</v>
      </c>
      <c r="D605" s="88">
        <v>0.12681999999999999</v>
      </c>
      <c r="E605" t="s">
        <v>352</v>
      </c>
      <c r="F605">
        <v>1.26824</v>
      </c>
      <c r="G605">
        <v>1.26824</v>
      </c>
      <c r="H605">
        <v>3.0599999999999998E-3</v>
      </c>
      <c r="I605">
        <v>1.26824</v>
      </c>
      <c r="J605">
        <f>PSI_OC!$A$6</f>
        <v>100</v>
      </c>
      <c r="K605">
        <v>-1</v>
      </c>
      <c r="L605" t="s">
        <v>436</v>
      </c>
      <c r="M605" s="17">
        <f t="shared" si="84"/>
        <v>-398111405.85069209</v>
      </c>
      <c r="N605" t="s">
        <v>537</v>
      </c>
    </row>
    <row r="606" spans="1:14" x14ac:dyDescent="0.2">
      <c r="C606" t="s">
        <v>244</v>
      </c>
      <c r="D606" s="88">
        <v>1.2700000000000001E-3</v>
      </c>
      <c r="E606" t="s">
        <v>353</v>
      </c>
      <c r="F606">
        <v>1.2700000000000001E-3</v>
      </c>
      <c r="G606">
        <v>1.2700000000000001E-3</v>
      </c>
      <c r="H606">
        <v>3.0599999999999998E-3</v>
      </c>
      <c r="I606">
        <v>1.2700000000000001E-3</v>
      </c>
      <c r="J606">
        <v>0</v>
      </c>
      <c r="K606">
        <v>0</v>
      </c>
      <c r="L606" t="s">
        <v>437</v>
      </c>
      <c r="M606" s="17">
        <f t="shared" si="84"/>
        <v>0</v>
      </c>
      <c r="N606" t="s">
        <v>537</v>
      </c>
    </row>
    <row r="607" spans="1:14" x14ac:dyDescent="0.2">
      <c r="C607" t="s">
        <v>245</v>
      </c>
      <c r="D607" s="88">
        <v>1.2700000000000001E-3</v>
      </c>
      <c r="E607" t="s">
        <v>351</v>
      </c>
      <c r="F607">
        <v>1.2999999999999999E-4</v>
      </c>
      <c r="G607">
        <v>1.2700000000000001E-3</v>
      </c>
      <c r="H607">
        <v>0.30602000000000001</v>
      </c>
      <c r="I607">
        <v>1.2999999999999999E-4</v>
      </c>
      <c r="J607">
        <f>PSI_OC!$A$7</f>
        <v>10</v>
      </c>
      <c r="K607">
        <v>-1</v>
      </c>
      <c r="L607" t="s">
        <v>435</v>
      </c>
      <c r="M607" s="17">
        <f t="shared" si="84"/>
        <v>-3355907.2076736395</v>
      </c>
      <c r="N607" t="s">
        <v>537</v>
      </c>
    </row>
    <row r="608" spans="1:14" x14ac:dyDescent="0.2">
      <c r="C608" t="s">
        <v>246</v>
      </c>
      <c r="D608" s="88">
        <v>1.268E-2</v>
      </c>
      <c r="E608" t="s">
        <v>354</v>
      </c>
      <c r="F608">
        <v>1.268E-2</v>
      </c>
      <c r="G608">
        <v>1.268E-2</v>
      </c>
      <c r="H608">
        <v>3.0599999999999999E-2</v>
      </c>
      <c r="I608">
        <v>1.268E-2</v>
      </c>
      <c r="J608">
        <f>PSI_OC!$A$7</f>
        <v>10</v>
      </c>
      <c r="K608">
        <v>-1</v>
      </c>
      <c r="L608" t="s">
        <v>438</v>
      </c>
      <c r="M608" s="17">
        <f t="shared" si="84"/>
        <v>-733834.24340703851</v>
      </c>
      <c r="N608" t="s">
        <v>537</v>
      </c>
    </row>
    <row r="609" spans="3:14" x14ac:dyDescent="0.2">
      <c r="C609" t="s">
        <v>247</v>
      </c>
      <c r="D609" s="88">
        <v>1.26824</v>
      </c>
      <c r="E609" t="s">
        <v>354</v>
      </c>
      <c r="F609">
        <v>1.26824</v>
      </c>
      <c r="G609">
        <v>1.26824</v>
      </c>
      <c r="H609">
        <v>3.1E-4</v>
      </c>
      <c r="I609">
        <v>1.26824</v>
      </c>
      <c r="J609">
        <f>PSI_OC!$A$7</f>
        <v>10</v>
      </c>
      <c r="K609">
        <v>-1</v>
      </c>
      <c r="L609" t="s">
        <v>438</v>
      </c>
      <c r="M609" s="17">
        <f t="shared" si="84"/>
        <v>-39936262.272985123</v>
      </c>
      <c r="N609" t="s">
        <v>537</v>
      </c>
    </row>
    <row r="610" spans="3:14" x14ac:dyDescent="0.2">
      <c r="C610" t="s">
        <v>248</v>
      </c>
      <c r="D610" s="88">
        <v>1.26824</v>
      </c>
      <c r="E610" t="s">
        <v>350</v>
      </c>
      <c r="F610">
        <v>1.26824</v>
      </c>
      <c r="G610">
        <v>1.26824</v>
      </c>
      <c r="H610">
        <v>0.30602000000000001</v>
      </c>
      <c r="I610">
        <v>1.26824</v>
      </c>
      <c r="J610">
        <f>PSI_OC!$A$7</f>
        <v>10</v>
      </c>
      <c r="K610">
        <v>-1</v>
      </c>
      <c r="L610" t="s">
        <v>434</v>
      </c>
      <c r="M610" s="17">
        <f t="shared" si="84"/>
        <v>-43278902.252175093</v>
      </c>
      <c r="N610" t="s">
        <v>537</v>
      </c>
    </row>
    <row r="611" spans="3:14" x14ac:dyDescent="0.2">
      <c r="C611" t="s">
        <v>322</v>
      </c>
      <c r="D611" s="88">
        <v>1.26824</v>
      </c>
      <c r="E611" t="s">
        <v>355</v>
      </c>
      <c r="F611">
        <v>1.26824</v>
      </c>
      <c r="G611">
        <v>1.26824</v>
      </c>
      <c r="H611">
        <v>3.0599999999999999E-2</v>
      </c>
      <c r="I611">
        <v>1.26824</v>
      </c>
      <c r="J611">
        <f>PSI_OC!$A$7</f>
        <v>10</v>
      </c>
      <c r="K611">
        <v>-1</v>
      </c>
      <c r="L611" t="s">
        <v>439</v>
      </c>
      <c r="M611" s="17">
        <f t="shared" si="84"/>
        <v>-40267453.81061773</v>
      </c>
      <c r="N611" t="s">
        <v>537</v>
      </c>
    </row>
    <row r="612" spans="3:14" x14ac:dyDescent="0.2">
      <c r="C612" t="s">
        <v>249</v>
      </c>
      <c r="D612" s="88">
        <v>0.12681999999999999</v>
      </c>
      <c r="E612" t="s">
        <v>356</v>
      </c>
      <c r="F612">
        <v>0.12681999999999999</v>
      </c>
      <c r="G612">
        <v>0.12681999999999999</v>
      </c>
      <c r="H612">
        <v>3.1E-4</v>
      </c>
      <c r="I612">
        <v>0.12681999999999999</v>
      </c>
      <c r="J612">
        <f>PSI_OC!$A$7</f>
        <v>10</v>
      </c>
      <c r="K612">
        <v>-1</v>
      </c>
      <c r="L612" t="s">
        <v>440</v>
      </c>
      <c r="M612" s="17">
        <f t="shared" si="84"/>
        <v>-3996550.8721714397</v>
      </c>
      <c r="N612" t="s">
        <v>537</v>
      </c>
    </row>
    <row r="613" spans="3:14" x14ac:dyDescent="0.2">
      <c r="C613" t="s">
        <v>323</v>
      </c>
      <c r="D613" s="88">
        <v>1.2700000000000001E-3</v>
      </c>
      <c r="E613" t="s">
        <v>357</v>
      </c>
      <c r="F613">
        <v>1.2700000000000001E-3</v>
      </c>
      <c r="G613">
        <v>1.2700000000000001E-3</v>
      </c>
      <c r="H613">
        <v>3.0599999999999998E-3</v>
      </c>
      <c r="I613">
        <v>1.2700000000000001E-3</v>
      </c>
      <c r="J613">
        <f>PSI_OC!$A$6</f>
        <v>100</v>
      </c>
      <c r="K613">
        <v>-1</v>
      </c>
      <c r="L613" t="s">
        <v>441</v>
      </c>
      <c r="M613" s="17">
        <f t="shared" si="84"/>
        <v>-734463.98025063332</v>
      </c>
      <c r="N613" t="s">
        <v>537</v>
      </c>
    </row>
    <row r="614" spans="3:14" x14ac:dyDescent="0.2">
      <c r="C614" t="s">
        <v>324</v>
      </c>
      <c r="D614" s="88">
        <v>1.2700000000000001E-3</v>
      </c>
      <c r="E614" t="s">
        <v>357</v>
      </c>
      <c r="F614">
        <v>1.2700000000000001E-3</v>
      </c>
      <c r="G614">
        <v>1.2700000000000001E-3</v>
      </c>
      <c r="H614">
        <v>3.0599999999999998E-3</v>
      </c>
      <c r="I614">
        <v>1.2700000000000001E-3</v>
      </c>
      <c r="J614">
        <f>PSI_OC!$A$6</f>
        <v>100</v>
      </c>
      <c r="K614">
        <v>-1</v>
      </c>
      <c r="L614" t="s">
        <v>441</v>
      </c>
      <c r="M614" s="17">
        <f t="shared" si="84"/>
        <v>-734463.98025063332</v>
      </c>
      <c r="N614" t="s">
        <v>537</v>
      </c>
    </row>
    <row r="615" spans="3:14" x14ac:dyDescent="0.2">
      <c r="C615" t="s">
        <v>250</v>
      </c>
      <c r="D615" s="88">
        <v>1.2700000000000001E-3</v>
      </c>
      <c r="E615" t="s">
        <v>358</v>
      </c>
      <c r="F615">
        <v>1.2700000000000001E-3</v>
      </c>
      <c r="G615">
        <v>1.2700000000000001E-3</v>
      </c>
      <c r="H615">
        <v>0.30602000000000001</v>
      </c>
      <c r="I615">
        <v>1.2700000000000001E-3</v>
      </c>
      <c r="J615">
        <f>PSI_OC!$A$7</f>
        <v>10</v>
      </c>
      <c r="K615">
        <v>1</v>
      </c>
      <c r="L615" t="s">
        <v>442</v>
      </c>
      <c r="M615" s="17">
        <f t="shared" si="84"/>
        <v>3386017.815693419</v>
      </c>
      <c r="N615" t="s">
        <v>537</v>
      </c>
    </row>
    <row r="616" spans="3:14" x14ac:dyDescent="0.2">
      <c r="C616" t="s">
        <v>251</v>
      </c>
      <c r="D616" s="88">
        <v>0</v>
      </c>
      <c r="E616" t="s">
        <v>359</v>
      </c>
      <c r="F616">
        <v>0</v>
      </c>
      <c r="G616">
        <v>0</v>
      </c>
      <c r="H616">
        <v>3.1E-4</v>
      </c>
      <c r="I616">
        <v>0</v>
      </c>
      <c r="J616">
        <f>PSI_OC!$A$6</f>
        <v>100</v>
      </c>
      <c r="K616">
        <v>-1</v>
      </c>
      <c r="L616" t="s">
        <v>443</v>
      </c>
      <c r="M616" s="17">
        <f t="shared" si="84"/>
        <v>-33895.469351636857</v>
      </c>
      <c r="N616" t="s">
        <v>537</v>
      </c>
    </row>
    <row r="617" spans="3:14" x14ac:dyDescent="0.2">
      <c r="C617" t="s">
        <v>252</v>
      </c>
      <c r="D617" s="88">
        <v>0.12681999999999999</v>
      </c>
      <c r="E617" t="s">
        <v>360</v>
      </c>
      <c r="F617">
        <v>0.12681999999999999</v>
      </c>
      <c r="G617">
        <v>0.12681999999999999</v>
      </c>
      <c r="H617">
        <v>3.0602</v>
      </c>
      <c r="I617">
        <v>0.12681999999999999</v>
      </c>
      <c r="J617">
        <f>PSI_OC!$A$7</f>
        <v>10</v>
      </c>
      <c r="K617">
        <v>-1</v>
      </c>
      <c r="L617" t="s">
        <v>444</v>
      </c>
      <c r="M617" s="17">
        <f t="shared" si="84"/>
        <v>-37453456.586487599</v>
      </c>
      <c r="N617" t="s">
        <v>537</v>
      </c>
    </row>
    <row r="618" spans="3:14" x14ac:dyDescent="0.2">
      <c r="C618" t="s">
        <v>253</v>
      </c>
      <c r="D618" s="88">
        <v>1.268E-2</v>
      </c>
      <c r="E618" t="s">
        <v>361</v>
      </c>
      <c r="F618">
        <v>1.268E-2</v>
      </c>
      <c r="G618">
        <v>1.268E-2</v>
      </c>
      <c r="H618">
        <v>0.30602000000000001</v>
      </c>
      <c r="I618">
        <v>1.268E-2</v>
      </c>
      <c r="J618">
        <f>PSI_OC!$A$7</f>
        <v>10</v>
      </c>
      <c r="K618">
        <v>-1</v>
      </c>
      <c r="L618" t="s">
        <v>445</v>
      </c>
      <c r="M618" s="17">
        <f t="shared" si="84"/>
        <v>-3745282.6849644007</v>
      </c>
      <c r="N618" t="s">
        <v>537</v>
      </c>
    </row>
    <row r="619" spans="3:14" x14ac:dyDescent="0.2">
      <c r="C619" t="s">
        <v>325</v>
      </c>
      <c r="D619" s="88">
        <v>1.2700000000000001E-3</v>
      </c>
      <c r="E619" t="s">
        <v>362</v>
      </c>
      <c r="F619">
        <v>1.2700000000000001E-3</v>
      </c>
      <c r="G619">
        <v>1.2700000000000001E-3</v>
      </c>
      <c r="H619">
        <v>3.1E-4</v>
      </c>
      <c r="I619">
        <v>1.2700000000000001E-3</v>
      </c>
      <c r="J619">
        <f>PSI_OC!$A$6</f>
        <v>100</v>
      </c>
      <c r="K619">
        <v>-1</v>
      </c>
      <c r="L619" t="s">
        <v>446</v>
      </c>
      <c r="M619" s="17">
        <f t="shared" si="84"/>
        <v>-433778.36503450008</v>
      </c>
      <c r="N619" t="s">
        <v>537</v>
      </c>
    </row>
    <row r="620" spans="3:14" x14ac:dyDescent="0.2">
      <c r="C620" t="s">
        <v>254</v>
      </c>
      <c r="D620" s="88">
        <v>1.2700000000000001E-3</v>
      </c>
      <c r="E620" t="s">
        <v>363</v>
      </c>
      <c r="F620">
        <v>1.2700000000000001E-3</v>
      </c>
      <c r="G620">
        <v>1.2700000000000001E-3</v>
      </c>
      <c r="H620">
        <v>3.0599999999999998E-3</v>
      </c>
      <c r="I620">
        <v>1.2700000000000001E-3</v>
      </c>
      <c r="J620">
        <f>PSI_OC!$A$7</f>
        <v>10</v>
      </c>
      <c r="K620">
        <v>-1</v>
      </c>
      <c r="L620" t="s">
        <v>447</v>
      </c>
      <c r="M620" s="17">
        <f t="shared" si="84"/>
        <v>-73446.398025063332</v>
      </c>
      <c r="N620" t="s">
        <v>537</v>
      </c>
    </row>
    <row r="621" spans="3:14" x14ac:dyDescent="0.2">
      <c r="C621" t="s">
        <v>255</v>
      </c>
      <c r="D621" s="88">
        <v>0</v>
      </c>
      <c r="E621" t="s">
        <v>364</v>
      </c>
      <c r="F621">
        <v>0</v>
      </c>
      <c r="G621">
        <v>0</v>
      </c>
      <c r="H621">
        <v>0</v>
      </c>
      <c r="I621">
        <v>0</v>
      </c>
      <c r="J621">
        <f>PSI_OC!$A$7</f>
        <v>10</v>
      </c>
      <c r="K621">
        <v>-1</v>
      </c>
      <c r="L621" t="s">
        <v>448</v>
      </c>
      <c r="M621" s="17">
        <f t="shared" si="84"/>
        <v>0</v>
      </c>
      <c r="N621" t="s">
        <v>537</v>
      </c>
    </row>
    <row r="622" spans="3:14" x14ac:dyDescent="0.2">
      <c r="C622" t="s">
        <v>256</v>
      </c>
      <c r="D622" s="88">
        <v>1.2700000000000001E-3</v>
      </c>
      <c r="E622" t="s">
        <v>365</v>
      </c>
      <c r="F622">
        <v>1.2700000000000001E-3</v>
      </c>
      <c r="G622">
        <v>1.2700000000000001E-3</v>
      </c>
      <c r="H622">
        <v>0.30602000000000001</v>
      </c>
      <c r="I622">
        <v>1.2700000000000001E-3</v>
      </c>
      <c r="J622">
        <f>PSI_OC!$A$7</f>
        <v>10</v>
      </c>
      <c r="K622">
        <v>-1</v>
      </c>
      <c r="L622" t="s">
        <v>449</v>
      </c>
      <c r="M622" s="17">
        <f t="shared" si="84"/>
        <v>-3386017.815693419</v>
      </c>
      <c r="N622" t="s">
        <v>537</v>
      </c>
    </row>
    <row r="623" spans="3:14" x14ac:dyDescent="0.2">
      <c r="C623" t="s">
        <v>257</v>
      </c>
      <c r="D623" s="88">
        <v>1.26824</v>
      </c>
      <c r="E623" t="s">
        <v>366</v>
      </c>
      <c r="F623">
        <v>1.26824</v>
      </c>
      <c r="G623">
        <v>1.26824</v>
      </c>
      <c r="H623">
        <v>3.0599999999999998E-3</v>
      </c>
      <c r="I623">
        <v>1.26824</v>
      </c>
      <c r="J623">
        <f>PSI_OC!$A$6</f>
        <v>100</v>
      </c>
      <c r="K623">
        <v>-1</v>
      </c>
      <c r="L623" t="s">
        <v>450</v>
      </c>
      <c r="M623" s="17">
        <f t="shared" si="84"/>
        <v>-399663308.34506732</v>
      </c>
      <c r="N623" t="s">
        <v>537</v>
      </c>
    </row>
    <row r="624" spans="3:14" x14ac:dyDescent="0.2">
      <c r="C624" t="s">
        <v>258</v>
      </c>
      <c r="D624" s="88">
        <v>0.12681999999999999</v>
      </c>
      <c r="E624" t="s">
        <v>367</v>
      </c>
      <c r="F624">
        <v>0.12681999999999999</v>
      </c>
      <c r="G624">
        <v>0.12681999999999999</v>
      </c>
      <c r="H624">
        <v>3.0599999999999998E-3</v>
      </c>
      <c r="I624">
        <v>0.12681999999999999</v>
      </c>
      <c r="J624">
        <f>PSI_OC!$A$6</f>
        <v>100</v>
      </c>
      <c r="K624">
        <v>-1</v>
      </c>
      <c r="L624" t="s">
        <v>451</v>
      </c>
      <c r="M624" s="17">
        <f t="shared" si="84"/>
        <v>-40266194.336930528</v>
      </c>
      <c r="N624" t="s">
        <v>537</v>
      </c>
    </row>
    <row r="625" spans="3:14" x14ac:dyDescent="0.2">
      <c r="C625" t="s">
        <v>326</v>
      </c>
      <c r="D625" s="88">
        <v>1.2700000000000001E-3</v>
      </c>
      <c r="E625" t="s">
        <v>365</v>
      </c>
      <c r="F625">
        <v>1.2700000000000001E-3</v>
      </c>
      <c r="G625">
        <v>1.2700000000000001E-3</v>
      </c>
      <c r="H625">
        <v>3.0599999999999998E-3</v>
      </c>
      <c r="I625">
        <v>1.2700000000000001E-3</v>
      </c>
      <c r="J625">
        <v>0</v>
      </c>
      <c r="K625">
        <v>0</v>
      </c>
      <c r="L625" t="s">
        <v>449</v>
      </c>
      <c r="M625" s="17">
        <f t="shared" si="84"/>
        <v>0</v>
      </c>
      <c r="N625" t="s">
        <v>537</v>
      </c>
    </row>
    <row r="626" spans="3:14" x14ac:dyDescent="0.2">
      <c r="C626" t="s">
        <v>259</v>
      </c>
      <c r="D626" s="88">
        <v>1.268E-2</v>
      </c>
      <c r="E626" t="s">
        <v>368</v>
      </c>
      <c r="F626">
        <v>1.268E-2</v>
      </c>
      <c r="G626">
        <v>1.268E-2</v>
      </c>
      <c r="H626">
        <v>3.0599999999999998E-3</v>
      </c>
      <c r="I626">
        <v>1.268E-2</v>
      </c>
      <c r="J626">
        <f>PSI_OC!$A$6</f>
        <v>100</v>
      </c>
      <c r="K626">
        <v>-1</v>
      </c>
      <c r="L626" t="s">
        <v>452</v>
      </c>
      <c r="M626" s="17">
        <f t="shared" si="84"/>
        <v>-4327112.6729604518</v>
      </c>
      <c r="N626" t="s">
        <v>537</v>
      </c>
    </row>
    <row r="627" spans="3:14" x14ac:dyDescent="0.2">
      <c r="C627" t="s">
        <v>260</v>
      </c>
      <c r="D627" s="88">
        <v>0</v>
      </c>
      <c r="E627" t="s">
        <v>368</v>
      </c>
      <c r="F627">
        <v>0</v>
      </c>
      <c r="G627">
        <v>0</v>
      </c>
      <c r="H627">
        <v>3.0599999999999998E-3</v>
      </c>
      <c r="I627">
        <v>0</v>
      </c>
      <c r="J627">
        <v>0</v>
      </c>
      <c r="K627">
        <v>0</v>
      </c>
      <c r="L627" t="s">
        <v>452</v>
      </c>
      <c r="M627" s="17">
        <f t="shared" si="84"/>
        <v>0</v>
      </c>
      <c r="N627" t="s">
        <v>537</v>
      </c>
    </row>
    <row r="628" spans="3:14" x14ac:dyDescent="0.2">
      <c r="C628" t="s">
        <v>327</v>
      </c>
      <c r="D628" s="88">
        <v>1.2999999999999999E-4</v>
      </c>
      <c r="E628" t="s">
        <v>368</v>
      </c>
      <c r="F628">
        <v>1.2999999999999999E-4</v>
      </c>
      <c r="G628">
        <v>1.2999999999999999E-4</v>
      </c>
      <c r="H628">
        <v>0.30602000000000001</v>
      </c>
      <c r="I628">
        <v>1.2999999999999999E-4</v>
      </c>
      <c r="J628">
        <f>PSI_OC!$A$6</f>
        <v>100</v>
      </c>
      <c r="K628">
        <v>-1</v>
      </c>
      <c r="L628" t="s">
        <v>452</v>
      </c>
      <c r="M628" s="17">
        <f t="shared" si="84"/>
        <v>-33501228.156085003</v>
      </c>
      <c r="N628" t="s">
        <v>537</v>
      </c>
    </row>
    <row r="629" spans="3:14" x14ac:dyDescent="0.2">
      <c r="C629" t="s">
        <v>328</v>
      </c>
      <c r="D629" s="88">
        <v>1.2999999999999999E-4</v>
      </c>
      <c r="E629" t="s">
        <v>368</v>
      </c>
      <c r="F629">
        <v>1.2999999999999999E-4</v>
      </c>
      <c r="G629">
        <v>1.2999999999999999E-4</v>
      </c>
      <c r="H629">
        <v>0.30602000000000001</v>
      </c>
      <c r="I629">
        <v>1.2999999999999999E-4</v>
      </c>
      <c r="J629">
        <v>0</v>
      </c>
      <c r="K629">
        <v>0</v>
      </c>
      <c r="L629" t="s">
        <v>452</v>
      </c>
      <c r="M629" s="17">
        <f t="shared" si="84"/>
        <v>0</v>
      </c>
      <c r="N629" t="s">
        <v>537</v>
      </c>
    </row>
    <row r="630" spans="3:14" x14ac:dyDescent="0.2">
      <c r="C630" t="s">
        <v>261</v>
      </c>
      <c r="D630" s="88">
        <v>0.12681999999999999</v>
      </c>
      <c r="E630" t="s">
        <v>369</v>
      </c>
      <c r="F630">
        <v>0.12681999999999999</v>
      </c>
      <c r="G630">
        <v>0.12681999999999999</v>
      </c>
      <c r="H630">
        <v>3.1E-4</v>
      </c>
      <c r="I630">
        <v>0.12681999999999999</v>
      </c>
      <c r="J630">
        <f>PSI_OC!$A$6</f>
        <v>100</v>
      </c>
      <c r="K630">
        <v>-1</v>
      </c>
      <c r="L630" t="s">
        <v>453</v>
      </c>
      <c r="M630" s="17">
        <f t="shared" si="84"/>
        <v>-39965508.7217144</v>
      </c>
      <c r="N630" t="s">
        <v>537</v>
      </c>
    </row>
    <row r="631" spans="3:14" x14ac:dyDescent="0.2">
      <c r="C631" t="s">
        <v>263</v>
      </c>
      <c r="D631" s="88">
        <v>1.2999999999999999E-4</v>
      </c>
      <c r="E631" t="s">
        <v>370</v>
      </c>
      <c r="F631">
        <v>1.2999999999999999E-4</v>
      </c>
      <c r="G631">
        <v>1.2999999999999999E-4</v>
      </c>
      <c r="H631">
        <v>3.1E-4</v>
      </c>
      <c r="I631">
        <v>1.2999999999999999E-4</v>
      </c>
      <c r="J631">
        <f>PSI_OC!$A$6</f>
        <v>100</v>
      </c>
      <c r="K631">
        <v>-1</v>
      </c>
      <c r="L631" t="s">
        <v>454</v>
      </c>
      <c r="M631" s="17">
        <f t="shared" si="84"/>
        <v>-74828.364185315761</v>
      </c>
      <c r="N631" t="s">
        <v>537</v>
      </c>
    </row>
    <row r="632" spans="3:14" x14ac:dyDescent="0.2">
      <c r="C632" t="s">
        <v>262</v>
      </c>
      <c r="D632" s="88">
        <v>1.2999999999999999E-4</v>
      </c>
      <c r="E632" t="s">
        <v>370</v>
      </c>
      <c r="F632">
        <v>1.2999999999999999E-4</v>
      </c>
      <c r="G632">
        <v>1.2999999999999999E-4</v>
      </c>
      <c r="H632">
        <v>3.0599999999999998E-3</v>
      </c>
      <c r="I632">
        <v>1.2999999999999999E-4</v>
      </c>
      <c r="J632">
        <f>PSI_OC!$A$6</f>
        <v>100</v>
      </c>
      <c r="K632">
        <v>-1</v>
      </c>
      <c r="L632" t="s">
        <v>454</v>
      </c>
      <c r="M632" s="17">
        <f t="shared" si="84"/>
        <v>-375513.97940144915</v>
      </c>
      <c r="N632" t="s">
        <v>537</v>
      </c>
    </row>
    <row r="633" spans="3:14" x14ac:dyDescent="0.2">
      <c r="C633" t="s">
        <v>264</v>
      </c>
      <c r="D633" s="88">
        <v>1.2700000000000001E-3</v>
      </c>
      <c r="E633" t="s">
        <v>371</v>
      </c>
      <c r="F633">
        <v>1.2700000000000001E-3</v>
      </c>
      <c r="G633">
        <v>1.2700000000000001E-3</v>
      </c>
      <c r="H633">
        <v>3.0599999999999999E-2</v>
      </c>
      <c r="I633">
        <v>1.2700000000000001E-3</v>
      </c>
      <c r="J633">
        <f>PSI_OC!$A$7</f>
        <v>10</v>
      </c>
      <c r="K633">
        <v>-1</v>
      </c>
      <c r="L633" t="s">
        <v>455</v>
      </c>
      <c r="M633" s="17">
        <f t="shared" si="84"/>
        <v>-374569.37413605652</v>
      </c>
      <c r="N633" t="s">
        <v>537</v>
      </c>
    </row>
    <row r="634" spans="3:14" x14ac:dyDescent="0.2">
      <c r="C634" t="s">
        <v>265</v>
      </c>
      <c r="D634" s="88">
        <v>1.2700000000000001E-3</v>
      </c>
      <c r="E634" t="s">
        <v>371</v>
      </c>
      <c r="F634">
        <v>1.2700000000000001E-3</v>
      </c>
      <c r="G634">
        <v>1.2700000000000001E-3</v>
      </c>
      <c r="H634">
        <v>3.0599999999999998E-3</v>
      </c>
      <c r="I634">
        <v>1.2700000000000001E-3</v>
      </c>
      <c r="J634">
        <f>PSI_OC!$A$7</f>
        <v>10</v>
      </c>
      <c r="K634">
        <v>-1</v>
      </c>
      <c r="L634" t="s">
        <v>455</v>
      </c>
      <c r="M634" s="17">
        <f t="shared" si="84"/>
        <v>-73446.398025063332</v>
      </c>
      <c r="N634" t="s">
        <v>537</v>
      </c>
    </row>
    <row r="635" spans="3:14" x14ac:dyDescent="0.2">
      <c r="C635" t="s">
        <v>266</v>
      </c>
      <c r="D635" s="88">
        <v>1.2700000000000001E-3</v>
      </c>
      <c r="E635" t="s">
        <v>371</v>
      </c>
      <c r="F635">
        <v>1.2700000000000001E-3</v>
      </c>
      <c r="G635">
        <v>1.2700000000000001E-3</v>
      </c>
      <c r="H635">
        <v>3.0599999999999999E-2</v>
      </c>
      <c r="I635">
        <v>1.2700000000000001E-3</v>
      </c>
      <c r="J635">
        <v>0</v>
      </c>
      <c r="K635">
        <v>0</v>
      </c>
      <c r="L635" t="s">
        <v>455</v>
      </c>
      <c r="M635" s="17">
        <f t="shared" si="84"/>
        <v>0</v>
      </c>
      <c r="N635" t="s">
        <v>537</v>
      </c>
    </row>
    <row r="636" spans="3:14" x14ac:dyDescent="0.2">
      <c r="C636" t="s">
        <v>267</v>
      </c>
      <c r="D636" s="88">
        <v>1.2999999999999999E-4</v>
      </c>
      <c r="E636" t="s">
        <v>372</v>
      </c>
      <c r="F636">
        <v>1.2999999999999999E-4</v>
      </c>
      <c r="G636">
        <v>1.2999999999999999E-4</v>
      </c>
      <c r="H636">
        <v>3.0599999999999998E-3</v>
      </c>
      <c r="I636">
        <v>1.2999999999999999E-4</v>
      </c>
      <c r="J636">
        <v>0</v>
      </c>
      <c r="K636">
        <v>0</v>
      </c>
      <c r="L636" t="s">
        <v>456</v>
      </c>
      <c r="M636" s="17">
        <f t="shared" si="84"/>
        <v>0</v>
      </c>
      <c r="N636" t="s">
        <v>537</v>
      </c>
    </row>
    <row r="637" spans="3:14" x14ac:dyDescent="0.2">
      <c r="C637" t="s">
        <v>329</v>
      </c>
      <c r="D637" s="88">
        <v>0.12681999999999999</v>
      </c>
      <c r="E637" s="75" t="s">
        <v>373</v>
      </c>
      <c r="F637">
        <v>0.12681999999999999</v>
      </c>
      <c r="G637">
        <v>0.12681999999999999</v>
      </c>
      <c r="H637">
        <v>0.30602000000000001</v>
      </c>
      <c r="I637">
        <v>0.12681999999999999</v>
      </c>
      <c r="J637">
        <f>PSI_OC!$A$7</f>
        <v>10</v>
      </c>
      <c r="K637">
        <v>-1</v>
      </c>
      <c r="L637" t="s">
        <v>457</v>
      </c>
      <c r="M637" s="17">
        <f t="shared" si="84"/>
        <v>-7339190.8513614079</v>
      </c>
      <c r="N637" t="s">
        <v>537</v>
      </c>
    </row>
    <row r="638" spans="3:14" x14ac:dyDescent="0.2">
      <c r="C638" t="s">
        <v>314</v>
      </c>
      <c r="D638" s="88">
        <v>1.2700000000000001E-3</v>
      </c>
      <c r="E638" s="75" t="s">
        <v>374</v>
      </c>
      <c r="F638">
        <v>1.2700000000000001E-3</v>
      </c>
      <c r="G638">
        <v>1.2700000000000001E-3</v>
      </c>
      <c r="H638">
        <v>3.0599999999999998E-3</v>
      </c>
      <c r="I638">
        <v>1.2700000000000001E-3</v>
      </c>
      <c r="J638">
        <f>PSI_OC!$A$7</f>
        <v>10</v>
      </c>
      <c r="K638">
        <v>-1</v>
      </c>
      <c r="L638" t="s">
        <v>458</v>
      </c>
      <c r="M638" s="17">
        <f t="shared" si="84"/>
        <v>-73446.398025063332</v>
      </c>
      <c r="N638" t="s">
        <v>537</v>
      </c>
    </row>
    <row r="639" spans="3:14" x14ac:dyDescent="0.2">
      <c r="C639" t="s">
        <v>268</v>
      </c>
      <c r="D639" s="88">
        <v>1.2700000000000001E-3</v>
      </c>
      <c r="E639" s="75" t="s">
        <v>374</v>
      </c>
      <c r="F639">
        <v>1.2700000000000001E-3</v>
      </c>
      <c r="G639">
        <v>1.2700000000000001E-3</v>
      </c>
      <c r="H639">
        <v>3.0599999999999998E-3</v>
      </c>
      <c r="I639">
        <v>1.2700000000000001E-3</v>
      </c>
      <c r="J639">
        <f>PSI_OC!$A$7</f>
        <v>10</v>
      </c>
      <c r="K639">
        <v>-1</v>
      </c>
      <c r="L639" t="s">
        <v>458</v>
      </c>
      <c r="M639" s="17">
        <f t="shared" si="84"/>
        <v>-73446.398025063332</v>
      </c>
      <c r="N639" t="s">
        <v>537</v>
      </c>
    </row>
    <row r="640" spans="3:14" x14ac:dyDescent="0.2">
      <c r="C640" t="s">
        <v>269</v>
      </c>
      <c r="D640" s="88">
        <v>1.2700000000000001E-3</v>
      </c>
      <c r="E640" s="75" t="s">
        <v>374</v>
      </c>
      <c r="F640">
        <v>1.2700000000000001E-3</v>
      </c>
      <c r="G640">
        <v>1.2700000000000001E-3</v>
      </c>
      <c r="H640">
        <v>3.0599999999999998E-3</v>
      </c>
      <c r="I640">
        <v>1.2700000000000001E-3</v>
      </c>
      <c r="J640">
        <v>0</v>
      </c>
      <c r="K640">
        <v>0</v>
      </c>
      <c r="L640" t="s">
        <v>458</v>
      </c>
      <c r="M640" s="17">
        <f t="shared" si="84"/>
        <v>0</v>
      </c>
      <c r="N640" t="s">
        <v>537</v>
      </c>
    </row>
    <row r="641" spans="3:14" x14ac:dyDescent="0.2">
      <c r="C641" t="s">
        <v>270</v>
      </c>
      <c r="D641" s="88">
        <v>1.2700000000000001E-3</v>
      </c>
      <c r="E641" s="75" t="s">
        <v>375</v>
      </c>
      <c r="F641">
        <v>1.2700000000000001E-3</v>
      </c>
      <c r="G641">
        <v>1.2700000000000001E-3</v>
      </c>
      <c r="H641">
        <v>0</v>
      </c>
      <c r="I641">
        <v>1.2700000000000001E-3</v>
      </c>
      <c r="J641">
        <f>PSI_OC!$A$6</f>
        <v>100</v>
      </c>
      <c r="K641">
        <v>-1</v>
      </c>
      <c r="L641" t="s">
        <v>459</v>
      </c>
      <c r="M641" s="17">
        <f t="shared" si="84"/>
        <v>-399882.89568286319</v>
      </c>
      <c r="N641" t="s">
        <v>537</v>
      </c>
    </row>
    <row r="642" spans="3:14" x14ac:dyDescent="0.2">
      <c r="C642" t="s">
        <v>271</v>
      </c>
      <c r="D642" s="88">
        <v>0.12681999999999999</v>
      </c>
      <c r="E642" s="75" t="s">
        <v>376</v>
      </c>
      <c r="F642">
        <v>0.12681999999999999</v>
      </c>
      <c r="G642">
        <v>0.12681999999999999</v>
      </c>
      <c r="H642">
        <v>3.0602</v>
      </c>
      <c r="I642">
        <v>0.12681999999999999</v>
      </c>
      <c r="J642">
        <v>0</v>
      </c>
      <c r="K642">
        <v>0</v>
      </c>
      <c r="L642" t="s">
        <v>460</v>
      </c>
      <c r="M642" s="17">
        <f t="shared" si="84"/>
        <v>0</v>
      </c>
      <c r="N642" t="s">
        <v>537</v>
      </c>
    </row>
    <row r="643" spans="3:14" x14ac:dyDescent="0.2">
      <c r="C643" t="s">
        <v>272</v>
      </c>
      <c r="D643" s="88">
        <v>1.26824</v>
      </c>
      <c r="E643" t="s">
        <v>377</v>
      </c>
      <c r="F643">
        <v>1.26824</v>
      </c>
      <c r="G643">
        <v>1.26824</v>
      </c>
      <c r="H643">
        <v>3.0599999999999998E-3</v>
      </c>
      <c r="I643">
        <v>1.26824</v>
      </c>
      <c r="J643">
        <v>0</v>
      </c>
      <c r="K643">
        <v>0</v>
      </c>
      <c r="L643" t="s">
        <v>461</v>
      </c>
      <c r="M643" s="17">
        <f t="shared" si="84"/>
        <v>0</v>
      </c>
      <c r="N643" t="s">
        <v>537</v>
      </c>
    </row>
    <row r="644" spans="3:14" x14ac:dyDescent="0.2">
      <c r="C644" t="s">
        <v>273</v>
      </c>
      <c r="D644" s="88">
        <v>1.2999999999999999E-4</v>
      </c>
      <c r="E644" t="s">
        <v>378</v>
      </c>
      <c r="F644">
        <v>1.2999999999999999E-4</v>
      </c>
      <c r="G644">
        <v>1.2999999999999999E-4</v>
      </c>
      <c r="H644">
        <v>3.0602</v>
      </c>
      <c r="I644">
        <v>1.2999999999999999E-4</v>
      </c>
      <c r="J644">
        <f>PSI_OC!$A$7</f>
        <v>10</v>
      </c>
      <c r="K644">
        <v>-1</v>
      </c>
      <c r="L644" t="s">
        <v>462</v>
      </c>
      <c r="M644" s="17">
        <f t="shared" si="84"/>
        <v>-33464388.550734691</v>
      </c>
      <c r="N644" t="s">
        <v>537</v>
      </c>
    </row>
    <row r="645" spans="3:14" x14ac:dyDescent="0.2">
      <c r="C645" t="s">
        <v>274</v>
      </c>
      <c r="D645" s="88">
        <v>1.2999999999999999E-4</v>
      </c>
      <c r="E645" t="s">
        <v>379</v>
      </c>
      <c r="F645">
        <v>1.2999999999999999E-4</v>
      </c>
      <c r="G645">
        <v>1.2999999999999999E-4</v>
      </c>
      <c r="H645">
        <v>3.1E-4</v>
      </c>
      <c r="I645">
        <v>1.2999999999999999E-4</v>
      </c>
      <c r="J645">
        <v>0</v>
      </c>
      <c r="K645">
        <v>0</v>
      </c>
      <c r="L645" t="s">
        <v>463</v>
      </c>
      <c r="M645" s="17">
        <f t="shared" si="84"/>
        <v>0</v>
      </c>
      <c r="N645" t="s">
        <v>537</v>
      </c>
    </row>
    <row r="646" spans="3:14" x14ac:dyDescent="0.2">
      <c r="C646" t="s">
        <v>275</v>
      </c>
      <c r="D646" s="88">
        <v>1.26824</v>
      </c>
      <c r="E646" t="s">
        <v>377</v>
      </c>
      <c r="F646">
        <v>1.26824</v>
      </c>
      <c r="G646">
        <v>1.26824</v>
      </c>
      <c r="H646">
        <v>3.0599999999999998E-3</v>
      </c>
      <c r="I646">
        <v>1.26824</v>
      </c>
      <c r="J646">
        <f>PSI_OC!$A$6</f>
        <v>100</v>
      </c>
      <c r="K646">
        <v>-1</v>
      </c>
      <c r="L646" t="s">
        <v>461</v>
      </c>
      <c r="M646" s="17">
        <f t="shared" si="84"/>
        <v>-399663308.34506732</v>
      </c>
      <c r="N646" t="s">
        <v>537</v>
      </c>
    </row>
    <row r="647" spans="3:14" x14ac:dyDescent="0.2">
      <c r="C647" t="s">
        <v>276</v>
      </c>
      <c r="D647" s="88">
        <v>1.26824</v>
      </c>
      <c r="E647" t="s">
        <v>377</v>
      </c>
      <c r="F647">
        <v>1.26824</v>
      </c>
      <c r="G647">
        <v>1.26824</v>
      </c>
      <c r="H647">
        <v>3.0599999999999998E-3</v>
      </c>
      <c r="I647">
        <v>1.26824</v>
      </c>
      <c r="J647">
        <f>PSI_OC!$A$6</f>
        <v>100</v>
      </c>
      <c r="K647">
        <v>-1</v>
      </c>
      <c r="L647" t="s">
        <v>461</v>
      </c>
      <c r="M647" s="17">
        <f t="shared" si="84"/>
        <v>-399663308.34506732</v>
      </c>
      <c r="N647" t="s">
        <v>537</v>
      </c>
    </row>
    <row r="648" spans="3:14" x14ac:dyDescent="0.2">
      <c r="C648" t="s">
        <v>277</v>
      </c>
      <c r="D648" s="88">
        <v>1.2700000000000001E-3</v>
      </c>
      <c r="E648" t="s">
        <v>380</v>
      </c>
      <c r="F648">
        <v>1.2700000000000001E-3</v>
      </c>
      <c r="G648">
        <v>1.2700000000000001E-3</v>
      </c>
      <c r="H648">
        <v>3.1E-4</v>
      </c>
      <c r="I648">
        <v>1.2700000000000001E-3</v>
      </c>
      <c r="J648">
        <f>PSI_OC!$A$6</f>
        <v>100</v>
      </c>
      <c r="K648">
        <v>-1</v>
      </c>
      <c r="L648" t="s">
        <v>464</v>
      </c>
      <c r="M648" s="17">
        <f t="shared" si="84"/>
        <v>-433778.36503450008</v>
      </c>
      <c r="N648" t="s">
        <v>537</v>
      </c>
    </row>
    <row r="649" spans="3:14" x14ac:dyDescent="0.2">
      <c r="C649" t="s">
        <v>278</v>
      </c>
      <c r="D649" s="88">
        <v>1.26824</v>
      </c>
      <c r="E649" t="s">
        <v>381</v>
      </c>
      <c r="F649">
        <v>1.26824</v>
      </c>
      <c r="G649">
        <v>1.26824</v>
      </c>
      <c r="H649">
        <v>3.0602</v>
      </c>
      <c r="I649">
        <v>1.26824</v>
      </c>
      <c r="J649">
        <f>PSI_OC!$A$6</f>
        <v>100</v>
      </c>
      <c r="K649">
        <v>-1</v>
      </c>
      <c r="L649" t="s">
        <v>465</v>
      </c>
      <c r="M649" s="17">
        <f t="shared" si="84"/>
        <v>-733931679.8730129</v>
      </c>
      <c r="N649" t="s">
        <v>537</v>
      </c>
    </row>
    <row r="650" spans="3:14" x14ac:dyDescent="0.2">
      <c r="C650" t="s">
        <v>330</v>
      </c>
      <c r="D650" s="88">
        <v>1.2999999999999999E-4</v>
      </c>
      <c r="E650" t="s">
        <v>382</v>
      </c>
      <c r="F650">
        <v>1.2999999999999999E-4</v>
      </c>
      <c r="G650">
        <v>1.2999999999999999E-4</v>
      </c>
      <c r="H650">
        <v>3.1E-4</v>
      </c>
      <c r="I650">
        <v>1.2999999999999999E-4</v>
      </c>
      <c r="J650">
        <f>PSI_OC!$A$7</f>
        <v>10</v>
      </c>
      <c r="K650">
        <v>-1</v>
      </c>
      <c r="L650" t="s">
        <v>466</v>
      </c>
      <c r="M650" s="17">
        <f t="shared" ref="M650:M690" si="85">((B$585*D650)+(SUM(B$586,B$587,B$590,B$591)*H650)+(B$588*F650)+(B$589*G650)+(B$592*I650))*J650*K650</f>
        <v>-7482.8364185315768</v>
      </c>
      <c r="N650" t="s">
        <v>537</v>
      </c>
    </row>
    <row r="651" spans="3:14" x14ac:dyDescent="0.2">
      <c r="C651" t="s">
        <v>279</v>
      </c>
      <c r="D651" s="88">
        <v>1.2999999999999999E-4</v>
      </c>
      <c r="E651" t="s">
        <v>382</v>
      </c>
      <c r="F651">
        <v>1.2999999999999999E-4</v>
      </c>
      <c r="G651">
        <v>1.2999999999999999E-4</v>
      </c>
      <c r="H651">
        <v>3.1E-4</v>
      </c>
      <c r="I651">
        <v>1.2999999999999999E-4</v>
      </c>
      <c r="J651">
        <f>PSI_OC!$A$7</f>
        <v>10</v>
      </c>
      <c r="K651">
        <v>-1</v>
      </c>
      <c r="L651" t="s">
        <v>466</v>
      </c>
      <c r="M651" s="17">
        <f t="shared" si="85"/>
        <v>-7482.8364185315768</v>
      </c>
      <c r="N651" t="s">
        <v>537</v>
      </c>
    </row>
    <row r="652" spans="3:14" x14ac:dyDescent="0.2">
      <c r="C652" t="s">
        <v>280</v>
      </c>
      <c r="D652" s="88">
        <v>1.2999999999999999E-4</v>
      </c>
      <c r="E652" t="s">
        <v>382</v>
      </c>
      <c r="F652">
        <v>1.2999999999999999E-4</v>
      </c>
      <c r="G652">
        <v>1.2999999999999999E-4</v>
      </c>
      <c r="H652">
        <v>3.0599999999999998E-3</v>
      </c>
      <c r="I652">
        <v>1.2999999999999999E-4</v>
      </c>
      <c r="J652">
        <v>0</v>
      </c>
      <c r="K652">
        <v>0</v>
      </c>
      <c r="L652" t="s">
        <v>466</v>
      </c>
      <c r="M652" s="17">
        <f t="shared" si="85"/>
        <v>0</v>
      </c>
      <c r="N652" t="s">
        <v>537</v>
      </c>
    </row>
    <row r="653" spans="3:14" x14ac:dyDescent="0.2">
      <c r="C653" t="s">
        <v>331</v>
      </c>
      <c r="D653" s="88">
        <v>1.2700000000000001E-3</v>
      </c>
      <c r="E653" t="s">
        <v>383</v>
      </c>
      <c r="F653">
        <v>1.2700000000000001E-3</v>
      </c>
      <c r="G653">
        <v>1.2700000000000001E-3</v>
      </c>
      <c r="H653">
        <v>3.0599999999999998E-3</v>
      </c>
      <c r="I653">
        <v>1.2700000000000001E-3</v>
      </c>
      <c r="J653">
        <v>0</v>
      </c>
      <c r="K653">
        <v>0</v>
      </c>
      <c r="L653" t="s">
        <v>467</v>
      </c>
      <c r="M653" s="17">
        <f t="shared" si="85"/>
        <v>0</v>
      </c>
      <c r="N653" t="s">
        <v>537</v>
      </c>
    </row>
    <row r="654" spans="3:14" x14ac:dyDescent="0.2">
      <c r="C654" t="s">
        <v>281</v>
      </c>
      <c r="D654" s="88">
        <v>1.2999999999999999E-4</v>
      </c>
      <c r="E654" t="s">
        <v>384</v>
      </c>
      <c r="F654">
        <v>1.2999999999999999E-4</v>
      </c>
      <c r="G654">
        <v>1.2999999999999999E-4</v>
      </c>
      <c r="H654">
        <v>3.1E-4</v>
      </c>
      <c r="I654">
        <v>1.2999999999999999E-4</v>
      </c>
      <c r="J654">
        <f>PSI_OC!$A$7</f>
        <v>10</v>
      </c>
      <c r="K654">
        <v>-1</v>
      </c>
      <c r="L654" t="s">
        <v>468</v>
      </c>
      <c r="M654" s="17">
        <f t="shared" si="85"/>
        <v>-7482.8364185315768</v>
      </c>
      <c r="N654" t="s">
        <v>537</v>
      </c>
    </row>
    <row r="655" spans="3:14" x14ac:dyDescent="0.2">
      <c r="C655" t="s">
        <v>282</v>
      </c>
      <c r="D655" s="88">
        <v>0.12681999999999999</v>
      </c>
      <c r="E655" t="s">
        <v>385</v>
      </c>
      <c r="F655">
        <v>0.12681999999999999</v>
      </c>
      <c r="G655">
        <v>0.12681999999999999</v>
      </c>
      <c r="H655">
        <v>0.30602000000000001</v>
      </c>
      <c r="I655">
        <v>0.12681999999999999</v>
      </c>
      <c r="J655">
        <v>0</v>
      </c>
      <c r="K655">
        <v>0</v>
      </c>
      <c r="L655" t="s">
        <v>469</v>
      </c>
      <c r="M655" s="17">
        <f t="shared" si="85"/>
        <v>0</v>
      </c>
      <c r="N655" t="s">
        <v>537</v>
      </c>
    </row>
    <row r="656" spans="3:14" x14ac:dyDescent="0.2">
      <c r="C656" t="s">
        <v>332</v>
      </c>
      <c r="D656" s="88">
        <v>1.268E-2</v>
      </c>
      <c r="E656" t="s">
        <v>386</v>
      </c>
      <c r="F656">
        <v>1.268E-2</v>
      </c>
      <c r="G656">
        <v>1.268E-2</v>
      </c>
      <c r="H656">
        <v>3.0599999999999998E-3</v>
      </c>
      <c r="I656">
        <v>1.268E-2</v>
      </c>
      <c r="J656">
        <v>0</v>
      </c>
      <c r="K656">
        <v>0</v>
      </c>
      <c r="L656" t="s">
        <v>470</v>
      </c>
      <c r="M656" s="17">
        <f t="shared" si="85"/>
        <v>0</v>
      </c>
      <c r="N656" t="s">
        <v>537</v>
      </c>
    </row>
    <row r="657" spans="3:14" x14ac:dyDescent="0.2">
      <c r="C657" t="s">
        <v>283</v>
      </c>
      <c r="D657" s="88">
        <v>1.2700000000000001E-3</v>
      </c>
      <c r="E657" t="s">
        <v>387</v>
      </c>
      <c r="F657">
        <v>1.2700000000000001E-3</v>
      </c>
      <c r="G657">
        <v>1.2700000000000001E-3</v>
      </c>
      <c r="H657">
        <v>3.0599999999999998E-3</v>
      </c>
      <c r="I657">
        <v>1.2700000000000001E-3</v>
      </c>
      <c r="J657">
        <f>PSI_OC!$A$7</f>
        <v>10</v>
      </c>
      <c r="K657">
        <v>-1</v>
      </c>
      <c r="L657" t="s">
        <v>471</v>
      </c>
      <c r="M657" s="17">
        <f t="shared" si="85"/>
        <v>-73446.398025063332</v>
      </c>
      <c r="N657" t="s">
        <v>537</v>
      </c>
    </row>
    <row r="658" spans="3:14" x14ac:dyDescent="0.2">
      <c r="C658" t="s">
        <v>284</v>
      </c>
      <c r="D658" s="88">
        <v>1.2999999999999999E-4</v>
      </c>
      <c r="E658" t="s">
        <v>388</v>
      </c>
      <c r="F658">
        <v>1.2999999999999999E-4</v>
      </c>
      <c r="G658">
        <v>1.2999999999999999E-4</v>
      </c>
      <c r="H658">
        <v>3.0602</v>
      </c>
      <c r="I658">
        <v>1.2999999999999999E-4</v>
      </c>
      <c r="J658">
        <f>PSI_OC!$A$7</f>
        <v>10</v>
      </c>
      <c r="K658">
        <v>-1</v>
      </c>
      <c r="L658" t="s">
        <v>472</v>
      </c>
      <c r="M658" s="17">
        <f t="shared" si="85"/>
        <v>-33464388.550734691</v>
      </c>
      <c r="N658" t="s">
        <v>537</v>
      </c>
    </row>
    <row r="659" spans="3:14" x14ac:dyDescent="0.2">
      <c r="C659" t="s">
        <v>285</v>
      </c>
      <c r="D659" s="88">
        <v>1.2700000000000001E-3</v>
      </c>
      <c r="E659" t="s">
        <v>389</v>
      </c>
      <c r="F659">
        <v>1.2700000000000001E-3</v>
      </c>
      <c r="G659">
        <v>1.2700000000000001E-3</v>
      </c>
      <c r="H659">
        <v>3.0599999999999998E-3</v>
      </c>
      <c r="I659">
        <v>1.2700000000000001E-3</v>
      </c>
      <c r="J659">
        <f>PSI_OC!$A$7</f>
        <v>10</v>
      </c>
      <c r="K659">
        <v>-1</v>
      </c>
      <c r="L659" t="s">
        <v>473</v>
      </c>
      <c r="M659" s="17">
        <f t="shared" si="85"/>
        <v>-73446.398025063332</v>
      </c>
      <c r="N659" t="s">
        <v>537</v>
      </c>
    </row>
    <row r="660" spans="3:14" x14ac:dyDescent="0.2">
      <c r="C660" t="s">
        <v>286</v>
      </c>
      <c r="D660" s="88">
        <v>1.268E-2</v>
      </c>
      <c r="E660" t="s">
        <v>390</v>
      </c>
      <c r="F660">
        <v>1.268E-2</v>
      </c>
      <c r="G660">
        <v>1.268E-2</v>
      </c>
      <c r="H660">
        <v>3.0599999999999998E-3</v>
      </c>
      <c r="I660">
        <v>1.268E-2</v>
      </c>
      <c r="J660">
        <f>PSI_OC!$A$6</f>
        <v>100</v>
      </c>
      <c r="K660">
        <v>-1</v>
      </c>
      <c r="L660" t="s">
        <v>474</v>
      </c>
      <c r="M660" s="17">
        <f t="shared" si="85"/>
        <v>-4327112.6729604518</v>
      </c>
      <c r="N660" t="s">
        <v>537</v>
      </c>
    </row>
    <row r="661" spans="3:14" x14ac:dyDescent="0.2">
      <c r="C661" t="s">
        <v>287</v>
      </c>
      <c r="D661" s="88">
        <v>1.2700000000000001E-3</v>
      </c>
      <c r="E661" t="s">
        <v>391</v>
      </c>
      <c r="F661">
        <v>1.2700000000000001E-3</v>
      </c>
      <c r="G661">
        <v>1.2700000000000001E-3</v>
      </c>
      <c r="H661">
        <v>3.0599999999999998E-3</v>
      </c>
      <c r="I661">
        <v>1.2700000000000001E-3</v>
      </c>
      <c r="J661">
        <f>PSI_OC!$A$6</f>
        <v>100</v>
      </c>
      <c r="K661">
        <v>-1</v>
      </c>
      <c r="L661" t="s">
        <v>475</v>
      </c>
      <c r="M661" s="17">
        <f t="shared" si="85"/>
        <v>-734463.98025063332</v>
      </c>
      <c r="N661" t="s">
        <v>537</v>
      </c>
    </row>
    <row r="662" spans="3:14" x14ac:dyDescent="0.2">
      <c r="C662" t="s">
        <v>288</v>
      </c>
      <c r="D662" s="88">
        <v>1.2700000000000001E-3</v>
      </c>
      <c r="E662" t="s">
        <v>392</v>
      </c>
      <c r="F662">
        <v>1.2700000000000001E-3</v>
      </c>
      <c r="G662">
        <v>1.2700000000000001E-3</v>
      </c>
      <c r="H662">
        <v>3.0599999999999998E-3</v>
      </c>
      <c r="I662">
        <v>1.2700000000000001E-3</v>
      </c>
      <c r="J662">
        <f>PSI_OC!$A$6</f>
        <v>100</v>
      </c>
      <c r="K662">
        <v>-1</v>
      </c>
      <c r="L662" t="s">
        <v>476</v>
      </c>
      <c r="M662" s="17">
        <f t="shared" si="85"/>
        <v>-734463.98025063332</v>
      </c>
      <c r="N662" t="s">
        <v>537</v>
      </c>
    </row>
    <row r="663" spans="3:14" x14ac:dyDescent="0.2">
      <c r="C663" t="s">
        <v>333</v>
      </c>
      <c r="D663" s="88">
        <v>1.2700000000000001E-3</v>
      </c>
      <c r="E663" t="s">
        <v>340</v>
      </c>
      <c r="F663">
        <v>1.2700000000000001E-3</v>
      </c>
      <c r="G663">
        <v>1.2700000000000001E-3</v>
      </c>
      <c r="H663">
        <v>3.0599999999999998E-3</v>
      </c>
      <c r="I663">
        <v>1.2999999999999999E-4</v>
      </c>
      <c r="J663">
        <f>PSI_OC!$A$7</f>
        <v>10</v>
      </c>
      <c r="K663">
        <v>-1</v>
      </c>
      <c r="L663" t="s">
        <v>424</v>
      </c>
      <c r="M663" s="17">
        <f t="shared" si="85"/>
        <v>-44379.000181732612</v>
      </c>
      <c r="N663" t="s">
        <v>537</v>
      </c>
    </row>
    <row r="664" spans="3:14" x14ac:dyDescent="0.2">
      <c r="C664" t="s">
        <v>334</v>
      </c>
      <c r="D664" s="88">
        <v>1.268E-2</v>
      </c>
      <c r="E664" t="s">
        <v>393</v>
      </c>
      <c r="F664">
        <v>1.268E-2</v>
      </c>
      <c r="G664">
        <v>1.268E-2</v>
      </c>
      <c r="H664">
        <v>3.0599999999999999E-2</v>
      </c>
      <c r="I664">
        <v>1.268E-2</v>
      </c>
      <c r="J664">
        <v>0</v>
      </c>
      <c r="K664">
        <v>0</v>
      </c>
      <c r="L664" t="s">
        <v>477</v>
      </c>
      <c r="M664" s="17">
        <f t="shared" si="85"/>
        <v>0</v>
      </c>
      <c r="N664" t="s">
        <v>537</v>
      </c>
    </row>
    <row r="665" spans="3:14" x14ac:dyDescent="0.2">
      <c r="C665" t="s">
        <v>335</v>
      </c>
      <c r="D665" s="88">
        <v>1.2700000000000001E-3</v>
      </c>
      <c r="E665" t="s">
        <v>394</v>
      </c>
      <c r="F665">
        <v>1.2700000000000001E-3</v>
      </c>
      <c r="G665">
        <v>1.2700000000000001E-3</v>
      </c>
      <c r="H665">
        <v>3.0599999999999998E-3</v>
      </c>
      <c r="I665">
        <v>1.2700000000000001E-3</v>
      </c>
      <c r="J665">
        <f>PSI_OC!$A$7</f>
        <v>10</v>
      </c>
      <c r="K665">
        <v>-1</v>
      </c>
      <c r="L665" t="s">
        <v>478</v>
      </c>
      <c r="M665" s="17">
        <f t="shared" si="85"/>
        <v>-73446.398025063332</v>
      </c>
      <c r="N665" t="s">
        <v>537</v>
      </c>
    </row>
    <row r="666" spans="3:14" x14ac:dyDescent="0.2">
      <c r="C666" t="s">
        <v>289</v>
      </c>
      <c r="D666" s="88">
        <v>1.2700000000000001E-3</v>
      </c>
      <c r="E666" t="s">
        <v>395</v>
      </c>
      <c r="F666">
        <v>1.2700000000000001E-3</v>
      </c>
      <c r="G666">
        <v>1.2700000000000001E-3</v>
      </c>
      <c r="H666">
        <v>0.30602000000000001</v>
      </c>
      <c r="I666">
        <v>1.2700000000000001E-3</v>
      </c>
      <c r="J666">
        <f>PSI_OC!$A$7</f>
        <v>10</v>
      </c>
      <c r="K666">
        <v>-1</v>
      </c>
      <c r="L666" t="s">
        <v>479</v>
      </c>
      <c r="M666" s="17">
        <f t="shared" si="85"/>
        <v>-3386017.815693419</v>
      </c>
      <c r="N666" t="s">
        <v>537</v>
      </c>
    </row>
    <row r="667" spans="3:14" x14ac:dyDescent="0.2">
      <c r="C667" t="s">
        <v>290</v>
      </c>
      <c r="D667" s="88">
        <v>1.2999999999999999E-4</v>
      </c>
      <c r="E667" t="s">
        <v>396</v>
      </c>
      <c r="F667">
        <v>1.2999999999999999E-4</v>
      </c>
      <c r="G667">
        <v>1.2999999999999999E-4</v>
      </c>
      <c r="H667">
        <v>3.1E-4</v>
      </c>
      <c r="I667">
        <v>1.2999999999999999E-4</v>
      </c>
      <c r="J667">
        <f>PSI_OC!$A$7</f>
        <v>10</v>
      </c>
      <c r="K667">
        <v>-1</v>
      </c>
      <c r="L667" t="s">
        <v>480</v>
      </c>
      <c r="M667" s="17">
        <f t="shared" si="85"/>
        <v>-7482.8364185315768</v>
      </c>
      <c r="N667" t="s">
        <v>537</v>
      </c>
    </row>
    <row r="668" spans="3:14" x14ac:dyDescent="0.2">
      <c r="C668" t="s">
        <v>291</v>
      </c>
      <c r="D668" s="88">
        <v>1.2999999999999999E-4</v>
      </c>
      <c r="E668" t="s">
        <v>397</v>
      </c>
      <c r="F668">
        <v>1.2999999999999999E-4</v>
      </c>
      <c r="G668">
        <v>1.2999999999999999E-4</v>
      </c>
      <c r="H668">
        <v>3.1E-4</v>
      </c>
      <c r="I668">
        <v>1.2999999999999999E-4</v>
      </c>
      <c r="J668">
        <f>PSI_OC!$A$8</f>
        <v>1</v>
      </c>
      <c r="K668">
        <v>-1</v>
      </c>
      <c r="L668" t="s">
        <v>481</v>
      </c>
      <c r="M668" s="17">
        <f t="shared" si="85"/>
        <v>-748.28364185315763</v>
      </c>
      <c r="N668" t="s">
        <v>537</v>
      </c>
    </row>
    <row r="669" spans="3:14" x14ac:dyDescent="0.2">
      <c r="C669" t="s">
        <v>292</v>
      </c>
      <c r="D669" s="88">
        <v>1.268E-2</v>
      </c>
      <c r="E669" t="s">
        <v>360</v>
      </c>
      <c r="F669">
        <v>1.268E-2</v>
      </c>
      <c r="G669">
        <v>1.268E-2</v>
      </c>
      <c r="H669">
        <v>3.0599999999999998E-3</v>
      </c>
      <c r="I669">
        <v>1.268E-2</v>
      </c>
      <c r="J669">
        <f>PSI_OC!$A$6</f>
        <v>100</v>
      </c>
      <c r="K669">
        <v>-1</v>
      </c>
      <c r="L669" t="s">
        <v>444</v>
      </c>
      <c r="M669" s="17">
        <f t="shared" si="85"/>
        <v>-4327112.6729604518</v>
      </c>
      <c r="N669" t="s">
        <v>537</v>
      </c>
    </row>
    <row r="670" spans="3:14" x14ac:dyDescent="0.2">
      <c r="C670" t="s">
        <v>293</v>
      </c>
      <c r="D670" s="88">
        <v>1.26824</v>
      </c>
      <c r="E670" t="s">
        <v>398</v>
      </c>
      <c r="F670">
        <v>1.26824</v>
      </c>
      <c r="G670">
        <v>1.26824</v>
      </c>
      <c r="H670">
        <v>3.0599999999999998E-3</v>
      </c>
      <c r="I670">
        <v>1.26824</v>
      </c>
      <c r="J670">
        <f>PSI_OC!$A$7</f>
        <v>10</v>
      </c>
      <c r="K670">
        <v>-1</v>
      </c>
      <c r="L670" t="s">
        <v>482</v>
      </c>
      <c r="M670" s="17">
        <f t="shared" si="85"/>
        <v>-39966330.834506735</v>
      </c>
      <c r="N670" t="s">
        <v>537</v>
      </c>
    </row>
    <row r="671" spans="3:14" x14ac:dyDescent="0.2">
      <c r="C671" t="s">
        <v>294</v>
      </c>
      <c r="D671" s="88">
        <v>1.2999999999999999E-4</v>
      </c>
      <c r="E671" t="s">
        <v>399</v>
      </c>
      <c r="F671">
        <v>1.2999999999999999E-4</v>
      </c>
      <c r="G671">
        <v>1.2999999999999999E-4</v>
      </c>
      <c r="H671">
        <v>3.1E-4</v>
      </c>
      <c r="I671">
        <v>1.2999999999999999E-4</v>
      </c>
      <c r="J671">
        <f>PSI_OC!$A$8</f>
        <v>1</v>
      </c>
      <c r="K671">
        <v>-1</v>
      </c>
      <c r="L671" t="s">
        <v>483</v>
      </c>
      <c r="M671" s="17">
        <f t="shared" si="85"/>
        <v>-748.28364185315763</v>
      </c>
      <c r="N671" t="s">
        <v>537</v>
      </c>
    </row>
    <row r="672" spans="3:14" x14ac:dyDescent="0.2">
      <c r="C672" t="s">
        <v>336</v>
      </c>
      <c r="D672" s="88">
        <v>1.2700000000000001E-3</v>
      </c>
      <c r="E672" t="s">
        <v>400</v>
      </c>
      <c r="F672">
        <v>1.2700000000000001E-3</v>
      </c>
      <c r="G672">
        <v>1.2700000000000001E-3</v>
      </c>
      <c r="H672">
        <v>0</v>
      </c>
      <c r="I672">
        <v>1.2700000000000001E-3</v>
      </c>
      <c r="J672">
        <f>PSI_OC!$A$6</f>
        <v>100</v>
      </c>
      <c r="K672">
        <v>-1</v>
      </c>
      <c r="L672" t="s">
        <v>484</v>
      </c>
      <c r="M672" s="17">
        <f t="shared" si="85"/>
        <v>-399882.89568286319</v>
      </c>
      <c r="N672" t="s">
        <v>537</v>
      </c>
    </row>
    <row r="673" spans="3:14" x14ac:dyDescent="0.2">
      <c r="C673" t="s">
        <v>295</v>
      </c>
      <c r="D673" s="88">
        <v>1.2999999999999999E-4</v>
      </c>
      <c r="E673" t="s">
        <v>401</v>
      </c>
      <c r="F673">
        <v>1.2999999999999999E-4</v>
      </c>
      <c r="G673">
        <v>1.2999999999999999E-4</v>
      </c>
      <c r="H673">
        <v>3.1E-4</v>
      </c>
      <c r="I673">
        <v>1.2999999999999999E-4</v>
      </c>
      <c r="J673">
        <f>PSI_OC!$A$6</f>
        <v>100</v>
      </c>
      <c r="K673">
        <v>-1</v>
      </c>
      <c r="L673" t="s">
        <v>485</v>
      </c>
      <c r="M673" s="17">
        <f t="shared" si="85"/>
        <v>-74828.364185315761</v>
      </c>
      <c r="N673" t="s">
        <v>537</v>
      </c>
    </row>
    <row r="674" spans="3:14" x14ac:dyDescent="0.2">
      <c r="C674" t="s">
        <v>296</v>
      </c>
      <c r="D674" s="88">
        <v>1.26824</v>
      </c>
      <c r="E674" t="s">
        <v>402</v>
      </c>
      <c r="F674">
        <v>1.26824</v>
      </c>
      <c r="G674">
        <v>1.26824</v>
      </c>
      <c r="H674">
        <v>3.0599999999999998E-3</v>
      </c>
      <c r="I674">
        <v>1.26824</v>
      </c>
      <c r="J674">
        <f>PSI_OC!$A$7</f>
        <v>10</v>
      </c>
      <c r="K674">
        <v>-1</v>
      </c>
      <c r="L674" t="s">
        <v>486</v>
      </c>
      <c r="M674" s="17">
        <f t="shared" si="85"/>
        <v>-39966330.834506735</v>
      </c>
      <c r="N674" t="s">
        <v>537</v>
      </c>
    </row>
    <row r="675" spans="3:14" x14ac:dyDescent="0.2">
      <c r="C675" t="s">
        <v>297</v>
      </c>
      <c r="D675" s="88">
        <v>1.2999999999999999E-4</v>
      </c>
      <c r="E675" t="s">
        <v>403</v>
      </c>
      <c r="F675">
        <v>1.2999999999999999E-4</v>
      </c>
      <c r="G675">
        <v>1.2999999999999999E-4</v>
      </c>
      <c r="H675">
        <v>3.0599999999999998E-3</v>
      </c>
      <c r="I675">
        <v>1.2999999999999999E-4</v>
      </c>
      <c r="J675">
        <f>PSI_OC!$A$7</f>
        <v>10</v>
      </c>
      <c r="K675">
        <v>-1</v>
      </c>
      <c r="L675" t="s">
        <v>487</v>
      </c>
      <c r="M675" s="17">
        <f t="shared" si="85"/>
        <v>-37551.397940144918</v>
      </c>
      <c r="N675" t="s">
        <v>537</v>
      </c>
    </row>
    <row r="676" spans="3:14" x14ac:dyDescent="0.2">
      <c r="C676" t="s">
        <v>298</v>
      </c>
      <c r="D676" s="88">
        <v>1.2700000000000001E-3</v>
      </c>
      <c r="E676" t="s">
        <v>394</v>
      </c>
      <c r="F676">
        <v>1.2999999999999999E-4</v>
      </c>
      <c r="G676">
        <v>1.2999999999999999E-4</v>
      </c>
      <c r="H676">
        <v>3.0599999999999998E-3</v>
      </c>
      <c r="I676">
        <v>1.2999999999999999E-4</v>
      </c>
      <c r="J676">
        <f>PSI_OC!$A$7</f>
        <v>10</v>
      </c>
      <c r="K676">
        <v>-1</v>
      </c>
      <c r="L676" t="s">
        <v>478</v>
      </c>
      <c r="M676" s="17">
        <f t="shared" si="85"/>
        <v>-37706.395122916176</v>
      </c>
      <c r="N676" t="s">
        <v>537</v>
      </c>
    </row>
    <row r="677" spans="3:14" x14ac:dyDescent="0.2">
      <c r="C677" t="s">
        <v>299</v>
      </c>
      <c r="D677" s="88">
        <v>1.2999999999999999E-4</v>
      </c>
      <c r="E677" t="s">
        <v>404</v>
      </c>
      <c r="F677">
        <v>1.2999999999999999E-4</v>
      </c>
      <c r="G677">
        <v>1.2999999999999999E-4</v>
      </c>
      <c r="H677">
        <v>0.30602000000000001</v>
      </c>
      <c r="I677">
        <v>1.2999999999999999E-4</v>
      </c>
      <c r="J677">
        <f>PSI_OC!$A$7</f>
        <v>10</v>
      </c>
      <c r="K677">
        <v>-1</v>
      </c>
      <c r="L677" t="s">
        <v>488</v>
      </c>
      <c r="M677" s="17">
        <f t="shared" si="85"/>
        <v>-3350122.8156085005</v>
      </c>
      <c r="N677" t="s">
        <v>537</v>
      </c>
    </row>
    <row r="678" spans="3:14" x14ac:dyDescent="0.2">
      <c r="C678" t="s">
        <v>300</v>
      </c>
      <c r="D678" s="88">
        <v>0.12681999999999999</v>
      </c>
      <c r="E678" t="s">
        <v>405</v>
      </c>
      <c r="F678">
        <v>0.12681999999999999</v>
      </c>
      <c r="G678">
        <v>0.12681999999999999</v>
      </c>
      <c r="H678">
        <v>3.0599999999999998E-3</v>
      </c>
      <c r="I678">
        <v>0.12681999999999999</v>
      </c>
      <c r="J678">
        <f>PSI_OC!$A$7</f>
        <v>10</v>
      </c>
      <c r="K678">
        <v>-1</v>
      </c>
      <c r="L678" t="s">
        <v>489</v>
      </c>
      <c r="M678" s="17">
        <f t="shared" si="85"/>
        <v>-4026619.4336930527</v>
      </c>
      <c r="N678" t="s">
        <v>537</v>
      </c>
    </row>
    <row r="679" spans="3:14" x14ac:dyDescent="0.2">
      <c r="C679" t="s">
        <v>301</v>
      </c>
      <c r="D679" s="88">
        <v>1.2700000000000001E-3</v>
      </c>
      <c r="E679" t="s">
        <v>406</v>
      </c>
      <c r="F679">
        <v>1.2700000000000001E-3</v>
      </c>
      <c r="G679">
        <v>1.2700000000000001E-3</v>
      </c>
      <c r="H679">
        <v>0.30602000000000001</v>
      </c>
      <c r="I679">
        <v>1.2700000000000001E-3</v>
      </c>
      <c r="J679">
        <f>PSI_OC!$A$6</f>
        <v>100</v>
      </c>
      <c r="K679">
        <v>-1</v>
      </c>
      <c r="L679" t="s">
        <v>490</v>
      </c>
      <c r="M679" s="17">
        <f t="shared" si="85"/>
        <v>-33860178.156934187</v>
      </c>
      <c r="N679" t="s">
        <v>537</v>
      </c>
    </row>
    <row r="680" spans="3:14" x14ac:dyDescent="0.2">
      <c r="C680" t="s">
        <v>302</v>
      </c>
      <c r="D680" s="88">
        <v>1.2700000000000001E-3</v>
      </c>
      <c r="E680" t="s">
        <v>407</v>
      </c>
      <c r="F680">
        <v>1.2700000000000001E-3</v>
      </c>
      <c r="G680">
        <v>1.2700000000000001E-3</v>
      </c>
      <c r="H680">
        <v>3.0599999999999998E-3</v>
      </c>
      <c r="I680">
        <v>1.2700000000000001E-3</v>
      </c>
      <c r="J680">
        <f>PSI_OC!$A$6</f>
        <v>100</v>
      </c>
      <c r="K680">
        <v>-1</v>
      </c>
      <c r="L680" t="s">
        <v>491</v>
      </c>
      <c r="M680" s="17">
        <f t="shared" si="85"/>
        <v>-734463.98025063332</v>
      </c>
      <c r="N680" t="s">
        <v>537</v>
      </c>
    </row>
    <row r="681" spans="3:14" x14ac:dyDescent="0.2">
      <c r="C681" t="s">
        <v>303</v>
      </c>
      <c r="D681" s="88">
        <v>1.2700000000000001E-3</v>
      </c>
      <c r="E681" t="s">
        <v>408</v>
      </c>
      <c r="F681">
        <v>1.2700000000000001E-3</v>
      </c>
      <c r="G681">
        <v>1.2700000000000001E-3</v>
      </c>
      <c r="H681">
        <v>3.0599999999999998E-3</v>
      </c>
      <c r="I681">
        <v>1.2700000000000001E-3</v>
      </c>
      <c r="J681">
        <f>PSI_OC!$A$7</f>
        <v>10</v>
      </c>
      <c r="K681">
        <v>-1</v>
      </c>
      <c r="L681" t="s">
        <v>492</v>
      </c>
      <c r="M681" s="17">
        <f t="shared" si="85"/>
        <v>-73446.398025063332</v>
      </c>
      <c r="N681" t="s">
        <v>537</v>
      </c>
    </row>
    <row r="682" spans="3:14" x14ac:dyDescent="0.2">
      <c r="C682" t="s">
        <v>304</v>
      </c>
      <c r="D682" s="88">
        <v>1.26824</v>
      </c>
      <c r="E682" t="s">
        <v>409</v>
      </c>
      <c r="F682">
        <v>1.26824</v>
      </c>
      <c r="G682">
        <v>1.26824</v>
      </c>
      <c r="H682">
        <v>3.0602</v>
      </c>
      <c r="I682">
        <v>1.26824</v>
      </c>
      <c r="J682">
        <f>PSI_OC!$A$6</f>
        <v>100</v>
      </c>
      <c r="K682">
        <v>-1</v>
      </c>
      <c r="L682" t="s">
        <v>493</v>
      </c>
      <c r="M682" s="17">
        <f t="shared" si="85"/>
        <v>-733931679.8730129</v>
      </c>
      <c r="N682" t="s">
        <v>537</v>
      </c>
    </row>
    <row r="683" spans="3:14" x14ac:dyDescent="0.2">
      <c r="C683" t="s">
        <v>305</v>
      </c>
      <c r="D683" s="88">
        <v>1.2700000000000001E-3</v>
      </c>
      <c r="E683" t="s">
        <v>410</v>
      </c>
      <c r="F683">
        <v>1.2700000000000001E-3</v>
      </c>
      <c r="G683">
        <v>1.2700000000000001E-3</v>
      </c>
      <c r="H683">
        <v>3.0599999999999998E-3</v>
      </c>
      <c r="I683">
        <v>1.2700000000000001E-3</v>
      </c>
      <c r="J683">
        <f>PSI_OC!$A$7</f>
        <v>10</v>
      </c>
      <c r="K683">
        <v>-1</v>
      </c>
      <c r="L683" t="s">
        <v>494</v>
      </c>
      <c r="M683" s="17">
        <f t="shared" si="85"/>
        <v>-73446.398025063332</v>
      </c>
      <c r="N683" t="s">
        <v>537</v>
      </c>
    </row>
    <row r="684" spans="3:14" x14ac:dyDescent="0.2">
      <c r="C684" t="s">
        <v>306</v>
      </c>
      <c r="D684" s="88">
        <v>1.2700000000000001E-3</v>
      </c>
      <c r="E684" t="s">
        <v>411</v>
      </c>
      <c r="F684">
        <v>1.2700000000000001E-3</v>
      </c>
      <c r="G684">
        <v>1.2700000000000001E-3</v>
      </c>
      <c r="H684">
        <v>3.0599999999999998E-3</v>
      </c>
      <c r="I684">
        <v>1.2700000000000001E-3</v>
      </c>
      <c r="J684">
        <f>PSI_OC!$A$8</f>
        <v>1</v>
      </c>
      <c r="K684">
        <v>-1</v>
      </c>
      <c r="L684" t="s">
        <v>495</v>
      </c>
      <c r="M684" s="17">
        <f t="shared" si="85"/>
        <v>-7344.6398025063336</v>
      </c>
      <c r="N684" t="s">
        <v>537</v>
      </c>
    </row>
    <row r="685" spans="3:14" x14ac:dyDescent="0.2">
      <c r="C685" t="s">
        <v>307</v>
      </c>
      <c r="D685" s="88">
        <v>1.2700000000000001E-3</v>
      </c>
      <c r="E685" t="s">
        <v>411</v>
      </c>
      <c r="F685">
        <v>1.2700000000000001E-3</v>
      </c>
      <c r="G685">
        <v>1.2700000000000001E-3</v>
      </c>
      <c r="H685">
        <v>3.0599999999999998E-3</v>
      </c>
      <c r="I685">
        <v>1.2700000000000001E-3</v>
      </c>
      <c r="J685">
        <f>PSI_OC!$A$8</f>
        <v>1</v>
      </c>
      <c r="K685">
        <v>-1</v>
      </c>
      <c r="L685" t="s">
        <v>495</v>
      </c>
      <c r="M685" s="17">
        <f t="shared" si="85"/>
        <v>-7344.6398025063336</v>
      </c>
      <c r="N685" t="s">
        <v>537</v>
      </c>
    </row>
    <row r="686" spans="3:14" x14ac:dyDescent="0.2">
      <c r="C686" t="s">
        <v>337</v>
      </c>
      <c r="D686" s="88">
        <v>0.12681999999999999</v>
      </c>
      <c r="E686" t="s">
        <v>412</v>
      </c>
      <c r="F686">
        <v>0.12681999999999999</v>
      </c>
      <c r="G686">
        <v>0.12681999999999999</v>
      </c>
      <c r="H686">
        <v>3.0599999999999998E-3</v>
      </c>
      <c r="I686">
        <v>0.12681999999999999</v>
      </c>
      <c r="J686">
        <v>0</v>
      </c>
      <c r="K686">
        <v>0</v>
      </c>
      <c r="L686" t="s">
        <v>496</v>
      </c>
      <c r="M686" s="17">
        <f t="shared" si="85"/>
        <v>0</v>
      </c>
      <c r="N686" t="s">
        <v>537</v>
      </c>
    </row>
    <row r="687" spans="3:14" x14ac:dyDescent="0.2">
      <c r="C687" t="s">
        <v>308</v>
      </c>
      <c r="D687" s="88">
        <v>1.2700000000000001E-3</v>
      </c>
      <c r="E687" t="s">
        <v>413</v>
      </c>
      <c r="F687">
        <v>1.2700000000000001E-3</v>
      </c>
      <c r="G687">
        <v>1.2700000000000001E-3</v>
      </c>
      <c r="H687">
        <v>3.0599999999999998E-3</v>
      </c>
      <c r="I687">
        <v>1.2700000000000001E-3</v>
      </c>
      <c r="J687">
        <f>PSI_OC!$A$7</f>
        <v>10</v>
      </c>
      <c r="K687">
        <v>-1</v>
      </c>
      <c r="L687" t="s">
        <v>497</v>
      </c>
      <c r="M687" s="17">
        <f t="shared" si="85"/>
        <v>-73446.398025063332</v>
      </c>
      <c r="N687" t="s">
        <v>537</v>
      </c>
    </row>
    <row r="688" spans="3:14" x14ac:dyDescent="0.2">
      <c r="C688" t="s">
        <v>309</v>
      </c>
      <c r="D688" s="88">
        <v>1.2700000000000001E-3</v>
      </c>
      <c r="E688" t="s">
        <v>413</v>
      </c>
      <c r="F688">
        <v>1.2700000000000001E-3</v>
      </c>
      <c r="G688">
        <v>1.2700000000000001E-3</v>
      </c>
      <c r="H688">
        <v>3.0599999999999998E-3</v>
      </c>
      <c r="I688">
        <v>1.2700000000000001E-3</v>
      </c>
      <c r="J688">
        <f>PSI_OC!$A$7</f>
        <v>10</v>
      </c>
      <c r="K688">
        <v>-1</v>
      </c>
      <c r="L688" t="s">
        <v>497</v>
      </c>
      <c r="M688" s="17">
        <f t="shared" si="85"/>
        <v>-73446.398025063332</v>
      </c>
      <c r="N688" t="s">
        <v>537</v>
      </c>
    </row>
    <row r="689" spans="1:16" x14ac:dyDescent="0.2">
      <c r="C689" t="s">
        <v>310</v>
      </c>
      <c r="D689" s="88">
        <v>1.2700000000000001E-3</v>
      </c>
      <c r="E689" t="s">
        <v>413</v>
      </c>
      <c r="F689">
        <v>1.2700000000000001E-3</v>
      </c>
      <c r="G689">
        <v>1.2700000000000001E-3</v>
      </c>
      <c r="H689">
        <v>3.0599999999999998E-3</v>
      </c>
      <c r="I689">
        <v>1.2700000000000001E-3</v>
      </c>
      <c r="J689">
        <v>0</v>
      </c>
      <c r="K689">
        <v>0</v>
      </c>
      <c r="L689" t="s">
        <v>497</v>
      </c>
      <c r="M689" s="17">
        <f t="shared" si="85"/>
        <v>0</v>
      </c>
      <c r="N689" t="s">
        <v>537</v>
      </c>
    </row>
    <row r="690" spans="1:16" x14ac:dyDescent="0.2">
      <c r="C690" t="s">
        <v>311</v>
      </c>
      <c r="D690" s="88">
        <v>1.2700000000000001E-3</v>
      </c>
      <c r="E690" t="s">
        <v>414</v>
      </c>
      <c r="F690">
        <v>1.2700000000000001E-3</v>
      </c>
      <c r="G690">
        <v>1.2700000000000001E-3</v>
      </c>
      <c r="H690">
        <v>3.1E-4</v>
      </c>
      <c r="I690">
        <v>1.2700000000000001E-3</v>
      </c>
      <c r="J690">
        <f>PSI_OC!$A$7</f>
        <v>10</v>
      </c>
      <c r="K690">
        <v>-1</v>
      </c>
      <c r="L690" t="s">
        <v>498</v>
      </c>
      <c r="M690" s="17">
        <f t="shared" si="85"/>
        <v>-43377.836503450009</v>
      </c>
      <c r="N690" t="s">
        <v>537</v>
      </c>
    </row>
    <row r="694" spans="1:16" ht="22" customHeight="1" x14ac:dyDescent="0.2">
      <c r="A694" s="365" t="s">
        <v>71</v>
      </c>
      <c r="B694" s="366"/>
      <c r="C694" s="366"/>
      <c r="D694" s="366"/>
      <c r="E694" s="366"/>
      <c r="F694" s="366"/>
      <c r="G694" s="366"/>
      <c r="H694" s="366"/>
      <c r="I694" s="366"/>
      <c r="J694" s="366"/>
      <c r="K694" s="366"/>
      <c r="L694" s="366"/>
      <c r="M694" s="366"/>
      <c r="N694" s="366"/>
      <c r="O694" s="366"/>
      <c r="P694" s="366"/>
    </row>
    <row r="695" spans="1:16" ht="15" customHeight="1" x14ac:dyDescent="0.2">
      <c r="A695" s="367"/>
      <c r="B695" s="368"/>
      <c r="C695" s="368"/>
      <c r="D695" s="368"/>
      <c r="E695" s="368"/>
      <c r="F695" s="368"/>
      <c r="G695" s="368"/>
      <c r="H695" s="368"/>
      <c r="I695" s="368"/>
      <c r="J695" s="368"/>
      <c r="K695" s="368"/>
      <c r="L695" s="368"/>
      <c r="M695" s="368"/>
      <c r="N695" s="368"/>
      <c r="O695" s="368"/>
      <c r="P695" s="368"/>
    </row>
    <row r="696" spans="1:16" ht="16" customHeight="1" x14ac:dyDescent="0.2">
      <c r="A696" s="358" t="s">
        <v>8</v>
      </c>
      <c r="B696" s="363" t="s">
        <v>1022</v>
      </c>
      <c r="C696" s="327" t="s">
        <v>503</v>
      </c>
      <c r="D696" s="364"/>
      <c r="E696" s="364"/>
      <c r="F696" s="79" t="s">
        <v>512</v>
      </c>
      <c r="G696" s="79" t="s">
        <v>10</v>
      </c>
      <c r="H696" s="78" t="s">
        <v>507</v>
      </c>
      <c r="I696" s="79" t="s">
        <v>50</v>
      </c>
      <c r="J696" s="328" t="s">
        <v>421</v>
      </c>
      <c r="K696" s="329"/>
      <c r="L696" s="330"/>
      <c r="M696" s="334" t="s">
        <v>28</v>
      </c>
      <c r="N696" s="335"/>
      <c r="O696" s="338" t="s">
        <v>420</v>
      </c>
      <c r="P696" s="339"/>
    </row>
    <row r="697" spans="1:16" x14ac:dyDescent="0.2">
      <c r="A697" s="358"/>
      <c r="B697" s="363"/>
      <c r="C697" s="92" t="s">
        <v>502</v>
      </c>
      <c r="D697" s="61"/>
      <c r="E697" s="61"/>
      <c r="F697" s="87" t="s">
        <v>509</v>
      </c>
      <c r="G697" s="90" t="s">
        <v>513</v>
      </c>
      <c r="H697" s="89" t="s">
        <v>506</v>
      </c>
      <c r="I697" s="87" t="s">
        <v>508</v>
      </c>
      <c r="J697" s="331"/>
      <c r="K697" s="332"/>
      <c r="L697" s="333"/>
      <c r="M697" s="336"/>
      <c r="N697" s="337"/>
      <c r="O697" s="340"/>
      <c r="P697" s="341"/>
    </row>
    <row r="698" spans="1:16" x14ac:dyDescent="0.2">
      <c r="A698" s="358"/>
      <c r="B698" s="363"/>
      <c r="C698" s="67" t="s">
        <v>317</v>
      </c>
      <c r="D698" s="58" t="s">
        <v>319</v>
      </c>
      <c r="E698" s="58" t="s">
        <v>5</v>
      </c>
      <c r="F698" s="58" t="s">
        <v>319</v>
      </c>
      <c r="G698" s="58" t="s">
        <v>319</v>
      </c>
      <c r="H698" s="58" t="s">
        <v>319</v>
      </c>
      <c r="I698" s="58" t="s">
        <v>319</v>
      </c>
      <c r="J698" s="64" t="s">
        <v>0</v>
      </c>
      <c r="K698" s="64" t="s">
        <v>499</v>
      </c>
      <c r="L698" s="64" t="s">
        <v>5</v>
      </c>
      <c r="M698" s="64" t="s">
        <v>0</v>
      </c>
      <c r="N698" s="58" t="s">
        <v>5</v>
      </c>
      <c r="O698" s="64" t="s">
        <v>0</v>
      </c>
      <c r="P698" s="58" t="s">
        <v>5</v>
      </c>
    </row>
    <row r="699" spans="1:16" ht="16" x14ac:dyDescent="0.2">
      <c r="A699" s="81" t="s">
        <v>57</v>
      </c>
      <c r="B699" s="82">
        <v>78852.044933793557</v>
      </c>
      <c r="C699" t="s">
        <v>225</v>
      </c>
      <c r="D699" s="88">
        <v>1.2999999999999999E-4</v>
      </c>
      <c r="E699" t="s">
        <v>338</v>
      </c>
      <c r="F699">
        <v>1.2999999999999999E-4</v>
      </c>
      <c r="G699">
        <v>1.2999999999999999E-4</v>
      </c>
      <c r="H699">
        <v>3.1E-4</v>
      </c>
      <c r="I699">
        <v>1.2999999999999999E-4</v>
      </c>
      <c r="J699">
        <f>PSI_OC!$A$6</f>
        <v>100</v>
      </c>
      <c r="K699">
        <v>-1</v>
      </c>
      <c r="L699" t="s">
        <v>422</v>
      </c>
      <c r="M699" s="17">
        <f>((B$699*D699)+(SUM(B$700,B$701,B$704,B$705)*H699)+(B$702*F699)+(B$703*G699)+(B$706*I699))*J699*K699</f>
        <v>-667109.0852240161</v>
      </c>
      <c r="N699" t="s">
        <v>537</v>
      </c>
      <c r="O699" s="69">
        <f>SUM(M699:M804)</f>
        <v>-4162176804.8805318</v>
      </c>
      <c r="P699" t="s">
        <v>537</v>
      </c>
    </row>
    <row r="700" spans="1:16" ht="16" x14ac:dyDescent="0.2">
      <c r="A700" s="81" t="s">
        <v>83</v>
      </c>
      <c r="B700" s="82">
        <v>112340.63789839575</v>
      </c>
      <c r="C700" t="s">
        <v>226</v>
      </c>
      <c r="D700" s="88">
        <v>1.2999999999999999E-4</v>
      </c>
      <c r="E700" t="s">
        <v>339</v>
      </c>
      <c r="F700">
        <v>1.2999999999999999E-4</v>
      </c>
      <c r="G700">
        <v>1.2999999999999999E-4</v>
      </c>
      <c r="H700">
        <v>3.1E-4</v>
      </c>
      <c r="I700">
        <v>1.2999999999999999E-4</v>
      </c>
      <c r="J700">
        <f>PSI_OC!$A$7</f>
        <v>10</v>
      </c>
      <c r="K700">
        <v>-1</v>
      </c>
      <c r="L700" t="s">
        <v>423</v>
      </c>
      <c r="M700" s="17">
        <f t="shared" ref="M700:M763" si="86">((B$585*D700)+(SUM(B$586,B$587,B$590,B$591)*H700)+(B$588*F700)+(B$589*G700)+(B$592*I700))*J700*K700</f>
        <v>-7482.8364185315768</v>
      </c>
      <c r="N700" t="s">
        <v>537</v>
      </c>
    </row>
    <row r="701" spans="1:16" ht="16" x14ac:dyDescent="0.2">
      <c r="A701" s="81" t="s">
        <v>84</v>
      </c>
      <c r="B701" s="82">
        <v>2539.7795703260531</v>
      </c>
      <c r="C701" t="s">
        <v>227</v>
      </c>
      <c r="D701" s="88">
        <v>1.2700000000000001E-3</v>
      </c>
      <c r="E701" t="s">
        <v>340</v>
      </c>
      <c r="F701">
        <v>1.2700000000000001E-3</v>
      </c>
      <c r="G701">
        <v>1.2700000000000001E-3</v>
      </c>
      <c r="H701">
        <v>3.0599999999999998E-3</v>
      </c>
      <c r="I701">
        <v>1.2700000000000001E-3</v>
      </c>
      <c r="J701">
        <f>PSI_OC!$A$7</f>
        <v>10</v>
      </c>
      <c r="K701">
        <v>-1</v>
      </c>
      <c r="L701" t="s">
        <v>424</v>
      </c>
      <c r="M701" s="17">
        <f t="shared" si="86"/>
        <v>-73446.398025063332</v>
      </c>
      <c r="N701" t="s">
        <v>537</v>
      </c>
    </row>
    <row r="702" spans="1:16" ht="16" x14ac:dyDescent="0.2">
      <c r="A702" s="51" t="s">
        <v>46</v>
      </c>
      <c r="B702" s="82">
        <v>3463613.1144891521</v>
      </c>
      <c r="C702" t="s">
        <v>228</v>
      </c>
      <c r="D702" s="88">
        <v>0.12681999999999999</v>
      </c>
      <c r="E702" t="s">
        <v>341</v>
      </c>
      <c r="F702">
        <v>0.12681999999999999</v>
      </c>
      <c r="G702">
        <v>0.12681999999999999</v>
      </c>
      <c r="H702">
        <v>3.0599999999999998E-3</v>
      </c>
      <c r="I702">
        <v>0.12681999999999999</v>
      </c>
      <c r="J702">
        <f>PSI_OC!$A$7</f>
        <v>10</v>
      </c>
      <c r="K702">
        <v>-1</v>
      </c>
      <c r="L702" t="s">
        <v>425</v>
      </c>
      <c r="M702" s="17">
        <f t="shared" si="86"/>
        <v>-4026619.4336930527</v>
      </c>
      <c r="N702" t="s">
        <v>537</v>
      </c>
    </row>
    <row r="703" spans="1:16" ht="16" x14ac:dyDescent="0.2">
      <c r="A703" s="51" t="s">
        <v>47</v>
      </c>
      <c r="B703" s="82">
        <v>4434407.6150427619</v>
      </c>
      <c r="C703" t="s">
        <v>229</v>
      </c>
      <c r="D703" s="88">
        <v>1.268E-2</v>
      </c>
      <c r="E703" t="s">
        <v>342</v>
      </c>
      <c r="F703">
        <v>1.268E-2</v>
      </c>
      <c r="G703">
        <v>1.268E-2</v>
      </c>
      <c r="H703">
        <v>3.0599999999999998E-3</v>
      </c>
      <c r="I703">
        <v>1.268E-2</v>
      </c>
      <c r="J703">
        <f>PSI_OC!$A$6</f>
        <v>100</v>
      </c>
      <c r="K703">
        <v>-1</v>
      </c>
      <c r="L703" t="s">
        <v>426</v>
      </c>
      <c r="M703" s="17">
        <f t="shared" si="86"/>
        <v>-4327112.6729604518</v>
      </c>
      <c r="N703" t="s">
        <v>537</v>
      </c>
    </row>
    <row r="704" spans="1:16" ht="16" x14ac:dyDescent="0.2">
      <c r="A704" s="51" t="s">
        <v>48</v>
      </c>
      <c r="B704" s="82">
        <v>32001.963734722398</v>
      </c>
      <c r="C704" t="s">
        <v>230</v>
      </c>
      <c r="D704" s="88">
        <v>0.12681999999999999</v>
      </c>
      <c r="E704" t="s">
        <v>343</v>
      </c>
      <c r="F704">
        <v>0.12681999999999999</v>
      </c>
      <c r="G704">
        <v>0.12681999999999999</v>
      </c>
      <c r="H704">
        <v>3.0602</v>
      </c>
      <c r="I704">
        <v>0.12681999999999999</v>
      </c>
      <c r="J704">
        <f>PSI_OC!$A$6</f>
        <v>100</v>
      </c>
      <c r="K704">
        <v>-1</v>
      </c>
      <c r="L704" t="s">
        <v>427</v>
      </c>
      <c r="M704" s="17">
        <f t="shared" si="86"/>
        <v>-374534565.86487603</v>
      </c>
      <c r="N704" t="s">
        <v>537</v>
      </c>
    </row>
    <row r="705" spans="1:14" ht="16" x14ac:dyDescent="0.2">
      <c r="A705" s="51" t="s">
        <v>41</v>
      </c>
      <c r="B705" s="82">
        <v>8805265.4490017258</v>
      </c>
      <c r="C705" t="s">
        <v>231</v>
      </c>
      <c r="D705" s="88">
        <v>0.12681999999999999</v>
      </c>
      <c r="E705" t="s">
        <v>344</v>
      </c>
      <c r="F705">
        <v>1.26824</v>
      </c>
      <c r="G705">
        <v>0.12681999999999999</v>
      </c>
      <c r="H705">
        <v>3.0599999999999998E-3</v>
      </c>
      <c r="I705">
        <v>1.26824</v>
      </c>
      <c r="J705">
        <f>PSI_OC!$A$7</f>
        <v>10</v>
      </c>
      <c r="K705">
        <v>-1</v>
      </c>
      <c r="L705" t="s">
        <v>428</v>
      </c>
      <c r="M705" s="17">
        <f t="shared" si="86"/>
        <v>-34174733.64942687</v>
      </c>
      <c r="N705" t="s">
        <v>537</v>
      </c>
    </row>
    <row r="706" spans="1:14" ht="16" x14ac:dyDescent="0.2">
      <c r="A706" s="51" t="s">
        <v>40</v>
      </c>
      <c r="B706" s="82">
        <v>21991781.263046268</v>
      </c>
      <c r="C706" t="s">
        <v>232</v>
      </c>
      <c r="D706" s="88">
        <v>1.2999999999999999E-4</v>
      </c>
      <c r="E706" t="s">
        <v>345</v>
      </c>
      <c r="F706">
        <v>1.2999999999999999E-4</v>
      </c>
      <c r="G706">
        <v>1.2999999999999999E-4</v>
      </c>
      <c r="H706">
        <v>3.1E-4</v>
      </c>
      <c r="I706">
        <v>1.2999999999999999E-4</v>
      </c>
      <c r="J706">
        <f>PSI_OC!$A$7</f>
        <v>10</v>
      </c>
      <c r="K706">
        <v>-1</v>
      </c>
      <c r="L706" t="s">
        <v>429</v>
      </c>
      <c r="M706" s="17">
        <f t="shared" si="86"/>
        <v>-7482.8364185315768</v>
      </c>
      <c r="N706" t="s">
        <v>537</v>
      </c>
    </row>
    <row r="707" spans="1:14" x14ac:dyDescent="0.2">
      <c r="A707" s="1" t="s">
        <v>9</v>
      </c>
      <c r="B707" s="82">
        <v>38920801.867717147</v>
      </c>
      <c r="C707" t="s">
        <v>233</v>
      </c>
      <c r="D707" s="88">
        <v>1.2999999999999999E-4</v>
      </c>
      <c r="E707" t="s">
        <v>345</v>
      </c>
      <c r="F707">
        <v>1.2999999999999999E-4</v>
      </c>
      <c r="G707">
        <v>1.2999999999999999E-4</v>
      </c>
      <c r="H707">
        <v>3.1E-4</v>
      </c>
      <c r="I707">
        <v>1.2999999999999999E-4</v>
      </c>
      <c r="J707">
        <f>PSI_OC!$A$7</f>
        <v>10</v>
      </c>
      <c r="K707">
        <v>-1</v>
      </c>
      <c r="L707" t="s">
        <v>429</v>
      </c>
      <c r="M707" s="17">
        <f t="shared" si="86"/>
        <v>-7482.8364185315768</v>
      </c>
      <c r="N707" t="s">
        <v>537</v>
      </c>
    </row>
    <row r="708" spans="1:14" x14ac:dyDescent="0.2">
      <c r="C708" t="s">
        <v>320</v>
      </c>
      <c r="D708" s="88">
        <v>0</v>
      </c>
      <c r="E708" t="s">
        <v>344</v>
      </c>
      <c r="F708">
        <v>0</v>
      </c>
      <c r="G708">
        <v>1.2999999999999999E-4</v>
      </c>
      <c r="H708">
        <v>0.30602000000000001</v>
      </c>
      <c r="I708">
        <v>0</v>
      </c>
      <c r="J708">
        <f>PSI_OC!$A$6</f>
        <v>100</v>
      </c>
      <c r="K708">
        <v>-1</v>
      </c>
      <c r="L708" t="s">
        <v>428</v>
      </c>
      <c r="M708" s="17">
        <f t="shared" si="86"/>
        <v>-33466714.746643499</v>
      </c>
      <c r="N708" t="s">
        <v>537</v>
      </c>
    </row>
    <row r="709" spans="1:14" ht="16" x14ac:dyDescent="0.2">
      <c r="A709" s="91" t="s">
        <v>8</v>
      </c>
      <c r="B709" s="84" t="s">
        <v>318</v>
      </c>
      <c r="C709" t="s">
        <v>321</v>
      </c>
      <c r="D709" s="88">
        <v>0</v>
      </c>
      <c r="E709" t="s">
        <v>344</v>
      </c>
      <c r="F709">
        <v>0</v>
      </c>
      <c r="G709">
        <v>1.2999999999999999E-4</v>
      </c>
      <c r="H709">
        <v>0.30602000000000001</v>
      </c>
      <c r="I709">
        <v>0</v>
      </c>
      <c r="J709">
        <f>PSI_OC!$A$6</f>
        <v>100</v>
      </c>
      <c r="K709">
        <v>-1</v>
      </c>
      <c r="L709" t="s">
        <v>428</v>
      </c>
      <c r="M709" s="17">
        <f t="shared" si="86"/>
        <v>-33466714.746643499</v>
      </c>
      <c r="N709" t="s">
        <v>537</v>
      </c>
    </row>
    <row r="710" spans="1:14" ht="16" x14ac:dyDescent="0.2">
      <c r="A710" s="81" t="s">
        <v>57</v>
      </c>
      <c r="B710" s="61" t="s">
        <v>502</v>
      </c>
      <c r="C710" t="s">
        <v>234</v>
      </c>
      <c r="D710" s="88">
        <v>0</v>
      </c>
      <c r="E710" t="s">
        <v>344</v>
      </c>
      <c r="F710">
        <v>0</v>
      </c>
      <c r="G710">
        <v>1.2999999999999999E-4</v>
      </c>
      <c r="H710">
        <v>0.30602000000000001</v>
      </c>
      <c r="I710">
        <v>0</v>
      </c>
      <c r="J710">
        <v>0</v>
      </c>
      <c r="K710">
        <v>0</v>
      </c>
      <c r="L710" t="s">
        <v>428</v>
      </c>
      <c r="M710" s="17">
        <f t="shared" si="86"/>
        <v>0</v>
      </c>
      <c r="N710" t="s">
        <v>537</v>
      </c>
    </row>
    <row r="711" spans="1:14" ht="16" x14ac:dyDescent="0.2">
      <c r="A711" s="81" t="s">
        <v>83</v>
      </c>
      <c r="B711" s="89" t="s">
        <v>506</v>
      </c>
      <c r="C711" t="s">
        <v>235</v>
      </c>
      <c r="D711" s="88">
        <v>0.12681999999999999</v>
      </c>
      <c r="E711" t="s">
        <v>346</v>
      </c>
      <c r="F711">
        <v>0.12681999999999999</v>
      </c>
      <c r="G711">
        <v>0.12681999999999999</v>
      </c>
      <c r="H711">
        <v>0.30602000000000001</v>
      </c>
      <c r="I711">
        <v>0.12681999999999999</v>
      </c>
      <c r="J711">
        <f>PSI_OC!$A$8</f>
        <v>1</v>
      </c>
      <c r="K711">
        <v>1</v>
      </c>
      <c r="L711" t="s">
        <v>430</v>
      </c>
      <c r="M711" s="17">
        <f t="shared" si="86"/>
        <v>733919.08513614081</v>
      </c>
      <c r="N711" t="s">
        <v>537</v>
      </c>
    </row>
    <row r="712" spans="1:14" ht="16" x14ac:dyDescent="0.2">
      <c r="A712" s="81" t="s">
        <v>84</v>
      </c>
      <c r="B712" s="89" t="s">
        <v>506</v>
      </c>
      <c r="C712" t="s">
        <v>236</v>
      </c>
      <c r="D712" s="88">
        <v>1.2999999999999999E-4</v>
      </c>
      <c r="E712" t="s">
        <v>347</v>
      </c>
      <c r="F712">
        <v>1.2999999999999999E-4</v>
      </c>
      <c r="G712">
        <v>1.2999999999999999E-4</v>
      </c>
      <c r="H712">
        <v>3.0602</v>
      </c>
      <c r="I712">
        <v>1.2999999999999999E-4</v>
      </c>
      <c r="J712">
        <f>PSI_OC!$A$7</f>
        <v>10</v>
      </c>
      <c r="K712">
        <v>-1</v>
      </c>
      <c r="L712" t="s">
        <v>431</v>
      </c>
      <c r="M712" s="17">
        <f t="shared" si="86"/>
        <v>-33464388.550734691</v>
      </c>
      <c r="N712" t="s">
        <v>537</v>
      </c>
    </row>
    <row r="713" spans="1:14" ht="16" x14ac:dyDescent="0.2">
      <c r="A713" s="51" t="s">
        <v>46</v>
      </c>
      <c r="B713" s="89" t="s">
        <v>509</v>
      </c>
      <c r="C713" t="s">
        <v>237</v>
      </c>
      <c r="D713" s="88">
        <v>0.12681999999999999</v>
      </c>
      <c r="E713" t="s">
        <v>348</v>
      </c>
      <c r="F713">
        <v>0.12681999999999999</v>
      </c>
      <c r="G713">
        <v>0.12681999999999999</v>
      </c>
      <c r="H713">
        <v>0.30602000000000001</v>
      </c>
      <c r="I713">
        <v>0.12681999999999999</v>
      </c>
      <c r="J713">
        <f>PSI_OC!$A$6</f>
        <v>100</v>
      </c>
      <c r="K713">
        <v>-1</v>
      </c>
      <c r="L713" t="s">
        <v>432</v>
      </c>
      <c r="M713" s="17">
        <f t="shared" si="86"/>
        <v>-73391908.513614088</v>
      </c>
      <c r="N713" t="s">
        <v>537</v>
      </c>
    </row>
    <row r="714" spans="1:14" ht="16" x14ac:dyDescent="0.2">
      <c r="A714" s="51" t="s">
        <v>47</v>
      </c>
      <c r="B714" s="90" t="s">
        <v>513</v>
      </c>
      <c r="C714" t="s">
        <v>238</v>
      </c>
      <c r="D714" s="88">
        <v>0</v>
      </c>
      <c r="E714" t="s">
        <v>349</v>
      </c>
      <c r="F714">
        <v>0</v>
      </c>
      <c r="G714">
        <v>0</v>
      </c>
      <c r="H714">
        <v>0</v>
      </c>
      <c r="I714">
        <v>0</v>
      </c>
      <c r="J714">
        <f>PSI_OC!$A$7</f>
        <v>10</v>
      </c>
      <c r="K714">
        <v>-1</v>
      </c>
      <c r="L714" t="s">
        <v>433</v>
      </c>
      <c r="M714" s="17">
        <f t="shared" si="86"/>
        <v>0</v>
      </c>
      <c r="N714" t="s">
        <v>537</v>
      </c>
    </row>
    <row r="715" spans="1:14" ht="16" x14ac:dyDescent="0.2">
      <c r="A715" s="51" t="s">
        <v>48</v>
      </c>
      <c r="B715" s="89" t="s">
        <v>506</v>
      </c>
      <c r="C715" t="s">
        <v>239</v>
      </c>
      <c r="D715" s="88">
        <v>1.2700000000000001E-3</v>
      </c>
      <c r="E715" t="s">
        <v>348</v>
      </c>
      <c r="F715">
        <v>1.2700000000000001E-3</v>
      </c>
      <c r="G715">
        <v>1.2700000000000001E-3</v>
      </c>
      <c r="H715">
        <v>3.0599999999999998E-3</v>
      </c>
      <c r="I715">
        <v>1.2700000000000001E-3</v>
      </c>
      <c r="J715">
        <f>PSI_OC!$A$6</f>
        <v>100</v>
      </c>
      <c r="K715">
        <v>-1</v>
      </c>
      <c r="L715" t="s">
        <v>432</v>
      </c>
      <c r="M715" s="17">
        <f t="shared" si="86"/>
        <v>-734463.98025063332</v>
      </c>
      <c r="N715" t="s">
        <v>537</v>
      </c>
    </row>
    <row r="716" spans="1:14" ht="16" x14ac:dyDescent="0.2">
      <c r="A716" s="51" t="s">
        <v>41</v>
      </c>
      <c r="B716" s="89" t="s">
        <v>506</v>
      </c>
      <c r="C716" t="s">
        <v>240</v>
      </c>
      <c r="D716" s="88">
        <v>0</v>
      </c>
      <c r="E716" t="s">
        <v>348</v>
      </c>
      <c r="F716">
        <v>0</v>
      </c>
      <c r="G716">
        <v>0</v>
      </c>
      <c r="H716">
        <v>0</v>
      </c>
      <c r="I716">
        <v>0</v>
      </c>
      <c r="J716">
        <f>PSI_OC!$A$6</f>
        <v>100</v>
      </c>
      <c r="K716">
        <v>-1</v>
      </c>
      <c r="L716" t="s">
        <v>432</v>
      </c>
      <c r="M716" s="17">
        <f t="shared" si="86"/>
        <v>0</v>
      </c>
      <c r="N716" t="s">
        <v>537</v>
      </c>
    </row>
    <row r="717" spans="1:14" ht="16" x14ac:dyDescent="0.2">
      <c r="A717" s="51" t="s">
        <v>40</v>
      </c>
      <c r="B717" s="89" t="s">
        <v>508</v>
      </c>
      <c r="C717" t="s">
        <v>241</v>
      </c>
      <c r="D717" s="88">
        <v>0</v>
      </c>
      <c r="E717" t="s">
        <v>350</v>
      </c>
      <c r="F717">
        <v>0</v>
      </c>
      <c r="G717">
        <v>0</v>
      </c>
      <c r="H717">
        <v>0</v>
      </c>
      <c r="I717">
        <v>0</v>
      </c>
      <c r="J717">
        <f>PSI_OC!$A$6</f>
        <v>100</v>
      </c>
      <c r="K717">
        <v>-1</v>
      </c>
      <c r="L717" t="s">
        <v>434</v>
      </c>
      <c r="M717" s="17">
        <f t="shared" si="86"/>
        <v>0</v>
      </c>
      <c r="N717" t="s">
        <v>537</v>
      </c>
    </row>
    <row r="718" spans="1:14" x14ac:dyDescent="0.2">
      <c r="C718" t="s">
        <v>242</v>
      </c>
      <c r="D718" s="88">
        <v>0</v>
      </c>
      <c r="E718" t="s">
        <v>351</v>
      </c>
      <c r="F718">
        <v>0</v>
      </c>
      <c r="G718">
        <v>0</v>
      </c>
      <c r="H718">
        <v>0</v>
      </c>
      <c r="I718">
        <v>0</v>
      </c>
      <c r="J718">
        <f>PSI_OC!$A$8</f>
        <v>1</v>
      </c>
      <c r="K718">
        <v>1</v>
      </c>
      <c r="L718" t="s">
        <v>435</v>
      </c>
      <c r="M718" s="17">
        <f t="shared" si="86"/>
        <v>0</v>
      </c>
      <c r="N718" t="s">
        <v>537</v>
      </c>
    </row>
    <row r="719" spans="1:14" x14ac:dyDescent="0.2">
      <c r="C719" t="s">
        <v>243</v>
      </c>
      <c r="D719" s="88">
        <v>0.12681999999999999</v>
      </c>
      <c r="E719" t="s">
        <v>352</v>
      </c>
      <c r="F719">
        <v>1.26824</v>
      </c>
      <c r="G719">
        <v>1.26824</v>
      </c>
      <c r="H719">
        <v>3.0599999999999998E-3</v>
      </c>
      <c r="I719">
        <v>1.26824</v>
      </c>
      <c r="J719">
        <f>PSI_OC!$A$6</f>
        <v>100</v>
      </c>
      <c r="K719">
        <v>-1</v>
      </c>
      <c r="L719" t="s">
        <v>436</v>
      </c>
      <c r="M719" s="17">
        <f t="shared" si="86"/>
        <v>-398111405.85069209</v>
      </c>
      <c r="N719" t="s">
        <v>537</v>
      </c>
    </row>
    <row r="720" spans="1:14" x14ac:dyDescent="0.2">
      <c r="C720" t="s">
        <v>244</v>
      </c>
      <c r="D720" s="88">
        <v>1.2700000000000001E-3</v>
      </c>
      <c r="E720" t="s">
        <v>353</v>
      </c>
      <c r="F720">
        <v>1.2700000000000001E-3</v>
      </c>
      <c r="G720">
        <v>1.2700000000000001E-3</v>
      </c>
      <c r="H720">
        <v>3.0599999999999998E-3</v>
      </c>
      <c r="I720">
        <v>1.2700000000000001E-3</v>
      </c>
      <c r="J720">
        <v>0</v>
      </c>
      <c r="K720">
        <v>0</v>
      </c>
      <c r="L720" t="s">
        <v>437</v>
      </c>
      <c r="M720" s="17">
        <f t="shared" si="86"/>
        <v>0</v>
      </c>
      <c r="N720" t="s">
        <v>537</v>
      </c>
    </row>
    <row r="721" spans="3:14" x14ac:dyDescent="0.2">
      <c r="C721" t="s">
        <v>245</v>
      </c>
      <c r="D721" s="88">
        <v>1.2700000000000001E-3</v>
      </c>
      <c r="E721" t="s">
        <v>351</v>
      </c>
      <c r="F721">
        <v>1.2999999999999999E-4</v>
      </c>
      <c r="G721">
        <v>1.2700000000000001E-3</v>
      </c>
      <c r="H721">
        <v>0.30602000000000001</v>
      </c>
      <c r="I721">
        <v>1.2999999999999999E-4</v>
      </c>
      <c r="J721">
        <f>PSI_OC!$A$7</f>
        <v>10</v>
      </c>
      <c r="K721">
        <v>-1</v>
      </c>
      <c r="L721" t="s">
        <v>435</v>
      </c>
      <c r="M721" s="17">
        <f t="shared" si="86"/>
        <v>-3355907.2076736395</v>
      </c>
      <c r="N721" t="s">
        <v>537</v>
      </c>
    </row>
    <row r="722" spans="3:14" x14ac:dyDescent="0.2">
      <c r="C722" t="s">
        <v>246</v>
      </c>
      <c r="D722" s="88">
        <v>1.268E-2</v>
      </c>
      <c r="E722" t="s">
        <v>354</v>
      </c>
      <c r="F722">
        <v>1.268E-2</v>
      </c>
      <c r="G722">
        <v>1.268E-2</v>
      </c>
      <c r="H722">
        <v>3.0599999999999999E-2</v>
      </c>
      <c r="I722">
        <v>1.268E-2</v>
      </c>
      <c r="J722">
        <f>PSI_OC!$A$7</f>
        <v>10</v>
      </c>
      <c r="K722">
        <v>-1</v>
      </c>
      <c r="L722" t="s">
        <v>438</v>
      </c>
      <c r="M722" s="17">
        <f t="shared" si="86"/>
        <v>-733834.24340703851</v>
      </c>
      <c r="N722" t="s">
        <v>537</v>
      </c>
    </row>
    <row r="723" spans="3:14" x14ac:dyDescent="0.2">
      <c r="C723" t="s">
        <v>247</v>
      </c>
      <c r="D723" s="88">
        <v>1.26824</v>
      </c>
      <c r="E723" t="s">
        <v>354</v>
      </c>
      <c r="F723">
        <v>1.26824</v>
      </c>
      <c r="G723">
        <v>1.26824</v>
      </c>
      <c r="H723">
        <v>3.1E-4</v>
      </c>
      <c r="I723">
        <v>1.26824</v>
      </c>
      <c r="J723">
        <f>PSI_OC!$A$7</f>
        <v>10</v>
      </c>
      <c r="K723">
        <v>-1</v>
      </c>
      <c r="L723" t="s">
        <v>438</v>
      </c>
      <c r="M723" s="17">
        <f t="shared" si="86"/>
        <v>-39936262.272985123</v>
      </c>
      <c r="N723" t="s">
        <v>537</v>
      </c>
    </row>
    <row r="724" spans="3:14" x14ac:dyDescent="0.2">
      <c r="C724" t="s">
        <v>248</v>
      </c>
      <c r="D724" s="88">
        <v>1.26824</v>
      </c>
      <c r="E724" t="s">
        <v>350</v>
      </c>
      <c r="F724">
        <v>1.26824</v>
      </c>
      <c r="G724">
        <v>1.26824</v>
      </c>
      <c r="H724">
        <v>0.30602000000000001</v>
      </c>
      <c r="I724">
        <v>1.26824</v>
      </c>
      <c r="J724">
        <f>PSI_OC!$A$7</f>
        <v>10</v>
      </c>
      <c r="K724">
        <v>-1</v>
      </c>
      <c r="L724" t="s">
        <v>434</v>
      </c>
      <c r="M724" s="17">
        <f t="shared" si="86"/>
        <v>-43278902.252175093</v>
      </c>
      <c r="N724" t="s">
        <v>537</v>
      </c>
    </row>
    <row r="725" spans="3:14" x14ac:dyDescent="0.2">
      <c r="C725" t="s">
        <v>322</v>
      </c>
      <c r="D725" s="88">
        <v>1.26824</v>
      </c>
      <c r="E725" t="s">
        <v>355</v>
      </c>
      <c r="F725">
        <v>1.26824</v>
      </c>
      <c r="G725">
        <v>1.26824</v>
      </c>
      <c r="H725">
        <v>3.0599999999999999E-2</v>
      </c>
      <c r="I725">
        <v>1.26824</v>
      </c>
      <c r="J725">
        <f>PSI_OC!$A$7</f>
        <v>10</v>
      </c>
      <c r="K725">
        <v>-1</v>
      </c>
      <c r="L725" t="s">
        <v>439</v>
      </c>
      <c r="M725" s="17">
        <f t="shared" si="86"/>
        <v>-40267453.81061773</v>
      </c>
      <c r="N725" t="s">
        <v>537</v>
      </c>
    </row>
    <row r="726" spans="3:14" x14ac:dyDescent="0.2">
      <c r="C726" t="s">
        <v>249</v>
      </c>
      <c r="D726" s="88">
        <v>0.12681999999999999</v>
      </c>
      <c r="E726" t="s">
        <v>356</v>
      </c>
      <c r="F726">
        <v>0.12681999999999999</v>
      </c>
      <c r="G726">
        <v>0.12681999999999999</v>
      </c>
      <c r="H726">
        <v>3.1E-4</v>
      </c>
      <c r="I726">
        <v>0.12681999999999999</v>
      </c>
      <c r="J726">
        <f>PSI_OC!$A$7</f>
        <v>10</v>
      </c>
      <c r="K726">
        <v>-1</v>
      </c>
      <c r="L726" t="s">
        <v>440</v>
      </c>
      <c r="M726" s="17">
        <f t="shared" si="86"/>
        <v>-3996550.8721714397</v>
      </c>
      <c r="N726" t="s">
        <v>537</v>
      </c>
    </row>
    <row r="727" spans="3:14" x14ac:dyDescent="0.2">
      <c r="C727" t="s">
        <v>323</v>
      </c>
      <c r="D727" s="88">
        <v>1.2700000000000001E-3</v>
      </c>
      <c r="E727" t="s">
        <v>357</v>
      </c>
      <c r="F727">
        <v>1.2700000000000001E-3</v>
      </c>
      <c r="G727">
        <v>1.2700000000000001E-3</v>
      </c>
      <c r="H727">
        <v>3.0599999999999998E-3</v>
      </c>
      <c r="I727">
        <v>1.2700000000000001E-3</v>
      </c>
      <c r="J727">
        <f>PSI_OC!$A$6</f>
        <v>100</v>
      </c>
      <c r="K727">
        <v>-1</v>
      </c>
      <c r="L727" t="s">
        <v>441</v>
      </c>
      <c r="M727" s="17">
        <f t="shared" si="86"/>
        <v>-734463.98025063332</v>
      </c>
      <c r="N727" t="s">
        <v>537</v>
      </c>
    </row>
    <row r="728" spans="3:14" x14ac:dyDescent="0.2">
      <c r="C728" t="s">
        <v>324</v>
      </c>
      <c r="D728" s="88">
        <v>1.2700000000000001E-3</v>
      </c>
      <c r="E728" t="s">
        <v>357</v>
      </c>
      <c r="F728">
        <v>1.2700000000000001E-3</v>
      </c>
      <c r="G728">
        <v>1.2700000000000001E-3</v>
      </c>
      <c r="H728">
        <v>3.0599999999999998E-3</v>
      </c>
      <c r="I728">
        <v>1.2700000000000001E-3</v>
      </c>
      <c r="J728">
        <f>PSI_OC!$A$6</f>
        <v>100</v>
      </c>
      <c r="K728">
        <v>-1</v>
      </c>
      <c r="L728" t="s">
        <v>441</v>
      </c>
      <c r="M728" s="17">
        <f t="shared" si="86"/>
        <v>-734463.98025063332</v>
      </c>
      <c r="N728" t="s">
        <v>537</v>
      </c>
    </row>
    <row r="729" spans="3:14" x14ac:dyDescent="0.2">
      <c r="C729" t="s">
        <v>250</v>
      </c>
      <c r="D729" s="88">
        <v>1.2700000000000001E-3</v>
      </c>
      <c r="E729" t="s">
        <v>358</v>
      </c>
      <c r="F729">
        <v>1.2700000000000001E-3</v>
      </c>
      <c r="G729">
        <v>1.2700000000000001E-3</v>
      </c>
      <c r="H729">
        <v>0.30602000000000001</v>
      </c>
      <c r="I729">
        <v>1.2700000000000001E-3</v>
      </c>
      <c r="J729">
        <f>PSI_OC!$A$7</f>
        <v>10</v>
      </c>
      <c r="K729">
        <v>1</v>
      </c>
      <c r="L729" t="s">
        <v>442</v>
      </c>
      <c r="M729" s="17">
        <f t="shared" si="86"/>
        <v>3386017.815693419</v>
      </c>
      <c r="N729" t="s">
        <v>537</v>
      </c>
    </row>
    <row r="730" spans="3:14" x14ac:dyDescent="0.2">
      <c r="C730" t="s">
        <v>251</v>
      </c>
      <c r="D730" s="88">
        <v>0</v>
      </c>
      <c r="E730" t="s">
        <v>359</v>
      </c>
      <c r="F730">
        <v>0</v>
      </c>
      <c r="G730">
        <v>0</v>
      </c>
      <c r="H730">
        <v>3.1E-4</v>
      </c>
      <c r="I730">
        <v>0</v>
      </c>
      <c r="J730">
        <f>PSI_OC!$A$6</f>
        <v>100</v>
      </c>
      <c r="K730">
        <v>-1</v>
      </c>
      <c r="L730" t="s">
        <v>443</v>
      </c>
      <c r="M730" s="17">
        <f t="shared" si="86"/>
        <v>-33895.469351636857</v>
      </c>
      <c r="N730" t="s">
        <v>537</v>
      </c>
    </row>
    <row r="731" spans="3:14" x14ac:dyDescent="0.2">
      <c r="C731" t="s">
        <v>252</v>
      </c>
      <c r="D731" s="88">
        <v>0.12681999999999999</v>
      </c>
      <c r="E731" t="s">
        <v>360</v>
      </c>
      <c r="F731">
        <v>0.12681999999999999</v>
      </c>
      <c r="G731">
        <v>0.12681999999999999</v>
      </c>
      <c r="H731">
        <v>3.0602</v>
      </c>
      <c r="I731">
        <v>0.12681999999999999</v>
      </c>
      <c r="J731">
        <f>PSI_OC!$A$7</f>
        <v>10</v>
      </c>
      <c r="K731">
        <v>-1</v>
      </c>
      <c r="L731" t="s">
        <v>444</v>
      </c>
      <c r="M731" s="17">
        <f t="shared" si="86"/>
        <v>-37453456.586487599</v>
      </c>
      <c r="N731" t="s">
        <v>537</v>
      </c>
    </row>
    <row r="732" spans="3:14" x14ac:dyDescent="0.2">
      <c r="C732" t="s">
        <v>253</v>
      </c>
      <c r="D732" s="88">
        <v>1.268E-2</v>
      </c>
      <c r="E732" t="s">
        <v>361</v>
      </c>
      <c r="F732">
        <v>1.268E-2</v>
      </c>
      <c r="G732">
        <v>1.268E-2</v>
      </c>
      <c r="H732">
        <v>0.30602000000000001</v>
      </c>
      <c r="I732">
        <v>1.268E-2</v>
      </c>
      <c r="J732">
        <f>PSI_OC!$A$7</f>
        <v>10</v>
      </c>
      <c r="K732">
        <v>-1</v>
      </c>
      <c r="L732" t="s">
        <v>445</v>
      </c>
      <c r="M732" s="17">
        <f t="shared" si="86"/>
        <v>-3745282.6849644007</v>
      </c>
      <c r="N732" t="s">
        <v>537</v>
      </c>
    </row>
    <row r="733" spans="3:14" x14ac:dyDescent="0.2">
      <c r="C733" t="s">
        <v>325</v>
      </c>
      <c r="D733" s="88">
        <v>1.2700000000000001E-3</v>
      </c>
      <c r="E733" t="s">
        <v>362</v>
      </c>
      <c r="F733">
        <v>1.2700000000000001E-3</v>
      </c>
      <c r="G733">
        <v>1.2700000000000001E-3</v>
      </c>
      <c r="H733">
        <v>3.1E-4</v>
      </c>
      <c r="I733">
        <v>1.2700000000000001E-3</v>
      </c>
      <c r="J733">
        <f>PSI_OC!$A$6</f>
        <v>100</v>
      </c>
      <c r="K733">
        <v>-1</v>
      </c>
      <c r="L733" t="s">
        <v>446</v>
      </c>
      <c r="M733" s="17">
        <f t="shared" si="86"/>
        <v>-433778.36503450008</v>
      </c>
      <c r="N733" t="s">
        <v>537</v>
      </c>
    </row>
    <row r="734" spans="3:14" x14ac:dyDescent="0.2">
      <c r="C734" t="s">
        <v>254</v>
      </c>
      <c r="D734" s="88">
        <v>1.2700000000000001E-3</v>
      </c>
      <c r="E734" t="s">
        <v>363</v>
      </c>
      <c r="F734">
        <v>1.2700000000000001E-3</v>
      </c>
      <c r="G734">
        <v>1.2700000000000001E-3</v>
      </c>
      <c r="H734">
        <v>3.0599999999999998E-3</v>
      </c>
      <c r="I734">
        <v>1.2700000000000001E-3</v>
      </c>
      <c r="J734">
        <f>PSI_OC!$A$7</f>
        <v>10</v>
      </c>
      <c r="K734">
        <v>-1</v>
      </c>
      <c r="L734" t="s">
        <v>447</v>
      </c>
      <c r="M734" s="17">
        <f t="shared" si="86"/>
        <v>-73446.398025063332</v>
      </c>
      <c r="N734" t="s">
        <v>537</v>
      </c>
    </row>
    <row r="735" spans="3:14" x14ac:dyDescent="0.2">
      <c r="C735" t="s">
        <v>255</v>
      </c>
      <c r="D735" s="88">
        <v>0</v>
      </c>
      <c r="E735" t="s">
        <v>364</v>
      </c>
      <c r="F735">
        <v>0</v>
      </c>
      <c r="G735">
        <v>0</v>
      </c>
      <c r="H735">
        <v>0</v>
      </c>
      <c r="I735">
        <v>0</v>
      </c>
      <c r="J735">
        <f>PSI_OC!$A$7</f>
        <v>10</v>
      </c>
      <c r="K735">
        <v>-1</v>
      </c>
      <c r="L735" t="s">
        <v>448</v>
      </c>
      <c r="M735" s="17">
        <f t="shared" si="86"/>
        <v>0</v>
      </c>
      <c r="N735" t="s">
        <v>537</v>
      </c>
    </row>
    <row r="736" spans="3:14" x14ac:dyDescent="0.2">
      <c r="C736" t="s">
        <v>256</v>
      </c>
      <c r="D736" s="88">
        <v>1.2700000000000001E-3</v>
      </c>
      <c r="E736" t="s">
        <v>365</v>
      </c>
      <c r="F736">
        <v>1.2700000000000001E-3</v>
      </c>
      <c r="G736">
        <v>1.2700000000000001E-3</v>
      </c>
      <c r="H736">
        <v>0.30602000000000001</v>
      </c>
      <c r="I736">
        <v>1.2700000000000001E-3</v>
      </c>
      <c r="J736">
        <f>PSI_OC!$A$7</f>
        <v>10</v>
      </c>
      <c r="K736">
        <v>-1</v>
      </c>
      <c r="L736" t="s">
        <v>449</v>
      </c>
      <c r="M736" s="17">
        <f t="shared" si="86"/>
        <v>-3386017.815693419</v>
      </c>
      <c r="N736" t="s">
        <v>537</v>
      </c>
    </row>
    <row r="737" spans="3:14" x14ac:dyDescent="0.2">
      <c r="C737" t="s">
        <v>257</v>
      </c>
      <c r="D737" s="88">
        <v>1.26824</v>
      </c>
      <c r="E737" t="s">
        <v>366</v>
      </c>
      <c r="F737">
        <v>1.26824</v>
      </c>
      <c r="G737">
        <v>1.26824</v>
      </c>
      <c r="H737">
        <v>3.0599999999999998E-3</v>
      </c>
      <c r="I737">
        <v>1.26824</v>
      </c>
      <c r="J737">
        <f>PSI_OC!$A$6</f>
        <v>100</v>
      </c>
      <c r="K737">
        <v>-1</v>
      </c>
      <c r="L737" t="s">
        <v>450</v>
      </c>
      <c r="M737" s="17">
        <f t="shared" si="86"/>
        <v>-399663308.34506732</v>
      </c>
      <c r="N737" t="s">
        <v>537</v>
      </c>
    </row>
    <row r="738" spans="3:14" x14ac:dyDescent="0.2">
      <c r="C738" t="s">
        <v>258</v>
      </c>
      <c r="D738" s="88">
        <v>0.12681999999999999</v>
      </c>
      <c r="E738" t="s">
        <v>367</v>
      </c>
      <c r="F738">
        <v>0.12681999999999999</v>
      </c>
      <c r="G738">
        <v>0.12681999999999999</v>
      </c>
      <c r="H738">
        <v>3.0599999999999998E-3</v>
      </c>
      <c r="I738">
        <v>0.12681999999999999</v>
      </c>
      <c r="J738">
        <f>PSI_OC!$A$6</f>
        <v>100</v>
      </c>
      <c r="K738">
        <v>-1</v>
      </c>
      <c r="L738" t="s">
        <v>451</v>
      </c>
      <c r="M738" s="17">
        <f t="shared" si="86"/>
        <v>-40266194.336930528</v>
      </c>
      <c r="N738" t="s">
        <v>537</v>
      </c>
    </row>
    <row r="739" spans="3:14" x14ac:dyDescent="0.2">
      <c r="C739" t="s">
        <v>326</v>
      </c>
      <c r="D739" s="88">
        <v>1.2700000000000001E-3</v>
      </c>
      <c r="E739" t="s">
        <v>365</v>
      </c>
      <c r="F739">
        <v>1.2700000000000001E-3</v>
      </c>
      <c r="G739">
        <v>1.2700000000000001E-3</v>
      </c>
      <c r="H739">
        <v>3.0599999999999998E-3</v>
      </c>
      <c r="I739">
        <v>1.2700000000000001E-3</v>
      </c>
      <c r="J739">
        <v>0</v>
      </c>
      <c r="K739">
        <v>0</v>
      </c>
      <c r="L739" t="s">
        <v>449</v>
      </c>
      <c r="M739" s="17">
        <f t="shared" si="86"/>
        <v>0</v>
      </c>
      <c r="N739" t="s">
        <v>537</v>
      </c>
    </row>
    <row r="740" spans="3:14" x14ac:dyDescent="0.2">
      <c r="C740" t="s">
        <v>259</v>
      </c>
      <c r="D740" s="88">
        <v>1.268E-2</v>
      </c>
      <c r="E740" t="s">
        <v>368</v>
      </c>
      <c r="F740">
        <v>1.268E-2</v>
      </c>
      <c r="G740">
        <v>1.268E-2</v>
      </c>
      <c r="H740">
        <v>3.0599999999999998E-3</v>
      </c>
      <c r="I740">
        <v>1.268E-2</v>
      </c>
      <c r="J740">
        <f>PSI_OC!$A$6</f>
        <v>100</v>
      </c>
      <c r="K740">
        <v>-1</v>
      </c>
      <c r="L740" t="s">
        <v>452</v>
      </c>
      <c r="M740" s="17">
        <f t="shared" si="86"/>
        <v>-4327112.6729604518</v>
      </c>
      <c r="N740" t="s">
        <v>537</v>
      </c>
    </row>
    <row r="741" spans="3:14" x14ac:dyDescent="0.2">
      <c r="C741" t="s">
        <v>260</v>
      </c>
      <c r="D741" s="88">
        <v>0</v>
      </c>
      <c r="E741" t="s">
        <v>368</v>
      </c>
      <c r="F741">
        <v>0</v>
      </c>
      <c r="G741">
        <v>0</v>
      </c>
      <c r="H741">
        <v>3.0599999999999998E-3</v>
      </c>
      <c r="I741">
        <v>0</v>
      </c>
      <c r="J741">
        <v>0</v>
      </c>
      <c r="K741">
        <v>0</v>
      </c>
      <c r="L741" t="s">
        <v>452</v>
      </c>
      <c r="M741" s="17">
        <f t="shared" si="86"/>
        <v>0</v>
      </c>
      <c r="N741" t="s">
        <v>537</v>
      </c>
    </row>
    <row r="742" spans="3:14" x14ac:dyDescent="0.2">
      <c r="C742" t="s">
        <v>327</v>
      </c>
      <c r="D742" s="88">
        <v>1.2999999999999999E-4</v>
      </c>
      <c r="E742" t="s">
        <v>368</v>
      </c>
      <c r="F742">
        <v>1.2999999999999999E-4</v>
      </c>
      <c r="G742">
        <v>1.2999999999999999E-4</v>
      </c>
      <c r="H742">
        <v>0.30602000000000001</v>
      </c>
      <c r="I742">
        <v>1.2999999999999999E-4</v>
      </c>
      <c r="J742">
        <f>PSI_OC!$A$6</f>
        <v>100</v>
      </c>
      <c r="K742">
        <v>-1</v>
      </c>
      <c r="L742" t="s">
        <v>452</v>
      </c>
      <c r="M742" s="17">
        <f t="shared" si="86"/>
        <v>-33501228.156085003</v>
      </c>
      <c r="N742" t="s">
        <v>537</v>
      </c>
    </row>
    <row r="743" spans="3:14" x14ac:dyDescent="0.2">
      <c r="C743" t="s">
        <v>328</v>
      </c>
      <c r="D743" s="88">
        <v>1.2999999999999999E-4</v>
      </c>
      <c r="E743" t="s">
        <v>368</v>
      </c>
      <c r="F743">
        <v>1.2999999999999999E-4</v>
      </c>
      <c r="G743">
        <v>1.2999999999999999E-4</v>
      </c>
      <c r="H743">
        <v>0.30602000000000001</v>
      </c>
      <c r="I743">
        <v>1.2999999999999999E-4</v>
      </c>
      <c r="J743">
        <v>0</v>
      </c>
      <c r="K743">
        <v>0</v>
      </c>
      <c r="L743" t="s">
        <v>452</v>
      </c>
      <c r="M743" s="17">
        <f t="shared" si="86"/>
        <v>0</v>
      </c>
      <c r="N743" t="s">
        <v>537</v>
      </c>
    </row>
    <row r="744" spans="3:14" x14ac:dyDescent="0.2">
      <c r="C744" t="s">
        <v>261</v>
      </c>
      <c r="D744" s="88">
        <v>0.12681999999999999</v>
      </c>
      <c r="E744" t="s">
        <v>369</v>
      </c>
      <c r="F744">
        <v>0.12681999999999999</v>
      </c>
      <c r="G744">
        <v>0.12681999999999999</v>
      </c>
      <c r="H744">
        <v>3.1E-4</v>
      </c>
      <c r="I744">
        <v>0.12681999999999999</v>
      </c>
      <c r="J744">
        <f>PSI_OC!$A$6</f>
        <v>100</v>
      </c>
      <c r="K744">
        <v>-1</v>
      </c>
      <c r="L744" t="s">
        <v>453</v>
      </c>
      <c r="M744" s="17">
        <f t="shared" si="86"/>
        <v>-39965508.7217144</v>
      </c>
      <c r="N744" t="s">
        <v>537</v>
      </c>
    </row>
    <row r="745" spans="3:14" x14ac:dyDescent="0.2">
      <c r="C745" t="s">
        <v>263</v>
      </c>
      <c r="D745" s="88">
        <v>1.2999999999999999E-4</v>
      </c>
      <c r="E745" t="s">
        <v>370</v>
      </c>
      <c r="F745">
        <v>1.2999999999999999E-4</v>
      </c>
      <c r="G745">
        <v>1.2999999999999999E-4</v>
      </c>
      <c r="H745">
        <v>3.1E-4</v>
      </c>
      <c r="I745">
        <v>1.2999999999999999E-4</v>
      </c>
      <c r="J745">
        <f>PSI_OC!$A$6</f>
        <v>100</v>
      </c>
      <c r="K745">
        <v>-1</v>
      </c>
      <c r="L745" t="s">
        <v>454</v>
      </c>
      <c r="M745" s="17">
        <f t="shared" si="86"/>
        <v>-74828.364185315761</v>
      </c>
      <c r="N745" t="s">
        <v>537</v>
      </c>
    </row>
    <row r="746" spans="3:14" x14ac:dyDescent="0.2">
      <c r="C746" t="s">
        <v>262</v>
      </c>
      <c r="D746" s="88">
        <v>1.2999999999999999E-4</v>
      </c>
      <c r="E746" t="s">
        <v>370</v>
      </c>
      <c r="F746">
        <v>1.2999999999999999E-4</v>
      </c>
      <c r="G746">
        <v>1.2999999999999999E-4</v>
      </c>
      <c r="H746">
        <v>3.0599999999999998E-3</v>
      </c>
      <c r="I746">
        <v>1.2999999999999999E-4</v>
      </c>
      <c r="J746">
        <f>PSI_OC!$A$6</f>
        <v>100</v>
      </c>
      <c r="K746">
        <v>-1</v>
      </c>
      <c r="L746" t="s">
        <v>454</v>
      </c>
      <c r="M746" s="17">
        <f t="shared" si="86"/>
        <v>-375513.97940144915</v>
      </c>
      <c r="N746" t="s">
        <v>537</v>
      </c>
    </row>
    <row r="747" spans="3:14" x14ac:dyDescent="0.2">
      <c r="C747" t="s">
        <v>264</v>
      </c>
      <c r="D747" s="88">
        <v>1.2700000000000001E-3</v>
      </c>
      <c r="E747" t="s">
        <v>371</v>
      </c>
      <c r="F747">
        <v>1.2700000000000001E-3</v>
      </c>
      <c r="G747">
        <v>1.2700000000000001E-3</v>
      </c>
      <c r="H747">
        <v>3.0599999999999999E-2</v>
      </c>
      <c r="I747">
        <v>1.2700000000000001E-3</v>
      </c>
      <c r="J747">
        <f>PSI_OC!$A$7</f>
        <v>10</v>
      </c>
      <c r="K747">
        <v>-1</v>
      </c>
      <c r="L747" t="s">
        <v>455</v>
      </c>
      <c r="M747" s="17">
        <f t="shared" si="86"/>
        <v>-374569.37413605652</v>
      </c>
      <c r="N747" t="s">
        <v>537</v>
      </c>
    </row>
    <row r="748" spans="3:14" x14ac:dyDescent="0.2">
      <c r="C748" t="s">
        <v>265</v>
      </c>
      <c r="D748" s="88">
        <v>1.2700000000000001E-3</v>
      </c>
      <c r="E748" t="s">
        <v>371</v>
      </c>
      <c r="F748">
        <v>1.2700000000000001E-3</v>
      </c>
      <c r="G748">
        <v>1.2700000000000001E-3</v>
      </c>
      <c r="H748">
        <v>3.0599999999999998E-3</v>
      </c>
      <c r="I748">
        <v>1.2700000000000001E-3</v>
      </c>
      <c r="J748">
        <f>PSI_OC!$A$7</f>
        <v>10</v>
      </c>
      <c r="K748">
        <v>-1</v>
      </c>
      <c r="L748" t="s">
        <v>455</v>
      </c>
      <c r="M748" s="17">
        <f t="shared" si="86"/>
        <v>-73446.398025063332</v>
      </c>
      <c r="N748" t="s">
        <v>537</v>
      </c>
    </row>
    <row r="749" spans="3:14" x14ac:dyDescent="0.2">
      <c r="C749" t="s">
        <v>266</v>
      </c>
      <c r="D749" s="88">
        <v>1.2700000000000001E-3</v>
      </c>
      <c r="E749" t="s">
        <v>371</v>
      </c>
      <c r="F749">
        <v>1.2700000000000001E-3</v>
      </c>
      <c r="G749">
        <v>1.2700000000000001E-3</v>
      </c>
      <c r="H749">
        <v>3.0599999999999999E-2</v>
      </c>
      <c r="I749">
        <v>1.2700000000000001E-3</v>
      </c>
      <c r="J749">
        <v>0</v>
      </c>
      <c r="K749">
        <v>0</v>
      </c>
      <c r="L749" t="s">
        <v>455</v>
      </c>
      <c r="M749" s="17">
        <f t="shared" si="86"/>
        <v>0</v>
      </c>
      <c r="N749" t="s">
        <v>537</v>
      </c>
    </row>
    <row r="750" spans="3:14" x14ac:dyDescent="0.2">
      <c r="C750" t="s">
        <v>267</v>
      </c>
      <c r="D750" s="88">
        <v>1.2999999999999999E-4</v>
      </c>
      <c r="E750" t="s">
        <v>372</v>
      </c>
      <c r="F750">
        <v>1.2999999999999999E-4</v>
      </c>
      <c r="G750">
        <v>1.2999999999999999E-4</v>
      </c>
      <c r="H750">
        <v>3.0599999999999998E-3</v>
      </c>
      <c r="I750">
        <v>1.2999999999999999E-4</v>
      </c>
      <c r="J750">
        <v>0</v>
      </c>
      <c r="K750">
        <v>0</v>
      </c>
      <c r="L750" t="s">
        <v>456</v>
      </c>
      <c r="M750" s="17">
        <f t="shared" si="86"/>
        <v>0</v>
      </c>
      <c r="N750" t="s">
        <v>537</v>
      </c>
    </row>
    <row r="751" spans="3:14" x14ac:dyDescent="0.2">
      <c r="C751" t="s">
        <v>329</v>
      </c>
      <c r="D751" s="88">
        <v>0.12681999999999999</v>
      </c>
      <c r="E751" s="75" t="s">
        <v>373</v>
      </c>
      <c r="F751">
        <v>0.12681999999999999</v>
      </c>
      <c r="G751">
        <v>0.12681999999999999</v>
      </c>
      <c r="H751">
        <v>0.30602000000000001</v>
      </c>
      <c r="I751">
        <v>0.12681999999999999</v>
      </c>
      <c r="J751">
        <f>PSI_OC!$A$7</f>
        <v>10</v>
      </c>
      <c r="K751">
        <v>-1</v>
      </c>
      <c r="L751" t="s">
        <v>457</v>
      </c>
      <c r="M751" s="17">
        <f t="shared" si="86"/>
        <v>-7339190.8513614079</v>
      </c>
      <c r="N751" t="s">
        <v>537</v>
      </c>
    </row>
    <row r="752" spans="3:14" x14ac:dyDescent="0.2">
      <c r="C752" t="s">
        <v>314</v>
      </c>
      <c r="D752" s="88">
        <v>1.2700000000000001E-3</v>
      </c>
      <c r="E752" s="75" t="s">
        <v>374</v>
      </c>
      <c r="F752">
        <v>1.2700000000000001E-3</v>
      </c>
      <c r="G752">
        <v>1.2700000000000001E-3</v>
      </c>
      <c r="H752">
        <v>3.0599999999999998E-3</v>
      </c>
      <c r="I752">
        <v>1.2700000000000001E-3</v>
      </c>
      <c r="J752">
        <f>PSI_OC!$A$7</f>
        <v>10</v>
      </c>
      <c r="K752">
        <v>-1</v>
      </c>
      <c r="L752" t="s">
        <v>458</v>
      </c>
      <c r="M752" s="17">
        <f t="shared" si="86"/>
        <v>-73446.398025063332</v>
      </c>
      <c r="N752" t="s">
        <v>537</v>
      </c>
    </row>
    <row r="753" spans="3:14" x14ac:dyDescent="0.2">
      <c r="C753" t="s">
        <v>268</v>
      </c>
      <c r="D753" s="88">
        <v>1.2700000000000001E-3</v>
      </c>
      <c r="E753" s="75" t="s">
        <v>374</v>
      </c>
      <c r="F753">
        <v>1.2700000000000001E-3</v>
      </c>
      <c r="G753">
        <v>1.2700000000000001E-3</v>
      </c>
      <c r="H753">
        <v>3.0599999999999998E-3</v>
      </c>
      <c r="I753">
        <v>1.2700000000000001E-3</v>
      </c>
      <c r="J753">
        <f>PSI_OC!$A$7</f>
        <v>10</v>
      </c>
      <c r="K753">
        <v>-1</v>
      </c>
      <c r="L753" t="s">
        <v>458</v>
      </c>
      <c r="M753" s="17">
        <f t="shared" si="86"/>
        <v>-73446.398025063332</v>
      </c>
      <c r="N753" t="s">
        <v>537</v>
      </c>
    </row>
    <row r="754" spans="3:14" x14ac:dyDescent="0.2">
      <c r="C754" t="s">
        <v>269</v>
      </c>
      <c r="D754" s="88">
        <v>1.2700000000000001E-3</v>
      </c>
      <c r="E754" s="75" t="s">
        <v>374</v>
      </c>
      <c r="F754">
        <v>1.2700000000000001E-3</v>
      </c>
      <c r="G754">
        <v>1.2700000000000001E-3</v>
      </c>
      <c r="H754">
        <v>3.0599999999999998E-3</v>
      </c>
      <c r="I754">
        <v>1.2700000000000001E-3</v>
      </c>
      <c r="J754">
        <v>0</v>
      </c>
      <c r="K754">
        <v>0</v>
      </c>
      <c r="L754" t="s">
        <v>458</v>
      </c>
      <c r="M754" s="17">
        <f t="shared" si="86"/>
        <v>0</v>
      </c>
      <c r="N754" t="s">
        <v>537</v>
      </c>
    </row>
    <row r="755" spans="3:14" x14ac:dyDescent="0.2">
      <c r="C755" t="s">
        <v>270</v>
      </c>
      <c r="D755" s="88">
        <v>1.2700000000000001E-3</v>
      </c>
      <c r="E755" s="75" t="s">
        <v>375</v>
      </c>
      <c r="F755">
        <v>1.2700000000000001E-3</v>
      </c>
      <c r="G755">
        <v>1.2700000000000001E-3</v>
      </c>
      <c r="H755">
        <v>0</v>
      </c>
      <c r="I755">
        <v>1.2700000000000001E-3</v>
      </c>
      <c r="J755">
        <f>PSI_OC!$A$6</f>
        <v>100</v>
      </c>
      <c r="K755">
        <v>-1</v>
      </c>
      <c r="L755" t="s">
        <v>459</v>
      </c>
      <c r="M755" s="17">
        <f t="shared" si="86"/>
        <v>-399882.89568286319</v>
      </c>
      <c r="N755" t="s">
        <v>537</v>
      </c>
    </row>
    <row r="756" spans="3:14" x14ac:dyDescent="0.2">
      <c r="C756" t="s">
        <v>271</v>
      </c>
      <c r="D756" s="88">
        <v>0.12681999999999999</v>
      </c>
      <c r="E756" s="75" t="s">
        <v>376</v>
      </c>
      <c r="F756">
        <v>0.12681999999999999</v>
      </c>
      <c r="G756">
        <v>0.12681999999999999</v>
      </c>
      <c r="H756">
        <v>3.0602</v>
      </c>
      <c r="I756">
        <v>0.12681999999999999</v>
      </c>
      <c r="J756">
        <v>0</v>
      </c>
      <c r="K756">
        <v>0</v>
      </c>
      <c r="L756" t="s">
        <v>460</v>
      </c>
      <c r="M756" s="17">
        <f t="shared" si="86"/>
        <v>0</v>
      </c>
      <c r="N756" t="s">
        <v>537</v>
      </c>
    </row>
    <row r="757" spans="3:14" x14ac:dyDescent="0.2">
      <c r="C757" t="s">
        <v>272</v>
      </c>
      <c r="D757" s="88">
        <v>1.26824</v>
      </c>
      <c r="E757" t="s">
        <v>377</v>
      </c>
      <c r="F757">
        <v>1.26824</v>
      </c>
      <c r="G757">
        <v>1.26824</v>
      </c>
      <c r="H757">
        <v>3.0599999999999998E-3</v>
      </c>
      <c r="I757">
        <v>1.26824</v>
      </c>
      <c r="J757">
        <v>0</v>
      </c>
      <c r="K757">
        <v>0</v>
      </c>
      <c r="L757" t="s">
        <v>461</v>
      </c>
      <c r="M757" s="17">
        <f t="shared" si="86"/>
        <v>0</v>
      </c>
      <c r="N757" t="s">
        <v>537</v>
      </c>
    </row>
    <row r="758" spans="3:14" x14ac:dyDescent="0.2">
      <c r="C758" t="s">
        <v>273</v>
      </c>
      <c r="D758" s="88">
        <v>1.2999999999999999E-4</v>
      </c>
      <c r="E758" t="s">
        <v>378</v>
      </c>
      <c r="F758">
        <v>1.2999999999999999E-4</v>
      </c>
      <c r="G758">
        <v>1.2999999999999999E-4</v>
      </c>
      <c r="H758">
        <v>3.0602</v>
      </c>
      <c r="I758">
        <v>1.2999999999999999E-4</v>
      </c>
      <c r="J758">
        <f>PSI_OC!$A$7</f>
        <v>10</v>
      </c>
      <c r="K758">
        <v>-1</v>
      </c>
      <c r="L758" t="s">
        <v>462</v>
      </c>
      <c r="M758" s="17">
        <f t="shared" si="86"/>
        <v>-33464388.550734691</v>
      </c>
      <c r="N758" t="s">
        <v>537</v>
      </c>
    </row>
    <row r="759" spans="3:14" x14ac:dyDescent="0.2">
      <c r="C759" t="s">
        <v>274</v>
      </c>
      <c r="D759" s="88">
        <v>1.2999999999999999E-4</v>
      </c>
      <c r="E759" t="s">
        <v>379</v>
      </c>
      <c r="F759">
        <v>1.2999999999999999E-4</v>
      </c>
      <c r="G759">
        <v>1.2999999999999999E-4</v>
      </c>
      <c r="H759">
        <v>3.1E-4</v>
      </c>
      <c r="I759">
        <v>1.2999999999999999E-4</v>
      </c>
      <c r="J759">
        <v>0</v>
      </c>
      <c r="K759">
        <v>0</v>
      </c>
      <c r="L759" t="s">
        <v>463</v>
      </c>
      <c r="M759" s="17">
        <f t="shared" si="86"/>
        <v>0</v>
      </c>
      <c r="N759" t="s">
        <v>537</v>
      </c>
    </row>
    <row r="760" spans="3:14" x14ac:dyDescent="0.2">
      <c r="C760" t="s">
        <v>275</v>
      </c>
      <c r="D760" s="88">
        <v>1.26824</v>
      </c>
      <c r="E760" t="s">
        <v>377</v>
      </c>
      <c r="F760">
        <v>1.26824</v>
      </c>
      <c r="G760">
        <v>1.26824</v>
      </c>
      <c r="H760">
        <v>3.0599999999999998E-3</v>
      </c>
      <c r="I760">
        <v>1.26824</v>
      </c>
      <c r="J760">
        <f>PSI_OC!$A$6</f>
        <v>100</v>
      </c>
      <c r="K760">
        <v>-1</v>
      </c>
      <c r="L760" t="s">
        <v>461</v>
      </c>
      <c r="M760" s="17">
        <f t="shared" si="86"/>
        <v>-399663308.34506732</v>
      </c>
      <c r="N760" t="s">
        <v>537</v>
      </c>
    </row>
    <row r="761" spans="3:14" x14ac:dyDescent="0.2">
      <c r="C761" t="s">
        <v>276</v>
      </c>
      <c r="D761" s="88">
        <v>1.26824</v>
      </c>
      <c r="E761" t="s">
        <v>377</v>
      </c>
      <c r="F761">
        <v>1.26824</v>
      </c>
      <c r="G761">
        <v>1.26824</v>
      </c>
      <c r="H761">
        <v>3.0599999999999998E-3</v>
      </c>
      <c r="I761">
        <v>1.26824</v>
      </c>
      <c r="J761">
        <f>PSI_OC!$A$6</f>
        <v>100</v>
      </c>
      <c r="K761">
        <v>-1</v>
      </c>
      <c r="L761" t="s">
        <v>461</v>
      </c>
      <c r="M761" s="17">
        <f t="shared" si="86"/>
        <v>-399663308.34506732</v>
      </c>
      <c r="N761" t="s">
        <v>537</v>
      </c>
    </row>
    <row r="762" spans="3:14" x14ac:dyDescent="0.2">
      <c r="C762" t="s">
        <v>277</v>
      </c>
      <c r="D762" s="88">
        <v>1.2700000000000001E-3</v>
      </c>
      <c r="E762" t="s">
        <v>380</v>
      </c>
      <c r="F762">
        <v>1.2700000000000001E-3</v>
      </c>
      <c r="G762">
        <v>1.2700000000000001E-3</v>
      </c>
      <c r="H762">
        <v>3.1E-4</v>
      </c>
      <c r="I762">
        <v>1.2700000000000001E-3</v>
      </c>
      <c r="J762">
        <f>PSI_OC!$A$6</f>
        <v>100</v>
      </c>
      <c r="K762">
        <v>-1</v>
      </c>
      <c r="L762" t="s">
        <v>464</v>
      </c>
      <c r="M762" s="17">
        <f t="shared" si="86"/>
        <v>-433778.36503450008</v>
      </c>
      <c r="N762" t="s">
        <v>537</v>
      </c>
    </row>
    <row r="763" spans="3:14" x14ac:dyDescent="0.2">
      <c r="C763" t="s">
        <v>278</v>
      </c>
      <c r="D763" s="88">
        <v>1.26824</v>
      </c>
      <c r="E763" t="s">
        <v>381</v>
      </c>
      <c r="F763">
        <v>1.26824</v>
      </c>
      <c r="G763">
        <v>1.26824</v>
      </c>
      <c r="H763">
        <v>3.0602</v>
      </c>
      <c r="I763">
        <v>1.26824</v>
      </c>
      <c r="J763">
        <f>PSI_OC!$A$6</f>
        <v>100</v>
      </c>
      <c r="K763">
        <v>-1</v>
      </c>
      <c r="L763" t="s">
        <v>465</v>
      </c>
      <c r="M763" s="17">
        <f t="shared" si="86"/>
        <v>-733931679.8730129</v>
      </c>
      <c r="N763" t="s">
        <v>537</v>
      </c>
    </row>
    <row r="764" spans="3:14" x14ac:dyDescent="0.2">
      <c r="C764" t="s">
        <v>330</v>
      </c>
      <c r="D764" s="88">
        <v>1.2999999999999999E-4</v>
      </c>
      <c r="E764" t="s">
        <v>382</v>
      </c>
      <c r="F764">
        <v>1.2999999999999999E-4</v>
      </c>
      <c r="G764">
        <v>1.2999999999999999E-4</v>
      </c>
      <c r="H764">
        <v>3.1E-4</v>
      </c>
      <c r="I764">
        <v>1.2999999999999999E-4</v>
      </c>
      <c r="J764">
        <f>PSI_OC!$A$7</f>
        <v>10</v>
      </c>
      <c r="K764">
        <v>-1</v>
      </c>
      <c r="L764" t="s">
        <v>466</v>
      </c>
      <c r="M764" s="17">
        <f t="shared" ref="M764:M804" si="87">((B$585*D764)+(SUM(B$586,B$587,B$590,B$591)*H764)+(B$588*F764)+(B$589*G764)+(B$592*I764))*J764*K764</f>
        <v>-7482.8364185315768</v>
      </c>
      <c r="N764" t="s">
        <v>537</v>
      </c>
    </row>
    <row r="765" spans="3:14" x14ac:dyDescent="0.2">
      <c r="C765" t="s">
        <v>279</v>
      </c>
      <c r="D765" s="88">
        <v>1.2999999999999999E-4</v>
      </c>
      <c r="E765" t="s">
        <v>382</v>
      </c>
      <c r="F765">
        <v>1.2999999999999999E-4</v>
      </c>
      <c r="G765">
        <v>1.2999999999999999E-4</v>
      </c>
      <c r="H765">
        <v>3.1E-4</v>
      </c>
      <c r="I765">
        <v>1.2999999999999999E-4</v>
      </c>
      <c r="J765">
        <f>PSI_OC!$A$7</f>
        <v>10</v>
      </c>
      <c r="K765">
        <v>-1</v>
      </c>
      <c r="L765" t="s">
        <v>466</v>
      </c>
      <c r="M765" s="17">
        <f t="shared" si="87"/>
        <v>-7482.8364185315768</v>
      </c>
      <c r="N765" t="s">
        <v>537</v>
      </c>
    </row>
    <row r="766" spans="3:14" x14ac:dyDescent="0.2">
      <c r="C766" t="s">
        <v>280</v>
      </c>
      <c r="D766" s="88">
        <v>1.2999999999999999E-4</v>
      </c>
      <c r="E766" t="s">
        <v>382</v>
      </c>
      <c r="F766">
        <v>1.2999999999999999E-4</v>
      </c>
      <c r="G766">
        <v>1.2999999999999999E-4</v>
      </c>
      <c r="H766">
        <v>3.0599999999999998E-3</v>
      </c>
      <c r="I766">
        <v>1.2999999999999999E-4</v>
      </c>
      <c r="J766">
        <v>0</v>
      </c>
      <c r="K766">
        <v>0</v>
      </c>
      <c r="L766" t="s">
        <v>466</v>
      </c>
      <c r="M766" s="17">
        <f t="shared" si="87"/>
        <v>0</v>
      </c>
      <c r="N766" t="s">
        <v>537</v>
      </c>
    </row>
    <row r="767" spans="3:14" x14ac:dyDescent="0.2">
      <c r="C767" t="s">
        <v>331</v>
      </c>
      <c r="D767" s="88">
        <v>1.2700000000000001E-3</v>
      </c>
      <c r="E767" t="s">
        <v>383</v>
      </c>
      <c r="F767">
        <v>1.2700000000000001E-3</v>
      </c>
      <c r="G767">
        <v>1.2700000000000001E-3</v>
      </c>
      <c r="H767">
        <v>3.0599999999999998E-3</v>
      </c>
      <c r="I767">
        <v>1.2700000000000001E-3</v>
      </c>
      <c r="J767">
        <v>0</v>
      </c>
      <c r="K767">
        <v>0</v>
      </c>
      <c r="L767" t="s">
        <v>467</v>
      </c>
      <c r="M767" s="17">
        <f t="shared" si="87"/>
        <v>0</v>
      </c>
      <c r="N767" t="s">
        <v>537</v>
      </c>
    </row>
    <row r="768" spans="3:14" x14ac:dyDescent="0.2">
      <c r="C768" t="s">
        <v>281</v>
      </c>
      <c r="D768" s="88">
        <v>1.2999999999999999E-4</v>
      </c>
      <c r="E768" t="s">
        <v>384</v>
      </c>
      <c r="F768">
        <v>1.2999999999999999E-4</v>
      </c>
      <c r="G768">
        <v>1.2999999999999999E-4</v>
      </c>
      <c r="H768">
        <v>3.1E-4</v>
      </c>
      <c r="I768">
        <v>1.2999999999999999E-4</v>
      </c>
      <c r="J768">
        <f>PSI_OC!$A$7</f>
        <v>10</v>
      </c>
      <c r="K768">
        <v>-1</v>
      </c>
      <c r="L768" t="s">
        <v>468</v>
      </c>
      <c r="M768" s="17">
        <f t="shared" si="87"/>
        <v>-7482.8364185315768</v>
      </c>
      <c r="N768" t="s">
        <v>537</v>
      </c>
    </row>
    <row r="769" spans="3:14" x14ac:dyDescent="0.2">
      <c r="C769" t="s">
        <v>282</v>
      </c>
      <c r="D769" s="88">
        <v>0.12681999999999999</v>
      </c>
      <c r="E769" t="s">
        <v>385</v>
      </c>
      <c r="F769">
        <v>0.12681999999999999</v>
      </c>
      <c r="G769">
        <v>0.12681999999999999</v>
      </c>
      <c r="H769">
        <v>0.30602000000000001</v>
      </c>
      <c r="I769">
        <v>0.12681999999999999</v>
      </c>
      <c r="J769">
        <v>0</v>
      </c>
      <c r="K769">
        <v>0</v>
      </c>
      <c r="L769" t="s">
        <v>469</v>
      </c>
      <c r="M769" s="17">
        <f t="shared" si="87"/>
        <v>0</v>
      </c>
      <c r="N769" t="s">
        <v>537</v>
      </c>
    </row>
    <row r="770" spans="3:14" x14ac:dyDescent="0.2">
      <c r="C770" t="s">
        <v>332</v>
      </c>
      <c r="D770" s="88">
        <v>1.268E-2</v>
      </c>
      <c r="E770" t="s">
        <v>386</v>
      </c>
      <c r="F770">
        <v>1.268E-2</v>
      </c>
      <c r="G770">
        <v>1.268E-2</v>
      </c>
      <c r="H770">
        <v>3.0599999999999998E-3</v>
      </c>
      <c r="I770">
        <v>1.268E-2</v>
      </c>
      <c r="J770">
        <v>0</v>
      </c>
      <c r="K770">
        <v>0</v>
      </c>
      <c r="L770" t="s">
        <v>470</v>
      </c>
      <c r="M770" s="17">
        <f t="shared" si="87"/>
        <v>0</v>
      </c>
      <c r="N770" t="s">
        <v>537</v>
      </c>
    </row>
    <row r="771" spans="3:14" x14ac:dyDescent="0.2">
      <c r="C771" t="s">
        <v>283</v>
      </c>
      <c r="D771" s="88">
        <v>1.2700000000000001E-3</v>
      </c>
      <c r="E771" t="s">
        <v>387</v>
      </c>
      <c r="F771">
        <v>1.2700000000000001E-3</v>
      </c>
      <c r="G771">
        <v>1.2700000000000001E-3</v>
      </c>
      <c r="H771">
        <v>3.0599999999999998E-3</v>
      </c>
      <c r="I771">
        <v>1.2700000000000001E-3</v>
      </c>
      <c r="J771">
        <f>PSI_OC!$A$7</f>
        <v>10</v>
      </c>
      <c r="K771">
        <v>-1</v>
      </c>
      <c r="L771" t="s">
        <v>471</v>
      </c>
      <c r="M771" s="17">
        <f t="shared" si="87"/>
        <v>-73446.398025063332</v>
      </c>
      <c r="N771" t="s">
        <v>537</v>
      </c>
    </row>
    <row r="772" spans="3:14" x14ac:dyDescent="0.2">
      <c r="C772" t="s">
        <v>284</v>
      </c>
      <c r="D772" s="88">
        <v>1.2999999999999999E-4</v>
      </c>
      <c r="E772" t="s">
        <v>388</v>
      </c>
      <c r="F772">
        <v>1.2999999999999999E-4</v>
      </c>
      <c r="G772">
        <v>1.2999999999999999E-4</v>
      </c>
      <c r="H772">
        <v>3.0602</v>
      </c>
      <c r="I772">
        <v>1.2999999999999999E-4</v>
      </c>
      <c r="J772">
        <f>PSI_OC!$A$7</f>
        <v>10</v>
      </c>
      <c r="K772">
        <v>-1</v>
      </c>
      <c r="L772" t="s">
        <v>472</v>
      </c>
      <c r="M772" s="17">
        <f t="shared" si="87"/>
        <v>-33464388.550734691</v>
      </c>
      <c r="N772" t="s">
        <v>537</v>
      </c>
    </row>
    <row r="773" spans="3:14" x14ac:dyDescent="0.2">
      <c r="C773" t="s">
        <v>285</v>
      </c>
      <c r="D773" s="88">
        <v>1.2700000000000001E-3</v>
      </c>
      <c r="E773" t="s">
        <v>389</v>
      </c>
      <c r="F773">
        <v>1.2700000000000001E-3</v>
      </c>
      <c r="G773">
        <v>1.2700000000000001E-3</v>
      </c>
      <c r="H773">
        <v>3.0599999999999998E-3</v>
      </c>
      <c r="I773">
        <v>1.2700000000000001E-3</v>
      </c>
      <c r="J773">
        <f>PSI_OC!$A$7</f>
        <v>10</v>
      </c>
      <c r="K773">
        <v>-1</v>
      </c>
      <c r="L773" t="s">
        <v>473</v>
      </c>
      <c r="M773" s="17">
        <f t="shared" si="87"/>
        <v>-73446.398025063332</v>
      </c>
      <c r="N773" t="s">
        <v>537</v>
      </c>
    </row>
    <row r="774" spans="3:14" x14ac:dyDescent="0.2">
      <c r="C774" t="s">
        <v>286</v>
      </c>
      <c r="D774" s="88">
        <v>1.268E-2</v>
      </c>
      <c r="E774" t="s">
        <v>390</v>
      </c>
      <c r="F774">
        <v>1.268E-2</v>
      </c>
      <c r="G774">
        <v>1.268E-2</v>
      </c>
      <c r="H774">
        <v>3.0599999999999998E-3</v>
      </c>
      <c r="I774">
        <v>1.268E-2</v>
      </c>
      <c r="J774">
        <f>PSI_OC!$A$6</f>
        <v>100</v>
      </c>
      <c r="K774">
        <v>-1</v>
      </c>
      <c r="L774" t="s">
        <v>474</v>
      </c>
      <c r="M774" s="17">
        <f t="shared" si="87"/>
        <v>-4327112.6729604518</v>
      </c>
      <c r="N774" t="s">
        <v>537</v>
      </c>
    </row>
    <row r="775" spans="3:14" x14ac:dyDescent="0.2">
      <c r="C775" t="s">
        <v>287</v>
      </c>
      <c r="D775" s="88">
        <v>1.2700000000000001E-3</v>
      </c>
      <c r="E775" t="s">
        <v>391</v>
      </c>
      <c r="F775">
        <v>1.2700000000000001E-3</v>
      </c>
      <c r="G775">
        <v>1.2700000000000001E-3</v>
      </c>
      <c r="H775">
        <v>3.0599999999999998E-3</v>
      </c>
      <c r="I775">
        <v>1.2700000000000001E-3</v>
      </c>
      <c r="J775">
        <f>PSI_OC!$A$6</f>
        <v>100</v>
      </c>
      <c r="K775">
        <v>-1</v>
      </c>
      <c r="L775" t="s">
        <v>475</v>
      </c>
      <c r="M775" s="17">
        <f t="shared" si="87"/>
        <v>-734463.98025063332</v>
      </c>
      <c r="N775" t="s">
        <v>537</v>
      </c>
    </row>
    <row r="776" spans="3:14" x14ac:dyDescent="0.2">
      <c r="C776" t="s">
        <v>288</v>
      </c>
      <c r="D776" s="88">
        <v>1.2700000000000001E-3</v>
      </c>
      <c r="E776" t="s">
        <v>392</v>
      </c>
      <c r="F776">
        <v>1.2700000000000001E-3</v>
      </c>
      <c r="G776">
        <v>1.2700000000000001E-3</v>
      </c>
      <c r="H776">
        <v>3.0599999999999998E-3</v>
      </c>
      <c r="I776">
        <v>1.2700000000000001E-3</v>
      </c>
      <c r="J776">
        <f>PSI_OC!$A$6</f>
        <v>100</v>
      </c>
      <c r="K776">
        <v>-1</v>
      </c>
      <c r="L776" t="s">
        <v>476</v>
      </c>
      <c r="M776" s="17">
        <f t="shared" si="87"/>
        <v>-734463.98025063332</v>
      </c>
      <c r="N776" t="s">
        <v>537</v>
      </c>
    </row>
    <row r="777" spans="3:14" x14ac:dyDescent="0.2">
      <c r="C777" t="s">
        <v>333</v>
      </c>
      <c r="D777" s="88">
        <v>1.2700000000000001E-3</v>
      </c>
      <c r="E777" t="s">
        <v>340</v>
      </c>
      <c r="F777">
        <v>1.2700000000000001E-3</v>
      </c>
      <c r="G777">
        <v>1.2700000000000001E-3</v>
      </c>
      <c r="H777">
        <v>3.0599999999999998E-3</v>
      </c>
      <c r="I777">
        <v>1.2999999999999999E-4</v>
      </c>
      <c r="J777">
        <f>PSI_OC!$A$7</f>
        <v>10</v>
      </c>
      <c r="K777">
        <v>-1</v>
      </c>
      <c r="L777" t="s">
        <v>424</v>
      </c>
      <c r="M777" s="17">
        <f t="shared" si="87"/>
        <v>-44379.000181732612</v>
      </c>
      <c r="N777" t="s">
        <v>537</v>
      </c>
    </row>
    <row r="778" spans="3:14" x14ac:dyDescent="0.2">
      <c r="C778" t="s">
        <v>334</v>
      </c>
      <c r="D778" s="88">
        <v>1.268E-2</v>
      </c>
      <c r="E778" t="s">
        <v>393</v>
      </c>
      <c r="F778">
        <v>1.268E-2</v>
      </c>
      <c r="G778">
        <v>1.268E-2</v>
      </c>
      <c r="H778">
        <v>3.0599999999999999E-2</v>
      </c>
      <c r="I778">
        <v>1.268E-2</v>
      </c>
      <c r="J778">
        <v>0</v>
      </c>
      <c r="K778">
        <v>0</v>
      </c>
      <c r="L778" t="s">
        <v>477</v>
      </c>
      <c r="M778" s="17">
        <f t="shared" si="87"/>
        <v>0</v>
      </c>
      <c r="N778" t="s">
        <v>537</v>
      </c>
    </row>
    <row r="779" spans="3:14" x14ac:dyDescent="0.2">
      <c r="C779" t="s">
        <v>335</v>
      </c>
      <c r="D779" s="88">
        <v>1.2700000000000001E-3</v>
      </c>
      <c r="E779" t="s">
        <v>394</v>
      </c>
      <c r="F779">
        <v>1.2700000000000001E-3</v>
      </c>
      <c r="G779">
        <v>1.2700000000000001E-3</v>
      </c>
      <c r="H779">
        <v>3.0599999999999998E-3</v>
      </c>
      <c r="I779">
        <v>1.2700000000000001E-3</v>
      </c>
      <c r="J779">
        <f>PSI_OC!$A$7</f>
        <v>10</v>
      </c>
      <c r="K779">
        <v>-1</v>
      </c>
      <c r="L779" t="s">
        <v>478</v>
      </c>
      <c r="M779" s="17">
        <f t="shared" si="87"/>
        <v>-73446.398025063332</v>
      </c>
      <c r="N779" t="s">
        <v>537</v>
      </c>
    </row>
    <row r="780" spans="3:14" x14ac:dyDescent="0.2">
      <c r="C780" t="s">
        <v>289</v>
      </c>
      <c r="D780" s="88">
        <v>1.2700000000000001E-3</v>
      </c>
      <c r="E780" t="s">
        <v>395</v>
      </c>
      <c r="F780">
        <v>1.2700000000000001E-3</v>
      </c>
      <c r="G780">
        <v>1.2700000000000001E-3</v>
      </c>
      <c r="H780">
        <v>0.30602000000000001</v>
      </c>
      <c r="I780">
        <v>1.2700000000000001E-3</v>
      </c>
      <c r="J780">
        <f>PSI_OC!$A$7</f>
        <v>10</v>
      </c>
      <c r="K780">
        <v>-1</v>
      </c>
      <c r="L780" t="s">
        <v>479</v>
      </c>
      <c r="M780" s="17">
        <f t="shared" si="87"/>
        <v>-3386017.815693419</v>
      </c>
      <c r="N780" t="s">
        <v>537</v>
      </c>
    </row>
    <row r="781" spans="3:14" x14ac:dyDescent="0.2">
      <c r="C781" t="s">
        <v>290</v>
      </c>
      <c r="D781" s="88">
        <v>1.2999999999999999E-4</v>
      </c>
      <c r="E781" t="s">
        <v>396</v>
      </c>
      <c r="F781">
        <v>1.2999999999999999E-4</v>
      </c>
      <c r="G781">
        <v>1.2999999999999999E-4</v>
      </c>
      <c r="H781">
        <v>3.1E-4</v>
      </c>
      <c r="I781">
        <v>1.2999999999999999E-4</v>
      </c>
      <c r="J781">
        <f>PSI_OC!$A$7</f>
        <v>10</v>
      </c>
      <c r="K781">
        <v>-1</v>
      </c>
      <c r="L781" t="s">
        <v>480</v>
      </c>
      <c r="M781" s="17">
        <f t="shared" si="87"/>
        <v>-7482.8364185315768</v>
      </c>
      <c r="N781" t="s">
        <v>537</v>
      </c>
    </row>
    <row r="782" spans="3:14" x14ac:dyDescent="0.2">
      <c r="C782" t="s">
        <v>291</v>
      </c>
      <c r="D782" s="88">
        <v>1.2999999999999999E-4</v>
      </c>
      <c r="E782" t="s">
        <v>397</v>
      </c>
      <c r="F782">
        <v>1.2999999999999999E-4</v>
      </c>
      <c r="G782">
        <v>1.2999999999999999E-4</v>
      </c>
      <c r="H782">
        <v>3.1E-4</v>
      </c>
      <c r="I782">
        <v>1.2999999999999999E-4</v>
      </c>
      <c r="J782">
        <f>PSI_OC!$A$8</f>
        <v>1</v>
      </c>
      <c r="K782">
        <v>-1</v>
      </c>
      <c r="L782" t="s">
        <v>481</v>
      </c>
      <c r="M782" s="17">
        <f t="shared" si="87"/>
        <v>-748.28364185315763</v>
      </c>
      <c r="N782" t="s">
        <v>537</v>
      </c>
    </row>
    <row r="783" spans="3:14" x14ac:dyDescent="0.2">
      <c r="C783" t="s">
        <v>292</v>
      </c>
      <c r="D783" s="88">
        <v>1.268E-2</v>
      </c>
      <c r="E783" t="s">
        <v>360</v>
      </c>
      <c r="F783">
        <v>1.268E-2</v>
      </c>
      <c r="G783">
        <v>1.268E-2</v>
      </c>
      <c r="H783">
        <v>3.0599999999999998E-3</v>
      </c>
      <c r="I783">
        <v>1.268E-2</v>
      </c>
      <c r="J783">
        <f>PSI_OC!$A$6</f>
        <v>100</v>
      </c>
      <c r="K783">
        <v>-1</v>
      </c>
      <c r="L783" t="s">
        <v>444</v>
      </c>
      <c r="M783" s="17">
        <f t="shared" si="87"/>
        <v>-4327112.6729604518</v>
      </c>
      <c r="N783" t="s">
        <v>537</v>
      </c>
    </row>
    <row r="784" spans="3:14" x14ac:dyDescent="0.2">
      <c r="C784" t="s">
        <v>293</v>
      </c>
      <c r="D784" s="88">
        <v>1.26824</v>
      </c>
      <c r="E784" t="s">
        <v>398</v>
      </c>
      <c r="F784">
        <v>1.26824</v>
      </c>
      <c r="G784">
        <v>1.26824</v>
      </c>
      <c r="H784">
        <v>3.0599999999999998E-3</v>
      </c>
      <c r="I784">
        <v>1.26824</v>
      </c>
      <c r="J784">
        <f>PSI_OC!$A$7</f>
        <v>10</v>
      </c>
      <c r="K784">
        <v>-1</v>
      </c>
      <c r="L784" t="s">
        <v>482</v>
      </c>
      <c r="M784" s="17">
        <f t="shared" si="87"/>
        <v>-39966330.834506735</v>
      </c>
      <c r="N784" t="s">
        <v>537</v>
      </c>
    </row>
    <row r="785" spans="3:14" x14ac:dyDescent="0.2">
      <c r="C785" t="s">
        <v>294</v>
      </c>
      <c r="D785" s="88">
        <v>1.2999999999999999E-4</v>
      </c>
      <c r="E785" t="s">
        <v>399</v>
      </c>
      <c r="F785">
        <v>1.2999999999999999E-4</v>
      </c>
      <c r="G785">
        <v>1.2999999999999999E-4</v>
      </c>
      <c r="H785">
        <v>3.1E-4</v>
      </c>
      <c r="I785">
        <v>1.2999999999999999E-4</v>
      </c>
      <c r="J785">
        <f>PSI_OC!$A$8</f>
        <v>1</v>
      </c>
      <c r="K785">
        <v>-1</v>
      </c>
      <c r="L785" t="s">
        <v>483</v>
      </c>
      <c r="M785" s="17">
        <f t="shared" si="87"/>
        <v>-748.28364185315763</v>
      </c>
      <c r="N785" t="s">
        <v>537</v>
      </c>
    </row>
    <row r="786" spans="3:14" x14ac:dyDescent="0.2">
      <c r="C786" t="s">
        <v>336</v>
      </c>
      <c r="D786" s="88">
        <v>1.2700000000000001E-3</v>
      </c>
      <c r="E786" t="s">
        <v>400</v>
      </c>
      <c r="F786">
        <v>1.2700000000000001E-3</v>
      </c>
      <c r="G786">
        <v>1.2700000000000001E-3</v>
      </c>
      <c r="H786">
        <v>0</v>
      </c>
      <c r="I786">
        <v>1.2700000000000001E-3</v>
      </c>
      <c r="J786">
        <f>PSI_OC!$A$6</f>
        <v>100</v>
      </c>
      <c r="K786">
        <v>-1</v>
      </c>
      <c r="L786" t="s">
        <v>484</v>
      </c>
      <c r="M786" s="17">
        <f t="shared" si="87"/>
        <v>-399882.89568286319</v>
      </c>
      <c r="N786" t="s">
        <v>537</v>
      </c>
    </row>
    <row r="787" spans="3:14" x14ac:dyDescent="0.2">
      <c r="C787" t="s">
        <v>295</v>
      </c>
      <c r="D787" s="88">
        <v>1.2999999999999999E-4</v>
      </c>
      <c r="E787" t="s">
        <v>401</v>
      </c>
      <c r="F787">
        <v>1.2999999999999999E-4</v>
      </c>
      <c r="G787">
        <v>1.2999999999999999E-4</v>
      </c>
      <c r="H787">
        <v>3.1E-4</v>
      </c>
      <c r="I787">
        <v>1.2999999999999999E-4</v>
      </c>
      <c r="J787">
        <f>PSI_OC!$A$6</f>
        <v>100</v>
      </c>
      <c r="K787">
        <v>-1</v>
      </c>
      <c r="L787" t="s">
        <v>485</v>
      </c>
      <c r="M787" s="17">
        <f t="shared" si="87"/>
        <v>-74828.364185315761</v>
      </c>
      <c r="N787" t="s">
        <v>537</v>
      </c>
    </row>
    <row r="788" spans="3:14" x14ac:dyDescent="0.2">
      <c r="C788" t="s">
        <v>296</v>
      </c>
      <c r="D788" s="88">
        <v>1.26824</v>
      </c>
      <c r="E788" t="s">
        <v>402</v>
      </c>
      <c r="F788">
        <v>1.26824</v>
      </c>
      <c r="G788">
        <v>1.26824</v>
      </c>
      <c r="H788">
        <v>3.0599999999999998E-3</v>
      </c>
      <c r="I788">
        <v>1.26824</v>
      </c>
      <c r="J788">
        <f>PSI_OC!$A$7</f>
        <v>10</v>
      </c>
      <c r="K788">
        <v>-1</v>
      </c>
      <c r="L788" t="s">
        <v>486</v>
      </c>
      <c r="M788" s="17">
        <f t="shared" si="87"/>
        <v>-39966330.834506735</v>
      </c>
      <c r="N788" t="s">
        <v>537</v>
      </c>
    </row>
    <row r="789" spans="3:14" x14ac:dyDescent="0.2">
      <c r="C789" t="s">
        <v>297</v>
      </c>
      <c r="D789" s="88">
        <v>1.2999999999999999E-4</v>
      </c>
      <c r="E789" t="s">
        <v>403</v>
      </c>
      <c r="F789">
        <v>1.2999999999999999E-4</v>
      </c>
      <c r="G789">
        <v>1.2999999999999999E-4</v>
      </c>
      <c r="H789">
        <v>3.0599999999999998E-3</v>
      </c>
      <c r="I789">
        <v>1.2999999999999999E-4</v>
      </c>
      <c r="J789">
        <f>PSI_OC!$A$7</f>
        <v>10</v>
      </c>
      <c r="K789">
        <v>-1</v>
      </c>
      <c r="L789" t="s">
        <v>487</v>
      </c>
      <c r="M789" s="17">
        <f t="shared" si="87"/>
        <v>-37551.397940144918</v>
      </c>
      <c r="N789" t="s">
        <v>537</v>
      </c>
    </row>
    <row r="790" spans="3:14" x14ac:dyDescent="0.2">
      <c r="C790" t="s">
        <v>298</v>
      </c>
      <c r="D790" s="88">
        <v>1.2700000000000001E-3</v>
      </c>
      <c r="E790" t="s">
        <v>394</v>
      </c>
      <c r="F790">
        <v>1.2999999999999999E-4</v>
      </c>
      <c r="G790">
        <v>1.2999999999999999E-4</v>
      </c>
      <c r="H790">
        <v>3.0599999999999998E-3</v>
      </c>
      <c r="I790">
        <v>1.2999999999999999E-4</v>
      </c>
      <c r="J790">
        <f>PSI_OC!$A$7</f>
        <v>10</v>
      </c>
      <c r="K790">
        <v>-1</v>
      </c>
      <c r="L790" t="s">
        <v>478</v>
      </c>
      <c r="M790" s="17">
        <f t="shared" si="87"/>
        <v>-37706.395122916176</v>
      </c>
      <c r="N790" t="s">
        <v>537</v>
      </c>
    </row>
    <row r="791" spans="3:14" x14ac:dyDescent="0.2">
      <c r="C791" t="s">
        <v>299</v>
      </c>
      <c r="D791" s="88">
        <v>1.2999999999999999E-4</v>
      </c>
      <c r="E791" t="s">
        <v>404</v>
      </c>
      <c r="F791">
        <v>1.2999999999999999E-4</v>
      </c>
      <c r="G791">
        <v>1.2999999999999999E-4</v>
      </c>
      <c r="H791">
        <v>0.30602000000000001</v>
      </c>
      <c r="I791">
        <v>1.2999999999999999E-4</v>
      </c>
      <c r="J791">
        <f>PSI_OC!$A$7</f>
        <v>10</v>
      </c>
      <c r="K791">
        <v>-1</v>
      </c>
      <c r="L791" t="s">
        <v>488</v>
      </c>
      <c r="M791" s="17">
        <f t="shared" si="87"/>
        <v>-3350122.8156085005</v>
      </c>
      <c r="N791" t="s">
        <v>537</v>
      </c>
    </row>
    <row r="792" spans="3:14" x14ac:dyDescent="0.2">
      <c r="C792" t="s">
        <v>300</v>
      </c>
      <c r="D792" s="88">
        <v>0.12681999999999999</v>
      </c>
      <c r="E792" t="s">
        <v>405</v>
      </c>
      <c r="F792">
        <v>0.12681999999999999</v>
      </c>
      <c r="G792">
        <v>0.12681999999999999</v>
      </c>
      <c r="H792">
        <v>3.0599999999999998E-3</v>
      </c>
      <c r="I792">
        <v>0.12681999999999999</v>
      </c>
      <c r="J792">
        <f>PSI_OC!$A$7</f>
        <v>10</v>
      </c>
      <c r="K792">
        <v>-1</v>
      </c>
      <c r="L792" t="s">
        <v>489</v>
      </c>
      <c r="M792" s="17">
        <f t="shared" si="87"/>
        <v>-4026619.4336930527</v>
      </c>
      <c r="N792" t="s">
        <v>537</v>
      </c>
    </row>
    <row r="793" spans="3:14" x14ac:dyDescent="0.2">
      <c r="C793" t="s">
        <v>301</v>
      </c>
      <c r="D793" s="88">
        <v>1.2700000000000001E-3</v>
      </c>
      <c r="E793" t="s">
        <v>406</v>
      </c>
      <c r="F793">
        <v>1.2700000000000001E-3</v>
      </c>
      <c r="G793">
        <v>1.2700000000000001E-3</v>
      </c>
      <c r="H793">
        <v>0.30602000000000001</v>
      </c>
      <c r="I793">
        <v>1.2700000000000001E-3</v>
      </c>
      <c r="J793">
        <f>PSI_OC!$A$6</f>
        <v>100</v>
      </c>
      <c r="K793">
        <v>-1</v>
      </c>
      <c r="L793" t="s">
        <v>490</v>
      </c>
      <c r="M793" s="17">
        <f t="shared" si="87"/>
        <v>-33860178.156934187</v>
      </c>
      <c r="N793" t="s">
        <v>537</v>
      </c>
    </row>
    <row r="794" spans="3:14" x14ac:dyDescent="0.2">
      <c r="C794" t="s">
        <v>302</v>
      </c>
      <c r="D794" s="88">
        <v>1.2700000000000001E-3</v>
      </c>
      <c r="E794" t="s">
        <v>407</v>
      </c>
      <c r="F794">
        <v>1.2700000000000001E-3</v>
      </c>
      <c r="G794">
        <v>1.2700000000000001E-3</v>
      </c>
      <c r="H794">
        <v>3.0599999999999998E-3</v>
      </c>
      <c r="I794">
        <v>1.2700000000000001E-3</v>
      </c>
      <c r="J794">
        <f>PSI_OC!$A$6</f>
        <v>100</v>
      </c>
      <c r="K794">
        <v>-1</v>
      </c>
      <c r="L794" t="s">
        <v>491</v>
      </c>
      <c r="M794" s="17">
        <f t="shared" si="87"/>
        <v>-734463.98025063332</v>
      </c>
      <c r="N794" t="s">
        <v>537</v>
      </c>
    </row>
    <row r="795" spans="3:14" x14ac:dyDescent="0.2">
      <c r="C795" t="s">
        <v>303</v>
      </c>
      <c r="D795" s="88">
        <v>1.2700000000000001E-3</v>
      </c>
      <c r="E795" t="s">
        <v>408</v>
      </c>
      <c r="F795">
        <v>1.2700000000000001E-3</v>
      </c>
      <c r="G795">
        <v>1.2700000000000001E-3</v>
      </c>
      <c r="H795">
        <v>3.0599999999999998E-3</v>
      </c>
      <c r="I795">
        <v>1.2700000000000001E-3</v>
      </c>
      <c r="J795">
        <f>PSI_OC!$A$7</f>
        <v>10</v>
      </c>
      <c r="K795">
        <v>-1</v>
      </c>
      <c r="L795" t="s">
        <v>492</v>
      </c>
      <c r="M795" s="17">
        <f t="shared" si="87"/>
        <v>-73446.398025063332</v>
      </c>
      <c r="N795" t="s">
        <v>537</v>
      </c>
    </row>
    <row r="796" spans="3:14" x14ac:dyDescent="0.2">
      <c r="C796" t="s">
        <v>304</v>
      </c>
      <c r="D796" s="88">
        <v>1.26824</v>
      </c>
      <c r="E796" t="s">
        <v>409</v>
      </c>
      <c r="F796">
        <v>1.26824</v>
      </c>
      <c r="G796">
        <v>1.26824</v>
      </c>
      <c r="H796">
        <v>3.0602</v>
      </c>
      <c r="I796">
        <v>1.26824</v>
      </c>
      <c r="J796">
        <f>PSI_OC!$A$6</f>
        <v>100</v>
      </c>
      <c r="K796">
        <v>-1</v>
      </c>
      <c r="L796" t="s">
        <v>493</v>
      </c>
      <c r="M796" s="17">
        <f t="shared" si="87"/>
        <v>-733931679.8730129</v>
      </c>
      <c r="N796" t="s">
        <v>537</v>
      </c>
    </row>
    <row r="797" spans="3:14" x14ac:dyDescent="0.2">
      <c r="C797" t="s">
        <v>305</v>
      </c>
      <c r="D797" s="88">
        <v>1.2700000000000001E-3</v>
      </c>
      <c r="E797" t="s">
        <v>410</v>
      </c>
      <c r="F797">
        <v>1.2700000000000001E-3</v>
      </c>
      <c r="G797">
        <v>1.2700000000000001E-3</v>
      </c>
      <c r="H797">
        <v>3.0599999999999998E-3</v>
      </c>
      <c r="I797">
        <v>1.2700000000000001E-3</v>
      </c>
      <c r="J797">
        <f>PSI_OC!$A$7</f>
        <v>10</v>
      </c>
      <c r="K797">
        <v>-1</v>
      </c>
      <c r="L797" t="s">
        <v>494</v>
      </c>
      <c r="M797" s="17">
        <f t="shared" si="87"/>
        <v>-73446.398025063332</v>
      </c>
      <c r="N797" t="s">
        <v>537</v>
      </c>
    </row>
    <row r="798" spans="3:14" x14ac:dyDescent="0.2">
      <c r="C798" t="s">
        <v>306</v>
      </c>
      <c r="D798" s="88">
        <v>1.2700000000000001E-3</v>
      </c>
      <c r="E798" t="s">
        <v>411</v>
      </c>
      <c r="F798">
        <v>1.2700000000000001E-3</v>
      </c>
      <c r="G798">
        <v>1.2700000000000001E-3</v>
      </c>
      <c r="H798">
        <v>3.0599999999999998E-3</v>
      </c>
      <c r="I798">
        <v>1.2700000000000001E-3</v>
      </c>
      <c r="J798">
        <f>PSI_OC!$A$8</f>
        <v>1</v>
      </c>
      <c r="K798">
        <v>-1</v>
      </c>
      <c r="L798" t="s">
        <v>495</v>
      </c>
      <c r="M798" s="17">
        <f t="shared" si="87"/>
        <v>-7344.6398025063336</v>
      </c>
      <c r="N798" t="s">
        <v>537</v>
      </c>
    </row>
    <row r="799" spans="3:14" x14ac:dyDescent="0.2">
      <c r="C799" t="s">
        <v>307</v>
      </c>
      <c r="D799" s="88">
        <v>1.2700000000000001E-3</v>
      </c>
      <c r="E799" t="s">
        <v>411</v>
      </c>
      <c r="F799">
        <v>1.2700000000000001E-3</v>
      </c>
      <c r="G799">
        <v>1.2700000000000001E-3</v>
      </c>
      <c r="H799">
        <v>3.0599999999999998E-3</v>
      </c>
      <c r="I799">
        <v>1.2700000000000001E-3</v>
      </c>
      <c r="J799">
        <f>PSI_OC!$A$8</f>
        <v>1</v>
      </c>
      <c r="K799">
        <v>-1</v>
      </c>
      <c r="L799" t="s">
        <v>495</v>
      </c>
      <c r="M799" s="17">
        <f t="shared" si="87"/>
        <v>-7344.6398025063336</v>
      </c>
      <c r="N799" t="s">
        <v>537</v>
      </c>
    </row>
    <row r="800" spans="3:14" x14ac:dyDescent="0.2">
      <c r="C800" t="s">
        <v>337</v>
      </c>
      <c r="D800" s="88">
        <v>0.12681999999999999</v>
      </c>
      <c r="E800" t="s">
        <v>412</v>
      </c>
      <c r="F800">
        <v>0.12681999999999999</v>
      </c>
      <c r="G800">
        <v>0.12681999999999999</v>
      </c>
      <c r="H800">
        <v>3.0599999999999998E-3</v>
      </c>
      <c r="I800">
        <v>0.12681999999999999</v>
      </c>
      <c r="J800">
        <v>0</v>
      </c>
      <c r="K800">
        <v>0</v>
      </c>
      <c r="L800" t="s">
        <v>496</v>
      </c>
      <c r="M800" s="17">
        <f t="shared" si="87"/>
        <v>0</v>
      </c>
      <c r="N800" t="s">
        <v>537</v>
      </c>
    </row>
    <row r="801" spans="1:14" x14ac:dyDescent="0.2">
      <c r="C801" t="s">
        <v>308</v>
      </c>
      <c r="D801" s="88">
        <v>1.2700000000000001E-3</v>
      </c>
      <c r="E801" t="s">
        <v>413</v>
      </c>
      <c r="F801">
        <v>1.2700000000000001E-3</v>
      </c>
      <c r="G801">
        <v>1.2700000000000001E-3</v>
      </c>
      <c r="H801">
        <v>3.0599999999999998E-3</v>
      </c>
      <c r="I801">
        <v>1.2700000000000001E-3</v>
      </c>
      <c r="J801">
        <f>PSI_OC!$A$7</f>
        <v>10</v>
      </c>
      <c r="K801">
        <v>-1</v>
      </c>
      <c r="L801" t="s">
        <v>497</v>
      </c>
      <c r="M801" s="17">
        <f t="shared" si="87"/>
        <v>-73446.398025063332</v>
      </c>
      <c r="N801" t="s">
        <v>537</v>
      </c>
    </row>
    <row r="802" spans="1:14" x14ac:dyDescent="0.2">
      <c r="C802" t="s">
        <v>309</v>
      </c>
      <c r="D802" s="88">
        <v>1.2700000000000001E-3</v>
      </c>
      <c r="E802" t="s">
        <v>413</v>
      </c>
      <c r="F802">
        <v>1.2700000000000001E-3</v>
      </c>
      <c r="G802">
        <v>1.2700000000000001E-3</v>
      </c>
      <c r="H802">
        <v>3.0599999999999998E-3</v>
      </c>
      <c r="I802">
        <v>1.2700000000000001E-3</v>
      </c>
      <c r="J802">
        <f>PSI_OC!$A$7</f>
        <v>10</v>
      </c>
      <c r="K802">
        <v>-1</v>
      </c>
      <c r="L802" t="s">
        <v>497</v>
      </c>
      <c r="M802" s="17">
        <f t="shared" si="87"/>
        <v>-73446.398025063332</v>
      </c>
      <c r="N802" t="s">
        <v>537</v>
      </c>
    </row>
    <row r="803" spans="1:14" x14ac:dyDescent="0.2">
      <c r="C803" t="s">
        <v>310</v>
      </c>
      <c r="D803" s="88">
        <v>1.2700000000000001E-3</v>
      </c>
      <c r="E803" t="s">
        <v>413</v>
      </c>
      <c r="F803">
        <v>1.2700000000000001E-3</v>
      </c>
      <c r="G803">
        <v>1.2700000000000001E-3</v>
      </c>
      <c r="H803">
        <v>3.0599999999999998E-3</v>
      </c>
      <c r="I803">
        <v>1.2700000000000001E-3</v>
      </c>
      <c r="J803">
        <v>0</v>
      </c>
      <c r="K803">
        <v>0</v>
      </c>
      <c r="L803" t="s">
        <v>497</v>
      </c>
      <c r="M803" s="17">
        <f t="shared" si="87"/>
        <v>0</v>
      </c>
      <c r="N803" t="s">
        <v>537</v>
      </c>
    </row>
    <row r="804" spans="1:14" x14ac:dyDescent="0.2">
      <c r="C804" t="s">
        <v>311</v>
      </c>
      <c r="D804" s="88">
        <v>1.2700000000000001E-3</v>
      </c>
      <c r="E804" t="s">
        <v>414</v>
      </c>
      <c r="F804">
        <v>1.2700000000000001E-3</v>
      </c>
      <c r="G804">
        <v>1.2700000000000001E-3</v>
      </c>
      <c r="H804">
        <v>3.1E-4</v>
      </c>
      <c r="I804">
        <v>1.2700000000000001E-3</v>
      </c>
      <c r="J804">
        <f>PSI_OC!$A$7</f>
        <v>10</v>
      </c>
      <c r="K804">
        <v>-1</v>
      </c>
      <c r="L804" t="s">
        <v>498</v>
      </c>
      <c r="M804" s="17">
        <f t="shared" si="87"/>
        <v>-43377.836503450009</v>
      </c>
      <c r="N804" t="s">
        <v>537</v>
      </c>
    </row>
    <row r="807" spans="1:14" ht="22" customHeight="1" x14ac:dyDescent="0.2">
      <c r="A807" s="377" t="s">
        <v>11</v>
      </c>
      <c r="B807" s="378"/>
      <c r="C807" s="378"/>
      <c r="D807" s="378"/>
      <c r="E807" s="378"/>
      <c r="F807" s="378"/>
      <c r="G807" s="378"/>
      <c r="H807" s="378"/>
      <c r="I807" s="378"/>
      <c r="J807" s="378"/>
      <c r="K807" s="378"/>
      <c r="L807" s="378"/>
      <c r="M807" s="378"/>
      <c r="N807" s="378"/>
    </row>
    <row r="808" spans="1:14" x14ac:dyDescent="0.2">
      <c r="A808" s="377"/>
      <c r="B808" s="378"/>
      <c r="C808" s="378"/>
      <c r="D808" s="378"/>
      <c r="E808" s="378"/>
      <c r="F808" s="378"/>
      <c r="G808" s="378"/>
      <c r="H808" s="378"/>
      <c r="I808" s="378"/>
      <c r="J808" s="378"/>
      <c r="K808" s="378"/>
      <c r="L808" s="378"/>
      <c r="M808" s="378"/>
      <c r="N808" s="378"/>
    </row>
    <row r="809" spans="1:14" ht="16" customHeight="1" x14ac:dyDescent="0.2">
      <c r="A809" s="358" t="s">
        <v>8</v>
      </c>
      <c r="B809" s="363" t="s">
        <v>1022</v>
      </c>
      <c r="C809" s="364" t="s">
        <v>503</v>
      </c>
      <c r="D809" s="364"/>
      <c r="E809" s="364"/>
      <c r="F809" s="79" t="s">
        <v>507</v>
      </c>
      <c r="G809" s="79" t="s">
        <v>505</v>
      </c>
      <c r="H809" s="328" t="s">
        <v>421</v>
      </c>
      <c r="I809" s="329"/>
      <c r="J809" s="330"/>
      <c r="K809" s="381" t="s">
        <v>28</v>
      </c>
      <c r="L809" s="381"/>
      <c r="M809" s="376" t="s">
        <v>420</v>
      </c>
      <c r="N809" s="376"/>
    </row>
    <row r="810" spans="1:14" x14ac:dyDescent="0.2">
      <c r="A810" s="358"/>
      <c r="B810" s="363"/>
      <c r="C810" s="61" t="s">
        <v>502</v>
      </c>
      <c r="D810" s="61"/>
      <c r="E810" s="61"/>
      <c r="F810" s="87" t="s">
        <v>506</v>
      </c>
      <c r="G810" s="7" t="s">
        <v>504</v>
      </c>
      <c r="H810" s="331"/>
      <c r="I810" s="332"/>
      <c r="J810" s="333"/>
      <c r="K810" s="381"/>
      <c r="L810" s="381"/>
      <c r="M810" s="376"/>
      <c r="N810" s="376"/>
    </row>
    <row r="811" spans="1:14" x14ac:dyDescent="0.2">
      <c r="A811" s="358"/>
      <c r="B811" s="363"/>
      <c r="C811" s="6" t="s">
        <v>317</v>
      </c>
      <c r="D811" s="58" t="s">
        <v>319</v>
      </c>
      <c r="E811" s="58" t="s">
        <v>5</v>
      </c>
      <c r="F811" s="58" t="s">
        <v>319</v>
      </c>
      <c r="G811" s="58" t="s">
        <v>319</v>
      </c>
      <c r="H811" s="64" t="s">
        <v>0</v>
      </c>
      <c r="I811" s="64" t="s">
        <v>499</v>
      </c>
      <c r="J811" s="64" t="s">
        <v>5</v>
      </c>
      <c r="K811" s="64" t="s">
        <v>0</v>
      </c>
      <c r="L811" s="58" t="s">
        <v>5</v>
      </c>
      <c r="M811" s="64" t="s">
        <v>0</v>
      </c>
      <c r="N811" s="58" t="s">
        <v>5</v>
      </c>
    </row>
    <row r="812" spans="1:14" ht="16" x14ac:dyDescent="0.2">
      <c r="A812" s="81" t="s">
        <v>57</v>
      </c>
      <c r="B812" s="82">
        <v>78852.044933793557</v>
      </c>
      <c r="C812" t="s">
        <v>225</v>
      </c>
      <c r="D812" s="88">
        <v>1.2999999999999999E-4</v>
      </c>
      <c r="E812" t="s">
        <v>338</v>
      </c>
      <c r="F812">
        <v>3.1E-4</v>
      </c>
      <c r="G812">
        <v>1.2999999999999999E-4</v>
      </c>
      <c r="H812">
        <f>$A$6</f>
        <v>100</v>
      </c>
      <c r="I812">
        <v>-1</v>
      </c>
      <c r="J812" t="s">
        <v>422</v>
      </c>
      <c r="K812" s="17">
        <f t="shared" ref="K812:K843" si="88">((B$812*D812)+(SUM(B$813:B$814)*F812)+(B$815*G812*0.2)+(B$815*F812*0.8))*H812*I812</f>
        <v>-1290982.0955610499</v>
      </c>
      <c r="L812" t="s">
        <v>537</v>
      </c>
      <c r="M812" s="69">
        <f>SUM(K812:K917)</f>
        <v>-50753205672.36499</v>
      </c>
      <c r="N812" t="s">
        <v>537</v>
      </c>
    </row>
    <row r="813" spans="1:14" ht="16" x14ac:dyDescent="0.2">
      <c r="A813" s="50" t="s">
        <v>166</v>
      </c>
      <c r="B813" s="82">
        <v>37927730.752231553</v>
      </c>
      <c r="C813" t="s">
        <v>226</v>
      </c>
      <c r="D813" s="88">
        <v>1.2999999999999999E-4</v>
      </c>
      <c r="E813" t="s">
        <v>339</v>
      </c>
      <c r="F813">
        <v>3.1E-4</v>
      </c>
      <c r="G813">
        <v>1.2999999999999999E-4</v>
      </c>
      <c r="H813">
        <f>$A$7</f>
        <v>10</v>
      </c>
      <c r="I813">
        <v>-1</v>
      </c>
      <c r="J813" t="s">
        <v>423</v>
      </c>
      <c r="K813" s="17">
        <f t="shared" si="88"/>
        <v>-129098.20955610499</v>
      </c>
      <c r="L813" t="s">
        <v>537</v>
      </c>
    </row>
    <row r="814" spans="1:14" ht="16" x14ac:dyDescent="0.2">
      <c r="A814" s="51" t="s">
        <v>167</v>
      </c>
      <c r="B814" s="82">
        <v>3677998.4926527869</v>
      </c>
      <c r="C814" t="s">
        <v>227</v>
      </c>
      <c r="D814" s="88">
        <v>1.2700000000000001E-3</v>
      </c>
      <c r="E814" t="s">
        <v>340</v>
      </c>
      <c r="F814">
        <v>3.0599999999999998E-3</v>
      </c>
      <c r="G814">
        <v>1.2700000000000001E-3</v>
      </c>
      <c r="H814">
        <f>$A$7</f>
        <v>10</v>
      </c>
      <c r="I814">
        <v>-1</v>
      </c>
      <c r="J814" t="s">
        <v>424</v>
      </c>
      <c r="K814" s="17">
        <f t="shared" si="88"/>
        <v>-1274313.6600486494</v>
      </c>
      <c r="L814" t="s">
        <v>537</v>
      </c>
    </row>
    <row r="815" spans="1:14" ht="16" x14ac:dyDescent="0.2">
      <c r="A815" s="51" t="s">
        <v>12</v>
      </c>
      <c r="B815" s="82">
        <v>6547.8972808800336</v>
      </c>
      <c r="C815" t="s">
        <v>228</v>
      </c>
      <c r="D815" s="88">
        <v>0.12681999999999999</v>
      </c>
      <c r="E815" t="s">
        <v>341</v>
      </c>
      <c r="F815">
        <v>3.0599999999999998E-3</v>
      </c>
      <c r="G815">
        <v>0.12681999999999999</v>
      </c>
      <c r="H815">
        <f>$A$7</f>
        <v>10</v>
      </c>
      <c r="I815">
        <v>-1</v>
      </c>
      <c r="J815" t="s">
        <v>425</v>
      </c>
      <c r="K815" s="17">
        <f t="shared" si="88"/>
        <v>-1374956.5794702561</v>
      </c>
      <c r="L815" t="s">
        <v>537</v>
      </c>
    </row>
    <row r="816" spans="1:14" x14ac:dyDescent="0.2">
      <c r="A816" s="1" t="s">
        <v>17</v>
      </c>
      <c r="B816" s="82">
        <v>41691129.187099017</v>
      </c>
      <c r="C816" t="s">
        <v>229</v>
      </c>
      <c r="D816" s="88">
        <v>1.268E-2</v>
      </c>
      <c r="E816" t="s">
        <v>342</v>
      </c>
      <c r="F816">
        <v>3.0599999999999998E-3</v>
      </c>
      <c r="G816">
        <v>1.268E-2</v>
      </c>
      <c r="H816">
        <f>$A$6</f>
        <v>100</v>
      </c>
      <c r="I816">
        <v>-1</v>
      </c>
      <c r="J816" t="s">
        <v>426</v>
      </c>
      <c r="K816" s="17">
        <f t="shared" si="88"/>
        <v>-12834601.013915449</v>
      </c>
      <c r="L816" t="s">
        <v>537</v>
      </c>
    </row>
    <row r="817" spans="1:12" x14ac:dyDescent="0.2">
      <c r="B817" s="55"/>
      <c r="C817" t="s">
        <v>230</v>
      </c>
      <c r="D817" s="88">
        <v>0.12681999999999999</v>
      </c>
      <c r="E817" t="s">
        <v>343</v>
      </c>
      <c r="F817">
        <v>3.0602</v>
      </c>
      <c r="G817">
        <v>0.12681999999999999</v>
      </c>
      <c r="H817">
        <f>$A$6</f>
        <v>100</v>
      </c>
      <c r="I817">
        <v>-1</v>
      </c>
      <c r="J817" t="s">
        <v>427</v>
      </c>
      <c r="K817" s="17">
        <f t="shared" si="88"/>
        <v>-12734804903.260735</v>
      </c>
      <c r="L817" t="s">
        <v>537</v>
      </c>
    </row>
    <row r="818" spans="1:12" ht="16" x14ac:dyDescent="0.2">
      <c r="A818" s="66" t="s">
        <v>8</v>
      </c>
      <c r="B818" s="76" t="s">
        <v>418</v>
      </c>
      <c r="C818" t="s">
        <v>231</v>
      </c>
      <c r="D818" s="88">
        <v>0.12681999999999999</v>
      </c>
      <c r="E818" t="s">
        <v>344</v>
      </c>
      <c r="F818">
        <v>3.0599999999999998E-3</v>
      </c>
      <c r="G818">
        <v>1.268E-2</v>
      </c>
      <c r="H818">
        <f>$A$7</f>
        <v>10</v>
      </c>
      <c r="I818">
        <v>-1</v>
      </c>
      <c r="J818" t="s">
        <v>428</v>
      </c>
      <c r="K818" s="17">
        <f t="shared" si="88"/>
        <v>-1373461.8254789766</v>
      </c>
      <c r="L818" t="s">
        <v>537</v>
      </c>
    </row>
    <row r="819" spans="1:12" ht="16" x14ac:dyDescent="0.2">
      <c r="A819" s="81" t="s">
        <v>57</v>
      </c>
      <c r="B819" s="61" t="s">
        <v>502</v>
      </c>
      <c r="C819" t="s">
        <v>232</v>
      </c>
      <c r="D819" s="88">
        <v>1.2999999999999999E-4</v>
      </c>
      <c r="E819" t="s">
        <v>345</v>
      </c>
      <c r="F819">
        <v>3.1E-4</v>
      </c>
      <c r="G819">
        <v>1.2999999999999999E-4</v>
      </c>
      <c r="H819">
        <f>$A$7</f>
        <v>10</v>
      </c>
      <c r="I819">
        <v>-1</v>
      </c>
      <c r="J819" t="s">
        <v>429</v>
      </c>
      <c r="K819" s="17">
        <f t="shared" si="88"/>
        <v>-129098.20955610499</v>
      </c>
      <c r="L819" t="s">
        <v>537</v>
      </c>
    </row>
    <row r="820" spans="1:12" ht="16" x14ac:dyDescent="0.2">
      <c r="A820" s="50" t="s">
        <v>166</v>
      </c>
      <c r="B820" s="87" t="s">
        <v>506</v>
      </c>
      <c r="C820" t="s">
        <v>233</v>
      </c>
      <c r="D820" s="88">
        <v>1.2999999999999999E-4</v>
      </c>
      <c r="E820" t="s">
        <v>345</v>
      </c>
      <c r="F820">
        <v>3.1E-4</v>
      </c>
      <c r="G820">
        <v>1.2999999999999999E-4</v>
      </c>
      <c r="H820">
        <f>$A$7</f>
        <v>10</v>
      </c>
      <c r="I820">
        <v>-1</v>
      </c>
      <c r="J820" t="s">
        <v>429</v>
      </c>
      <c r="K820" s="17">
        <f t="shared" si="88"/>
        <v>-129098.20955610499</v>
      </c>
      <c r="L820" t="s">
        <v>537</v>
      </c>
    </row>
    <row r="821" spans="1:12" ht="16" x14ac:dyDescent="0.2">
      <c r="A821" s="51" t="s">
        <v>167</v>
      </c>
      <c r="B821" s="87" t="s">
        <v>506</v>
      </c>
      <c r="C821" t="s">
        <v>320</v>
      </c>
      <c r="D821" s="88">
        <v>0</v>
      </c>
      <c r="E821" t="s">
        <v>344</v>
      </c>
      <c r="F821">
        <v>0.30602000000000001</v>
      </c>
      <c r="G821">
        <v>1.2999999999999999E-4</v>
      </c>
      <c r="H821">
        <f>$A$6</f>
        <v>100</v>
      </c>
      <c r="I821">
        <v>-1</v>
      </c>
      <c r="J821" t="s">
        <v>428</v>
      </c>
      <c r="K821" s="17">
        <f t="shared" si="88"/>
        <v>-1273378846.3785551</v>
      </c>
      <c r="L821" t="s">
        <v>537</v>
      </c>
    </row>
    <row r="822" spans="1:12" ht="16" x14ac:dyDescent="0.2">
      <c r="A822" s="51" t="s">
        <v>12</v>
      </c>
      <c r="B822" s="7" t="s">
        <v>516</v>
      </c>
      <c r="C822" t="s">
        <v>321</v>
      </c>
      <c r="D822" s="88">
        <v>0</v>
      </c>
      <c r="E822" t="s">
        <v>344</v>
      </c>
      <c r="F822">
        <v>0.30602000000000001</v>
      </c>
      <c r="G822">
        <v>1.2999999999999999E-4</v>
      </c>
      <c r="H822">
        <f>$A$6</f>
        <v>100</v>
      </c>
      <c r="I822">
        <v>-1</v>
      </c>
      <c r="J822" t="s">
        <v>428</v>
      </c>
      <c r="K822" s="17">
        <f t="shared" si="88"/>
        <v>-1273378846.3785551</v>
      </c>
      <c r="L822" t="s">
        <v>537</v>
      </c>
    </row>
    <row r="823" spans="1:12" x14ac:dyDescent="0.2">
      <c r="B823" s="55"/>
      <c r="C823" t="s">
        <v>234</v>
      </c>
      <c r="D823" s="88">
        <v>0</v>
      </c>
      <c r="E823" t="s">
        <v>344</v>
      </c>
      <c r="F823">
        <v>0.30602000000000001</v>
      </c>
      <c r="G823">
        <v>1.2999999999999999E-4</v>
      </c>
      <c r="H823">
        <v>0</v>
      </c>
      <c r="I823">
        <v>0</v>
      </c>
      <c r="J823" t="s">
        <v>428</v>
      </c>
      <c r="K823" s="17">
        <f t="shared" si="88"/>
        <v>0</v>
      </c>
      <c r="L823" t="s">
        <v>537</v>
      </c>
    </row>
    <row r="824" spans="1:12" x14ac:dyDescent="0.2">
      <c r="B824" s="55"/>
      <c r="C824" t="s">
        <v>235</v>
      </c>
      <c r="D824" s="88">
        <v>0.12681999999999999</v>
      </c>
      <c r="E824" t="s">
        <v>346</v>
      </c>
      <c r="F824">
        <v>0.30602000000000001</v>
      </c>
      <c r="G824">
        <v>0.12681999999999999</v>
      </c>
      <c r="H824">
        <f>$A$8</f>
        <v>1</v>
      </c>
      <c r="I824">
        <v>1</v>
      </c>
      <c r="J824" t="s">
        <v>430</v>
      </c>
      <c r="K824" s="17">
        <f t="shared" si="88"/>
        <v>12743954.390745359</v>
      </c>
      <c r="L824" t="s">
        <v>537</v>
      </c>
    </row>
    <row r="825" spans="1:12" x14ac:dyDescent="0.2">
      <c r="B825" s="55"/>
      <c r="C825" t="s">
        <v>236</v>
      </c>
      <c r="D825" s="88">
        <v>1.2999999999999999E-4</v>
      </c>
      <c r="E825" t="s">
        <v>347</v>
      </c>
      <c r="F825">
        <v>3.0602</v>
      </c>
      <c r="G825">
        <v>1.2999999999999999E-4</v>
      </c>
      <c r="H825">
        <f>$A$7</f>
        <v>10</v>
      </c>
      <c r="I825">
        <v>-1</v>
      </c>
      <c r="J825" t="s">
        <v>431</v>
      </c>
      <c r="K825" s="17">
        <f t="shared" si="88"/>
        <v>-1273378933.5641339</v>
      </c>
      <c r="L825" t="s">
        <v>537</v>
      </c>
    </row>
    <row r="826" spans="1:12" x14ac:dyDescent="0.2">
      <c r="B826" s="55"/>
      <c r="C826" t="s">
        <v>237</v>
      </c>
      <c r="D826" s="88">
        <v>0.12681999999999999</v>
      </c>
      <c r="E826" t="s">
        <v>348</v>
      </c>
      <c r="F826">
        <v>0.30602000000000001</v>
      </c>
      <c r="G826">
        <v>0.12681999999999999</v>
      </c>
      <c r="H826">
        <f>$A$6</f>
        <v>100</v>
      </c>
      <c r="I826">
        <v>-1</v>
      </c>
      <c r="J826" t="s">
        <v>432</v>
      </c>
      <c r="K826" s="17">
        <f t="shared" si="88"/>
        <v>-1274395439.0745358</v>
      </c>
      <c r="L826" t="s">
        <v>537</v>
      </c>
    </row>
    <row r="827" spans="1:12" x14ac:dyDescent="0.2">
      <c r="B827" s="55"/>
      <c r="C827" t="s">
        <v>238</v>
      </c>
      <c r="D827" s="88">
        <v>0</v>
      </c>
      <c r="E827" t="s">
        <v>349</v>
      </c>
      <c r="F827">
        <v>0</v>
      </c>
      <c r="G827">
        <v>0</v>
      </c>
      <c r="H827">
        <f>$A$7</f>
        <v>10</v>
      </c>
      <c r="I827">
        <v>-1</v>
      </c>
      <c r="J827" t="s">
        <v>433</v>
      </c>
      <c r="K827" s="17">
        <f t="shared" si="88"/>
        <v>0</v>
      </c>
      <c r="L827" t="s">
        <v>537</v>
      </c>
    </row>
    <row r="828" spans="1:12" x14ac:dyDescent="0.2">
      <c r="B828" s="55"/>
      <c r="C828" t="s">
        <v>239</v>
      </c>
      <c r="D828" s="88">
        <v>1.2700000000000001E-3</v>
      </c>
      <c r="E828" t="s">
        <v>348</v>
      </c>
      <c r="F828">
        <v>3.0599999999999998E-3</v>
      </c>
      <c r="G828">
        <v>1.2700000000000001E-3</v>
      </c>
      <c r="H828">
        <f>$A$6</f>
        <v>100</v>
      </c>
      <c r="I828">
        <v>-1</v>
      </c>
      <c r="J828" t="s">
        <v>432</v>
      </c>
      <c r="K828" s="17">
        <f t="shared" si="88"/>
        <v>-12743136.600486493</v>
      </c>
      <c r="L828" t="s">
        <v>537</v>
      </c>
    </row>
    <row r="829" spans="1:12" x14ac:dyDescent="0.2">
      <c r="B829" s="55"/>
      <c r="C829" t="s">
        <v>240</v>
      </c>
      <c r="D829" s="88">
        <v>0</v>
      </c>
      <c r="E829" t="s">
        <v>348</v>
      </c>
      <c r="F829">
        <v>0</v>
      </c>
      <c r="G829">
        <v>0</v>
      </c>
      <c r="H829">
        <f>$A$6</f>
        <v>100</v>
      </c>
      <c r="I829">
        <v>-1</v>
      </c>
      <c r="J829" t="s">
        <v>432</v>
      </c>
      <c r="K829" s="17">
        <f t="shared" si="88"/>
        <v>0</v>
      </c>
      <c r="L829" t="s">
        <v>537</v>
      </c>
    </row>
    <row r="830" spans="1:12" x14ac:dyDescent="0.2">
      <c r="B830" s="55"/>
      <c r="C830" t="s">
        <v>241</v>
      </c>
      <c r="D830" s="88">
        <v>0</v>
      </c>
      <c r="E830" t="s">
        <v>350</v>
      </c>
      <c r="F830">
        <v>0</v>
      </c>
      <c r="G830">
        <v>0</v>
      </c>
      <c r="H830">
        <f>$A$6</f>
        <v>100</v>
      </c>
      <c r="I830">
        <v>-1</v>
      </c>
      <c r="J830" t="s">
        <v>434</v>
      </c>
      <c r="K830" s="17">
        <f t="shared" si="88"/>
        <v>0</v>
      </c>
      <c r="L830" t="s">
        <v>537</v>
      </c>
    </row>
    <row r="831" spans="1:12" x14ac:dyDescent="0.2">
      <c r="B831" s="55"/>
      <c r="C831" t="s">
        <v>242</v>
      </c>
      <c r="D831" s="88">
        <v>0</v>
      </c>
      <c r="E831" t="s">
        <v>351</v>
      </c>
      <c r="F831">
        <v>0</v>
      </c>
      <c r="G831">
        <v>0</v>
      </c>
      <c r="H831">
        <f>$A$8</f>
        <v>1</v>
      </c>
      <c r="I831">
        <v>1</v>
      </c>
      <c r="J831" t="s">
        <v>435</v>
      </c>
      <c r="K831" s="17">
        <f t="shared" si="88"/>
        <v>0</v>
      </c>
      <c r="L831" t="s">
        <v>537</v>
      </c>
    </row>
    <row r="832" spans="1:12" x14ac:dyDescent="0.2">
      <c r="B832" s="55"/>
      <c r="C832" t="s">
        <v>243</v>
      </c>
      <c r="D832" s="88">
        <v>0.12681999999999999</v>
      </c>
      <c r="E832" t="s">
        <v>352</v>
      </c>
      <c r="F832">
        <v>3.0599999999999998E-3</v>
      </c>
      <c r="G832">
        <v>1.268E-2</v>
      </c>
      <c r="H832">
        <f>$A$6</f>
        <v>100</v>
      </c>
      <c r="I832">
        <v>-1</v>
      </c>
      <c r="J832" t="s">
        <v>436</v>
      </c>
      <c r="K832" s="17">
        <f t="shared" si="88"/>
        <v>-13734618.254789766</v>
      </c>
      <c r="L832" t="s">
        <v>537</v>
      </c>
    </row>
    <row r="833" spans="2:12" x14ac:dyDescent="0.2">
      <c r="B833" s="55"/>
      <c r="C833" t="s">
        <v>244</v>
      </c>
      <c r="D833" s="88">
        <v>1.2700000000000001E-3</v>
      </c>
      <c r="E833" t="s">
        <v>353</v>
      </c>
      <c r="F833">
        <v>3.0599999999999998E-3</v>
      </c>
      <c r="G833">
        <v>1.2700000000000001E-3</v>
      </c>
      <c r="H833">
        <v>0</v>
      </c>
      <c r="I833">
        <v>0</v>
      </c>
      <c r="J833" t="s">
        <v>437</v>
      </c>
      <c r="K833" s="17">
        <f t="shared" si="88"/>
        <v>0</v>
      </c>
      <c r="L833" t="s">
        <v>537</v>
      </c>
    </row>
    <row r="834" spans="2:12" x14ac:dyDescent="0.2">
      <c r="B834" s="55"/>
      <c r="C834" t="s">
        <v>245</v>
      </c>
      <c r="D834" s="88">
        <v>1.2700000000000001E-3</v>
      </c>
      <c r="E834" t="s">
        <v>351</v>
      </c>
      <c r="F834">
        <v>0.30602000000000001</v>
      </c>
      <c r="G834">
        <v>1.2999999999999999E-4</v>
      </c>
      <c r="H834">
        <f t="shared" ref="H834:H839" si="89">$A$7</f>
        <v>10</v>
      </c>
      <c r="I834">
        <v>-1</v>
      </c>
      <c r="J834" t="s">
        <v>435</v>
      </c>
      <c r="K834" s="17">
        <f t="shared" si="88"/>
        <v>-127338886.05882616</v>
      </c>
      <c r="L834" t="s">
        <v>537</v>
      </c>
    </row>
    <row r="835" spans="2:12" x14ac:dyDescent="0.2">
      <c r="B835" s="55"/>
      <c r="C835" t="s">
        <v>246</v>
      </c>
      <c r="D835" s="88">
        <v>1.268E-2</v>
      </c>
      <c r="E835" t="s">
        <v>354</v>
      </c>
      <c r="F835">
        <v>3.0599999999999999E-2</v>
      </c>
      <c r="G835">
        <v>1.268E-2</v>
      </c>
      <c r="H835">
        <f t="shared" si="89"/>
        <v>10</v>
      </c>
      <c r="I835">
        <v>-1</v>
      </c>
      <c r="J835" t="s">
        <v>438</v>
      </c>
      <c r="K835" s="17">
        <f t="shared" si="88"/>
        <v>-12743120.568161616</v>
      </c>
      <c r="L835" t="s">
        <v>537</v>
      </c>
    </row>
    <row r="836" spans="2:12" x14ac:dyDescent="0.2">
      <c r="B836" s="55"/>
      <c r="C836" t="s">
        <v>247</v>
      </c>
      <c r="D836" s="88">
        <v>1.26824</v>
      </c>
      <c r="E836" t="s">
        <v>354</v>
      </c>
      <c r="F836">
        <v>3.1E-4</v>
      </c>
      <c r="G836">
        <v>1.26824</v>
      </c>
      <c r="H836">
        <f t="shared" si="89"/>
        <v>10</v>
      </c>
      <c r="I836">
        <v>-1</v>
      </c>
      <c r="J836" t="s">
        <v>438</v>
      </c>
      <c r="K836" s="17">
        <f t="shared" si="88"/>
        <v>-1145635.784607748</v>
      </c>
      <c r="L836" t="s">
        <v>537</v>
      </c>
    </row>
    <row r="837" spans="2:12" x14ac:dyDescent="0.2">
      <c r="B837" s="55"/>
      <c r="C837" t="s">
        <v>248</v>
      </c>
      <c r="D837" s="88">
        <v>1.26824</v>
      </c>
      <c r="E837" t="s">
        <v>350</v>
      </c>
      <c r="F837">
        <v>0.30602000000000001</v>
      </c>
      <c r="G837">
        <v>1.26824</v>
      </c>
      <c r="H837">
        <f t="shared" si="89"/>
        <v>10</v>
      </c>
      <c r="I837">
        <v>-1</v>
      </c>
      <c r="J837" t="s">
        <v>434</v>
      </c>
      <c r="K837" s="17">
        <f t="shared" si="88"/>
        <v>-128354524.72056559</v>
      </c>
      <c r="L837" t="s">
        <v>537</v>
      </c>
    </row>
    <row r="838" spans="2:12" x14ac:dyDescent="0.2">
      <c r="B838" s="55"/>
      <c r="C838" t="s">
        <v>322</v>
      </c>
      <c r="D838" s="88">
        <v>1.26824</v>
      </c>
      <c r="E838" t="s">
        <v>355</v>
      </c>
      <c r="F838">
        <v>3.0599999999999999E-2</v>
      </c>
      <c r="G838">
        <v>1.26824</v>
      </c>
      <c r="H838">
        <f t="shared" si="89"/>
        <v>10</v>
      </c>
      <c r="I838">
        <v>-1</v>
      </c>
      <c r="J838" t="s">
        <v>439</v>
      </c>
      <c r="K838" s="17">
        <f t="shared" si="88"/>
        <v>-13749597.85935232</v>
      </c>
      <c r="L838" t="s">
        <v>537</v>
      </c>
    </row>
    <row r="839" spans="2:12" x14ac:dyDescent="0.2">
      <c r="B839" s="55"/>
      <c r="C839" t="s">
        <v>249</v>
      </c>
      <c r="D839" s="88">
        <v>0.12681999999999999</v>
      </c>
      <c r="E839" t="s">
        <v>356</v>
      </c>
      <c r="F839">
        <v>3.1E-4</v>
      </c>
      <c r="G839">
        <v>0.12681999999999999</v>
      </c>
      <c r="H839">
        <f t="shared" si="89"/>
        <v>10</v>
      </c>
      <c r="I839">
        <v>-1</v>
      </c>
      <c r="J839" t="s">
        <v>440</v>
      </c>
      <c r="K839" s="17">
        <f t="shared" si="88"/>
        <v>-230654.9714957574</v>
      </c>
      <c r="L839" t="s">
        <v>537</v>
      </c>
    </row>
    <row r="840" spans="2:12" x14ac:dyDescent="0.2">
      <c r="B840" s="55"/>
      <c r="C840" t="s">
        <v>323</v>
      </c>
      <c r="D840" s="88">
        <v>1.2700000000000001E-3</v>
      </c>
      <c r="E840" t="s">
        <v>357</v>
      </c>
      <c r="F840">
        <v>3.0599999999999998E-3</v>
      </c>
      <c r="G840">
        <v>1.2700000000000001E-3</v>
      </c>
      <c r="H840">
        <f>$A$6</f>
        <v>100</v>
      </c>
      <c r="I840">
        <v>-1</v>
      </c>
      <c r="J840" t="s">
        <v>441</v>
      </c>
      <c r="K840" s="17">
        <f t="shared" si="88"/>
        <v>-12743136.600486493</v>
      </c>
      <c r="L840" t="s">
        <v>537</v>
      </c>
    </row>
    <row r="841" spans="2:12" x14ac:dyDescent="0.2">
      <c r="B841" s="55"/>
      <c r="C841" t="s">
        <v>324</v>
      </c>
      <c r="D841" s="88">
        <v>1.2700000000000001E-3</v>
      </c>
      <c r="E841" t="s">
        <v>357</v>
      </c>
      <c r="F841">
        <v>3.0599999999999998E-3</v>
      </c>
      <c r="G841">
        <v>1.2700000000000001E-3</v>
      </c>
      <c r="H841">
        <f>$A$6</f>
        <v>100</v>
      </c>
      <c r="I841">
        <v>-1</v>
      </c>
      <c r="J841" t="s">
        <v>441</v>
      </c>
      <c r="K841" s="17">
        <f t="shared" si="88"/>
        <v>-12743136.600486493</v>
      </c>
      <c r="L841" t="s">
        <v>537</v>
      </c>
    </row>
    <row r="842" spans="2:12" x14ac:dyDescent="0.2">
      <c r="B842" s="55"/>
      <c r="C842" t="s">
        <v>250</v>
      </c>
      <c r="D842" s="88">
        <v>1.2700000000000001E-3</v>
      </c>
      <c r="E842" t="s">
        <v>358</v>
      </c>
      <c r="F842">
        <v>0.30602000000000001</v>
      </c>
      <c r="G842">
        <v>1.2700000000000001E-3</v>
      </c>
      <c r="H842">
        <f>$A$7</f>
        <v>10</v>
      </c>
      <c r="I842">
        <v>1</v>
      </c>
      <c r="J842" t="s">
        <v>442</v>
      </c>
      <c r="K842" s="17">
        <f t="shared" si="88"/>
        <v>127338900.98803198</v>
      </c>
      <c r="L842" t="s">
        <v>537</v>
      </c>
    </row>
    <row r="843" spans="2:12" x14ac:dyDescent="0.2">
      <c r="B843" s="55"/>
      <c r="C843" t="s">
        <v>251</v>
      </c>
      <c r="D843" s="88">
        <v>0</v>
      </c>
      <c r="E843" t="s">
        <v>359</v>
      </c>
      <c r="F843">
        <v>3.1E-4</v>
      </c>
      <c r="G843">
        <v>0</v>
      </c>
      <c r="H843">
        <f>$A$6</f>
        <v>100</v>
      </c>
      <c r="I843">
        <v>-1</v>
      </c>
      <c r="J843" t="s">
        <v>443</v>
      </c>
      <c r="K843" s="17">
        <f t="shared" si="88"/>
        <v>-1289939.9944439803</v>
      </c>
      <c r="L843" t="s">
        <v>537</v>
      </c>
    </row>
    <row r="844" spans="2:12" x14ac:dyDescent="0.2">
      <c r="B844" s="55"/>
      <c r="C844" t="s">
        <v>252</v>
      </c>
      <c r="D844" s="88">
        <v>0.12681999999999999</v>
      </c>
      <c r="E844" t="s">
        <v>360</v>
      </c>
      <c r="F844">
        <v>3.0602</v>
      </c>
      <c r="G844">
        <v>0.12681999999999999</v>
      </c>
      <c r="H844">
        <f>$A$7</f>
        <v>10</v>
      </c>
      <c r="I844">
        <v>-1</v>
      </c>
      <c r="J844" t="s">
        <v>444</v>
      </c>
      <c r="K844" s="17">
        <f t="shared" ref="K844:K875" si="90">((B$812*D844)+(SUM(B$813:B$814)*F844)+(B$815*G844*0.2)+(B$815*F844*0.8))*H844*I844</f>
        <v>-1273480490.3260734</v>
      </c>
      <c r="L844" t="s">
        <v>537</v>
      </c>
    </row>
    <row r="845" spans="2:12" x14ac:dyDescent="0.2">
      <c r="B845" s="55"/>
      <c r="C845" t="s">
        <v>253</v>
      </c>
      <c r="D845" s="88">
        <v>1.268E-2</v>
      </c>
      <c r="E845" t="s">
        <v>361</v>
      </c>
      <c r="F845">
        <v>0.30602000000000001</v>
      </c>
      <c r="G845">
        <v>1.268E-2</v>
      </c>
      <c r="H845">
        <f>$A$7</f>
        <v>10</v>
      </c>
      <c r="I845">
        <v>-1</v>
      </c>
      <c r="J845" t="s">
        <v>445</v>
      </c>
      <c r="K845" s="17">
        <f t="shared" si="90"/>
        <v>-127348047.42937487</v>
      </c>
      <c r="L845" t="s">
        <v>537</v>
      </c>
    </row>
    <row r="846" spans="2:12" x14ac:dyDescent="0.2">
      <c r="B846" s="55"/>
      <c r="C846" t="s">
        <v>325</v>
      </c>
      <c r="D846" s="88">
        <v>1.2700000000000001E-3</v>
      </c>
      <c r="E846" t="s">
        <v>362</v>
      </c>
      <c r="F846">
        <v>3.1E-4</v>
      </c>
      <c r="G846">
        <v>1.2700000000000001E-3</v>
      </c>
      <c r="H846">
        <f>$A$6</f>
        <v>100</v>
      </c>
      <c r="I846">
        <v>-1</v>
      </c>
      <c r="J846" t="s">
        <v>446</v>
      </c>
      <c r="K846" s="17">
        <f t="shared" si="90"/>
        <v>-1300120.5207415065</v>
      </c>
      <c r="L846" t="s">
        <v>537</v>
      </c>
    </row>
    <row r="847" spans="2:12" x14ac:dyDescent="0.2">
      <c r="B847" s="55"/>
      <c r="C847" t="s">
        <v>254</v>
      </c>
      <c r="D847" s="88">
        <v>1.2700000000000001E-3</v>
      </c>
      <c r="E847" t="s">
        <v>363</v>
      </c>
      <c r="F847">
        <v>3.0599999999999998E-3</v>
      </c>
      <c r="G847">
        <v>1.2700000000000001E-3</v>
      </c>
      <c r="H847">
        <f>$A$7</f>
        <v>10</v>
      </c>
      <c r="I847">
        <v>-1</v>
      </c>
      <c r="J847" t="s">
        <v>447</v>
      </c>
      <c r="K847" s="17">
        <f t="shared" si="90"/>
        <v>-1274313.6600486494</v>
      </c>
      <c r="L847" t="s">
        <v>537</v>
      </c>
    </row>
    <row r="848" spans="2:12" x14ac:dyDescent="0.2">
      <c r="B848" s="55"/>
      <c r="C848" t="s">
        <v>255</v>
      </c>
      <c r="D848" s="88">
        <v>0</v>
      </c>
      <c r="E848" t="s">
        <v>364</v>
      </c>
      <c r="F848">
        <v>0</v>
      </c>
      <c r="G848">
        <v>0</v>
      </c>
      <c r="H848">
        <f>$A$7</f>
        <v>10</v>
      </c>
      <c r="I848">
        <v>-1</v>
      </c>
      <c r="J848" t="s">
        <v>448</v>
      </c>
      <c r="K848" s="17">
        <f t="shared" si="90"/>
        <v>0</v>
      </c>
      <c r="L848" t="s">
        <v>537</v>
      </c>
    </row>
    <row r="849" spans="2:12" x14ac:dyDescent="0.2">
      <c r="B849" s="55"/>
      <c r="C849" t="s">
        <v>256</v>
      </c>
      <c r="D849" s="88">
        <v>1.2700000000000001E-3</v>
      </c>
      <c r="E849" t="s">
        <v>365</v>
      </c>
      <c r="F849">
        <v>0.30602000000000001</v>
      </c>
      <c r="G849">
        <v>1.2700000000000001E-3</v>
      </c>
      <c r="H849">
        <f>$A$7</f>
        <v>10</v>
      </c>
      <c r="I849">
        <v>-1</v>
      </c>
      <c r="J849" t="s">
        <v>449</v>
      </c>
      <c r="K849" s="17">
        <f t="shared" si="90"/>
        <v>-127338900.98803198</v>
      </c>
      <c r="L849" t="s">
        <v>537</v>
      </c>
    </row>
    <row r="850" spans="2:12" x14ac:dyDescent="0.2">
      <c r="B850" s="55"/>
      <c r="C850" t="s">
        <v>257</v>
      </c>
      <c r="D850" s="88">
        <v>1.26824</v>
      </c>
      <c r="E850" t="s">
        <v>366</v>
      </c>
      <c r="F850">
        <v>3.0599999999999998E-3</v>
      </c>
      <c r="G850">
        <v>1.26824</v>
      </c>
      <c r="H850">
        <f>$A$6</f>
        <v>100</v>
      </c>
      <c r="I850">
        <v>-1</v>
      </c>
      <c r="J850" t="s">
        <v>450</v>
      </c>
      <c r="K850" s="17">
        <f t="shared" si="90"/>
        <v>-22899373.925822467</v>
      </c>
      <c r="L850" t="s">
        <v>537</v>
      </c>
    </row>
    <row r="851" spans="2:12" x14ac:dyDescent="0.2">
      <c r="B851" s="55"/>
      <c r="C851" t="s">
        <v>258</v>
      </c>
      <c r="D851" s="88">
        <v>0.12681999999999999</v>
      </c>
      <c r="E851" t="s">
        <v>367</v>
      </c>
      <c r="F851">
        <v>3.0599999999999998E-3</v>
      </c>
      <c r="G851">
        <v>0.12681999999999999</v>
      </c>
      <c r="H851">
        <f>$A$6</f>
        <v>100</v>
      </c>
      <c r="I851">
        <v>-1</v>
      </c>
      <c r="J851" t="s">
        <v>451</v>
      </c>
      <c r="K851" s="17">
        <f t="shared" si="90"/>
        <v>-13749565.794702562</v>
      </c>
      <c r="L851" t="s">
        <v>537</v>
      </c>
    </row>
    <row r="852" spans="2:12" x14ac:dyDescent="0.2">
      <c r="B852" s="55"/>
      <c r="C852" t="s">
        <v>326</v>
      </c>
      <c r="D852" s="88">
        <v>1.2700000000000001E-3</v>
      </c>
      <c r="E852" t="s">
        <v>365</v>
      </c>
      <c r="F852">
        <v>3.0599999999999998E-3</v>
      </c>
      <c r="G852">
        <v>1.2700000000000001E-3</v>
      </c>
      <c r="H852">
        <v>0</v>
      </c>
      <c r="I852">
        <v>0</v>
      </c>
      <c r="J852" t="s">
        <v>449</v>
      </c>
      <c r="K852" s="17">
        <f t="shared" si="90"/>
        <v>0</v>
      </c>
      <c r="L852" t="s">
        <v>537</v>
      </c>
    </row>
    <row r="853" spans="2:12" x14ac:dyDescent="0.2">
      <c r="B853" s="55"/>
      <c r="C853" t="s">
        <v>259</v>
      </c>
      <c r="D853" s="88">
        <v>1.268E-2</v>
      </c>
      <c r="E853" t="s">
        <v>368</v>
      </c>
      <c r="F853">
        <v>3.0599999999999998E-3</v>
      </c>
      <c r="G853">
        <v>1.268E-2</v>
      </c>
      <c r="H853">
        <f>$A$6</f>
        <v>100</v>
      </c>
      <c r="I853">
        <v>-1</v>
      </c>
      <c r="J853" t="s">
        <v>452</v>
      </c>
      <c r="K853" s="17">
        <f t="shared" si="90"/>
        <v>-12834601.013915449</v>
      </c>
      <c r="L853" t="s">
        <v>537</v>
      </c>
    </row>
    <row r="854" spans="2:12" x14ac:dyDescent="0.2">
      <c r="B854" s="55"/>
      <c r="C854" t="s">
        <v>260</v>
      </c>
      <c r="D854" s="88">
        <v>0</v>
      </c>
      <c r="E854" t="s">
        <v>368</v>
      </c>
      <c r="F854">
        <v>3.0599999999999998E-3</v>
      </c>
      <c r="G854">
        <v>0</v>
      </c>
      <c r="H854">
        <v>0</v>
      </c>
      <c r="I854">
        <v>0</v>
      </c>
      <c r="J854" t="s">
        <v>452</v>
      </c>
      <c r="K854" s="17">
        <f t="shared" si="90"/>
        <v>0</v>
      </c>
      <c r="L854" t="s">
        <v>537</v>
      </c>
    </row>
    <row r="855" spans="2:12" x14ac:dyDescent="0.2">
      <c r="B855" s="55"/>
      <c r="C855" t="s">
        <v>327</v>
      </c>
      <c r="D855" s="88">
        <v>1.2999999999999999E-4</v>
      </c>
      <c r="E855" t="s">
        <v>368</v>
      </c>
      <c r="F855">
        <v>0.30602000000000001</v>
      </c>
      <c r="G855">
        <v>1.2999999999999999E-4</v>
      </c>
      <c r="H855">
        <f>$A$6</f>
        <v>100</v>
      </c>
      <c r="I855">
        <v>-1</v>
      </c>
      <c r="J855" t="s">
        <v>452</v>
      </c>
      <c r="K855" s="17">
        <f t="shared" si="90"/>
        <v>-1273379871.4551394</v>
      </c>
      <c r="L855" t="s">
        <v>537</v>
      </c>
    </row>
    <row r="856" spans="2:12" x14ac:dyDescent="0.2">
      <c r="B856" s="55"/>
      <c r="C856" t="s">
        <v>328</v>
      </c>
      <c r="D856" s="88">
        <v>1.2999999999999999E-4</v>
      </c>
      <c r="E856" t="s">
        <v>368</v>
      </c>
      <c r="F856">
        <v>0.30602000000000001</v>
      </c>
      <c r="G856">
        <v>1.2999999999999999E-4</v>
      </c>
      <c r="H856">
        <v>0</v>
      </c>
      <c r="I856">
        <v>0</v>
      </c>
      <c r="J856" t="s">
        <v>452</v>
      </c>
      <c r="K856" s="17">
        <f t="shared" si="90"/>
        <v>0</v>
      </c>
      <c r="L856" t="s">
        <v>537</v>
      </c>
    </row>
    <row r="857" spans="2:12" x14ac:dyDescent="0.2">
      <c r="B857" s="55"/>
      <c r="C857" t="s">
        <v>261</v>
      </c>
      <c r="D857" s="88">
        <v>0.12681999999999999</v>
      </c>
      <c r="E857" t="s">
        <v>369</v>
      </c>
      <c r="F857">
        <v>3.1E-4</v>
      </c>
      <c r="G857">
        <v>0.12681999999999999</v>
      </c>
      <c r="H857">
        <f>$A$6</f>
        <v>100</v>
      </c>
      <c r="I857">
        <v>-1</v>
      </c>
      <c r="J857" t="s">
        <v>453</v>
      </c>
      <c r="K857" s="17">
        <f t="shared" si="90"/>
        <v>-2306549.7149575744</v>
      </c>
      <c r="L857" t="s">
        <v>537</v>
      </c>
    </row>
    <row r="858" spans="2:12" x14ac:dyDescent="0.2">
      <c r="B858" s="55"/>
      <c r="C858" t="s">
        <v>263</v>
      </c>
      <c r="D858" s="88">
        <v>1.2999999999999999E-4</v>
      </c>
      <c r="E858" t="s">
        <v>370</v>
      </c>
      <c r="F858">
        <v>3.1E-4</v>
      </c>
      <c r="G858">
        <v>1.2999999999999999E-4</v>
      </c>
      <c r="H858">
        <f>$A$6</f>
        <v>100</v>
      </c>
      <c r="I858">
        <v>-1</v>
      </c>
      <c r="J858" t="s">
        <v>454</v>
      </c>
      <c r="K858" s="17">
        <f t="shared" si="90"/>
        <v>-1290982.0955610499</v>
      </c>
      <c r="L858" t="s">
        <v>537</v>
      </c>
    </row>
    <row r="859" spans="2:12" x14ac:dyDescent="0.2">
      <c r="B859" s="55"/>
      <c r="C859" t="s">
        <v>262</v>
      </c>
      <c r="D859" s="88">
        <v>1.2999999999999999E-4</v>
      </c>
      <c r="E859" t="s">
        <v>370</v>
      </c>
      <c r="F859">
        <v>3.0599999999999998E-3</v>
      </c>
      <c r="G859">
        <v>1.2999999999999999E-4</v>
      </c>
      <c r="H859">
        <f>$A$6</f>
        <v>100</v>
      </c>
      <c r="I859">
        <v>-1</v>
      </c>
      <c r="J859" t="s">
        <v>454</v>
      </c>
      <c r="K859" s="17">
        <f t="shared" si="90"/>
        <v>-12733998.175306037</v>
      </c>
      <c r="L859" t="s">
        <v>537</v>
      </c>
    </row>
    <row r="860" spans="2:12" x14ac:dyDescent="0.2">
      <c r="B860" s="55"/>
      <c r="C860" t="s">
        <v>264</v>
      </c>
      <c r="D860" s="88">
        <v>1.2700000000000001E-3</v>
      </c>
      <c r="E860" t="s">
        <v>371</v>
      </c>
      <c r="F860">
        <v>3.0599999999999999E-2</v>
      </c>
      <c r="G860">
        <v>1.2700000000000001E-3</v>
      </c>
      <c r="H860">
        <f>$A$7</f>
        <v>10</v>
      </c>
      <c r="I860">
        <v>-1</v>
      </c>
      <c r="J860" t="s">
        <v>455</v>
      </c>
      <c r="K860" s="17">
        <f t="shared" si="90"/>
        <v>-12733974.12681872</v>
      </c>
      <c r="L860" t="s">
        <v>537</v>
      </c>
    </row>
    <row r="861" spans="2:12" x14ac:dyDescent="0.2">
      <c r="B861" s="55"/>
      <c r="C861" t="s">
        <v>265</v>
      </c>
      <c r="D861" s="88">
        <v>1.2700000000000001E-3</v>
      </c>
      <c r="E861" t="s">
        <v>371</v>
      </c>
      <c r="F861">
        <v>3.0599999999999998E-3</v>
      </c>
      <c r="G861">
        <v>1.2700000000000001E-3</v>
      </c>
      <c r="H861">
        <f>$A$7</f>
        <v>10</v>
      </c>
      <c r="I861">
        <v>-1</v>
      </c>
      <c r="J861" t="s">
        <v>455</v>
      </c>
      <c r="K861" s="17">
        <f t="shared" si="90"/>
        <v>-1274313.6600486494</v>
      </c>
      <c r="L861" t="s">
        <v>537</v>
      </c>
    </row>
    <row r="862" spans="2:12" x14ac:dyDescent="0.2">
      <c r="B862" s="55"/>
      <c r="C862" t="s">
        <v>266</v>
      </c>
      <c r="D862" s="88">
        <v>1.2700000000000001E-3</v>
      </c>
      <c r="E862" t="s">
        <v>371</v>
      </c>
      <c r="F862">
        <v>3.0599999999999999E-2</v>
      </c>
      <c r="G862">
        <v>1.2700000000000001E-3</v>
      </c>
      <c r="H862">
        <v>0</v>
      </c>
      <c r="I862">
        <v>0</v>
      </c>
      <c r="J862" t="s">
        <v>455</v>
      </c>
      <c r="K862" s="17">
        <f t="shared" si="90"/>
        <v>0</v>
      </c>
      <c r="L862" t="s">
        <v>537</v>
      </c>
    </row>
    <row r="863" spans="2:12" x14ac:dyDescent="0.2">
      <c r="B863" s="55"/>
      <c r="C863" t="s">
        <v>267</v>
      </c>
      <c r="D863" s="88">
        <v>1.2999999999999999E-4</v>
      </c>
      <c r="E863" t="s">
        <v>372</v>
      </c>
      <c r="F863">
        <v>3.0599999999999998E-3</v>
      </c>
      <c r="G863">
        <v>1.2999999999999999E-4</v>
      </c>
      <c r="H863">
        <v>0</v>
      </c>
      <c r="I863">
        <v>0</v>
      </c>
      <c r="J863" t="s">
        <v>456</v>
      </c>
      <c r="K863" s="17">
        <f t="shared" si="90"/>
        <v>0</v>
      </c>
      <c r="L863" t="s">
        <v>537</v>
      </c>
    </row>
    <row r="864" spans="2:12" x14ac:dyDescent="0.2">
      <c r="B864" s="55"/>
      <c r="C864" t="s">
        <v>329</v>
      </c>
      <c r="D864" s="88">
        <v>0.12681999999999999</v>
      </c>
      <c r="E864" s="75" t="s">
        <v>373</v>
      </c>
      <c r="F864">
        <v>0.30602000000000001</v>
      </c>
      <c r="G864">
        <v>0.12681999999999999</v>
      </c>
      <c r="H864">
        <f>$A$7</f>
        <v>10</v>
      </c>
      <c r="I864">
        <v>-1</v>
      </c>
      <c r="J864" t="s">
        <v>457</v>
      </c>
      <c r="K864" s="17">
        <f t="shared" si="90"/>
        <v>-127439543.90745358</v>
      </c>
      <c r="L864" t="s">
        <v>537</v>
      </c>
    </row>
    <row r="865" spans="2:12" x14ac:dyDescent="0.2">
      <c r="B865" s="55"/>
      <c r="C865" t="s">
        <v>314</v>
      </c>
      <c r="D865" s="88">
        <v>1.2700000000000001E-3</v>
      </c>
      <c r="E865" s="75" t="s">
        <v>374</v>
      </c>
      <c r="F865">
        <v>3.0599999999999998E-3</v>
      </c>
      <c r="G865">
        <v>1.2700000000000001E-3</v>
      </c>
      <c r="H865">
        <f>$A$7</f>
        <v>10</v>
      </c>
      <c r="I865">
        <v>-1</v>
      </c>
      <c r="J865" t="s">
        <v>458</v>
      </c>
      <c r="K865" s="17">
        <f t="shared" si="90"/>
        <v>-1274313.6600486494</v>
      </c>
      <c r="L865" t="s">
        <v>537</v>
      </c>
    </row>
    <row r="866" spans="2:12" x14ac:dyDescent="0.2">
      <c r="B866" s="55"/>
      <c r="C866" t="s">
        <v>268</v>
      </c>
      <c r="D866" s="88">
        <v>1.2700000000000001E-3</v>
      </c>
      <c r="E866" s="75" t="s">
        <v>374</v>
      </c>
      <c r="F866">
        <v>3.0599999999999998E-3</v>
      </c>
      <c r="G866">
        <v>1.2700000000000001E-3</v>
      </c>
      <c r="H866">
        <f>$A$7</f>
        <v>10</v>
      </c>
      <c r="I866">
        <v>-1</v>
      </c>
      <c r="J866" t="s">
        <v>458</v>
      </c>
      <c r="K866" s="17">
        <f t="shared" si="90"/>
        <v>-1274313.6600486494</v>
      </c>
      <c r="L866" t="s">
        <v>537</v>
      </c>
    </row>
    <row r="867" spans="2:12" x14ac:dyDescent="0.2">
      <c r="B867" s="55"/>
      <c r="C867" t="s">
        <v>269</v>
      </c>
      <c r="D867" s="88">
        <v>1.2700000000000001E-3</v>
      </c>
      <c r="E867" s="75" t="s">
        <v>374</v>
      </c>
      <c r="F867">
        <v>3.0599999999999998E-3</v>
      </c>
      <c r="G867">
        <v>1.2700000000000001E-3</v>
      </c>
      <c r="H867">
        <v>0</v>
      </c>
      <c r="I867">
        <v>0</v>
      </c>
      <c r="J867" t="s">
        <v>458</v>
      </c>
      <c r="K867" s="17">
        <f t="shared" si="90"/>
        <v>0</v>
      </c>
      <c r="L867" t="s">
        <v>537</v>
      </c>
    </row>
    <row r="868" spans="2:12" x14ac:dyDescent="0.2">
      <c r="B868" s="55"/>
      <c r="C868" t="s">
        <v>270</v>
      </c>
      <c r="D868" s="88">
        <v>1.2700000000000001E-3</v>
      </c>
      <c r="E868" s="75" t="s">
        <v>375</v>
      </c>
      <c r="F868">
        <v>0</v>
      </c>
      <c r="G868">
        <v>1.2700000000000001E-3</v>
      </c>
      <c r="H868">
        <f>$A$6</f>
        <v>100</v>
      </c>
      <c r="I868">
        <v>-1</v>
      </c>
      <c r="J868" t="s">
        <v>459</v>
      </c>
      <c r="K868" s="17">
        <f t="shared" si="90"/>
        <v>-10180.526297526136</v>
      </c>
      <c r="L868" t="s">
        <v>537</v>
      </c>
    </row>
    <row r="869" spans="2:12" x14ac:dyDescent="0.2">
      <c r="B869" s="55"/>
      <c r="C869" t="s">
        <v>271</v>
      </c>
      <c r="D869" s="88">
        <v>0.12681999999999999</v>
      </c>
      <c r="E869" s="75" t="s">
        <v>376</v>
      </c>
      <c r="F869">
        <v>3.0602</v>
      </c>
      <c r="G869">
        <v>0.12681999999999999</v>
      </c>
      <c r="H869">
        <v>0</v>
      </c>
      <c r="I869">
        <v>0</v>
      </c>
      <c r="J869" t="s">
        <v>460</v>
      </c>
      <c r="K869" s="17">
        <f t="shared" si="90"/>
        <v>0</v>
      </c>
      <c r="L869" t="s">
        <v>537</v>
      </c>
    </row>
    <row r="870" spans="2:12" x14ac:dyDescent="0.2">
      <c r="B870" s="55"/>
      <c r="C870" t="s">
        <v>272</v>
      </c>
      <c r="D870" s="88">
        <v>1.26824</v>
      </c>
      <c r="E870" t="s">
        <v>377</v>
      </c>
      <c r="F870">
        <v>3.0599999999999998E-3</v>
      </c>
      <c r="G870">
        <v>1.26824</v>
      </c>
      <c r="H870">
        <v>0</v>
      </c>
      <c r="I870">
        <v>0</v>
      </c>
      <c r="J870" t="s">
        <v>461</v>
      </c>
      <c r="K870" s="17">
        <f t="shared" si="90"/>
        <v>0</v>
      </c>
      <c r="L870" t="s">
        <v>537</v>
      </c>
    </row>
    <row r="871" spans="2:12" x14ac:dyDescent="0.2">
      <c r="B871" s="55"/>
      <c r="C871" t="s">
        <v>273</v>
      </c>
      <c r="D871" s="88">
        <v>1.2999999999999999E-4</v>
      </c>
      <c r="E871" t="s">
        <v>378</v>
      </c>
      <c r="F871">
        <v>3.0602</v>
      </c>
      <c r="G871">
        <v>1.2999999999999999E-4</v>
      </c>
      <c r="H871">
        <f>$A$7</f>
        <v>10</v>
      </c>
      <c r="I871">
        <v>-1</v>
      </c>
      <c r="J871" t="s">
        <v>462</v>
      </c>
      <c r="K871" s="17">
        <f t="shared" si="90"/>
        <v>-1273378933.5641339</v>
      </c>
      <c r="L871" t="s">
        <v>537</v>
      </c>
    </row>
    <row r="872" spans="2:12" x14ac:dyDescent="0.2">
      <c r="B872" s="55"/>
      <c r="C872" t="s">
        <v>274</v>
      </c>
      <c r="D872" s="88">
        <v>1.2999999999999999E-4</v>
      </c>
      <c r="E872" t="s">
        <v>379</v>
      </c>
      <c r="F872">
        <v>3.1E-4</v>
      </c>
      <c r="G872">
        <v>1.2999999999999999E-4</v>
      </c>
      <c r="H872">
        <v>0</v>
      </c>
      <c r="I872">
        <v>0</v>
      </c>
      <c r="J872" t="s">
        <v>463</v>
      </c>
      <c r="K872" s="17">
        <f t="shared" si="90"/>
        <v>0</v>
      </c>
      <c r="L872" t="s">
        <v>537</v>
      </c>
    </row>
    <row r="873" spans="2:12" x14ac:dyDescent="0.2">
      <c r="B873" s="55"/>
      <c r="C873" t="s">
        <v>275</v>
      </c>
      <c r="D873" s="88">
        <v>1.26824</v>
      </c>
      <c r="E873" t="s">
        <v>377</v>
      </c>
      <c r="F873">
        <v>3.0599999999999998E-3</v>
      </c>
      <c r="G873">
        <v>1.26824</v>
      </c>
      <c r="H873">
        <f>$A$6</f>
        <v>100</v>
      </c>
      <c r="I873">
        <v>-1</v>
      </c>
      <c r="J873" t="s">
        <v>461</v>
      </c>
      <c r="K873" s="17">
        <f t="shared" si="90"/>
        <v>-22899373.925822467</v>
      </c>
      <c r="L873" t="s">
        <v>537</v>
      </c>
    </row>
    <row r="874" spans="2:12" x14ac:dyDescent="0.2">
      <c r="B874" s="55"/>
      <c r="C874" t="s">
        <v>276</v>
      </c>
      <c r="D874" s="88">
        <v>1.26824</v>
      </c>
      <c r="E874" t="s">
        <v>377</v>
      </c>
      <c r="F874">
        <v>3.0599999999999998E-3</v>
      </c>
      <c r="G874">
        <v>1.26824</v>
      </c>
      <c r="H874">
        <f>$A$6</f>
        <v>100</v>
      </c>
      <c r="I874">
        <v>-1</v>
      </c>
      <c r="J874" t="s">
        <v>461</v>
      </c>
      <c r="K874" s="17">
        <f t="shared" si="90"/>
        <v>-22899373.925822467</v>
      </c>
      <c r="L874" t="s">
        <v>537</v>
      </c>
    </row>
    <row r="875" spans="2:12" x14ac:dyDescent="0.2">
      <c r="B875" s="55"/>
      <c r="C875" t="s">
        <v>277</v>
      </c>
      <c r="D875" s="88">
        <v>1.2700000000000001E-3</v>
      </c>
      <c r="E875" t="s">
        <v>380</v>
      </c>
      <c r="F875">
        <v>3.1E-4</v>
      </c>
      <c r="G875">
        <v>1.2700000000000001E-3</v>
      </c>
      <c r="H875">
        <f>$A$6</f>
        <v>100</v>
      </c>
      <c r="I875">
        <v>-1</v>
      </c>
      <c r="J875" t="s">
        <v>464</v>
      </c>
      <c r="K875" s="17">
        <f t="shared" si="90"/>
        <v>-1300120.5207415065</v>
      </c>
      <c r="L875" t="s">
        <v>537</v>
      </c>
    </row>
    <row r="876" spans="2:12" x14ac:dyDescent="0.2">
      <c r="B876" s="55"/>
      <c r="C876" t="s">
        <v>278</v>
      </c>
      <c r="D876" s="88">
        <v>1.26824</v>
      </c>
      <c r="E876" t="s">
        <v>381</v>
      </c>
      <c r="F876">
        <v>3.0602</v>
      </c>
      <c r="G876">
        <v>1.26824</v>
      </c>
      <c r="H876">
        <f>$A$6</f>
        <v>100</v>
      </c>
      <c r="I876">
        <v>-1</v>
      </c>
      <c r="J876" t="s">
        <v>465</v>
      </c>
      <c r="K876" s="17">
        <f t="shared" ref="K876:K907" si="91">((B$812*D876)+(SUM(B$813:B$814)*F876)+(B$815*G876*0.2)+(B$815*F876*0.8))*H876*I876</f>
        <v>-12743954711.391855</v>
      </c>
      <c r="L876" t="s">
        <v>537</v>
      </c>
    </row>
    <row r="877" spans="2:12" x14ac:dyDescent="0.2">
      <c r="B877" s="55"/>
      <c r="C877" t="s">
        <v>330</v>
      </c>
      <c r="D877" s="88">
        <v>1.2999999999999999E-4</v>
      </c>
      <c r="E877" t="s">
        <v>382</v>
      </c>
      <c r="F877">
        <v>3.1E-4</v>
      </c>
      <c r="G877">
        <v>1.2999999999999999E-4</v>
      </c>
      <c r="H877">
        <f>$A$7</f>
        <v>10</v>
      </c>
      <c r="I877">
        <v>-1</v>
      </c>
      <c r="J877" t="s">
        <v>466</v>
      </c>
      <c r="K877" s="17">
        <f t="shared" si="91"/>
        <v>-129098.20955610499</v>
      </c>
      <c r="L877" t="s">
        <v>537</v>
      </c>
    </row>
    <row r="878" spans="2:12" x14ac:dyDescent="0.2">
      <c r="B878" s="55"/>
      <c r="C878" t="s">
        <v>279</v>
      </c>
      <c r="D878" s="88">
        <v>1.2999999999999999E-4</v>
      </c>
      <c r="E878" t="s">
        <v>382</v>
      </c>
      <c r="F878">
        <v>3.1E-4</v>
      </c>
      <c r="G878">
        <v>1.2999999999999999E-4</v>
      </c>
      <c r="H878">
        <f>$A$7</f>
        <v>10</v>
      </c>
      <c r="I878">
        <v>-1</v>
      </c>
      <c r="J878" t="s">
        <v>466</v>
      </c>
      <c r="K878" s="17">
        <f t="shared" si="91"/>
        <v>-129098.20955610499</v>
      </c>
      <c r="L878" t="s">
        <v>537</v>
      </c>
    </row>
    <row r="879" spans="2:12" x14ac:dyDescent="0.2">
      <c r="B879" s="55"/>
      <c r="C879" t="s">
        <v>280</v>
      </c>
      <c r="D879" s="88">
        <v>1.2999999999999999E-4</v>
      </c>
      <c r="E879" t="s">
        <v>382</v>
      </c>
      <c r="F879">
        <v>3.0599999999999998E-3</v>
      </c>
      <c r="G879">
        <v>1.2999999999999999E-4</v>
      </c>
      <c r="H879">
        <v>0</v>
      </c>
      <c r="I879">
        <v>0</v>
      </c>
      <c r="J879" t="s">
        <v>466</v>
      </c>
      <c r="K879" s="17">
        <f t="shared" si="91"/>
        <v>0</v>
      </c>
      <c r="L879" t="s">
        <v>537</v>
      </c>
    </row>
    <row r="880" spans="2:12" x14ac:dyDescent="0.2">
      <c r="B880" s="55"/>
      <c r="C880" t="s">
        <v>331</v>
      </c>
      <c r="D880" s="88">
        <v>1.2700000000000001E-3</v>
      </c>
      <c r="E880" t="s">
        <v>383</v>
      </c>
      <c r="F880">
        <v>3.0599999999999998E-3</v>
      </c>
      <c r="G880">
        <v>1.2700000000000001E-3</v>
      </c>
      <c r="H880">
        <v>0</v>
      </c>
      <c r="I880">
        <v>0</v>
      </c>
      <c r="J880" t="s">
        <v>467</v>
      </c>
      <c r="K880" s="17">
        <f t="shared" si="91"/>
        <v>0</v>
      </c>
      <c r="L880" t="s">
        <v>537</v>
      </c>
    </row>
    <row r="881" spans="2:12" x14ac:dyDescent="0.2">
      <c r="B881" s="55"/>
      <c r="C881" t="s">
        <v>281</v>
      </c>
      <c r="D881" s="88">
        <v>1.2999999999999999E-4</v>
      </c>
      <c r="E881" t="s">
        <v>384</v>
      </c>
      <c r="F881">
        <v>3.1E-4</v>
      </c>
      <c r="G881">
        <v>1.2999999999999999E-4</v>
      </c>
      <c r="H881">
        <f>$A$7</f>
        <v>10</v>
      </c>
      <c r="I881">
        <v>-1</v>
      </c>
      <c r="J881" t="s">
        <v>468</v>
      </c>
      <c r="K881" s="17">
        <f t="shared" si="91"/>
        <v>-129098.20955610499</v>
      </c>
      <c r="L881" t="s">
        <v>537</v>
      </c>
    </row>
    <row r="882" spans="2:12" x14ac:dyDescent="0.2">
      <c r="B882" s="55"/>
      <c r="C882" t="s">
        <v>282</v>
      </c>
      <c r="D882" s="88">
        <v>0.12681999999999999</v>
      </c>
      <c r="E882" t="s">
        <v>385</v>
      </c>
      <c r="F882">
        <v>0.30602000000000001</v>
      </c>
      <c r="G882">
        <v>0.12681999999999999</v>
      </c>
      <c r="H882">
        <v>0</v>
      </c>
      <c r="I882">
        <v>0</v>
      </c>
      <c r="J882" t="s">
        <v>469</v>
      </c>
      <c r="K882" s="17">
        <f t="shared" si="91"/>
        <v>0</v>
      </c>
      <c r="L882" t="s">
        <v>537</v>
      </c>
    </row>
    <row r="883" spans="2:12" x14ac:dyDescent="0.2">
      <c r="B883" s="55"/>
      <c r="C883" t="s">
        <v>332</v>
      </c>
      <c r="D883" s="88">
        <v>1.268E-2</v>
      </c>
      <c r="E883" t="s">
        <v>386</v>
      </c>
      <c r="F883">
        <v>3.0599999999999998E-3</v>
      </c>
      <c r="G883">
        <v>1.268E-2</v>
      </c>
      <c r="H883">
        <v>0</v>
      </c>
      <c r="I883">
        <v>0</v>
      </c>
      <c r="J883" t="s">
        <v>470</v>
      </c>
      <c r="K883" s="17">
        <f t="shared" si="91"/>
        <v>0</v>
      </c>
      <c r="L883" t="s">
        <v>537</v>
      </c>
    </row>
    <row r="884" spans="2:12" x14ac:dyDescent="0.2">
      <c r="B884" s="55"/>
      <c r="C884" t="s">
        <v>283</v>
      </c>
      <c r="D884" s="88">
        <v>1.2700000000000001E-3</v>
      </c>
      <c r="E884" t="s">
        <v>387</v>
      </c>
      <c r="F884">
        <v>3.0599999999999998E-3</v>
      </c>
      <c r="G884">
        <v>1.2700000000000001E-3</v>
      </c>
      <c r="H884">
        <f>$A$7</f>
        <v>10</v>
      </c>
      <c r="I884">
        <v>-1</v>
      </c>
      <c r="J884" t="s">
        <v>471</v>
      </c>
      <c r="K884" s="17">
        <f t="shared" si="91"/>
        <v>-1274313.6600486494</v>
      </c>
      <c r="L884" t="s">
        <v>537</v>
      </c>
    </row>
    <row r="885" spans="2:12" x14ac:dyDescent="0.2">
      <c r="B885" s="55"/>
      <c r="C885" t="s">
        <v>284</v>
      </c>
      <c r="D885" s="88">
        <v>1.2999999999999999E-4</v>
      </c>
      <c r="E885" t="s">
        <v>388</v>
      </c>
      <c r="F885">
        <v>3.0602</v>
      </c>
      <c r="G885">
        <v>1.2999999999999999E-4</v>
      </c>
      <c r="H885">
        <f>$A$7</f>
        <v>10</v>
      </c>
      <c r="I885">
        <v>-1</v>
      </c>
      <c r="J885" t="s">
        <v>472</v>
      </c>
      <c r="K885" s="17">
        <f t="shared" si="91"/>
        <v>-1273378933.5641339</v>
      </c>
      <c r="L885" t="s">
        <v>537</v>
      </c>
    </row>
    <row r="886" spans="2:12" x14ac:dyDescent="0.2">
      <c r="B886" s="55"/>
      <c r="C886" t="s">
        <v>285</v>
      </c>
      <c r="D886" s="88">
        <v>1.2700000000000001E-3</v>
      </c>
      <c r="E886" t="s">
        <v>389</v>
      </c>
      <c r="F886">
        <v>3.0599999999999998E-3</v>
      </c>
      <c r="G886">
        <v>1.2700000000000001E-3</v>
      </c>
      <c r="H886">
        <f>$A$7</f>
        <v>10</v>
      </c>
      <c r="I886">
        <v>-1</v>
      </c>
      <c r="J886" t="s">
        <v>473</v>
      </c>
      <c r="K886" s="17">
        <f t="shared" si="91"/>
        <v>-1274313.6600486494</v>
      </c>
      <c r="L886" t="s">
        <v>537</v>
      </c>
    </row>
    <row r="887" spans="2:12" x14ac:dyDescent="0.2">
      <c r="B887" s="55"/>
      <c r="C887" t="s">
        <v>286</v>
      </c>
      <c r="D887" s="88">
        <v>1.268E-2</v>
      </c>
      <c r="E887" t="s">
        <v>390</v>
      </c>
      <c r="F887">
        <v>3.0599999999999998E-3</v>
      </c>
      <c r="G887">
        <v>1.268E-2</v>
      </c>
      <c r="H887">
        <f>$A$6</f>
        <v>100</v>
      </c>
      <c r="I887">
        <v>-1</v>
      </c>
      <c r="J887" t="s">
        <v>474</v>
      </c>
      <c r="K887" s="17">
        <f t="shared" si="91"/>
        <v>-12834601.013915449</v>
      </c>
      <c r="L887" t="s">
        <v>537</v>
      </c>
    </row>
    <row r="888" spans="2:12" x14ac:dyDescent="0.2">
      <c r="B888" s="55"/>
      <c r="C888" t="s">
        <v>287</v>
      </c>
      <c r="D888" s="88">
        <v>1.2700000000000001E-3</v>
      </c>
      <c r="E888" t="s">
        <v>391</v>
      </c>
      <c r="F888">
        <v>3.0599999999999998E-3</v>
      </c>
      <c r="G888">
        <v>1.2700000000000001E-3</v>
      </c>
      <c r="H888">
        <f>$A$6</f>
        <v>100</v>
      </c>
      <c r="I888">
        <v>-1</v>
      </c>
      <c r="J888" t="s">
        <v>475</v>
      </c>
      <c r="K888" s="17">
        <f t="shared" si="91"/>
        <v>-12743136.600486493</v>
      </c>
      <c r="L888" t="s">
        <v>537</v>
      </c>
    </row>
    <row r="889" spans="2:12" x14ac:dyDescent="0.2">
      <c r="B889" s="55"/>
      <c r="C889" t="s">
        <v>288</v>
      </c>
      <c r="D889" s="88">
        <v>1.2700000000000001E-3</v>
      </c>
      <c r="E889" t="s">
        <v>392</v>
      </c>
      <c r="F889">
        <v>3.0599999999999998E-3</v>
      </c>
      <c r="G889">
        <v>1.2700000000000001E-3</v>
      </c>
      <c r="H889">
        <f>$A$6</f>
        <v>100</v>
      </c>
      <c r="I889">
        <v>-1</v>
      </c>
      <c r="J889" t="s">
        <v>476</v>
      </c>
      <c r="K889" s="17">
        <f t="shared" si="91"/>
        <v>-12743136.600486493</v>
      </c>
      <c r="L889" t="s">
        <v>537</v>
      </c>
    </row>
    <row r="890" spans="2:12" x14ac:dyDescent="0.2">
      <c r="B890" s="55"/>
      <c r="C890" t="s">
        <v>333</v>
      </c>
      <c r="D890" s="88">
        <v>1.2700000000000001E-3</v>
      </c>
      <c r="E890" t="s">
        <v>340</v>
      </c>
      <c r="F890">
        <v>3.0599999999999998E-3</v>
      </c>
      <c r="G890">
        <v>1.2700000000000001E-3</v>
      </c>
      <c r="H890">
        <f>$A$7</f>
        <v>10</v>
      </c>
      <c r="I890">
        <v>-1</v>
      </c>
      <c r="J890" t="s">
        <v>424</v>
      </c>
      <c r="K890" s="17">
        <f t="shared" si="91"/>
        <v>-1274313.6600486494</v>
      </c>
      <c r="L890" t="s">
        <v>537</v>
      </c>
    </row>
    <row r="891" spans="2:12" x14ac:dyDescent="0.2">
      <c r="B891" s="55"/>
      <c r="C891" t="s">
        <v>334</v>
      </c>
      <c r="D891" s="88">
        <v>1.268E-2</v>
      </c>
      <c r="E891" t="s">
        <v>393</v>
      </c>
      <c r="F891">
        <v>3.0599999999999999E-2</v>
      </c>
      <c r="G891">
        <v>1.268E-2</v>
      </c>
      <c r="H891">
        <v>0</v>
      </c>
      <c r="I891">
        <v>0</v>
      </c>
      <c r="J891" t="s">
        <v>477</v>
      </c>
      <c r="K891" s="17">
        <f t="shared" si="91"/>
        <v>0</v>
      </c>
      <c r="L891" t="s">
        <v>537</v>
      </c>
    </row>
    <row r="892" spans="2:12" x14ac:dyDescent="0.2">
      <c r="B892" s="55"/>
      <c r="C892" t="s">
        <v>335</v>
      </c>
      <c r="D892" s="88">
        <v>1.2700000000000001E-3</v>
      </c>
      <c r="E892" t="s">
        <v>394</v>
      </c>
      <c r="F892">
        <v>3.0599999999999998E-3</v>
      </c>
      <c r="G892">
        <v>1.268E-2</v>
      </c>
      <c r="H892">
        <f>$A$7</f>
        <v>10</v>
      </c>
      <c r="I892">
        <v>-1</v>
      </c>
      <c r="J892" t="s">
        <v>478</v>
      </c>
      <c r="K892" s="17">
        <f t="shared" si="91"/>
        <v>-1274463.083064599</v>
      </c>
      <c r="L892" t="s">
        <v>537</v>
      </c>
    </row>
    <row r="893" spans="2:12" x14ac:dyDescent="0.2">
      <c r="B893" s="55"/>
      <c r="C893" t="s">
        <v>289</v>
      </c>
      <c r="D893" s="88">
        <v>1.2700000000000001E-3</v>
      </c>
      <c r="E893" t="s">
        <v>395</v>
      </c>
      <c r="F893">
        <v>0.30602000000000001</v>
      </c>
      <c r="G893">
        <v>1.2700000000000001E-3</v>
      </c>
      <c r="H893">
        <f>$A$7</f>
        <v>10</v>
      </c>
      <c r="I893">
        <v>-1</v>
      </c>
      <c r="J893" t="s">
        <v>479</v>
      </c>
      <c r="K893" s="17">
        <f t="shared" si="91"/>
        <v>-127338900.98803198</v>
      </c>
      <c r="L893" t="s">
        <v>537</v>
      </c>
    </row>
    <row r="894" spans="2:12" x14ac:dyDescent="0.2">
      <c r="B894" s="55"/>
      <c r="C894" t="s">
        <v>290</v>
      </c>
      <c r="D894" s="88">
        <v>1.2999999999999999E-4</v>
      </c>
      <c r="E894" t="s">
        <v>396</v>
      </c>
      <c r="F894">
        <v>3.1E-4</v>
      </c>
      <c r="G894">
        <v>1.2999999999999999E-4</v>
      </c>
      <c r="H894">
        <f>$A$7</f>
        <v>10</v>
      </c>
      <c r="I894">
        <v>-1</v>
      </c>
      <c r="J894" t="s">
        <v>480</v>
      </c>
      <c r="K894" s="17">
        <f t="shared" si="91"/>
        <v>-129098.20955610499</v>
      </c>
      <c r="L894" t="s">
        <v>537</v>
      </c>
    </row>
    <row r="895" spans="2:12" x14ac:dyDescent="0.2">
      <c r="B895" s="55"/>
      <c r="C895" t="s">
        <v>291</v>
      </c>
      <c r="D895" s="88">
        <v>1.2999999999999999E-4</v>
      </c>
      <c r="E895" t="s">
        <v>397</v>
      </c>
      <c r="F895">
        <v>3.1E-4</v>
      </c>
      <c r="G895">
        <v>1.2999999999999999E-4</v>
      </c>
      <c r="H895">
        <f>$A$8</f>
        <v>1</v>
      </c>
      <c r="I895">
        <v>-1</v>
      </c>
      <c r="J895" t="s">
        <v>481</v>
      </c>
      <c r="K895" s="17">
        <f t="shared" si="91"/>
        <v>-12909.820955610499</v>
      </c>
      <c r="L895" t="s">
        <v>537</v>
      </c>
    </row>
    <row r="896" spans="2:12" x14ac:dyDescent="0.2">
      <c r="B896" s="55"/>
      <c r="C896" t="s">
        <v>292</v>
      </c>
      <c r="D896" s="88">
        <v>1.268E-2</v>
      </c>
      <c r="E896" t="s">
        <v>360</v>
      </c>
      <c r="F896">
        <v>3.0599999999999998E-3</v>
      </c>
      <c r="G896">
        <v>1.268E-2</v>
      </c>
      <c r="H896">
        <f>$A$6</f>
        <v>100</v>
      </c>
      <c r="I896">
        <v>-1</v>
      </c>
      <c r="J896" t="s">
        <v>444</v>
      </c>
      <c r="K896" s="17">
        <f t="shared" si="91"/>
        <v>-12834601.013915449</v>
      </c>
      <c r="L896" t="s">
        <v>537</v>
      </c>
    </row>
    <row r="897" spans="2:12" x14ac:dyDescent="0.2">
      <c r="B897" s="55"/>
      <c r="C897" t="s">
        <v>293</v>
      </c>
      <c r="D897" s="88">
        <v>1.26824</v>
      </c>
      <c r="E897" t="s">
        <v>398</v>
      </c>
      <c r="F897">
        <v>3.0599999999999998E-3</v>
      </c>
      <c r="G897">
        <v>1.26824</v>
      </c>
      <c r="H897">
        <f>$A$7</f>
        <v>10</v>
      </c>
      <c r="I897">
        <v>-1</v>
      </c>
      <c r="J897" t="s">
        <v>482</v>
      </c>
      <c r="K897" s="17">
        <f t="shared" si="91"/>
        <v>-2289937.3925822466</v>
      </c>
      <c r="L897" t="s">
        <v>537</v>
      </c>
    </row>
    <row r="898" spans="2:12" x14ac:dyDescent="0.2">
      <c r="B898" s="55"/>
      <c r="C898" t="s">
        <v>294</v>
      </c>
      <c r="D898" s="88">
        <v>1.2999999999999999E-4</v>
      </c>
      <c r="E898" t="s">
        <v>399</v>
      </c>
      <c r="F898">
        <v>3.1E-4</v>
      </c>
      <c r="G898">
        <v>1.2999999999999999E-4</v>
      </c>
      <c r="H898">
        <f>$A$8</f>
        <v>1</v>
      </c>
      <c r="I898">
        <v>-1</v>
      </c>
      <c r="J898" t="s">
        <v>483</v>
      </c>
      <c r="K898" s="17">
        <f t="shared" si="91"/>
        <v>-12909.820955610499</v>
      </c>
      <c r="L898" t="s">
        <v>537</v>
      </c>
    </row>
    <row r="899" spans="2:12" x14ac:dyDescent="0.2">
      <c r="B899" s="55"/>
      <c r="C899" t="s">
        <v>336</v>
      </c>
      <c r="D899" s="88">
        <v>1.2700000000000001E-3</v>
      </c>
      <c r="E899" t="s">
        <v>400</v>
      </c>
      <c r="F899">
        <v>0</v>
      </c>
      <c r="G899">
        <v>1.2700000000000001E-3</v>
      </c>
      <c r="H899">
        <f>$A$6</f>
        <v>100</v>
      </c>
      <c r="I899">
        <v>-1</v>
      </c>
      <c r="J899" t="s">
        <v>484</v>
      </c>
      <c r="K899" s="17">
        <f t="shared" si="91"/>
        <v>-10180.526297526136</v>
      </c>
      <c r="L899" t="s">
        <v>537</v>
      </c>
    </row>
    <row r="900" spans="2:12" x14ac:dyDescent="0.2">
      <c r="B900" s="55"/>
      <c r="C900" t="s">
        <v>295</v>
      </c>
      <c r="D900" s="88">
        <v>1.2999999999999999E-4</v>
      </c>
      <c r="E900" t="s">
        <v>401</v>
      </c>
      <c r="F900">
        <v>3.1E-4</v>
      </c>
      <c r="G900">
        <v>1.2999999999999999E-4</v>
      </c>
      <c r="H900">
        <f>$A$6</f>
        <v>100</v>
      </c>
      <c r="I900">
        <v>-1</v>
      </c>
      <c r="J900" t="s">
        <v>485</v>
      </c>
      <c r="K900" s="17">
        <f t="shared" si="91"/>
        <v>-1290982.0955610499</v>
      </c>
      <c r="L900" t="s">
        <v>537</v>
      </c>
    </row>
    <row r="901" spans="2:12" x14ac:dyDescent="0.2">
      <c r="B901" s="55"/>
      <c r="C901" t="s">
        <v>296</v>
      </c>
      <c r="D901" s="88">
        <v>1.26824</v>
      </c>
      <c r="E901" t="s">
        <v>402</v>
      </c>
      <c r="F901">
        <v>3.0599999999999998E-3</v>
      </c>
      <c r="G901">
        <v>1.26824</v>
      </c>
      <c r="H901">
        <f>$A$7</f>
        <v>10</v>
      </c>
      <c r="I901">
        <v>-1</v>
      </c>
      <c r="J901" t="s">
        <v>486</v>
      </c>
      <c r="K901" s="17">
        <f t="shared" si="91"/>
        <v>-2289937.3925822466</v>
      </c>
      <c r="L901" t="s">
        <v>537</v>
      </c>
    </row>
    <row r="902" spans="2:12" x14ac:dyDescent="0.2">
      <c r="B902" s="55"/>
      <c r="C902" t="s">
        <v>297</v>
      </c>
      <c r="D902" s="88">
        <v>1.2999999999999999E-4</v>
      </c>
      <c r="E902" t="s">
        <v>403</v>
      </c>
      <c r="F902">
        <v>3.0599999999999998E-3</v>
      </c>
      <c r="G902">
        <v>1.2999999999999999E-4</v>
      </c>
      <c r="H902">
        <f>$A$7</f>
        <v>10</v>
      </c>
      <c r="I902">
        <v>-1</v>
      </c>
      <c r="J902" t="s">
        <v>487</v>
      </c>
      <c r="K902" s="17">
        <f t="shared" si="91"/>
        <v>-1273399.8175306036</v>
      </c>
      <c r="L902" t="s">
        <v>537</v>
      </c>
    </row>
    <row r="903" spans="2:12" x14ac:dyDescent="0.2">
      <c r="B903" s="55"/>
      <c r="C903" t="s">
        <v>298</v>
      </c>
      <c r="D903" s="88">
        <v>1.2700000000000001E-3</v>
      </c>
      <c r="E903" t="s">
        <v>394</v>
      </c>
      <c r="F903">
        <v>3.0599999999999998E-3</v>
      </c>
      <c r="G903">
        <v>1.2999999999999999E-4</v>
      </c>
      <c r="H903">
        <f>$A$7</f>
        <v>10</v>
      </c>
      <c r="I903">
        <v>-1</v>
      </c>
      <c r="J903" t="s">
        <v>478</v>
      </c>
      <c r="K903" s="17">
        <f t="shared" si="91"/>
        <v>-1274298.7308428488</v>
      </c>
      <c r="L903" t="s">
        <v>537</v>
      </c>
    </row>
    <row r="904" spans="2:12" x14ac:dyDescent="0.2">
      <c r="B904" s="55"/>
      <c r="C904" t="s">
        <v>299</v>
      </c>
      <c r="D904" s="88">
        <v>1.2999999999999999E-4</v>
      </c>
      <c r="E904" t="s">
        <v>404</v>
      </c>
      <c r="F904">
        <v>0.30602000000000001</v>
      </c>
      <c r="G904">
        <v>1.2999999999999999E-4</v>
      </c>
      <c r="H904">
        <f>$A$7</f>
        <v>10</v>
      </c>
      <c r="I904">
        <v>-1</v>
      </c>
      <c r="J904" t="s">
        <v>488</v>
      </c>
      <c r="K904" s="17">
        <f t="shared" si="91"/>
        <v>-127337987.14551392</v>
      </c>
      <c r="L904" t="s">
        <v>537</v>
      </c>
    </row>
    <row r="905" spans="2:12" x14ac:dyDescent="0.2">
      <c r="B905" s="55"/>
      <c r="C905" t="s">
        <v>300</v>
      </c>
      <c r="D905" s="88">
        <v>0.12681999999999999</v>
      </c>
      <c r="E905" t="s">
        <v>405</v>
      </c>
      <c r="F905">
        <v>3.0599999999999998E-3</v>
      </c>
      <c r="G905">
        <v>0.12681999999999999</v>
      </c>
      <c r="H905">
        <f>$A$7</f>
        <v>10</v>
      </c>
      <c r="I905">
        <v>-1</v>
      </c>
      <c r="J905" t="s">
        <v>489</v>
      </c>
      <c r="K905" s="17">
        <f t="shared" si="91"/>
        <v>-1374956.5794702561</v>
      </c>
      <c r="L905" t="s">
        <v>537</v>
      </c>
    </row>
    <row r="906" spans="2:12" x14ac:dyDescent="0.2">
      <c r="B906" s="55"/>
      <c r="C906" t="s">
        <v>301</v>
      </c>
      <c r="D906" s="88">
        <v>1.2700000000000001E-3</v>
      </c>
      <c r="E906" t="s">
        <v>406</v>
      </c>
      <c r="F906">
        <v>0.30602000000000001</v>
      </c>
      <c r="G906">
        <v>1.2700000000000001E-3</v>
      </c>
      <c r="H906">
        <f>$A$6</f>
        <v>100</v>
      </c>
      <c r="I906">
        <v>-1</v>
      </c>
      <c r="J906" t="s">
        <v>490</v>
      </c>
      <c r="K906" s="17">
        <f t="shared" si="91"/>
        <v>-1273389009.8803198</v>
      </c>
      <c r="L906" t="s">
        <v>537</v>
      </c>
    </row>
    <row r="907" spans="2:12" x14ac:dyDescent="0.2">
      <c r="B907" s="55"/>
      <c r="C907" t="s">
        <v>302</v>
      </c>
      <c r="D907" s="88">
        <v>1.2700000000000001E-3</v>
      </c>
      <c r="E907" t="s">
        <v>407</v>
      </c>
      <c r="F907">
        <v>3.0599999999999998E-3</v>
      </c>
      <c r="G907">
        <v>1.2700000000000001E-3</v>
      </c>
      <c r="H907">
        <f>$A$6</f>
        <v>100</v>
      </c>
      <c r="I907">
        <v>-1</v>
      </c>
      <c r="J907" t="s">
        <v>491</v>
      </c>
      <c r="K907" s="17">
        <f t="shared" si="91"/>
        <v>-12743136.600486493</v>
      </c>
      <c r="L907" t="s">
        <v>537</v>
      </c>
    </row>
    <row r="908" spans="2:12" x14ac:dyDescent="0.2">
      <c r="B908" s="55"/>
      <c r="C908" t="s">
        <v>303</v>
      </c>
      <c r="D908" s="88">
        <v>1.2700000000000001E-3</v>
      </c>
      <c r="E908" t="s">
        <v>408</v>
      </c>
      <c r="F908">
        <v>3.0599999999999998E-3</v>
      </c>
      <c r="G908">
        <v>1.2700000000000001E-3</v>
      </c>
      <c r="H908">
        <f>$A$7</f>
        <v>10</v>
      </c>
      <c r="I908">
        <v>-1</v>
      </c>
      <c r="J908" t="s">
        <v>492</v>
      </c>
      <c r="K908" s="17">
        <f t="shared" ref="K908:K917" si="92">((B$812*D908)+(SUM(B$813:B$814)*F908)+(B$815*G908*0.2)+(B$815*F908*0.8))*H908*I908</f>
        <v>-1274313.6600486494</v>
      </c>
      <c r="L908" t="s">
        <v>537</v>
      </c>
    </row>
    <row r="909" spans="2:12" x14ac:dyDescent="0.2">
      <c r="B909" s="55"/>
      <c r="C909" t="s">
        <v>304</v>
      </c>
      <c r="D909" s="88">
        <v>1.26824</v>
      </c>
      <c r="E909" t="s">
        <v>409</v>
      </c>
      <c r="F909">
        <v>3.0602</v>
      </c>
      <c r="G909">
        <v>1.26824</v>
      </c>
      <c r="H909">
        <f>$A$6</f>
        <v>100</v>
      </c>
      <c r="I909">
        <v>-1</v>
      </c>
      <c r="J909" t="s">
        <v>493</v>
      </c>
      <c r="K909" s="17">
        <f t="shared" si="92"/>
        <v>-12743954711.391855</v>
      </c>
      <c r="L909" t="s">
        <v>537</v>
      </c>
    </row>
    <row r="910" spans="2:12" x14ac:dyDescent="0.2">
      <c r="B910" s="55"/>
      <c r="C910" t="s">
        <v>305</v>
      </c>
      <c r="D910" s="88">
        <v>1.2700000000000001E-3</v>
      </c>
      <c r="E910" t="s">
        <v>410</v>
      </c>
      <c r="F910">
        <v>3.0599999999999998E-3</v>
      </c>
      <c r="G910">
        <v>1.2700000000000001E-3</v>
      </c>
      <c r="H910">
        <f>$A$7</f>
        <v>10</v>
      </c>
      <c r="I910">
        <v>-1</v>
      </c>
      <c r="J910" t="s">
        <v>494</v>
      </c>
      <c r="K910" s="17">
        <f t="shared" si="92"/>
        <v>-1274313.6600486494</v>
      </c>
      <c r="L910" t="s">
        <v>537</v>
      </c>
    </row>
    <row r="911" spans="2:12" x14ac:dyDescent="0.2">
      <c r="B911" s="55"/>
      <c r="C911" t="s">
        <v>306</v>
      </c>
      <c r="D911" s="88">
        <v>1.2700000000000001E-3</v>
      </c>
      <c r="E911" t="s">
        <v>411</v>
      </c>
      <c r="F911">
        <v>3.0599999999999998E-3</v>
      </c>
      <c r="G911">
        <v>1.2700000000000001E-3</v>
      </c>
      <c r="H911">
        <f>$A$8</f>
        <v>1</v>
      </c>
      <c r="I911">
        <v>-1</v>
      </c>
      <c r="J911" t="s">
        <v>495</v>
      </c>
      <c r="K911" s="17">
        <f t="shared" si="92"/>
        <v>-127431.36600486493</v>
      </c>
      <c r="L911" t="s">
        <v>537</v>
      </c>
    </row>
    <row r="912" spans="2:12" x14ac:dyDescent="0.2">
      <c r="B912" s="55"/>
      <c r="C912" t="s">
        <v>307</v>
      </c>
      <c r="D912" s="88">
        <v>1.2700000000000001E-3</v>
      </c>
      <c r="E912" t="s">
        <v>411</v>
      </c>
      <c r="F912">
        <v>3.0599999999999998E-3</v>
      </c>
      <c r="G912">
        <v>1.2700000000000001E-3</v>
      </c>
      <c r="H912">
        <f>$A$8</f>
        <v>1</v>
      </c>
      <c r="I912">
        <v>-1</v>
      </c>
      <c r="J912" t="s">
        <v>495</v>
      </c>
      <c r="K912" s="17">
        <f t="shared" si="92"/>
        <v>-127431.36600486493</v>
      </c>
      <c r="L912" t="s">
        <v>537</v>
      </c>
    </row>
    <row r="913" spans="1:14" x14ac:dyDescent="0.2">
      <c r="B913" s="55"/>
      <c r="C913" t="s">
        <v>337</v>
      </c>
      <c r="D913" s="88">
        <v>0.12681999999999999</v>
      </c>
      <c r="E913" t="s">
        <v>412</v>
      </c>
      <c r="F913">
        <v>3.0599999999999998E-3</v>
      </c>
      <c r="G913">
        <v>0.12681999999999999</v>
      </c>
      <c r="H913">
        <v>0</v>
      </c>
      <c r="I913">
        <v>0</v>
      </c>
      <c r="J913" t="s">
        <v>496</v>
      </c>
      <c r="K913" s="17">
        <f t="shared" si="92"/>
        <v>0</v>
      </c>
      <c r="L913" t="s">
        <v>537</v>
      </c>
    </row>
    <row r="914" spans="1:14" x14ac:dyDescent="0.2">
      <c r="B914" s="55"/>
      <c r="C914" t="s">
        <v>308</v>
      </c>
      <c r="D914" s="88">
        <v>1.2700000000000001E-3</v>
      </c>
      <c r="E914" t="s">
        <v>413</v>
      </c>
      <c r="F914">
        <v>3.0599999999999998E-3</v>
      </c>
      <c r="G914">
        <v>1.2700000000000001E-3</v>
      </c>
      <c r="H914">
        <f>$A$7</f>
        <v>10</v>
      </c>
      <c r="I914">
        <v>-1</v>
      </c>
      <c r="J914" t="s">
        <v>497</v>
      </c>
      <c r="K914" s="17">
        <f t="shared" si="92"/>
        <v>-1274313.6600486494</v>
      </c>
      <c r="L914" t="s">
        <v>537</v>
      </c>
    </row>
    <row r="915" spans="1:14" x14ac:dyDescent="0.2">
      <c r="B915" s="55"/>
      <c r="C915" t="s">
        <v>309</v>
      </c>
      <c r="D915" s="88">
        <v>1.2700000000000001E-3</v>
      </c>
      <c r="E915" t="s">
        <v>413</v>
      </c>
      <c r="F915">
        <v>3.0599999999999998E-3</v>
      </c>
      <c r="G915">
        <v>1.2700000000000001E-3</v>
      </c>
      <c r="H915">
        <f>$A$7</f>
        <v>10</v>
      </c>
      <c r="I915">
        <v>-1</v>
      </c>
      <c r="J915" t="s">
        <v>497</v>
      </c>
      <c r="K915" s="17">
        <f t="shared" si="92"/>
        <v>-1274313.6600486494</v>
      </c>
      <c r="L915" t="s">
        <v>537</v>
      </c>
    </row>
    <row r="916" spans="1:14" x14ac:dyDescent="0.2">
      <c r="B916" s="55"/>
      <c r="C916" t="s">
        <v>310</v>
      </c>
      <c r="D916" s="88">
        <v>1.2700000000000001E-3</v>
      </c>
      <c r="E916" t="s">
        <v>413</v>
      </c>
      <c r="F916">
        <v>3.0599999999999998E-3</v>
      </c>
      <c r="G916">
        <v>1.2700000000000001E-3</v>
      </c>
      <c r="H916">
        <v>0</v>
      </c>
      <c r="I916">
        <v>0</v>
      </c>
      <c r="J916" t="s">
        <v>497</v>
      </c>
      <c r="K916" s="17">
        <f t="shared" si="92"/>
        <v>0</v>
      </c>
      <c r="L916" t="s">
        <v>537</v>
      </c>
    </row>
    <row r="917" spans="1:14" x14ac:dyDescent="0.2">
      <c r="B917" s="55"/>
      <c r="C917" t="s">
        <v>311</v>
      </c>
      <c r="D917" s="88">
        <v>1.2700000000000001E-3</v>
      </c>
      <c r="E917" t="s">
        <v>414</v>
      </c>
      <c r="F917">
        <v>3.1E-4</v>
      </c>
      <c r="G917">
        <v>1.2700000000000001E-3</v>
      </c>
      <c r="H917">
        <f>$A$7</f>
        <v>10</v>
      </c>
      <c r="I917">
        <v>-1</v>
      </c>
      <c r="J917" t="s">
        <v>498</v>
      </c>
      <c r="K917" s="17">
        <f t="shared" si="92"/>
        <v>-130012.05207415065</v>
      </c>
      <c r="L917" t="s">
        <v>537</v>
      </c>
    </row>
    <row r="918" spans="1:14" x14ac:dyDescent="0.2">
      <c r="B918" s="55"/>
    </row>
    <row r="919" spans="1:14" ht="16" customHeight="1" x14ac:dyDescent="0.2">
      <c r="A919" s="393" t="s">
        <v>75</v>
      </c>
      <c r="B919" s="394"/>
      <c r="C919" s="394"/>
      <c r="D919" s="394"/>
      <c r="E919" s="394"/>
      <c r="F919" s="394"/>
      <c r="G919" s="394"/>
      <c r="H919" s="394"/>
      <c r="I919" s="394"/>
      <c r="J919" s="394"/>
      <c r="K919" s="394"/>
      <c r="L919" s="394"/>
      <c r="M919" s="394"/>
      <c r="N919" s="394"/>
    </row>
    <row r="920" spans="1:14" ht="15" customHeight="1" x14ac:dyDescent="0.2">
      <c r="A920" s="395"/>
      <c r="B920" s="396"/>
      <c r="C920" s="396"/>
      <c r="D920" s="396"/>
      <c r="E920" s="396"/>
      <c r="F920" s="396"/>
      <c r="G920" s="396"/>
      <c r="H920" s="396"/>
      <c r="I920" s="396"/>
      <c r="J920" s="396"/>
      <c r="K920" s="396"/>
      <c r="L920" s="396"/>
      <c r="M920" s="396"/>
      <c r="N920" s="396"/>
    </row>
    <row r="921" spans="1:14" ht="16" customHeight="1" x14ac:dyDescent="0.2">
      <c r="A921" s="358" t="s">
        <v>8</v>
      </c>
      <c r="B921" s="363" t="s">
        <v>1022</v>
      </c>
      <c r="C921" s="364" t="s">
        <v>503</v>
      </c>
      <c r="D921" s="364"/>
      <c r="E921" s="364"/>
      <c r="F921" s="79" t="s">
        <v>507</v>
      </c>
      <c r="G921" s="79" t="s">
        <v>511</v>
      </c>
      <c r="H921" s="328" t="s">
        <v>421</v>
      </c>
      <c r="I921" s="329"/>
      <c r="J921" s="330"/>
      <c r="K921" s="381" t="s">
        <v>28</v>
      </c>
      <c r="L921" s="381"/>
      <c r="M921" s="376" t="s">
        <v>420</v>
      </c>
      <c r="N921" s="376"/>
    </row>
    <row r="922" spans="1:14" x14ac:dyDescent="0.2">
      <c r="A922" s="358"/>
      <c r="B922" s="363"/>
      <c r="C922" s="93" t="s">
        <v>502</v>
      </c>
      <c r="D922" s="94"/>
      <c r="E922" s="92"/>
      <c r="F922" s="87" t="s">
        <v>506</v>
      </c>
      <c r="G922" s="87" t="s">
        <v>510</v>
      </c>
      <c r="H922" s="331"/>
      <c r="I922" s="332"/>
      <c r="J922" s="333"/>
      <c r="K922" s="381"/>
      <c r="L922" s="381"/>
      <c r="M922" s="376"/>
      <c r="N922" s="376"/>
    </row>
    <row r="923" spans="1:14" x14ac:dyDescent="0.2">
      <c r="A923" s="358"/>
      <c r="B923" s="363"/>
      <c r="C923" s="6" t="s">
        <v>317</v>
      </c>
      <c r="D923" s="58" t="s">
        <v>319</v>
      </c>
      <c r="E923" s="58" t="s">
        <v>5</v>
      </c>
      <c r="F923" s="58" t="s">
        <v>319</v>
      </c>
      <c r="G923" s="58" t="s">
        <v>319</v>
      </c>
      <c r="H923" s="64" t="s">
        <v>0</v>
      </c>
      <c r="I923" s="64" t="s">
        <v>499</v>
      </c>
      <c r="J923" s="64" t="s">
        <v>5</v>
      </c>
      <c r="K923" s="64" t="s">
        <v>0</v>
      </c>
      <c r="L923" s="58" t="s">
        <v>5</v>
      </c>
      <c r="M923" s="64" t="s">
        <v>0</v>
      </c>
      <c r="N923" s="58" t="s">
        <v>5</v>
      </c>
    </row>
    <row r="924" spans="1:14" ht="16" x14ac:dyDescent="0.2">
      <c r="A924" s="81" t="s">
        <v>57</v>
      </c>
      <c r="B924" s="82">
        <v>91338.258698601727</v>
      </c>
      <c r="C924" t="s">
        <v>225</v>
      </c>
      <c r="D924" s="88">
        <v>1.2999999999999999E-4</v>
      </c>
      <c r="E924" t="s">
        <v>338</v>
      </c>
      <c r="F924">
        <v>3.1E-4</v>
      </c>
      <c r="G924">
        <v>1.2999999999999999E-4</v>
      </c>
      <c r="H924">
        <f>$A$6</f>
        <v>100</v>
      </c>
      <c r="I924">
        <v>-1</v>
      </c>
      <c r="J924" t="s">
        <v>422</v>
      </c>
      <c r="K924" s="17">
        <f t="shared" ref="K924:K955" si="93">((SUM(B$924,B$926,B$930,B$937,B$938)*D924)+(SUM(B$925,B$927,B$928,B$929,B$932,B$933,B$934,B$935,B$936)*F924)+(SUM(B$931,B$939)*G924))*H924*I924</f>
        <v>-2568035.6937700626</v>
      </c>
      <c r="L924" t="s">
        <v>537</v>
      </c>
      <c r="M924" s="69">
        <f>SUM(K924:K1029)</f>
        <v>-120272786025.00916</v>
      </c>
      <c r="N924" t="s">
        <v>537</v>
      </c>
    </row>
    <row r="925" spans="1:14" ht="16" x14ac:dyDescent="0.2">
      <c r="A925" s="81" t="s">
        <v>82</v>
      </c>
      <c r="B925" s="82">
        <v>22193609.134375133</v>
      </c>
      <c r="C925" t="s">
        <v>226</v>
      </c>
      <c r="D925" s="88">
        <v>1.2999999999999999E-4</v>
      </c>
      <c r="E925" t="s">
        <v>339</v>
      </c>
      <c r="F925">
        <v>3.1E-4</v>
      </c>
      <c r="G925">
        <v>1.2999999999999999E-4</v>
      </c>
      <c r="H925">
        <f>$A$7</f>
        <v>10</v>
      </c>
      <c r="I925">
        <v>-1</v>
      </c>
      <c r="J925" t="s">
        <v>423</v>
      </c>
      <c r="K925" s="17">
        <f t="shared" si="93"/>
        <v>-256803.56937700626</v>
      </c>
      <c r="L925" t="s">
        <v>537</v>
      </c>
    </row>
    <row r="926" spans="1:14" ht="16" x14ac:dyDescent="0.2">
      <c r="A926" s="81" t="s">
        <v>156</v>
      </c>
      <c r="B926" s="82">
        <v>9930.0595286507687</v>
      </c>
      <c r="C926" t="s">
        <v>227</v>
      </c>
      <c r="D926" s="88">
        <v>1.2700000000000001E-3</v>
      </c>
      <c r="E926" t="s">
        <v>340</v>
      </c>
      <c r="F926">
        <v>3.0599999999999998E-3</v>
      </c>
      <c r="G926">
        <v>1.2700000000000001E-3</v>
      </c>
      <c r="H926">
        <f>$A$7</f>
        <v>10</v>
      </c>
      <c r="I926">
        <v>-1</v>
      </c>
      <c r="J926" t="s">
        <v>424</v>
      </c>
      <c r="K926" s="17">
        <f t="shared" si="93"/>
        <v>-2527963.4644060987</v>
      </c>
      <c r="L926" t="s">
        <v>537</v>
      </c>
    </row>
    <row r="927" spans="1:14" ht="16" x14ac:dyDescent="0.2">
      <c r="A927" s="81" t="s">
        <v>171</v>
      </c>
      <c r="B927" s="82">
        <v>3131795.7832790525</v>
      </c>
      <c r="C927" t="s">
        <v>228</v>
      </c>
      <c r="D927" s="88">
        <v>0.12681999999999999</v>
      </c>
      <c r="E927" t="s">
        <v>341</v>
      </c>
      <c r="F927">
        <v>3.0599999999999998E-3</v>
      </c>
      <c r="G927">
        <v>0.12681999999999999</v>
      </c>
      <c r="H927">
        <f>$A$7</f>
        <v>10</v>
      </c>
      <c r="I927">
        <v>-1</v>
      </c>
      <c r="J927" t="s">
        <v>425</v>
      </c>
      <c r="K927" s="17">
        <f t="shared" si="93"/>
        <v>-68372762.866560087</v>
      </c>
      <c r="L927" t="s">
        <v>537</v>
      </c>
    </row>
    <row r="928" spans="1:14" ht="16" x14ac:dyDescent="0.2">
      <c r="A928" s="81" t="s">
        <v>172</v>
      </c>
      <c r="B928" s="82">
        <v>8678005.5571156014</v>
      </c>
      <c r="C928" t="s">
        <v>229</v>
      </c>
      <c r="D928" s="88">
        <v>1.268E-2</v>
      </c>
      <c r="E928" t="s">
        <v>342</v>
      </c>
      <c r="F928">
        <v>3.0599999999999998E-3</v>
      </c>
      <c r="G928">
        <v>1.268E-2</v>
      </c>
      <c r="H928">
        <f>$A$6</f>
        <v>100</v>
      </c>
      <c r="I928">
        <v>-1</v>
      </c>
      <c r="J928" t="s">
        <v>426</v>
      </c>
      <c r="K928" s="17">
        <f t="shared" si="93"/>
        <v>-85119472.252868414</v>
      </c>
      <c r="L928" t="s">
        <v>537</v>
      </c>
    </row>
    <row r="929" spans="1:12" ht="16" x14ac:dyDescent="0.2">
      <c r="A929" s="81" t="s">
        <v>173</v>
      </c>
      <c r="B929" s="82">
        <v>23228.491262278425</v>
      </c>
      <c r="C929" t="s">
        <v>230</v>
      </c>
      <c r="D929" s="88">
        <v>0.12681999999999999</v>
      </c>
      <c r="E929" t="s">
        <v>343</v>
      </c>
      <c r="F929">
        <v>3.0602</v>
      </c>
      <c r="G929">
        <v>0.12681999999999999</v>
      </c>
      <c r="H929">
        <f>$A$6</f>
        <v>100</v>
      </c>
      <c r="I929">
        <v>-1</v>
      </c>
      <c r="J929" t="s">
        <v>427</v>
      </c>
      <c r="K929" s="17">
        <f t="shared" si="93"/>
        <v>-19285434790.737095</v>
      </c>
      <c r="L929" t="s">
        <v>537</v>
      </c>
    </row>
    <row r="930" spans="1:12" ht="16" x14ac:dyDescent="0.2">
      <c r="A930" s="81" t="s">
        <v>174</v>
      </c>
      <c r="B930" s="82">
        <v>2900382.3017559699</v>
      </c>
      <c r="C930" t="s">
        <v>231</v>
      </c>
      <c r="D930" s="88">
        <v>0.12681999999999999</v>
      </c>
      <c r="E930" t="s">
        <v>344</v>
      </c>
      <c r="F930">
        <v>3.0599999999999998E-3</v>
      </c>
      <c r="G930">
        <v>1.2700000000000001E-3</v>
      </c>
      <c r="H930">
        <f>$A$7</f>
        <v>10</v>
      </c>
      <c r="I930">
        <v>-1</v>
      </c>
      <c r="J930" t="s">
        <v>428</v>
      </c>
      <c r="K930" s="17">
        <f t="shared" si="93"/>
        <v>-7419671.3629325032</v>
      </c>
      <c r="L930" t="s">
        <v>537</v>
      </c>
    </row>
    <row r="931" spans="1:12" ht="16" x14ac:dyDescent="0.2">
      <c r="A931" s="81" t="s">
        <v>175</v>
      </c>
      <c r="B931" s="82">
        <v>2001726.6151746653</v>
      </c>
      <c r="C931" t="s">
        <v>232</v>
      </c>
      <c r="D931" s="88">
        <v>1.2999999999999999E-4</v>
      </c>
      <c r="E931" t="s">
        <v>345</v>
      </c>
      <c r="F931">
        <v>3.1E-4</v>
      </c>
      <c r="G931">
        <v>1.2999999999999999E-4</v>
      </c>
      <c r="H931">
        <f>$A$7</f>
        <v>10</v>
      </c>
      <c r="I931">
        <v>-1</v>
      </c>
      <c r="J931" t="s">
        <v>429</v>
      </c>
      <c r="K931" s="17">
        <f t="shared" si="93"/>
        <v>-256803.56937700626</v>
      </c>
      <c r="L931" t="s">
        <v>537</v>
      </c>
    </row>
    <row r="932" spans="1:12" ht="16" x14ac:dyDescent="0.2">
      <c r="A932" s="51" t="s">
        <v>176</v>
      </c>
      <c r="B932" s="82">
        <v>4249011.0139280604</v>
      </c>
      <c r="C932" t="s">
        <v>233</v>
      </c>
      <c r="D932" s="88">
        <v>1.2999999999999999E-4</v>
      </c>
      <c r="E932" t="s">
        <v>345</v>
      </c>
      <c r="F932">
        <v>3.1E-4</v>
      </c>
      <c r="G932">
        <v>1.2999999999999999E-4</v>
      </c>
      <c r="H932">
        <f>$A$7</f>
        <v>10</v>
      </c>
      <c r="I932">
        <v>-1</v>
      </c>
      <c r="J932" t="s">
        <v>429</v>
      </c>
      <c r="K932" s="17">
        <f t="shared" si="93"/>
        <v>-256803.56937700626</v>
      </c>
      <c r="L932" t="s">
        <v>537</v>
      </c>
    </row>
    <row r="933" spans="1:12" ht="16" x14ac:dyDescent="0.2">
      <c r="A933" s="51" t="s">
        <v>177</v>
      </c>
      <c r="B933" s="82">
        <v>1716247.5879126748</v>
      </c>
      <c r="C933" t="s">
        <v>320</v>
      </c>
      <c r="D933" s="88">
        <v>0</v>
      </c>
      <c r="E933" t="s">
        <v>344</v>
      </c>
      <c r="F933">
        <v>0.30602000000000001</v>
      </c>
      <c r="G933">
        <v>0</v>
      </c>
      <c r="H933">
        <f>$A$6</f>
        <v>100</v>
      </c>
      <c r="I933">
        <v>-1</v>
      </c>
      <c r="J933" t="s">
        <v>428</v>
      </c>
      <c r="K933" s="17">
        <f t="shared" si="93"/>
        <v>-1862032627.1407652</v>
      </c>
      <c r="L933" t="s">
        <v>537</v>
      </c>
    </row>
    <row r="934" spans="1:12" ht="16" x14ac:dyDescent="0.2">
      <c r="A934" s="51" t="s">
        <v>178</v>
      </c>
      <c r="B934" s="82">
        <v>9469165.5526251569</v>
      </c>
      <c r="C934" t="s">
        <v>321</v>
      </c>
      <c r="D934" s="88">
        <v>0</v>
      </c>
      <c r="E934" t="s">
        <v>344</v>
      </c>
      <c r="F934">
        <v>0.30602000000000001</v>
      </c>
      <c r="G934">
        <v>0</v>
      </c>
      <c r="H934">
        <f>$A$6</f>
        <v>100</v>
      </c>
      <c r="I934">
        <v>-1</v>
      </c>
      <c r="J934" t="s">
        <v>428</v>
      </c>
      <c r="K934" s="17">
        <f t="shared" si="93"/>
        <v>-1862032627.1407652</v>
      </c>
      <c r="L934" t="s">
        <v>537</v>
      </c>
    </row>
    <row r="935" spans="1:12" ht="16" x14ac:dyDescent="0.2">
      <c r="A935" s="51" t="s">
        <v>179</v>
      </c>
      <c r="B935" s="82">
        <v>3135192.5928012868</v>
      </c>
      <c r="C935" t="s">
        <v>234</v>
      </c>
      <c r="D935" s="88">
        <v>0</v>
      </c>
      <c r="E935" t="s">
        <v>344</v>
      </c>
      <c r="F935">
        <v>0.30602000000000001</v>
      </c>
      <c r="G935">
        <v>0</v>
      </c>
      <c r="H935">
        <v>0</v>
      </c>
      <c r="I935">
        <v>0</v>
      </c>
      <c r="J935" t="s">
        <v>428</v>
      </c>
      <c r="K935" s="17">
        <f t="shared" si="93"/>
        <v>0</v>
      </c>
      <c r="L935" t="s">
        <v>537</v>
      </c>
    </row>
    <row r="936" spans="1:12" ht="16" x14ac:dyDescent="0.2">
      <c r="A936" s="51" t="s">
        <v>180</v>
      </c>
      <c r="B936" s="82">
        <v>8250506.8231612816</v>
      </c>
      <c r="C936" t="s">
        <v>235</v>
      </c>
      <c r="D936" s="88">
        <v>0.12681999999999999</v>
      </c>
      <c r="E936" t="s">
        <v>346</v>
      </c>
      <c r="F936">
        <v>0.30602000000000001</v>
      </c>
      <c r="G936">
        <v>0.12681999999999999</v>
      </c>
      <c r="H936">
        <f>$A$8</f>
        <v>1</v>
      </c>
      <c r="I936">
        <v>1</v>
      </c>
      <c r="J936" t="s">
        <v>430</v>
      </c>
      <c r="K936" s="17">
        <f t="shared" si="93"/>
        <v>25271411.464702092</v>
      </c>
      <c r="L936" t="s">
        <v>537</v>
      </c>
    </row>
    <row r="937" spans="1:12" ht="16" x14ac:dyDescent="0.2">
      <c r="A937" s="51" t="s">
        <v>157</v>
      </c>
      <c r="B937" s="82">
        <v>870049.79450578964</v>
      </c>
      <c r="C937" t="s">
        <v>236</v>
      </c>
      <c r="D937" s="88">
        <v>1.2999999999999999E-4</v>
      </c>
      <c r="E937" t="s">
        <v>347</v>
      </c>
      <c r="F937">
        <v>3.0602</v>
      </c>
      <c r="G937">
        <v>1.2999999999999999E-4</v>
      </c>
      <c r="H937">
        <f>$A$7</f>
        <v>10</v>
      </c>
      <c r="I937">
        <v>-1</v>
      </c>
      <c r="J937" t="s">
        <v>431</v>
      </c>
      <c r="K937" s="17">
        <f t="shared" si="93"/>
        <v>-1862100805.746279</v>
      </c>
      <c r="L937" t="s">
        <v>537</v>
      </c>
    </row>
    <row r="938" spans="1:12" ht="15" customHeight="1" x14ac:dyDescent="0.2">
      <c r="A938" s="51" t="s">
        <v>158</v>
      </c>
      <c r="B938" s="82">
        <v>24522.523405377458</v>
      </c>
      <c r="C938" t="s">
        <v>237</v>
      </c>
      <c r="D938" s="88">
        <v>0.12681999999999999</v>
      </c>
      <c r="E938" t="s">
        <v>348</v>
      </c>
      <c r="F938">
        <v>0.30602000000000001</v>
      </c>
      <c r="G938">
        <v>0.12681999999999999</v>
      </c>
      <c r="H938">
        <f>$A$6</f>
        <v>100</v>
      </c>
      <c r="I938">
        <v>-1</v>
      </c>
      <c r="J938" t="s">
        <v>432</v>
      </c>
      <c r="K938" s="17">
        <f t="shared" si="93"/>
        <v>-2527141146.4702091</v>
      </c>
      <c r="L938" t="s">
        <v>537</v>
      </c>
    </row>
    <row r="939" spans="1:12" ht="16" x14ac:dyDescent="0.2">
      <c r="A939" s="51" t="s">
        <v>93</v>
      </c>
      <c r="B939" s="82">
        <v>46547131.611529909</v>
      </c>
      <c r="C939" t="s">
        <v>238</v>
      </c>
      <c r="D939" s="88">
        <v>0</v>
      </c>
      <c r="E939" t="s">
        <v>349</v>
      </c>
      <c r="F939">
        <v>0</v>
      </c>
      <c r="G939">
        <v>0</v>
      </c>
      <c r="H939">
        <f>$A$7</f>
        <v>10</v>
      </c>
      <c r="I939">
        <v>-1</v>
      </c>
      <c r="J939" t="s">
        <v>433</v>
      </c>
      <c r="K939" s="17">
        <f t="shared" si="93"/>
        <v>0</v>
      </c>
      <c r="L939" t="s">
        <v>537</v>
      </c>
    </row>
    <row r="940" spans="1:12" x14ac:dyDescent="0.2">
      <c r="A940" s="51"/>
      <c r="B940" s="82"/>
      <c r="C940" t="s">
        <v>239</v>
      </c>
      <c r="D940" s="88">
        <v>1.2700000000000001E-3</v>
      </c>
      <c r="E940" t="s">
        <v>348</v>
      </c>
      <c r="F940">
        <v>3.0599999999999998E-3</v>
      </c>
      <c r="G940">
        <v>1.2700000000000001E-3</v>
      </c>
      <c r="H940">
        <f>$A$6</f>
        <v>100</v>
      </c>
      <c r="I940">
        <v>-1</v>
      </c>
      <c r="J940" t="s">
        <v>432</v>
      </c>
      <c r="K940" s="17">
        <f t="shared" si="93"/>
        <v>-25279634.644060988</v>
      </c>
      <c r="L940" t="s">
        <v>537</v>
      </c>
    </row>
    <row r="941" spans="1:12" x14ac:dyDescent="0.2">
      <c r="A941" s="86" t="s">
        <v>17</v>
      </c>
      <c r="B941" s="82">
        <v>113291843.70105949</v>
      </c>
      <c r="C941" t="s">
        <v>240</v>
      </c>
      <c r="D941" s="88">
        <v>0</v>
      </c>
      <c r="E941" t="s">
        <v>348</v>
      </c>
      <c r="F941">
        <v>0</v>
      </c>
      <c r="G941">
        <v>0</v>
      </c>
      <c r="H941">
        <f>$A$6</f>
        <v>100</v>
      </c>
      <c r="I941">
        <v>-1</v>
      </c>
      <c r="J941" t="s">
        <v>432</v>
      </c>
      <c r="K941" s="17">
        <f t="shared" si="93"/>
        <v>0</v>
      </c>
      <c r="L941" t="s">
        <v>537</v>
      </c>
    </row>
    <row r="942" spans="1:12" x14ac:dyDescent="0.2">
      <c r="C942" t="s">
        <v>241</v>
      </c>
      <c r="D942" s="88">
        <v>0</v>
      </c>
      <c r="E942" t="s">
        <v>350</v>
      </c>
      <c r="F942">
        <v>0</v>
      </c>
      <c r="G942">
        <v>0</v>
      </c>
      <c r="H942">
        <f>$A$6</f>
        <v>100</v>
      </c>
      <c r="I942">
        <v>-1</v>
      </c>
      <c r="J942" t="s">
        <v>434</v>
      </c>
      <c r="K942" s="17">
        <f t="shared" si="93"/>
        <v>0</v>
      </c>
      <c r="L942" t="s">
        <v>537</v>
      </c>
    </row>
    <row r="943" spans="1:12" ht="16" x14ac:dyDescent="0.2">
      <c r="A943" s="66" t="s">
        <v>8</v>
      </c>
      <c r="B943" s="76" t="s">
        <v>418</v>
      </c>
      <c r="C943" t="s">
        <v>242</v>
      </c>
      <c r="D943" s="88">
        <v>0</v>
      </c>
      <c r="E943" t="s">
        <v>351</v>
      </c>
      <c r="F943">
        <v>0</v>
      </c>
      <c r="G943">
        <v>0</v>
      </c>
      <c r="H943">
        <f>$A$8</f>
        <v>1</v>
      </c>
      <c r="I943">
        <v>1</v>
      </c>
      <c r="J943" t="s">
        <v>435</v>
      </c>
      <c r="K943" s="17">
        <f t="shared" si="93"/>
        <v>0</v>
      </c>
      <c r="L943" t="s">
        <v>537</v>
      </c>
    </row>
    <row r="944" spans="1:12" ht="16" x14ac:dyDescent="0.2">
      <c r="A944" s="81" t="s">
        <v>57</v>
      </c>
      <c r="B944" s="89" t="s">
        <v>502</v>
      </c>
      <c r="C944" t="s">
        <v>243</v>
      </c>
      <c r="D944" s="88">
        <v>0.12681999999999999</v>
      </c>
      <c r="E944" t="s">
        <v>352</v>
      </c>
      <c r="F944">
        <v>3.0599999999999998E-3</v>
      </c>
      <c r="G944">
        <v>1.26824</v>
      </c>
      <c r="H944">
        <f>$A$6</f>
        <v>100</v>
      </c>
      <c r="I944">
        <v>-1</v>
      </c>
      <c r="J944" t="s">
        <v>436</v>
      </c>
      <c r="K944" s="17">
        <f t="shared" si="93"/>
        <v>-6225191404.3781147</v>
      </c>
      <c r="L944" t="s">
        <v>537</v>
      </c>
    </row>
    <row r="945" spans="1:12" ht="16" x14ac:dyDescent="0.2">
      <c r="A945" s="81" t="s">
        <v>82</v>
      </c>
      <c r="B945" s="89" t="s">
        <v>506</v>
      </c>
      <c r="C945" t="s">
        <v>244</v>
      </c>
      <c r="D945" s="88">
        <v>1.2700000000000001E-3</v>
      </c>
      <c r="E945" t="s">
        <v>353</v>
      </c>
      <c r="F945">
        <v>3.0599999999999998E-3</v>
      </c>
      <c r="G945">
        <v>1.2700000000000001E-3</v>
      </c>
      <c r="H945">
        <v>0</v>
      </c>
      <c r="I945">
        <v>0</v>
      </c>
      <c r="J945" t="s">
        <v>437</v>
      </c>
      <c r="K945" s="17">
        <f t="shared" si="93"/>
        <v>0</v>
      </c>
      <c r="L945" t="s">
        <v>537</v>
      </c>
    </row>
    <row r="946" spans="1:12" ht="16" x14ac:dyDescent="0.2">
      <c r="A946" s="81" t="s">
        <v>156</v>
      </c>
      <c r="B946" s="89" t="s">
        <v>502</v>
      </c>
      <c r="C946" t="s">
        <v>245</v>
      </c>
      <c r="D946" s="88">
        <v>1.2700000000000001E-3</v>
      </c>
      <c r="E946" t="s">
        <v>351</v>
      </c>
      <c r="F946">
        <v>0.30602000000000001</v>
      </c>
      <c r="G946">
        <v>1.2999999999999999E-4</v>
      </c>
      <c r="H946">
        <f t="shared" ref="H946:H951" si="94">$A$7</f>
        <v>10</v>
      </c>
      <c r="I946">
        <v>-1</v>
      </c>
      <c r="J946" t="s">
        <v>435</v>
      </c>
      <c r="K946" s="17">
        <f t="shared" si="93"/>
        <v>-186315858.26108247</v>
      </c>
      <c r="L946" t="s">
        <v>537</v>
      </c>
    </row>
    <row r="947" spans="1:12" ht="16" x14ac:dyDescent="0.2">
      <c r="A947" s="81" t="s">
        <v>171</v>
      </c>
      <c r="B947" s="89" t="s">
        <v>506</v>
      </c>
      <c r="C947" t="s">
        <v>246</v>
      </c>
      <c r="D947" s="88">
        <v>1.268E-2</v>
      </c>
      <c r="E947" t="s">
        <v>354</v>
      </c>
      <c r="F947">
        <v>3.0599999999999999E-2</v>
      </c>
      <c r="G947">
        <v>1.268E-2</v>
      </c>
      <c r="H947">
        <f t="shared" si="94"/>
        <v>10</v>
      </c>
      <c r="I947">
        <v>-1</v>
      </c>
      <c r="J947" t="s">
        <v>438</v>
      </c>
      <c r="K947" s="17">
        <f t="shared" si="93"/>
        <v>-25269145.627828069</v>
      </c>
      <c r="L947" t="s">
        <v>537</v>
      </c>
    </row>
    <row r="948" spans="1:12" ht="16" x14ac:dyDescent="0.2">
      <c r="A948" s="81" t="s">
        <v>172</v>
      </c>
      <c r="B948" s="89" t="s">
        <v>506</v>
      </c>
      <c r="C948" t="s">
        <v>247</v>
      </c>
      <c r="D948" s="88">
        <v>1.26824</v>
      </c>
      <c r="E948" t="s">
        <v>354</v>
      </c>
      <c r="F948">
        <v>3.1E-4</v>
      </c>
      <c r="G948">
        <v>1.26824</v>
      </c>
      <c r="H948">
        <f t="shared" si="94"/>
        <v>10</v>
      </c>
      <c r="I948">
        <v>-1</v>
      </c>
      <c r="J948" t="s">
        <v>438</v>
      </c>
      <c r="K948" s="17">
        <f t="shared" si="93"/>
        <v>-665318122.325773</v>
      </c>
      <c r="L948" t="s">
        <v>537</v>
      </c>
    </row>
    <row r="949" spans="1:12" ht="16" x14ac:dyDescent="0.2">
      <c r="A949" s="81" t="s">
        <v>173</v>
      </c>
      <c r="B949" s="89" t="s">
        <v>506</v>
      </c>
      <c r="C949" t="s">
        <v>248</v>
      </c>
      <c r="D949" s="88">
        <v>1.26824</v>
      </c>
      <c r="E949" t="s">
        <v>350</v>
      </c>
      <c r="F949">
        <v>0.30602000000000001</v>
      </c>
      <c r="G949">
        <v>1.26824</v>
      </c>
      <c r="H949">
        <f t="shared" si="94"/>
        <v>10</v>
      </c>
      <c r="I949">
        <v>-1</v>
      </c>
      <c r="J949" t="s">
        <v>434</v>
      </c>
      <c r="K949" s="17">
        <f t="shared" si="93"/>
        <v>-851332760.07598639</v>
      </c>
      <c r="L949" t="s">
        <v>537</v>
      </c>
    </row>
    <row r="950" spans="1:12" ht="16" x14ac:dyDescent="0.2">
      <c r="A950" s="81" t="s">
        <v>174</v>
      </c>
      <c r="B950" s="89" t="s">
        <v>502</v>
      </c>
      <c r="C950" t="s">
        <v>322</v>
      </c>
      <c r="D950" s="88">
        <v>1.26824</v>
      </c>
      <c r="E950" t="s">
        <v>355</v>
      </c>
      <c r="F950">
        <v>3.0599999999999999E-2</v>
      </c>
      <c r="G950">
        <v>1.26824</v>
      </c>
      <c r="H950">
        <f t="shared" si="94"/>
        <v>10</v>
      </c>
      <c r="I950">
        <v>-1</v>
      </c>
      <c r="J950" t="s">
        <v>439</v>
      </c>
      <c r="K950" s="17">
        <f t="shared" si="93"/>
        <v>-683748606.69806695</v>
      </c>
      <c r="L950" t="s">
        <v>537</v>
      </c>
    </row>
    <row r="951" spans="1:12" ht="16" x14ac:dyDescent="0.2">
      <c r="A951" s="81" t="s">
        <v>175</v>
      </c>
      <c r="B951" s="89" t="s">
        <v>510</v>
      </c>
      <c r="C951" t="s">
        <v>249</v>
      </c>
      <c r="D951" s="88">
        <v>0.12681999999999999</v>
      </c>
      <c r="E951" t="s">
        <v>356</v>
      </c>
      <c r="F951">
        <v>3.1E-4</v>
      </c>
      <c r="G951">
        <v>0.12681999999999999</v>
      </c>
      <c r="H951">
        <f t="shared" si="94"/>
        <v>10</v>
      </c>
      <c r="I951">
        <v>-1</v>
      </c>
      <c r="J951" t="s">
        <v>440</v>
      </c>
      <c r="K951" s="17">
        <f t="shared" si="93"/>
        <v>-66699476.896807432</v>
      </c>
      <c r="L951" t="s">
        <v>537</v>
      </c>
    </row>
    <row r="952" spans="1:12" ht="16" x14ac:dyDescent="0.2">
      <c r="A952" s="51" t="s">
        <v>176</v>
      </c>
      <c r="B952" s="89" t="s">
        <v>506</v>
      </c>
      <c r="C952" t="s">
        <v>323</v>
      </c>
      <c r="D952" s="88">
        <v>1.2700000000000001E-3</v>
      </c>
      <c r="E952" t="s">
        <v>357</v>
      </c>
      <c r="F952">
        <v>3.0599999999999998E-3</v>
      </c>
      <c r="G952">
        <v>1.2700000000000001E-3</v>
      </c>
      <c r="H952">
        <f>$A$6</f>
        <v>100</v>
      </c>
      <c r="I952">
        <v>-1</v>
      </c>
      <c r="J952" t="s">
        <v>441</v>
      </c>
      <c r="K952" s="17">
        <f t="shared" si="93"/>
        <v>-25279634.644060988</v>
      </c>
      <c r="L952" t="s">
        <v>537</v>
      </c>
    </row>
    <row r="953" spans="1:12" ht="16" x14ac:dyDescent="0.2">
      <c r="A953" s="51" t="s">
        <v>177</v>
      </c>
      <c r="B953" s="89" t="s">
        <v>506</v>
      </c>
      <c r="C953" t="s">
        <v>324</v>
      </c>
      <c r="D953" s="88">
        <v>1.2700000000000001E-3</v>
      </c>
      <c r="E953" t="s">
        <v>357</v>
      </c>
      <c r="F953">
        <v>3.0599999999999998E-3</v>
      </c>
      <c r="G953">
        <v>1.2700000000000001E-3</v>
      </c>
      <c r="H953">
        <f>$A$6</f>
        <v>100</v>
      </c>
      <c r="I953">
        <v>-1</v>
      </c>
      <c r="J953" t="s">
        <v>441</v>
      </c>
      <c r="K953" s="17">
        <f t="shared" si="93"/>
        <v>-25279634.644060988</v>
      </c>
      <c r="L953" t="s">
        <v>537</v>
      </c>
    </row>
    <row r="954" spans="1:12" ht="16" x14ac:dyDescent="0.2">
      <c r="A954" s="51" t="s">
        <v>178</v>
      </c>
      <c r="B954" s="89" t="s">
        <v>506</v>
      </c>
      <c r="C954" t="s">
        <v>250</v>
      </c>
      <c r="D954" s="88">
        <v>1.2700000000000001E-3</v>
      </c>
      <c r="E954" t="s">
        <v>358</v>
      </c>
      <c r="F954">
        <v>0.30602000000000001</v>
      </c>
      <c r="G954">
        <v>1.2700000000000001E-3</v>
      </c>
      <c r="H954">
        <f>$A$7</f>
        <v>10</v>
      </c>
      <c r="I954">
        <v>1</v>
      </c>
      <c r="J954" t="s">
        <v>442</v>
      </c>
      <c r="K954" s="17">
        <f t="shared" si="93"/>
        <v>186869315.24486691</v>
      </c>
      <c r="L954" t="s">
        <v>537</v>
      </c>
    </row>
    <row r="955" spans="1:12" ht="16" x14ac:dyDescent="0.2">
      <c r="A955" s="51" t="s">
        <v>179</v>
      </c>
      <c r="B955" s="89" t="s">
        <v>506</v>
      </c>
      <c r="C955" t="s">
        <v>251</v>
      </c>
      <c r="D955" s="88">
        <v>0</v>
      </c>
      <c r="E955" t="s">
        <v>359</v>
      </c>
      <c r="F955">
        <v>3.1E-4</v>
      </c>
      <c r="G955">
        <v>0</v>
      </c>
      <c r="H955">
        <f>$A$6</f>
        <v>100</v>
      </c>
      <c r="I955">
        <v>-1</v>
      </c>
      <c r="J955" t="s">
        <v>443</v>
      </c>
      <c r="K955" s="17">
        <f t="shared" si="93"/>
        <v>-1886249.6386302763</v>
      </c>
      <c r="L955" t="s">
        <v>537</v>
      </c>
    </row>
    <row r="956" spans="1:12" ht="15" customHeight="1" x14ac:dyDescent="0.2">
      <c r="A956" s="51" t="s">
        <v>180</v>
      </c>
      <c r="B956" s="89" t="s">
        <v>506</v>
      </c>
      <c r="C956" t="s">
        <v>252</v>
      </c>
      <c r="D956" s="88">
        <v>0.12681999999999999</v>
      </c>
      <c r="E956" t="s">
        <v>360</v>
      </c>
      <c r="F956">
        <v>3.0602</v>
      </c>
      <c r="G956">
        <v>0.12681999999999999</v>
      </c>
      <c r="H956">
        <f>$A$7</f>
        <v>10</v>
      </c>
      <c r="I956">
        <v>-1</v>
      </c>
      <c r="J956" t="s">
        <v>444</v>
      </c>
      <c r="K956" s="17">
        <f t="shared" ref="K956:K987" si="95">((SUM(B$924,B$926,B$930,B$937,B$938)*D956)+(SUM(B$925,B$927,B$928,B$929,B$932,B$933,B$934,B$935,B$936)*F956)+(SUM(B$931,B$939)*G956))*H956*I956</f>
        <v>-1928543479.0737095</v>
      </c>
      <c r="L956" t="s">
        <v>537</v>
      </c>
    </row>
    <row r="957" spans="1:12" ht="16" x14ac:dyDescent="0.2">
      <c r="A957" s="51" t="s">
        <v>157</v>
      </c>
      <c r="B957" s="89" t="s">
        <v>502</v>
      </c>
      <c r="C957" t="s">
        <v>253</v>
      </c>
      <c r="D957" s="88">
        <v>1.268E-2</v>
      </c>
      <c r="E957" t="s">
        <v>361</v>
      </c>
      <c r="F957">
        <v>0.30602000000000001</v>
      </c>
      <c r="G957">
        <v>1.268E-2</v>
      </c>
      <c r="H957">
        <f>$A$7</f>
        <v>10</v>
      </c>
      <c r="I957">
        <v>-1</v>
      </c>
      <c r="J957" t="s">
        <v>445</v>
      </c>
      <c r="K957" s="17">
        <f t="shared" si="95"/>
        <v>-192853299.00574771</v>
      </c>
      <c r="L957" t="s">
        <v>537</v>
      </c>
    </row>
    <row r="958" spans="1:12" ht="16" x14ac:dyDescent="0.2">
      <c r="A958" s="51" t="s">
        <v>158</v>
      </c>
      <c r="B958" s="89" t="s">
        <v>502</v>
      </c>
      <c r="C958" t="s">
        <v>325</v>
      </c>
      <c r="D958" s="88">
        <v>1.2700000000000001E-3</v>
      </c>
      <c r="E958" t="s">
        <v>362</v>
      </c>
      <c r="F958">
        <v>3.1E-4</v>
      </c>
      <c r="G958">
        <v>1.2700000000000001E-3</v>
      </c>
      <c r="H958">
        <f>$A$6</f>
        <v>100</v>
      </c>
      <c r="I958">
        <v>-1</v>
      </c>
      <c r="J958" t="s">
        <v>446</v>
      </c>
      <c r="K958" s="17">
        <f t="shared" si="95"/>
        <v>-8546774.9465343449</v>
      </c>
      <c r="L958" t="s">
        <v>537</v>
      </c>
    </row>
    <row r="959" spans="1:12" ht="16" x14ac:dyDescent="0.2">
      <c r="A959" s="51" t="s">
        <v>93</v>
      </c>
      <c r="B959" s="89" t="s">
        <v>510</v>
      </c>
      <c r="C959" t="s">
        <v>254</v>
      </c>
      <c r="D959" s="88">
        <v>1.2700000000000001E-3</v>
      </c>
      <c r="E959" t="s">
        <v>363</v>
      </c>
      <c r="F959">
        <v>3.0599999999999998E-3</v>
      </c>
      <c r="G959">
        <v>1.2700000000000001E-3</v>
      </c>
      <c r="H959">
        <f>$A$7</f>
        <v>10</v>
      </c>
      <c r="I959">
        <v>-1</v>
      </c>
      <c r="J959" t="s">
        <v>447</v>
      </c>
      <c r="K959" s="17">
        <f t="shared" si="95"/>
        <v>-2527963.4644060987</v>
      </c>
      <c r="L959" t="s">
        <v>537</v>
      </c>
    </row>
    <row r="960" spans="1:12" x14ac:dyDescent="0.2">
      <c r="C960" t="s">
        <v>255</v>
      </c>
      <c r="D960" s="88">
        <v>0</v>
      </c>
      <c r="E960" t="s">
        <v>364</v>
      </c>
      <c r="F960">
        <v>0</v>
      </c>
      <c r="G960">
        <v>0</v>
      </c>
      <c r="H960">
        <f>$A$7</f>
        <v>10</v>
      </c>
      <c r="I960">
        <v>-1</v>
      </c>
      <c r="J960" t="s">
        <v>448</v>
      </c>
      <c r="K960" s="17">
        <f t="shared" si="95"/>
        <v>0</v>
      </c>
      <c r="L960" t="s">
        <v>537</v>
      </c>
    </row>
    <row r="961" spans="3:12" x14ac:dyDescent="0.2">
      <c r="C961" t="s">
        <v>256</v>
      </c>
      <c r="D961" s="88">
        <v>1.2700000000000001E-3</v>
      </c>
      <c r="E961" t="s">
        <v>365</v>
      </c>
      <c r="F961">
        <v>0.30602000000000001</v>
      </c>
      <c r="G961">
        <v>1.2700000000000001E-3</v>
      </c>
      <c r="H961">
        <f>$A$7</f>
        <v>10</v>
      </c>
      <c r="I961">
        <v>-1</v>
      </c>
      <c r="J961" t="s">
        <v>449</v>
      </c>
      <c r="K961" s="17">
        <f t="shared" si="95"/>
        <v>-186869315.24486691</v>
      </c>
      <c r="L961" t="s">
        <v>537</v>
      </c>
    </row>
    <row r="962" spans="3:12" x14ac:dyDescent="0.2">
      <c r="C962" t="s">
        <v>257</v>
      </c>
      <c r="D962" s="88">
        <v>1.26824</v>
      </c>
      <c r="E962" t="s">
        <v>366</v>
      </c>
      <c r="F962">
        <v>3.0599999999999998E-3</v>
      </c>
      <c r="G962">
        <v>1.26824</v>
      </c>
      <c r="H962">
        <f>$A$6</f>
        <v>100</v>
      </c>
      <c r="I962">
        <v>-1</v>
      </c>
      <c r="J962" t="s">
        <v>450</v>
      </c>
      <c r="K962" s="17">
        <f t="shared" si="95"/>
        <v>-6669914082.9552565</v>
      </c>
      <c r="L962" t="s">
        <v>537</v>
      </c>
    </row>
    <row r="963" spans="3:12" x14ac:dyDescent="0.2">
      <c r="C963" t="s">
        <v>258</v>
      </c>
      <c r="D963" s="88">
        <v>0.12681999999999999</v>
      </c>
      <c r="E963" t="s">
        <v>367</v>
      </c>
      <c r="F963">
        <v>3.0599999999999998E-3</v>
      </c>
      <c r="G963">
        <v>0.12681999999999999</v>
      </c>
      <c r="H963">
        <f>$A$6</f>
        <v>100</v>
      </c>
      <c r="I963">
        <v>-1</v>
      </c>
      <c r="J963" t="s">
        <v>451</v>
      </c>
      <c r="K963" s="17">
        <f t="shared" si="95"/>
        <v>-683727628.6656009</v>
      </c>
      <c r="L963" t="s">
        <v>537</v>
      </c>
    </row>
    <row r="964" spans="3:12" x14ac:dyDescent="0.2">
      <c r="C964" t="s">
        <v>326</v>
      </c>
      <c r="D964" s="88">
        <v>1.2700000000000001E-3</v>
      </c>
      <c r="E964" t="s">
        <v>365</v>
      </c>
      <c r="F964">
        <v>3.0599999999999998E-3</v>
      </c>
      <c r="G964">
        <v>1.2700000000000001E-3</v>
      </c>
      <c r="H964">
        <v>0</v>
      </c>
      <c r="I964">
        <v>0</v>
      </c>
      <c r="J964" t="s">
        <v>449</v>
      </c>
      <c r="K964" s="17">
        <f t="shared" si="95"/>
        <v>0</v>
      </c>
      <c r="L964" t="s">
        <v>537</v>
      </c>
    </row>
    <row r="965" spans="3:12" x14ac:dyDescent="0.2">
      <c r="C965" t="s">
        <v>259</v>
      </c>
      <c r="D965" s="88">
        <v>1.268E-2</v>
      </c>
      <c r="E965" t="s">
        <v>368</v>
      </c>
      <c r="F965">
        <v>3.0599999999999998E-3</v>
      </c>
      <c r="G965">
        <v>1.268E-2</v>
      </c>
      <c r="H965">
        <f>$A$6</f>
        <v>100</v>
      </c>
      <c r="I965">
        <v>-1</v>
      </c>
      <c r="J965" t="s">
        <v>452</v>
      </c>
      <c r="K965" s="17">
        <f t="shared" si="95"/>
        <v>-85119472.252868414</v>
      </c>
      <c r="L965" t="s">
        <v>537</v>
      </c>
    </row>
    <row r="966" spans="3:12" x14ac:dyDescent="0.2">
      <c r="C966" t="s">
        <v>260</v>
      </c>
      <c r="D966" s="88">
        <v>0</v>
      </c>
      <c r="E966" t="s">
        <v>368</v>
      </c>
      <c r="F966">
        <v>3.0599999999999998E-3</v>
      </c>
      <c r="G966">
        <v>0</v>
      </c>
      <c r="H966">
        <v>0</v>
      </c>
      <c r="I966">
        <v>0</v>
      </c>
      <c r="J966" t="s">
        <v>452</v>
      </c>
      <c r="K966" s="17">
        <f t="shared" si="95"/>
        <v>0</v>
      </c>
      <c r="L966" t="s">
        <v>537</v>
      </c>
    </row>
    <row r="967" spans="3:12" x14ac:dyDescent="0.2">
      <c r="C967" t="s">
        <v>327</v>
      </c>
      <c r="D967" s="88">
        <v>1.2999999999999999E-4</v>
      </c>
      <c r="E967" t="s">
        <v>368</v>
      </c>
      <c r="F967">
        <v>0.30602000000000001</v>
      </c>
      <c r="G967">
        <v>1.2999999999999999E-4</v>
      </c>
      <c r="H967">
        <f>$A$6</f>
        <v>100</v>
      </c>
      <c r="I967">
        <v>-1</v>
      </c>
      <c r="J967" t="s">
        <v>452</v>
      </c>
      <c r="K967" s="17">
        <f t="shared" si="95"/>
        <v>-1862714413.1959047</v>
      </c>
      <c r="L967" t="s">
        <v>537</v>
      </c>
    </row>
    <row r="968" spans="3:12" x14ac:dyDescent="0.2">
      <c r="C968" t="s">
        <v>328</v>
      </c>
      <c r="D968" s="88">
        <v>1.2999999999999999E-4</v>
      </c>
      <c r="E968" t="s">
        <v>368</v>
      </c>
      <c r="F968">
        <v>0.30602000000000001</v>
      </c>
      <c r="G968">
        <v>1.2999999999999999E-4</v>
      </c>
      <c r="H968">
        <v>0</v>
      </c>
      <c r="I968">
        <v>0</v>
      </c>
      <c r="J968" t="s">
        <v>452</v>
      </c>
      <c r="K968" s="17">
        <f t="shared" si="95"/>
        <v>0</v>
      </c>
      <c r="L968" t="s">
        <v>537</v>
      </c>
    </row>
    <row r="969" spans="3:12" x14ac:dyDescent="0.2">
      <c r="C969" t="s">
        <v>261</v>
      </c>
      <c r="D969" s="88">
        <v>0.12681999999999999</v>
      </c>
      <c r="E969" t="s">
        <v>369</v>
      </c>
      <c r="F969">
        <v>3.1E-4</v>
      </c>
      <c r="G969">
        <v>0.12681999999999999</v>
      </c>
      <c r="H969">
        <f>$A$6</f>
        <v>100</v>
      </c>
      <c r="I969">
        <v>-1</v>
      </c>
      <c r="J969" t="s">
        <v>453</v>
      </c>
      <c r="K969" s="17">
        <f t="shared" si="95"/>
        <v>-666994768.96807432</v>
      </c>
      <c r="L969" t="s">
        <v>537</v>
      </c>
    </row>
    <row r="970" spans="3:12" x14ac:dyDescent="0.2">
      <c r="C970" t="s">
        <v>263</v>
      </c>
      <c r="D970" s="88">
        <v>1.2999999999999999E-4</v>
      </c>
      <c r="E970" t="s">
        <v>370</v>
      </c>
      <c r="F970">
        <v>3.1E-4</v>
      </c>
      <c r="G970">
        <v>1.2999999999999999E-4</v>
      </c>
      <c r="H970">
        <f>$A$6</f>
        <v>100</v>
      </c>
      <c r="I970">
        <v>-1</v>
      </c>
      <c r="J970" t="s">
        <v>454</v>
      </c>
      <c r="K970" s="17">
        <f t="shared" si="95"/>
        <v>-2568035.6937700626</v>
      </c>
      <c r="L970" t="s">
        <v>537</v>
      </c>
    </row>
    <row r="971" spans="3:12" x14ac:dyDescent="0.2">
      <c r="C971" t="s">
        <v>262</v>
      </c>
      <c r="D971" s="88">
        <v>1.2999999999999999E-4</v>
      </c>
      <c r="E971" t="s">
        <v>370</v>
      </c>
      <c r="F971">
        <v>3.0599999999999998E-3</v>
      </c>
      <c r="G971">
        <v>1.2999999999999999E-4</v>
      </c>
      <c r="H971">
        <f>$A$6</f>
        <v>100</v>
      </c>
      <c r="I971">
        <v>-1</v>
      </c>
      <c r="J971" t="s">
        <v>454</v>
      </c>
      <c r="K971" s="17">
        <f t="shared" si="95"/>
        <v>-19300895.391296707</v>
      </c>
      <c r="L971" t="s">
        <v>537</v>
      </c>
    </row>
    <row r="972" spans="3:12" x14ac:dyDescent="0.2">
      <c r="C972" t="s">
        <v>264</v>
      </c>
      <c r="D972" s="88">
        <v>1.2700000000000001E-3</v>
      </c>
      <c r="E972" t="s">
        <v>371</v>
      </c>
      <c r="F972">
        <v>3.0599999999999999E-2</v>
      </c>
      <c r="G972">
        <v>1.2700000000000001E-3</v>
      </c>
      <c r="H972">
        <f>$A$7</f>
        <v>10</v>
      </c>
      <c r="I972">
        <v>-1</v>
      </c>
      <c r="J972" t="s">
        <v>455</v>
      </c>
      <c r="K972" s="17">
        <f t="shared" si="95"/>
        <v>-19285161.866947327</v>
      </c>
      <c r="L972" t="s">
        <v>537</v>
      </c>
    </row>
    <row r="973" spans="3:12" x14ac:dyDescent="0.2">
      <c r="C973" t="s">
        <v>265</v>
      </c>
      <c r="D973" s="88">
        <v>1.2700000000000001E-3</v>
      </c>
      <c r="E973" t="s">
        <v>371</v>
      </c>
      <c r="F973">
        <v>3.0599999999999998E-3</v>
      </c>
      <c r="G973">
        <v>1.2700000000000001E-3</v>
      </c>
      <c r="H973">
        <f>$A$7</f>
        <v>10</v>
      </c>
      <c r="I973">
        <v>-1</v>
      </c>
      <c r="J973" t="s">
        <v>455</v>
      </c>
      <c r="K973" s="17">
        <f t="shared" si="95"/>
        <v>-2527963.4644060987</v>
      </c>
      <c r="L973" t="s">
        <v>537</v>
      </c>
    </row>
    <row r="974" spans="3:12" x14ac:dyDescent="0.2">
      <c r="C974" t="s">
        <v>266</v>
      </c>
      <c r="D974" s="88">
        <v>1.2700000000000001E-3</v>
      </c>
      <c r="E974" t="s">
        <v>371</v>
      </c>
      <c r="F974">
        <v>3.0599999999999999E-2</v>
      </c>
      <c r="G974">
        <v>1.2700000000000001E-3</v>
      </c>
      <c r="H974">
        <v>0</v>
      </c>
      <c r="I974">
        <v>0</v>
      </c>
      <c r="J974" t="s">
        <v>455</v>
      </c>
      <c r="K974" s="17">
        <f t="shared" si="95"/>
        <v>0</v>
      </c>
      <c r="L974" t="s">
        <v>537</v>
      </c>
    </row>
    <row r="975" spans="3:12" x14ac:dyDescent="0.2">
      <c r="C975" t="s">
        <v>267</v>
      </c>
      <c r="D975" s="88">
        <v>1.2999999999999999E-4</v>
      </c>
      <c r="E975" t="s">
        <v>372</v>
      </c>
      <c r="F975">
        <v>3.0599999999999998E-3</v>
      </c>
      <c r="G975">
        <v>1.2999999999999999E-4</v>
      </c>
      <c r="H975">
        <v>0</v>
      </c>
      <c r="I975">
        <v>0</v>
      </c>
      <c r="J975" t="s">
        <v>456</v>
      </c>
      <c r="K975" s="17">
        <f t="shared" si="95"/>
        <v>0</v>
      </c>
      <c r="L975" t="s">
        <v>537</v>
      </c>
    </row>
    <row r="976" spans="3:12" x14ac:dyDescent="0.2">
      <c r="C976" t="s">
        <v>329</v>
      </c>
      <c r="D976" s="88">
        <v>0.12681999999999999</v>
      </c>
      <c r="E976" s="75" t="s">
        <v>373</v>
      </c>
      <c r="F976">
        <v>0.30602000000000001</v>
      </c>
      <c r="G976">
        <v>0.12681999999999999</v>
      </c>
      <c r="H976">
        <f>$A$7</f>
        <v>10</v>
      </c>
      <c r="I976">
        <v>-1</v>
      </c>
      <c r="J976" t="s">
        <v>457</v>
      </c>
      <c r="K976" s="17">
        <f t="shared" si="95"/>
        <v>-252714114.64702094</v>
      </c>
      <c r="L976" t="s">
        <v>537</v>
      </c>
    </row>
    <row r="977" spans="3:12" x14ac:dyDescent="0.2">
      <c r="C977" t="s">
        <v>314</v>
      </c>
      <c r="D977" s="88">
        <v>1.2700000000000001E-3</v>
      </c>
      <c r="E977" s="75" t="s">
        <v>374</v>
      </c>
      <c r="F977">
        <v>3.0599999999999998E-3</v>
      </c>
      <c r="G977">
        <v>1.2700000000000001E-3</v>
      </c>
      <c r="H977">
        <f>$A$7</f>
        <v>10</v>
      </c>
      <c r="I977">
        <v>-1</v>
      </c>
      <c r="J977" t="s">
        <v>458</v>
      </c>
      <c r="K977" s="17">
        <f t="shared" si="95"/>
        <v>-2527963.4644060987</v>
      </c>
      <c r="L977" t="s">
        <v>537</v>
      </c>
    </row>
    <row r="978" spans="3:12" x14ac:dyDescent="0.2">
      <c r="C978" t="s">
        <v>268</v>
      </c>
      <c r="D978" s="88">
        <v>1.2700000000000001E-3</v>
      </c>
      <c r="E978" s="75" t="s">
        <v>374</v>
      </c>
      <c r="F978">
        <v>3.0599999999999998E-3</v>
      </c>
      <c r="G978">
        <v>1.2700000000000001E-3</v>
      </c>
      <c r="H978">
        <f>$A$7</f>
        <v>10</v>
      </c>
      <c r="I978">
        <v>-1</v>
      </c>
      <c r="J978" t="s">
        <v>458</v>
      </c>
      <c r="K978" s="17">
        <f t="shared" si="95"/>
        <v>-2527963.4644060987</v>
      </c>
      <c r="L978" t="s">
        <v>537</v>
      </c>
    </row>
    <row r="979" spans="3:12" x14ac:dyDescent="0.2">
      <c r="C979" t="s">
        <v>269</v>
      </c>
      <c r="D979" s="88">
        <v>1.2700000000000001E-3</v>
      </c>
      <c r="E979" s="75" t="s">
        <v>374</v>
      </c>
      <c r="F979">
        <v>3.0599999999999998E-3</v>
      </c>
      <c r="G979">
        <v>1.2700000000000001E-3</v>
      </c>
      <c r="H979">
        <v>0</v>
      </c>
      <c r="I979">
        <v>0</v>
      </c>
      <c r="J979" t="s">
        <v>458</v>
      </c>
      <c r="K979" s="17">
        <f t="shared" si="95"/>
        <v>0</v>
      </c>
      <c r="L979" t="s">
        <v>537</v>
      </c>
    </row>
    <row r="980" spans="3:12" x14ac:dyDescent="0.2">
      <c r="C980" t="s">
        <v>270</v>
      </c>
      <c r="D980" s="88">
        <v>1.2700000000000001E-3</v>
      </c>
      <c r="E980" s="75" t="s">
        <v>375</v>
      </c>
      <c r="F980">
        <v>0</v>
      </c>
      <c r="G980">
        <v>1.2700000000000001E-3</v>
      </c>
      <c r="H980">
        <f>$A$6</f>
        <v>100</v>
      </c>
      <c r="I980">
        <v>-1</v>
      </c>
      <c r="J980" t="s">
        <v>459</v>
      </c>
      <c r="K980" s="17">
        <f t="shared" si="95"/>
        <v>-6660525.3079040693</v>
      </c>
      <c r="L980" t="s">
        <v>537</v>
      </c>
    </row>
    <row r="981" spans="3:12" x14ac:dyDescent="0.2">
      <c r="C981" t="s">
        <v>271</v>
      </c>
      <c r="D981" s="88">
        <v>0.12681999999999999</v>
      </c>
      <c r="E981" s="75" t="s">
        <v>376</v>
      </c>
      <c r="F981">
        <v>3.0602</v>
      </c>
      <c r="G981">
        <v>0.12681999999999999</v>
      </c>
      <c r="H981">
        <v>0</v>
      </c>
      <c r="I981">
        <v>0</v>
      </c>
      <c r="J981" t="s">
        <v>460</v>
      </c>
      <c r="K981" s="17">
        <f t="shared" si="95"/>
        <v>0</v>
      </c>
      <c r="L981" t="s">
        <v>537</v>
      </c>
    </row>
    <row r="982" spans="3:12" x14ac:dyDescent="0.2">
      <c r="C982" t="s">
        <v>272</v>
      </c>
      <c r="D982" s="88">
        <v>1.26824</v>
      </c>
      <c r="E982" t="s">
        <v>377</v>
      </c>
      <c r="F982">
        <v>3.0599999999999998E-3</v>
      </c>
      <c r="G982">
        <v>1.26824</v>
      </c>
      <c r="H982">
        <v>0</v>
      </c>
      <c r="I982">
        <v>0</v>
      </c>
      <c r="J982" t="s">
        <v>461</v>
      </c>
      <c r="K982" s="17">
        <f t="shared" si="95"/>
        <v>0</v>
      </c>
      <c r="L982" t="s">
        <v>537</v>
      </c>
    </row>
    <row r="983" spans="3:12" x14ac:dyDescent="0.2">
      <c r="C983" t="s">
        <v>273</v>
      </c>
      <c r="D983" s="88">
        <v>1.2999999999999999E-4</v>
      </c>
      <c r="E983" t="s">
        <v>378</v>
      </c>
      <c r="F983">
        <v>3.0602</v>
      </c>
      <c r="G983">
        <v>1.2999999999999999E-4</v>
      </c>
      <c r="H983">
        <f>$A$7</f>
        <v>10</v>
      </c>
      <c r="I983">
        <v>-1</v>
      </c>
      <c r="J983" t="s">
        <v>462</v>
      </c>
      <c r="K983" s="17">
        <f t="shared" si="95"/>
        <v>-1862100805.746279</v>
      </c>
      <c r="L983" t="s">
        <v>537</v>
      </c>
    </row>
    <row r="984" spans="3:12" x14ac:dyDescent="0.2">
      <c r="C984" t="s">
        <v>274</v>
      </c>
      <c r="D984" s="88">
        <v>1.2999999999999999E-4</v>
      </c>
      <c r="E984" t="s">
        <v>379</v>
      </c>
      <c r="F984">
        <v>3.1E-4</v>
      </c>
      <c r="G984">
        <v>1.2999999999999999E-4</v>
      </c>
      <c r="H984">
        <v>0</v>
      </c>
      <c r="I984">
        <v>0</v>
      </c>
      <c r="J984" t="s">
        <v>463</v>
      </c>
      <c r="K984" s="17">
        <f t="shared" si="95"/>
        <v>0</v>
      </c>
      <c r="L984" t="s">
        <v>537</v>
      </c>
    </row>
    <row r="985" spans="3:12" x14ac:dyDescent="0.2">
      <c r="C985" t="s">
        <v>275</v>
      </c>
      <c r="D985" s="88">
        <v>1.26824</v>
      </c>
      <c r="E985" t="s">
        <v>377</v>
      </c>
      <c r="F985">
        <v>3.0599999999999998E-3</v>
      </c>
      <c r="G985">
        <v>1.26824</v>
      </c>
      <c r="H985">
        <f>$A$6</f>
        <v>100</v>
      </c>
      <c r="I985">
        <v>-1</v>
      </c>
      <c r="J985" t="s">
        <v>461</v>
      </c>
      <c r="K985" s="17">
        <f t="shared" si="95"/>
        <v>-6669914082.9552565</v>
      </c>
      <c r="L985" t="s">
        <v>537</v>
      </c>
    </row>
    <row r="986" spans="3:12" x14ac:dyDescent="0.2">
      <c r="C986" t="s">
        <v>276</v>
      </c>
      <c r="D986" s="88">
        <v>1.26824</v>
      </c>
      <c r="E986" t="s">
        <v>377</v>
      </c>
      <c r="F986">
        <v>3.0599999999999998E-3</v>
      </c>
      <c r="G986">
        <v>1.26824</v>
      </c>
      <c r="H986">
        <f>$A$6</f>
        <v>100</v>
      </c>
      <c r="I986">
        <v>-1</v>
      </c>
      <c r="J986" t="s">
        <v>461</v>
      </c>
      <c r="K986" s="17">
        <f t="shared" si="95"/>
        <v>-6669914082.9552565</v>
      </c>
      <c r="L986" t="s">
        <v>537</v>
      </c>
    </row>
    <row r="987" spans="3:12" x14ac:dyDescent="0.2">
      <c r="C987" t="s">
        <v>277</v>
      </c>
      <c r="D987" s="88">
        <v>1.2700000000000001E-3</v>
      </c>
      <c r="E987" t="s">
        <v>380</v>
      </c>
      <c r="F987">
        <v>3.1E-4</v>
      </c>
      <c r="G987">
        <v>1.2700000000000001E-3</v>
      </c>
      <c r="H987">
        <f>$A$6</f>
        <v>100</v>
      </c>
      <c r="I987">
        <v>-1</v>
      </c>
      <c r="J987" t="s">
        <v>464</v>
      </c>
      <c r="K987" s="17">
        <f t="shared" si="95"/>
        <v>-8546774.9465343449</v>
      </c>
      <c r="L987" t="s">
        <v>537</v>
      </c>
    </row>
    <row r="988" spans="3:12" x14ac:dyDescent="0.2">
      <c r="C988" t="s">
        <v>278</v>
      </c>
      <c r="D988" s="88">
        <v>1.26824</v>
      </c>
      <c r="E988" t="s">
        <v>381</v>
      </c>
      <c r="F988">
        <v>3.0602</v>
      </c>
      <c r="G988">
        <v>1.26824</v>
      </c>
      <c r="H988">
        <f>$A$6</f>
        <v>100</v>
      </c>
      <c r="I988">
        <v>-1</v>
      </c>
      <c r="J988" t="s">
        <v>465</v>
      </c>
      <c r="K988" s="17">
        <f t="shared" ref="K988:K1019" si="96">((SUM(B$924,B$926,B$930,B$937,B$938)*D988)+(SUM(B$925,B$927,B$928,B$929,B$932,B$933,B$934,B$935,B$936)*F988)+(SUM(B$931,B$939)*G988))*H988*I988</f>
        <v>-25271621245.026752</v>
      </c>
      <c r="L988" t="s">
        <v>537</v>
      </c>
    </row>
    <row r="989" spans="3:12" x14ac:dyDescent="0.2">
      <c r="C989" t="s">
        <v>330</v>
      </c>
      <c r="D989" s="88">
        <v>1.2999999999999999E-4</v>
      </c>
      <c r="E989" t="s">
        <v>382</v>
      </c>
      <c r="F989">
        <v>3.1E-4</v>
      </c>
      <c r="G989">
        <v>1.2999999999999999E-4</v>
      </c>
      <c r="H989">
        <f>$A$7</f>
        <v>10</v>
      </c>
      <c r="I989">
        <v>-1</v>
      </c>
      <c r="J989" t="s">
        <v>466</v>
      </c>
      <c r="K989" s="17">
        <f t="shared" si="96"/>
        <v>-256803.56937700626</v>
      </c>
      <c r="L989" t="s">
        <v>537</v>
      </c>
    </row>
    <row r="990" spans="3:12" x14ac:dyDescent="0.2">
      <c r="C990" t="s">
        <v>279</v>
      </c>
      <c r="D990" s="88">
        <v>1.2999999999999999E-4</v>
      </c>
      <c r="E990" t="s">
        <v>382</v>
      </c>
      <c r="F990">
        <v>3.1E-4</v>
      </c>
      <c r="G990">
        <v>1.2999999999999999E-4</v>
      </c>
      <c r="H990">
        <f>$A$7</f>
        <v>10</v>
      </c>
      <c r="I990">
        <v>-1</v>
      </c>
      <c r="J990" t="s">
        <v>466</v>
      </c>
      <c r="K990" s="17">
        <f t="shared" si="96"/>
        <v>-256803.56937700626</v>
      </c>
      <c r="L990" t="s">
        <v>537</v>
      </c>
    </row>
    <row r="991" spans="3:12" x14ac:dyDescent="0.2">
      <c r="C991" t="s">
        <v>280</v>
      </c>
      <c r="D991" s="88">
        <v>1.2999999999999999E-4</v>
      </c>
      <c r="E991" t="s">
        <v>382</v>
      </c>
      <c r="F991">
        <v>3.0599999999999998E-3</v>
      </c>
      <c r="G991">
        <v>1.2999999999999999E-4</v>
      </c>
      <c r="H991">
        <v>0</v>
      </c>
      <c r="I991">
        <v>0</v>
      </c>
      <c r="J991" t="s">
        <v>466</v>
      </c>
      <c r="K991" s="17">
        <f t="shared" si="96"/>
        <v>0</v>
      </c>
      <c r="L991" t="s">
        <v>537</v>
      </c>
    </row>
    <row r="992" spans="3:12" x14ac:dyDescent="0.2">
      <c r="C992" t="s">
        <v>331</v>
      </c>
      <c r="D992" s="88">
        <v>1.2700000000000001E-3</v>
      </c>
      <c r="E992" t="s">
        <v>383</v>
      </c>
      <c r="F992">
        <v>3.0599999999999998E-3</v>
      </c>
      <c r="G992">
        <v>1.2700000000000001E-3</v>
      </c>
      <c r="H992">
        <v>0</v>
      </c>
      <c r="I992">
        <v>0</v>
      </c>
      <c r="J992" t="s">
        <v>467</v>
      </c>
      <c r="K992" s="17">
        <f t="shared" si="96"/>
        <v>0</v>
      </c>
      <c r="L992" t="s">
        <v>537</v>
      </c>
    </row>
    <row r="993" spans="3:12" x14ac:dyDescent="0.2">
      <c r="C993" t="s">
        <v>281</v>
      </c>
      <c r="D993" s="88">
        <v>1.2999999999999999E-4</v>
      </c>
      <c r="E993" t="s">
        <v>384</v>
      </c>
      <c r="F993">
        <v>3.1E-4</v>
      </c>
      <c r="G993">
        <v>1.2999999999999999E-4</v>
      </c>
      <c r="H993">
        <f>$A$7</f>
        <v>10</v>
      </c>
      <c r="I993">
        <v>-1</v>
      </c>
      <c r="J993" t="s">
        <v>468</v>
      </c>
      <c r="K993" s="17">
        <f t="shared" si="96"/>
        <v>-256803.56937700626</v>
      </c>
      <c r="L993" t="s">
        <v>537</v>
      </c>
    </row>
    <row r="994" spans="3:12" x14ac:dyDescent="0.2">
      <c r="C994" t="s">
        <v>282</v>
      </c>
      <c r="D994" s="88">
        <v>0.12681999999999999</v>
      </c>
      <c r="E994" t="s">
        <v>385</v>
      </c>
      <c r="F994">
        <v>0.30602000000000001</v>
      </c>
      <c r="G994">
        <v>0.12681999999999999</v>
      </c>
      <c r="H994">
        <v>0</v>
      </c>
      <c r="I994">
        <v>0</v>
      </c>
      <c r="J994" t="s">
        <v>469</v>
      </c>
      <c r="K994" s="17">
        <f t="shared" si="96"/>
        <v>0</v>
      </c>
      <c r="L994" t="s">
        <v>537</v>
      </c>
    </row>
    <row r="995" spans="3:12" x14ac:dyDescent="0.2">
      <c r="C995" t="s">
        <v>332</v>
      </c>
      <c r="D995" s="88">
        <v>1.268E-2</v>
      </c>
      <c r="E995" t="s">
        <v>386</v>
      </c>
      <c r="F995">
        <v>3.0599999999999998E-3</v>
      </c>
      <c r="G995">
        <v>1.268E-2</v>
      </c>
      <c r="H995">
        <v>0</v>
      </c>
      <c r="I995">
        <v>0</v>
      </c>
      <c r="J995" t="s">
        <v>470</v>
      </c>
      <c r="K995" s="17">
        <f t="shared" si="96"/>
        <v>0</v>
      </c>
      <c r="L995" t="s">
        <v>537</v>
      </c>
    </row>
    <row r="996" spans="3:12" x14ac:dyDescent="0.2">
      <c r="C996" t="s">
        <v>283</v>
      </c>
      <c r="D996" s="88">
        <v>1.2700000000000001E-3</v>
      </c>
      <c r="E996" t="s">
        <v>387</v>
      </c>
      <c r="F996">
        <v>3.0599999999999998E-3</v>
      </c>
      <c r="G996">
        <v>1.2700000000000001E-3</v>
      </c>
      <c r="H996">
        <f>$A$7</f>
        <v>10</v>
      </c>
      <c r="I996">
        <v>-1</v>
      </c>
      <c r="J996" t="s">
        <v>471</v>
      </c>
      <c r="K996" s="17">
        <f t="shared" si="96"/>
        <v>-2527963.4644060987</v>
      </c>
      <c r="L996" t="s">
        <v>537</v>
      </c>
    </row>
    <row r="997" spans="3:12" x14ac:dyDescent="0.2">
      <c r="C997" t="s">
        <v>284</v>
      </c>
      <c r="D997" s="88">
        <v>1.2999999999999999E-4</v>
      </c>
      <c r="E997" t="s">
        <v>388</v>
      </c>
      <c r="F997">
        <v>3.0602</v>
      </c>
      <c r="G997">
        <v>1.2999999999999999E-4</v>
      </c>
      <c r="H997">
        <f>$A$7</f>
        <v>10</v>
      </c>
      <c r="I997">
        <v>-1</v>
      </c>
      <c r="J997" t="s">
        <v>472</v>
      </c>
      <c r="K997" s="17">
        <f t="shared" si="96"/>
        <v>-1862100805.746279</v>
      </c>
      <c r="L997" t="s">
        <v>537</v>
      </c>
    </row>
    <row r="998" spans="3:12" x14ac:dyDescent="0.2">
      <c r="C998" t="s">
        <v>285</v>
      </c>
      <c r="D998" s="88">
        <v>1.2700000000000001E-3</v>
      </c>
      <c r="E998" t="s">
        <v>389</v>
      </c>
      <c r="F998">
        <v>3.0599999999999998E-3</v>
      </c>
      <c r="G998">
        <v>1.2700000000000001E-3</v>
      </c>
      <c r="H998">
        <f>$A$7</f>
        <v>10</v>
      </c>
      <c r="I998">
        <v>-1</v>
      </c>
      <c r="J998" t="s">
        <v>473</v>
      </c>
      <c r="K998" s="17">
        <f t="shared" si="96"/>
        <v>-2527963.4644060987</v>
      </c>
      <c r="L998" t="s">
        <v>537</v>
      </c>
    </row>
    <row r="999" spans="3:12" x14ac:dyDescent="0.2">
      <c r="C999" t="s">
        <v>286</v>
      </c>
      <c r="D999" s="88">
        <v>1.268E-2</v>
      </c>
      <c r="E999" t="s">
        <v>390</v>
      </c>
      <c r="F999">
        <v>3.0599999999999998E-3</v>
      </c>
      <c r="G999">
        <v>1.268E-2</v>
      </c>
      <c r="H999">
        <f>$A$6</f>
        <v>100</v>
      </c>
      <c r="I999">
        <v>-1</v>
      </c>
      <c r="J999" t="s">
        <v>474</v>
      </c>
      <c r="K999" s="17">
        <f t="shared" si="96"/>
        <v>-85119472.252868414</v>
      </c>
      <c r="L999" t="s">
        <v>537</v>
      </c>
    </row>
    <row r="1000" spans="3:12" x14ac:dyDescent="0.2">
      <c r="C1000" t="s">
        <v>287</v>
      </c>
      <c r="D1000" s="88">
        <v>1.2700000000000001E-3</v>
      </c>
      <c r="E1000" t="s">
        <v>391</v>
      </c>
      <c r="F1000">
        <v>3.0599999999999998E-3</v>
      </c>
      <c r="G1000">
        <v>1.2700000000000001E-3</v>
      </c>
      <c r="H1000">
        <f>$A$6</f>
        <v>100</v>
      </c>
      <c r="I1000">
        <v>-1</v>
      </c>
      <c r="J1000" t="s">
        <v>475</v>
      </c>
      <c r="K1000" s="17">
        <f t="shared" si="96"/>
        <v>-25279634.644060988</v>
      </c>
      <c r="L1000" t="s">
        <v>537</v>
      </c>
    </row>
    <row r="1001" spans="3:12" x14ac:dyDescent="0.2">
      <c r="C1001" t="s">
        <v>288</v>
      </c>
      <c r="D1001" s="88">
        <v>1.2700000000000001E-3</v>
      </c>
      <c r="E1001" t="s">
        <v>392</v>
      </c>
      <c r="F1001">
        <v>3.0599999999999998E-3</v>
      </c>
      <c r="G1001">
        <v>1.2700000000000001E-3</v>
      </c>
      <c r="H1001">
        <f>$A$6</f>
        <v>100</v>
      </c>
      <c r="I1001">
        <v>-1</v>
      </c>
      <c r="J1001" t="s">
        <v>476</v>
      </c>
      <c r="K1001" s="17">
        <f t="shared" si="96"/>
        <v>-25279634.644060988</v>
      </c>
      <c r="L1001" t="s">
        <v>537</v>
      </c>
    </row>
    <row r="1002" spans="3:12" x14ac:dyDescent="0.2">
      <c r="C1002" t="s">
        <v>333</v>
      </c>
      <c r="D1002" s="88">
        <v>1.2700000000000001E-3</v>
      </c>
      <c r="E1002" t="s">
        <v>340</v>
      </c>
      <c r="F1002">
        <v>3.0599999999999998E-3</v>
      </c>
      <c r="G1002">
        <v>1.2700000000000001E-3</v>
      </c>
      <c r="H1002">
        <f>$A$7</f>
        <v>10</v>
      </c>
      <c r="I1002">
        <v>-1</v>
      </c>
      <c r="J1002" t="s">
        <v>424</v>
      </c>
      <c r="K1002" s="17">
        <f t="shared" si="96"/>
        <v>-2527963.4644060987</v>
      </c>
      <c r="L1002" t="s">
        <v>537</v>
      </c>
    </row>
    <row r="1003" spans="3:12" x14ac:dyDescent="0.2">
      <c r="C1003" t="s">
        <v>334</v>
      </c>
      <c r="D1003" s="88">
        <v>1.268E-2</v>
      </c>
      <c r="E1003" t="s">
        <v>393</v>
      </c>
      <c r="F1003">
        <v>3.0599999999999999E-2</v>
      </c>
      <c r="G1003">
        <v>1.268E-2</v>
      </c>
      <c r="H1003">
        <v>0</v>
      </c>
      <c r="I1003">
        <v>0</v>
      </c>
      <c r="J1003" t="s">
        <v>477</v>
      </c>
      <c r="K1003" s="17">
        <f t="shared" si="96"/>
        <v>0</v>
      </c>
      <c r="L1003" t="s">
        <v>537</v>
      </c>
    </row>
    <row r="1004" spans="3:12" x14ac:dyDescent="0.2">
      <c r="C1004" t="s">
        <v>335</v>
      </c>
      <c r="D1004" s="88">
        <v>1.2700000000000001E-3</v>
      </c>
      <c r="E1004" t="s">
        <v>394</v>
      </c>
      <c r="F1004">
        <v>3.0599999999999998E-3</v>
      </c>
      <c r="G1004">
        <v>1.2700000000000001E-3</v>
      </c>
      <c r="H1004">
        <f>$A$7</f>
        <v>10</v>
      </c>
      <c r="I1004">
        <v>-1</v>
      </c>
      <c r="J1004" t="s">
        <v>478</v>
      </c>
      <c r="K1004" s="17">
        <f t="shared" si="96"/>
        <v>-2527963.4644060987</v>
      </c>
      <c r="L1004" t="s">
        <v>537</v>
      </c>
    </row>
    <row r="1005" spans="3:12" x14ac:dyDescent="0.2">
      <c r="C1005" t="s">
        <v>289</v>
      </c>
      <c r="D1005" s="88">
        <v>1.2700000000000001E-3</v>
      </c>
      <c r="E1005" t="s">
        <v>395</v>
      </c>
      <c r="F1005">
        <v>0.30602000000000001</v>
      </c>
      <c r="G1005">
        <v>1.2700000000000001E-3</v>
      </c>
      <c r="H1005">
        <f>$A$7</f>
        <v>10</v>
      </c>
      <c r="I1005">
        <v>-1</v>
      </c>
      <c r="J1005" t="s">
        <v>479</v>
      </c>
      <c r="K1005" s="17">
        <f t="shared" si="96"/>
        <v>-186869315.24486691</v>
      </c>
      <c r="L1005" t="s">
        <v>537</v>
      </c>
    </row>
    <row r="1006" spans="3:12" x14ac:dyDescent="0.2">
      <c r="C1006" t="s">
        <v>290</v>
      </c>
      <c r="D1006" s="88">
        <v>1.2999999999999999E-4</v>
      </c>
      <c r="E1006" t="s">
        <v>396</v>
      </c>
      <c r="F1006">
        <v>3.1E-4</v>
      </c>
      <c r="G1006">
        <v>1.2999999999999999E-4</v>
      </c>
      <c r="H1006">
        <f>$A$7</f>
        <v>10</v>
      </c>
      <c r="I1006">
        <v>-1</v>
      </c>
      <c r="J1006" t="s">
        <v>480</v>
      </c>
      <c r="K1006" s="17">
        <f t="shared" si="96"/>
        <v>-256803.56937700626</v>
      </c>
      <c r="L1006" t="s">
        <v>537</v>
      </c>
    </row>
    <row r="1007" spans="3:12" x14ac:dyDescent="0.2">
      <c r="C1007" t="s">
        <v>291</v>
      </c>
      <c r="D1007" s="88">
        <v>1.2999999999999999E-4</v>
      </c>
      <c r="E1007" t="s">
        <v>397</v>
      </c>
      <c r="F1007">
        <v>3.1E-4</v>
      </c>
      <c r="G1007">
        <v>1.2999999999999999E-4</v>
      </c>
      <c r="H1007">
        <f>$A$8</f>
        <v>1</v>
      </c>
      <c r="I1007">
        <v>-1</v>
      </c>
      <c r="J1007" t="s">
        <v>481</v>
      </c>
      <c r="K1007" s="17">
        <f t="shared" si="96"/>
        <v>-25680.356937700628</v>
      </c>
      <c r="L1007" t="s">
        <v>537</v>
      </c>
    </row>
    <row r="1008" spans="3:12" x14ac:dyDescent="0.2">
      <c r="C1008" t="s">
        <v>292</v>
      </c>
      <c r="D1008" s="88">
        <v>1.268E-2</v>
      </c>
      <c r="E1008" t="s">
        <v>360</v>
      </c>
      <c r="F1008">
        <v>3.0599999999999998E-3</v>
      </c>
      <c r="G1008">
        <v>1.268E-2</v>
      </c>
      <c r="H1008">
        <f>$A$6</f>
        <v>100</v>
      </c>
      <c r="I1008">
        <v>-1</v>
      </c>
      <c r="J1008" t="s">
        <v>444</v>
      </c>
      <c r="K1008" s="17">
        <f t="shared" si="96"/>
        <v>-85119472.252868414</v>
      </c>
      <c r="L1008" t="s">
        <v>537</v>
      </c>
    </row>
    <row r="1009" spans="3:12" x14ac:dyDescent="0.2">
      <c r="C1009" t="s">
        <v>293</v>
      </c>
      <c r="D1009" s="88">
        <v>1.26824</v>
      </c>
      <c r="E1009" t="s">
        <v>398</v>
      </c>
      <c r="F1009">
        <v>3.0599999999999998E-3</v>
      </c>
      <c r="G1009">
        <v>1.26824</v>
      </c>
      <c r="H1009">
        <f>$A$7</f>
        <v>10</v>
      </c>
      <c r="I1009">
        <v>-1</v>
      </c>
      <c r="J1009" t="s">
        <v>482</v>
      </c>
      <c r="K1009" s="17">
        <f t="shared" si="96"/>
        <v>-666991408.29552555</v>
      </c>
      <c r="L1009" t="s">
        <v>537</v>
      </c>
    </row>
    <row r="1010" spans="3:12" x14ac:dyDescent="0.2">
      <c r="C1010" t="s">
        <v>294</v>
      </c>
      <c r="D1010" s="88">
        <v>1.2999999999999999E-4</v>
      </c>
      <c r="E1010" t="s">
        <v>399</v>
      </c>
      <c r="F1010">
        <v>3.1E-4</v>
      </c>
      <c r="G1010">
        <v>1.2999999999999999E-4</v>
      </c>
      <c r="H1010">
        <f>$A$8</f>
        <v>1</v>
      </c>
      <c r="I1010">
        <v>-1</v>
      </c>
      <c r="J1010" t="s">
        <v>483</v>
      </c>
      <c r="K1010" s="17">
        <f t="shared" si="96"/>
        <v>-25680.356937700628</v>
      </c>
      <c r="L1010" t="s">
        <v>537</v>
      </c>
    </row>
    <row r="1011" spans="3:12" x14ac:dyDescent="0.2">
      <c r="C1011" t="s">
        <v>336</v>
      </c>
      <c r="D1011" s="88">
        <v>1.2700000000000001E-3</v>
      </c>
      <c r="E1011" t="s">
        <v>400</v>
      </c>
      <c r="F1011">
        <v>0</v>
      </c>
      <c r="G1011">
        <v>1.2700000000000001E-3</v>
      </c>
      <c r="H1011">
        <f>$A$6</f>
        <v>100</v>
      </c>
      <c r="I1011">
        <v>-1</v>
      </c>
      <c r="J1011" t="s">
        <v>484</v>
      </c>
      <c r="K1011" s="17">
        <f t="shared" si="96"/>
        <v>-6660525.3079040693</v>
      </c>
      <c r="L1011" t="s">
        <v>537</v>
      </c>
    </row>
    <row r="1012" spans="3:12" x14ac:dyDescent="0.2">
      <c r="C1012" t="s">
        <v>295</v>
      </c>
      <c r="D1012" s="88">
        <v>1.2999999999999999E-4</v>
      </c>
      <c r="E1012" t="s">
        <v>401</v>
      </c>
      <c r="F1012">
        <v>3.1E-4</v>
      </c>
      <c r="G1012">
        <v>1.2999999999999999E-4</v>
      </c>
      <c r="H1012">
        <f>$A$6</f>
        <v>100</v>
      </c>
      <c r="I1012">
        <v>-1</v>
      </c>
      <c r="J1012" t="s">
        <v>485</v>
      </c>
      <c r="K1012" s="17">
        <f t="shared" si="96"/>
        <v>-2568035.6937700626</v>
      </c>
      <c r="L1012" t="s">
        <v>537</v>
      </c>
    </row>
    <row r="1013" spans="3:12" x14ac:dyDescent="0.2">
      <c r="C1013" t="s">
        <v>296</v>
      </c>
      <c r="D1013" s="88">
        <v>1.26824</v>
      </c>
      <c r="E1013" t="s">
        <v>402</v>
      </c>
      <c r="F1013">
        <v>3.0599999999999998E-3</v>
      </c>
      <c r="G1013">
        <v>1.26824</v>
      </c>
      <c r="H1013">
        <f>$A$7</f>
        <v>10</v>
      </c>
      <c r="I1013">
        <v>-1</v>
      </c>
      <c r="J1013" t="s">
        <v>486</v>
      </c>
      <c r="K1013" s="17">
        <f t="shared" si="96"/>
        <v>-666991408.29552555</v>
      </c>
      <c r="L1013" t="s">
        <v>537</v>
      </c>
    </row>
    <row r="1014" spans="3:12" x14ac:dyDescent="0.2">
      <c r="C1014" t="s">
        <v>297</v>
      </c>
      <c r="D1014" s="88">
        <v>1.2999999999999999E-4</v>
      </c>
      <c r="E1014" t="s">
        <v>403</v>
      </c>
      <c r="F1014">
        <v>3.0599999999999998E-3</v>
      </c>
      <c r="G1014">
        <v>1.2999999999999999E-4</v>
      </c>
      <c r="H1014">
        <f>$A$7</f>
        <v>10</v>
      </c>
      <c r="I1014">
        <v>-1</v>
      </c>
      <c r="J1014" t="s">
        <v>487</v>
      </c>
      <c r="K1014" s="17">
        <f t="shared" si="96"/>
        <v>-1930089.5391296707</v>
      </c>
      <c r="L1014" t="s">
        <v>537</v>
      </c>
    </row>
    <row r="1015" spans="3:12" x14ac:dyDescent="0.2">
      <c r="C1015" t="s">
        <v>298</v>
      </c>
      <c r="D1015" s="88">
        <v>1.2700000000000001E-3</v>
      </c>
      <c r="E1015" t="s">
        <v>394</v>
      </c>
      <c r="F1015">
        <v>3.0599999999999998E-3</v>
      </c>
      <c r="G1015">
        <v>1.2999999999999999E-4</v>
      </c>
      <c r="H1015">
        <f>$A$7</f>
        <v>10</v>
      </c>
      <c r="I1015">
        <v>-1</v>
      </c>
      <c r="J1015" t="s">
        <v>478</v>
      </c>
      <c r="K1015" s="17">
        <f t="shared" si="96"/>
        <v>-1974506.4806216664</v>
      </c>
      <c r="L1015" t="s">
        <v>537</v>
      </c>
    </row>
    <row r="1016" spans="3:12" x14ac:dyDescent="0.2">
      <c r="C1016" t="s">
        <v>299</v>
      </c>
      <c r="D1016" s="88">
        <v>1.2999999999999999E-4</v>
      </c>
      <c r="E1016" t="s">
        <v>404</v>
      </c>
      <c r="F1016">
        <v>0.30602000000000001</v>
      </c>
      <c r="G1016">
        <v>1.2999999999999999E-4</v>
      </c>
      <c r="H1016">
        <f>$A$7</f>
        <v>10</v>
      </c>
      <c r="I1016">
        <v>-1</v>
      </c>
      <c r="J1016" t="s">
        <v>488</v>
      </c>
      <c r="K1016" s="17">
        <f t="shared" si="96"/>
        <v>-186271441.31959048</v>
      </c>
      <c r="L1016" t="s">
        <v>537</v>
      </c>
    </row>
    <row r="1017" spans="3:12" x14ac:dyDescent="0.2">
      <c r="C1017" t="s">
        <v>300</v>
      </c>
      <c r="D1017" s="88">
        <v>0.12681999999999999</v>
      </c>
      <c r="E1017" t="s">
        <v>405</v>
      </c>
      <c r="F1017">
        <v>3.0599999999999998E-3</v>
      </c>
      <c r="G1017">
        <v>0.12681999999999999</v>
      </c>
      <c r="H1017">
        <f>$A$7</f>
        <v>10</v>
      </c>
      <c r="I1017">
        <v>-1</v>
      </c>
      <c r="J1017" t="s">
        <v>489</v>
      </c>
      <c r="K1017" s="17">
        <f t="shared" si="96"/>
        <v>-68372762.866560087</v>
      </c>
      <c r="L1017" t="s">
        <v>537</v>
      </c>
    </row>
    <row r="1018" spans="3:12" x14ac:dyDescent="0.2">
      <c r="C1018" t="s">
        <v>301</v>
      </c>
      <c r="D1018" s="88">
        <v>1.2700000000000001E-3</v>
      </c>
      <c r="E1018" t="s">
        <v>406</v>
      </c>
      <c r="F1018">
        <v>0.30602000000000001</v>
      </c>
      <c r="G1018">
        <v>1.2700000000000001E-3</v>
      </c>
      <c r="H1018">
        <f>$A$6</f>
        <v>100</v>
      </c>
      <c r="I1018">
        <v>-1</v>
      </c>
      <c r="J1018" t="s">
        <v>490</v>
      </c>
      <c r="K1018" s="17">
        <f t="shared" si="96"/>
        <v>-1868693152.448669</v>
      </c>
      <c r="L1018" t="s">
        <v>537</v>
      </c>
    </row>
    <row r="1019" spans="3:12" x14ac:dyDescent="0.2">
      <c r="C1019" t="s">
        <v>302</v>
      </c>
      <c r="D1019" s="88">
        <v>1.2700000000000001E-3</v>
      </c>
      <c r="E1019" t="s">
        <v>407</v>
      </c>
      <c r="F1019">
        <v>3.0599999999999998E-3</v>
      </c>
      <c r="G1019">
        <v>1.2700000000000001E-3</v>
      </c>
      <c r="H1019">
        <f>$A$6</f>
        <v>100</v>
      </c>
      <c r="I1019">
        <v>-1</v>
      </c>
      <c r="J1019" t="s">
        <v>491</v>
      </c>
      <c r="K1019" s="17">
        <f t="shared" si="96"/>
        <v>-25279634.644060988</v>
      </c>
      <c r="L1019" t="s">
        <v>537</v>
      </c>
    </row>
    <row r="1020" spans="3:12" x14ac:dyDescent="0.2">
      <c r="C1020" t="s">
        <v>303</v>
      </c>
      <c r="D1020" s="88">
        <v>1.2700000000000001E-3</v>
      </c>
      <c r="E1020" t="s">
        <v>408</v>
      </c>
      <c r="F1020">
        <v>3.0599999999999998E-3</v>
      </c>
      <c r="G1020">
        <v>1.2700000000000001E-3</v>
      </c>
      <c r="H1020">
        <f>$A$7</f>
        <v>10</v>
      </c>
      <c r="I1020">
        <v>-1</v>
      </c>
      <c r="J1020" t="s">
        <v>492</v>
      </c>
      <c r="K1020" s="17">
        <f t="shared" ref="K1020:K1029" si="97">((SUM(B$924,B$926,B$930,B$937,B$938)*D1020)+(SUM(B$925,B$927,B$928,B$929,B$932,B$933,B$934,B$935,B$936)*F1020)+(SUM(B$931,B$939)*G1020))*H1020*I1020</f>
        <v>-2527963.4644060987</v>
      </c>
      <c r="L1020" t="s">
        <v>537</v>
      </c>
    </row>
    <row r="1021" spans="3:12" x14ac:dyDescent="0.2">
      <c r="C1021" t="s">
        <v>304</v>
      </c>
      <c r="D1021" s="88">
        <v>1.26824</v>
      </c>
      <c r="E1021" t="s">
        <v>409</v>
      </c>
      <c r="F1021">
        <v>3.0602</v>
      </c>
      <c r="G1021">
        <v>1.26824</v>
      </c>
      <c r="H1021">
        <f>$A$6</f>
        <v>100</v>
      </c>
      <c r="I1021">
        <v>-1</v>
      </c>
      <c r="J1021" t="s">
        <v>493</v>
      </c>
      <c r="K1021" s="17">
        <f t="shared" si="97"/>
        <v>-25271621245.026752</v>
      </c>
      <c r="L1021" t="s">
        <v>537</v>
      </c>
    </row>
    <row r="1022" spans="3:12" x14ac:dyDescent="0.2">
      <c r="C1022" t="s">
        <v>305</v>
      </c>
      <c r="D1022" s="88">
        <v>1.2700000000000001E-3</v>
      </c>
      <c r="E1022" t="s">
        <v>410</v>
      </c>
      <c r="F1022">
        <v>3.0599999999999998E-3</v>
      </c>
      <c r="G1022">
        <v>1.2700000000000001E-3</v>
      </c>
      <c r="H1022">
        <f>$A$7</f>
        <v>10</v>
      </c>
      <c r="I1022">
        <v>-1</v>
      </c>
      <c r="J1022" t="s">
        <v>494</v>
      </c>
      <c r="K1022" s="17">
        <f t="shared" si="97"/>
        <v>-2527963.4644060987</v>
      </c>
      <c r="L1022" t="s">
        <v>537</v>
      </c>
    </row>
    <row r="1023" spans="3:12" x14ac:dyDescent="0.2">
      <c r="C1023" t="s">
        <v>306</v>
      </c>
      <c r="D1023" s="88">
        <v>1.2700000000000001E-3</v>
      </c>
      <c r="E1023" t="s">
        <v>411</v>
      </c>
      <c r="F1023">
        <v>3.0599999999999998E-3</v>
      </c>
      <c r="G1023">
        <v>1.2700000000000001E-3</v>
      </c>
      <c r="H1023">
        <f>$A$8</f>
        <v>1</v>
      </c>
      <c r="I1023">
        <v>-1</v>
      </c>
      <c r="J1023" t="s">
        <v>495</v>
      </c>
      <c r="K1023" s="17">
        <f t="shared" si="97"/>
        <v>-252796.34644060986</v>
      </c>
      <c r="L1023" t="s">
        <v>537</v>
      </c>
    </row>
    <row r="1024" spans="3:12" x14ac:dyDescent="0.2">
      <c r="C1024" t="s">
        <v>307</v>
      </c>
      <c r="D1024" s="88">
        <v>1.2700000000000001E-3</v>
      </c>
      <c r="E1024" t="s">
        <v>411</v>
      </c>
      <c r="F1024">
        <v>3.0599999999999998E-3</v>
      </c>
      <c r="G1024">
        <v>1.2700000000000001E-3</v>
      </c>
      <c r="H1024">
        <f>$A$8</f>
        <v>1</v>
      </c>
      <c r="I1024">
        <v>-1</v>
      </c>
      <c r="J1024" t="s">
        <v>495</v>
      </c>
      <c r="K1024" s="17">
        <f t="shared" si="97"/>
        <v>-252796.34644060986</v>
      </c>
      <c r="L1024" t="s">
        <v>537</v>
      </c>
    </row>
    <row r="1025" spans="1:16" x14ac:dyDescent="0.2">
      <c r="C1025" t="s">
        <v>337</v>
      </c>
      <c r="D1025" s="88">
        <v>0.12681999999999999</v>
      </c>
      <c r="E1025" t="s">
        <v>412</v>
      </c>
      <c r="F1025">
        <v>3.0599999999999998E-3</v>
      </c>
      <c r="G1025">
        <v>0.12681999999999999</v>
      </c>
      <c r="H1025">
        <v>0</v>
      </c>
      <c r="I1025">
        <v>0</v>
      </c>
      <c r="J1025" t="s">
        <v>496</v>
      </c>
      <c r="K1025" s="17">
        <f t="shared" si="97"/>
        <v>0</v>
      </c>
      <c r="L1025" t="s">
        <v>537</v>
      </c>
    </row>
    <row r="1026" spans="1:16" x14ac:dyDescent="0.2">
      <c r="C1026" t="s">
        <v>308</v>
      </c>
      <c r="D1026" s="88">
        <v>1.2700000000000001E-3</v>
      </c>
      <c r="E1026" t="s">
        <v>413</v>
      </c>
      <c r="F1026">
        <v>3.0599999999999998E-3</v>
      </c>
      <c r="G1026">
        <v>1.2700000000000001E-3</v>
      </c>
      <c r="H1026">
        <f>$A$7</f>
        <v>10</v>
      </c>
      <c r="I1026">
        <v>-1</v>
      </c>
      <c r="J1026" t="s">
        <v>497</v>
      </c>
      <c r="K1026" s="17">
        <f t="shared" si="97"/>
        <v>-2527963.4644060987</v>
      </c>
      <c r="L1026" t="s">
        <v>537</v>
      </c>
    </row>
    <row r="1027" spans="1:16" x14ac:dyDescent="0.2">
      <c r="C1027" t="s">
        <v>309</v>
      </c>
      <c r="D1027" s="88">
        <v>1.2700000000000001E-3</v>
      </c>
      <c r="E1027" t="s">
        <v>413</v>
      </c>
      <c r="F1027">
        <v>3.0599999999999998E-3</v>
      </c>
      <c r="G1027">
        <v>1.2700000000000001E-3</v>
      </c>
      <c r="H1027">
        <f>$A$7</f>
        <v>10</v>
      </c>
      <c r="I1027">
        <v>-1</v>
      </c>
      <c r="J1027" t="s">
        <v>497</v>
      </c>
      <c r="K1027" s="17">
        <f t="shared" si="97"/>
        <v>-2527963.4644060987</v>
      </c>
      <c r="L1027" t="s">
        <v>537</v>
      </c>
    </row>
    <row r="1028" spans="1:16" x14ac:dyDescent="0.2">
      <c r="C1028" t="s">
        <v>310</v>
      </c>
      <c r="D1028" s="88">
        <v>1.2700000000000001E-3</v>
      </c>
      <c r="E1028" t="s">
        <v>413</v>
      </c>
      <c r="F1028">
        <v>3.0599999999999998E-3</v>
      </c>
      <c r="G1028">
        <v>1.2700000000000001E-3</v>
      </c>
      <c r="H1028">
        <v>0</v>
      </c>
      <c r="I1028">
        <v>0</v>
      </c>
      <c r="J1028" t="s">
        <v>497</v>
      </c>
      <c r="K1028" s="17">
        <f t="shared" si="97"/>
        <v>0</v>
      </c>
      <c r="L1028" t="s">
        <v>537</v>
      </c>
    </row>
    <row r="1029" spans="1:16" x14ac:dyDescent="0.2">
      <c r="C1029" t="s">
        <v>311</v>
      </c>
      <c r="D1029" s="88">
        <v>1.2700000000000001E-3</v>
      </c>
      <c r="E1029" t="s">
        <v>414</v>
      </c>
      <c r="F1029">
        <v>3.1E-4</v>
      </c>
      <c r="G1029">
        <v>1.2700000000000001E-3</v>
      </c>
      <c r="H1029">
        <f>$A$7</f>
        <v>10</v>
      </c>
      <c r="I1029">
        <v>-1</v>
      </c>
      <c r="J1029" t="s">
        <v>498</v>
      </c>
      <c r="K1029" s="17">
        <f t="shared" si="97"/>
        <v>-854677.49465343449</v>
      </c>
      <c r="L1029" t="s">
        <v>537</v>
      </c>
    </row>
    <row r="1032" spans="1:16" ht="22" customHeight="1" x14ac:dyDescent="0.2">
      <c r="A1032" s="400" t="s">
        <v>69</v>
      </c>
      <c r="B1032" s="401"/>
      <c r="C1032" s="401"/>
      <c r="D1032" s="401"/>
      <c r="E1032" s="401"/>
      <c r="F1032" s="401"/>
      <c r="G1032" s="401"/>
      <c r="H1032" s="401"/>
      <c r="I1032" s="401"/>
      <c r="J1032" s="401"/>
      <c r="K1032" s="401"/>
      <c r="L1032" s="401"/>
      <c r="M1032" s="401"/>
      <c r="N1032" s="401"/>
      <c r="O1032" s="401"/>
      <c r="P1032" s="401"/>
    </row>
    <row r="1033" spans="1:16" ht="15" customHeight="1" x14ac:dyDescent="0.2">
      <c r="A1033" s="402"/>
      <c r="B1033" s="403"/>
      <c r="C1033" s="403"/>
      <c r="D1033" s="403"/>
      <c r="E1033" s="403"/>
      <c r="F1033" s="403"/>
      <c r="G1033" s="403"/>
      <c r="H1033" s="403"/>
      <c r="I1033" s="403"/>
      <c r="J1033" s="403"/>
      <c r="K1033" s="403"/>
      <c r="L1033" s="403"/>
      <c r="M1033" s="403"/>
      <c r="N1033" s="403"/>
      <c r="O1033" s="403"/>
      <c r="P1033" s="403"/>
    </row>
    <row r="1034" spans="1:16" ht="16" customHeight="1" x14ac:dyDescent="0.2">
      <c r="A1034" s="358" t="s">
        <v>8</v>
      </c>
      <c r="B1034" s="363" t="s">
        <v>1022</v>
      </c>
      <c r="C1034" s="364" t="s">
        <v>503</v>
      </c>
      <c r="D1034" s="364"/>
      <c r="E1034" s="364"/>
      <c r="F1034" s="79" t="s">
        <v>512</v>
      </c>
      <c r="G1034" s="79" t="s">
        <v>10</v>
      </c>
      <c r="H1034" s="78" t="s">
        <v>507</v>
      </c>
      <c r="I1034" s="79" t="s">
        <v>50</v>
      </c>
      <c r="J1034" s="328" t="s">
        <v>421</v>
      </c>
      <c r="K1034" s="329"/>
      <c r="L1034" s="330"/>
      <c r="M1034" s="334" t="s">
        <v>28</v>
      </c>
      <c r="N1034" s="335"/>
      <c r="O1034" s="338" t="s">
        <v>420</v>
      </c>
      <c r="P1034" s="339"/>
    </row>
    <row r="1035" spans="1:16" x14ac:dyDescent="0.2">
      <c r="A1035" s="358"/>
      <c r="B1035" s="363"/>
      <c r="C1035" s="61" t="s">
        <v>502</v>
      </c>
      <c r="D1035" s="61"/>
      <c r="E1035" s="61"/>
      <c r="F1035" s="87" t="s">
        <v>509</v>
      </c>
      <c r="G1035" s="90" t="s">
        <v>513</v>
      </c>
      <c r="H1035" s="89" t="s">
        <v>506</v>
      </c>
      <c r="I1035" s="87" t="s">
        <v>508</v>
      </c>
      <c r="J1035" s="331"/>
      <c r="K1035" s="332"/>
      <c r="L1035" s="333"/>
      <c r="M1035" s="336"/>
      <c r="N1035" s="337"/>
      <c r="O1035" s="340"/>
      <c r="P1035" s="341"/>
    </row>
    <row r="1036" spans="1:16" x14ac:dyDescent="0.2">
      <c r="A1036" s="358"/>
      <c r="B1036" s="363"/>
      <c r="C1036" s="6" t="s">
        <v>317</v>
      </c>
      <c r="D1036" s="58" t="s">
        <v>319</v>
      </c>
      <c r="E1036" s="58" t="s">
        <v>5</v>
      </c>
      <c r="F1036" s="58" t="s">
        <v>319</v>
      </c>
      <c r="G1036" s="58" t="s">
        <v>319</v>
      </c>
      <c r="H1036" s="58" t="s">
        <v>319</v>
      </c>
      <c r="I1036" s="58" t="s">
        <v>319</v>
      </c>
      <c r="J1036" s="64" t="s">
        <v>0</v>
      </c>
      <c r="K1036" s="64" t="s">
        <v>499</v>
      </c>
      <c r="L1036" s="64" t="s">
        <v>5</v>
      </c>
      <c r="M1036" s="64" t="s">
        <v>0</v>
      </c>
      <c r="N1036" s="58" t="s">
        <v>5</v>
      </c>
      <c r="O1036" s="64" t="s">
        <v>0</v>
      </c>
      <c r="P1036" s="58" t="s">
        <v>5</v>
      </c>
    </row>
    <row r="1037" spans="1:16" ht="16" x14ac:dyDescent="0.2">
      <c r="A1037" s="81" t="s">
        <v>168</v>
      </c>
      <c r="B1037" s="82">
        <v>148966.43237513592</v>
      </c>
      <c r="C1037" t="s">
        <v>225</v>
      </c>
      <c r="D1037" s="88">
        <v>1.2999999999999999E-4</v>
      </c>
      <c r="E1037" t="s">
        <v>338</v>
      </c>
      <c r="F1037">
        <v>1.2999999999999999E-4</v>
      </c>
      <c r="G1037">
        <v>1.2999999999999999E-4</v>
      </c>
      <c r="H1037">
        <v>3.1E-4</v>
      </c>
      <c r="I1037">
        <v>1.2999999999999999E-4</v>
      </c>
      <c r="J1037">
        <f>PSI_OC!$A$6</f>
        <v>100</v>
      </c>
      <c r="K1037">
        <v>-1</v>
      </c>
      <c r="L1037" t="s">
        <v>422</v>
      </c>
      <c r="M1037" s="17">
        <f t="shared" ref="M1037:M1068" si="98">((SUM(B$1037:B$1039)*D1037)+(SUM(B$1040:B$1041,B$1044,B$1046)*H1037)+(B$1042*F1037)+(B$1043*G1037)+(B$1045*I1037))*J1037*K1037</f>
        <v>-1446575.8147041008</v>
      </c>
      <c r="N1037" t="s">
        <v>537</v>
      </c>
      <c r="O1037" s="69">
        <f>SUM(M1037:M1142)</f>
        <v>-88964305545.184631</v>
      </c>
      <c r="P1037" t="s">
        <v>537</v>
      </c>
    </row>
    <row r="1038" spans="1:16" ht="16" x14ac:dyDescent="0.2">
      <c r="A1038" s="81" t="s">
        <v>169</v>
      </c>
      <c r="B1038" s="82">
        <v>23450.158968591499</v>
      </c>
      <c r="C1038" t="s">
        <v>226</v>
      </c>
      <c r="D1038" s="88">
        <v>1.2999999999999999E-4</v>
      </c>
      <c r="E1038" t="s">
        <v>339</v>
      </c>
      <c r="F1038">
        <v>1.2999999999999999E-4</v>
      </c>
      <c r="G1038">
        <v>1.2999999999999999E-4</v>
      </c>
      <c r="H1038">
        <v>3.1E-4</v>
      </c>
      <c r="I1038">
        <v>1.2999999999999999E-4</v>
      </c>
      <c r="J1038">
        <f>PSI_OC!$A$7</f>
        <v>10</v>
      </c>
      <c r="K1038">
        <v>-1</v>
      </c>
      <c r="L1038" t="s">
        <v>423</v>
      </c>
      <c r="M1038" s="17">
        <f t="shared" si="98"/>
        <v>-144657.58147041008</v>
      </c>
      <c r="N1038" t="s">
        <v>537</v>
      </c>
    </row>
    <row r="1039" spans="1:16" ht="16" x14ac:dyDescent="0.2">
      <c r="A1039" s="81" t="s">
        <v>170</v>
      </c>
      <c r="B1039" s="82">
        <v>12.494386587966757</v>
      </c>
      <c r="C1039" t="s">
        <v>227</v>
      </c>
      <c r="D1039" s="88">
        <v>1.2700000000000001E-3</v>
      </c>
      <c r="E1039" t="s">
        <v>340</v>
      </c>
      <c r="F1039">
        <v>1.2700000000000001E-3</v>
      </c>
      <c r="G1039">
        <v>1.2700000000000001E-3</v>
      </c>
      <c r="H1039">
        <v>3.0599999999999998E-3</v>
      </c>
      <c r="I1039">
        <v>1.2700000000000001E-3</v>
      </c>
      <c r="J1039">
        <f>PSI_OC!$A$7</f>
        <v>10</v>
      </c>
      <c r="K1039">
        <v>-1</v>
      </c>
      <c r="L1039" t="s">
        <v>424</v>
      </c>
      <c r="M1039" s="17">
        <f t="shared" si="98"/>
        <v>-1417013.9633146652</v>
      </c>
      <c r="N1039" t="s">
        <v>537</v>
      </c>
    </row>
    <row r="1040" spans="1:16" ht="16" x14ac:dyDescent="0.2">
      <c r="A1040" s="81" t="s">
        <v>83</v>
      </c>
      <c r="B1040" s="82">
        <v>112340.63789839575</v>
      </c>
      <c r="C1040" t="s">
        <v>228</v>
      </c>
      <c r="D1040" s="88">
        <v>0.12681999999999999</v>
      </c>
      <c r="E1040" t="s">
        <v>341</v>
      </c>
      <c r="F1040">
        <v>0.12681999999999999</v>
      </c>
      <c r="G1040">
        <v>0.12681999999999999</v>
      </c>
      <c r="H1040">
        <v>3.0599999999999998E-3</v>
      </c>
      <c r="I1040">
        <v>0.12681999999999999</v>
      </c>
      <c r="J1040">
        <f>PSI_OC!$A$7</f>
        <v>10</v>
      </c>
      <c r="K1040">
        <v>-1</v>
      </c>
      <c r="L1040" t="s">
        <v>425</v>
      </c>
      <c r="M1040" s="17">
        <f t="shared" si="98"/>
        <v>-104854004.90432286</v>
      </c>
      <c r="N1040" t="s">
        <v>537</v>
      </c>
    </row>
    <row r="1041" spans="1:14" ht="16" x14ac:dyDescent="0.2">
      <c r="A1041" s="81" t="s">
        <v>84</v>
      </c>
      <c r="B1041" s="82">
        <v>2539.7795703260531</v>
      </c>
      <c r="C1041" t="s">
        <v>229</v>
      </c>
      <c r="D1041" s="88">
        <v>1.268E-2</v>
      </c>
      <c r="E1041" t="s">
        <v>342</v>
      </c>
      <c r="F1041">
        <v>1.268E-2</v>
      </c>
      <c r="G1041">
        <v>1.268E-2</v>
      </c>
      <c r="H1041">
        <v>3.0599999999999998E-3</v>
      </c>
      <c r="I1041">
        <v>1.268E-2</v>
      </c>
      <c r="J1041">
        <f>PSI_OC!$A$6</f>
        <v>100</v>
      </c>
      <c r="K1041">
        <v>-1</v>
      </c>
      <c r="L1041" t="s">
        <v>426</v>
      </c>
      <c r="M1041" s="17">
        <f t="shared" si="98"/>
        <v>-108173808.81967819</v>
      </c>
      <c r="N1041" t="s">
        <v>537</v>
      </c>
    </row>
    <row r="1042" spans="1:14" ht="16" x14ac:dyDescent="0.2">
      <c r="A1042" s="51" t="s">
        <v>51</v>
      </c>
      <c r="B1042" s="82">
        <v>317026.37509595056</v>
      </c>
      <c r="C1042" t="s">
        <v>230</v>
      </c>
      <c r="D1042" s="88">
        <v>0.12681999999999999</v>
      </c>
      <c r="E1042" t="s">
        <v>343</v>
      </c>
      <c r="F1042">
        <v>0.12681999999999999</v>
      </c>
      <c r="G1042">
        <v>0.12681999999999999</v>
      </c>
      <c r="H1042">
        <v>3.0602</v>
      </c>
      <c r="I1042">
        <v>0.12681999999999999</v>
      </c>
      <c r="J1042">
        <f>PSI_OC!$A$6</f>
        <v>100</v>
      </c>
      <c r="K1042">
        <v>-1</v>
      </c>
      <c r="L1042" t="s">
        <v>427</v>
      </c>
      <c r="M1042" s="17">
        <f t="shared" si="98"/>
        <v>-4752054615.1957808</v>
      </c>
      <c r="N1042" t="s">
        <v>537</v>
      </c>
    </row>
    <row r="1043" spans="1:14" ht="16" x14ac:dyDescent="0.2">
      <c r="A1043" s="51" t="s">
        <v>10</v>
      </c>
      <c r="B1043" s="82">
        <v>94829.710817780055</v>
      </c>
      <c r="C1043" t="s">
        <v>231</v>
      </c>
      <c r="D1043" s="88">
        <v>0.12681999999999999</v>
      </c>
      <c r="E1043" t="s">
        <v>344</v>
      </c>
      <c r="F1043">
        <v>1.26824</v>
      </c>
      <c r="G1043">
        <v>0.12681999999999999</v>
      </c>
      <c r="H1043">
        <v>3.0599999999999998E-3</v>
      </c>
      <c r="I1043">
        <v>1.26824</v>
      </c>
      <c r="J1043">
        <f>PSI_OC!$A$7</f>
        <v>10</v>
      </c>
      <c r="K1043">
        <v>-1</v>
      </c>
      <c r="L1043" t="s">
        <v>428</v>
      </c>
      <c r="M1043" s="17">
        <f t="shared" si="98"/>
        <v>-1042186177.1902258</v>
      </c>
      <c r="N1043" t="s">
        <v>537</v>
      </c>
    </row>
    <row r="1044" spans="1:14" ht="16" x14ac:dyDescent="0.2">
      <c r="A1044" s="51" t="s">
        <v>49</v>
      </c>
      <c r="B1044" s="82">
        <v>11999118.1714647</v>
      </c>
      <c r="C1044" t="s">
        <v>232</v>
      </c>
      <c r="D1044" s="88">
        <v>1.2999999999999999E-4</v>
      </c>
      <c r="E1044" t="s">
        <v>345</v>
      </c>
      <c r="F1044">
        <v>1.2999999999999999E-4</v>
      </c>
      <c r="G1044">
        <v>1.2999999999999999E-4</v>
      </c>
      <c r="H1044">
        <v>3.1E-4</v>
      </c>
      <c r="I1044">
        <v>1.2999999999999999E-4</v>
      </c>
      <c r="J1044">
        <f>PSI_OC!$A$7</f>
        <v>10</v>
      </c>
      <c r="K1044">
        <v>-1</v>
      </c>
      <c r="L1044" t="s">
        <v>429</v>
      </c>
      <c r="M1044" s="17">
        <f t="shared" si="98"/>
        <v>-144657.58147041008</v>
      </c>
      <c r="N1044" t="s">
        <v>537</v>
      </c>
    </row>
    <row r="1045" spans="1:14" ht="16" x14ac:dyDescent="0.2">
      <c r="A1045" s="51" t="s">
        <v>50</v>
      </c>
      <c r="B1045" s="82">
        <v>81802804.38710402</v>
      </c>
      <c r="C1045" t="s">
        <v>233</v>
      </c>
      <c r="D1045" s="88">
        <v>1.2999999999999999E-4</v>
      </c>
      <c r="E1045" t="s">
        <v>345</v>
      </c>
      <c r="F1045">
        <v>1.2999999999999999E-4</v>
      </c>
      <c r="G1045">
        <v>1.2999999999999999E-4</v>
      </c>
      <c r="H1045">
        <v>3.1E-4</v>
      </c>
      <c r="I1045">
        <v>1.2999999999999999E-4</v>
      </c>
      <c r="J1045">
        <f>PSI_OC!$A$7</f>
        <v>10</v>
      </c>
      <c r="K1045">
        <v>-1</v>
      </c>
      <c r="L1045" t="s">
        <v>429</v>
      </c>
      <c r="M1045" s="17">
        <f t="shared" si="98"/>
        <v>-144657.58147041008</v>
      </c>
      <c r="N1045" t="s">
        <v>537</v>
      </c>
    </row>
    <row r="1046" spans="1:14" ht="16" x14ac:dyDescent="0.2">
      <c r="A1046" s="51" t="s">
        <v>18</v>
      </c>
      <c r="B1046" s="82">
        <v>312.71559483983367</v>
      </c>
      <c r="C1046" t="s">
        <v>320</v>
      </c>
      <c r="D1046" s="88">
        <v>0</v>
      </c>
      <c r="E1046" t="s">
        <v>344</v>
      </c>
      <c r="F1046">
        <v>0</v>
      </c>
      <c r="G1046">
        <v>1.2999999999999999E-4</v>
      </c>
      <c r="H1046">
        <v>0.30602000000000001</v>
      </c>
      <c r="I1046">
        <v>0</v>
      </c>
      <c r="J1046">
        <f>PSI_OC!$A$6</f>
        <v>100</v>
      </c>
      <c r="K1046">
        <v>-1</v>
      </c>
      <c r="L1046" t="s">
        <v>428</v>
      </c>
      <c r="M1046" s="17">
        <f t="shared" si="98"/>
        <v>-370723387.32741445</v>
      </c>
      <c r="N1046" t="s">
        <v>537</v>
      </c>
    </row>
    <row r="1047" spans="1:14" x14ac:dyDescent="0.2">
      <c r="A1047" s="1" t="s">
        <v>17</v>
      </c>
      <c r="B1047" s="82">
        <v>94501400.863276333</v>
      </c>
      <c r="C1047" t="s">
        <v>321</v>
      </c>
      <c r="D1047" s="88">
        <v>0</v>
      </c>
      <c r="E1047" t="s">
        <v>344</v>
      </c>
      <c r="F1047">
        <v>0</v>
      </c>
      <c r="G1047">
        <v>1.2999999999999999E-4</v>
      </c>
      <c r="H1047">
        <v>0.30602000000000001</v>
      </c>
      <c r="I1047">
        <v>0</v>
      </c>
      <c r="J1047">
        <f>PSI_OC!$A$6</f>
        <v>100</v>
      </c>
      <c r="K1047">
        <v>-1</v>
      </c>
      <c r="L1047" t="s">
        <v>428</v>
      </c>
      <c r="M1047" s="17">
        <f t="shared" si="98"/>
        <v>-370723387.32741445</v>
      </c>
      <c r="N1047" t="s">
        <v>537</v>
      </c>
    </row>
    <row r="1048" spans="1:14" x14ac:dyDescent="0.2">
      <c r="B1048" s="55"/>
      <c r="C1048" t="s">
        <v>234</v>
      </c>
      <c r="D1048" s="88">
        <v>0</v>
      </c>
      <c r="E1048" t="s">
        <v>344</v>
      </c>
      <c r="F1048">
        <v>0</v>
      </c>
      <c r="G1048">
        <v>1.2999999999999999E-4</v>
      </c>
      <c r="H1048">
        <v>0.30602000000000001</v>
      </c>
      <c r="I1048">
        <v>0</v>
      </c>
      <c r="J1048">
        <v>0</v>
      </c>
      <c r="K1048">
        <v>0</v>
      </c>
      <c r="L1048" t="s">
        <v>428</v>
      </c>
      <c r="M1048" s="17">
        <f t="shared" si="98"/>
        <v>0</v>
      </c>
      <c r="N1048" t="s">
        <v>537</v>
      </c>
    </row>
    <row r="1049" spans="1:14" ht="16" x14ac:dyDescent="0.2">
      <c r="A1049" s="91" t="s">
        <v>8</v>
      </c>
      <c r="B1049" s="84" t="s">
        <v>318</v>
      </c>
      <c r="C1049" t="s">
        <v>235</v>
      </c>
      <c r="D1049" s="88">
        <v>0.12681999999999999</v>
      </c>
      <c r="E1049" t="s">
        <v>346</v>
      </c>
      <c r="F1049">
        <v>0.12681999999999999</v>
      </c>
      <c r="G1049">
        <v>0.12681999999999999</v>
      </c>
      <c r="H1049">
        <v>0.30602000000000001</v>
      </c>
      <c r="I1049">
        <v>0.12681999999999999</v>
      </c>
      <c r="J1049">
        <f>PSI_OC!$A$8</f>
        <v>1</v>
      </c>
      <c r="K1049">
        <v>1</v>
      </c>
      <c r="L1049" t="s">
        <v>430</v>
      </c>
      <c r="M1049" s="17">
        <f t="shared" si="98"/>
        <v>14155552.243252167</v>
      </c>
      <c r="N1049" t="s">
        <v>537</v>
      </c>
    </row>
    <row r="1050" spans="1:14" ht="16" x14ac:dyDescent="0.2">
      <c r="A1050" s="81" t="s">
        <v>168</v>
      </c>
      <c r="B1050" s="61" t="s">
        <v>502</v>
      </c>
      <c r="C1050" t="s">
        <v>236</v>
      </c>
      <c r="D1050" s="88">
        <v>1.2999999999999999E-4</v>
      </c>
      <c r="E1050" t="s">
        <v>347</v>
      </c>
      <c r="F1050">
        <v>1.2999999999999999E-4</v>
      </c>
      <c r="G1050">
        <v>1.2999999999999999E-4</v>
      </c>
      <c r="H1050">
        <v>3.0602</v>
      </c>
      <c r="I1050">
        <v>1.2999999999999999E-4</v>
      </c>
      <c r="J1050">
        <f>PSI_OC!$A$7</f>
        <v>10</v>
      </c>
      <c r="K1050">
        <v>-1</v>
      </c>
      <c r="L1050" t="s">
        <v>431</v>
      </c>
      <c r="M1050" s="17">
        <f t="shared" si="98"/>
        <v>-370829257.75760025</v>
      </c>
      <c r="N1050" t="s">
        <v>537</v>
      </c>
    </row>
    <row r="1051" spans="1:14" ht="16" x14ac:dyDescent="0.2">
      <c r="A1051" s="81" t="s">
        <v>169</v>
      </c>
      <c r="B1051" s="61" t="s">
        <v>502</v>
      </c>
      <c r="C1051" t="s">
        <v>237</v>
      </c>
      <c r="D1051" s="88">
        <v>0.12681999999999999</v>
      </c>
      <c r="E1051" t="s">
        <v>348</v>
      </c>
      <c r="F1051">
        <v>0.12681999999999999</v>
      </c>
      <c r="G1051">
        <v>0.12681999999999999</v>
      </c>
      <c r="H1051">
        <v>0.30602000000000001</v>
      </c>
      <c r="I1051">
        <v>0.12681999999999999</v>
      </c>
      <c r="J1051">
        <f>PSI_OC!$A$6</f>
        <v>100</v>
      </c>
      <c r="K1051">
        <v>-1</v>
      </c>
      <c r="L1051" t="s">
        <v>432</v>
      </c>
      <c r="M1051" s="17">
        <f t="shared" si="98"/>
        <v>-1415555224.3252168</v>
      </c>
      <c r="N1051" t="s">
        <v>537</v>
      </c>
    </row>
    <row r="1052" spans="1:14" ht="16" x14ac:dyDescent="0.2">
      <c r="A1052" s="81" t="s">
        <v>170</v>
      </c>
      <c r="B1052" s="61" t="s">
        <v>502</v>
      </c>
      <c r="C1052" t="s">
        <v>238</v>
      </c>
      <c r="D1052" s="88">
        <v>0</v>
      </c>
      <c r="E1052" t="s">
        <v>349</v>
      </c>
      <c r="F1052">
        <v>0</v>
      </c>
      <c r="G1052">
        <v>0</v>
      </c>
      <c r="H1052">
        <v>0</v>
      </c>
      <c r="I1052">
        <v>0</v>
      </c>
      <c r="J1052">
        <f>PSI_OC!$A$7</f>
        <v>10</v>
      </c>
      <c r="K1052">
        <v>-1</v>
      </c>
      <c r="L1052" t="s">
        <v>433</v>
      </c>
      <c r="M1052" s="17">
        <f t="shared" si="98"/>
        <v>0</v>
      </c>
      <c r="N1052" t="s">
        <v>537</v>
      </c>
    </row>
    <row r="1053" spans="1:14" ht="16" x14ac:dyDescent="0.2">
      <c r="A1053" s="81" t="s">
        <v>83</v>
      </c>
      <c r="B1053" s="89" t="s">
        <v>506</v>
      </c>
      <c r="C1053" t="s">
        <v>239</v>
      </c>
      <c r="D1053" s="88">
        <v>1.2700000000000001E-3</v>
      </c>
      <c r="E1053" t="s">
        <v>348</v>
      </c>
      <c r="F1053">
        <v>1.2700000000000001E-3</v>
      </c>
      <c r="G1053">
        <v>1.2700000000000001E-3</v>
      </c>
      <c r="H1053">
        <v>3.0599999999999998E-3</v>
      </c>
      <c r="I1053">
        <v>1.2700000000000001E-3</v>
      </c>
      <c r="J1053">
        <f>PSI_OC!$A$6</f>
        <v>100</v>
      </c>
      <c r="K1053">
        <v>-1</v>
      </c>
      <c r="L1053" t="s">
        <v>432</v>
      </c>
      <c r="M1053" s="17">
        <f t="shared" si="98"/>
        <v>-14170139.633146653</v>
      </c>
      <c r="N1053" t="s">
        <v>537</v>
      </c>
    </row>
    <row r="1054" spans="1:14" ht="16" x14ac:dyDescent="0.2">
      <c r="A1054" s="81" t="s">
        <v>84</v>
      </c>
      <c r="B1054" s="89" t="s">
        <v>506</v>
      </c>
      <c r="C1054" t="s">
        <v>240</v>
      </c>
      <c r="D1054" s="88">
        <v>0</v>
      </c>
      <c r="E1054" t="s">
        <v>348</v>
      </c>
      <c r="F1054">
        <v>0</v>
      </c>
      <c r="G1054">
        <v>0</v>
      </c>
      <c r="H1054">
        <v>0</v>
      </c>
      <c r="I1054">
        <v>0</v>
      </c>
      <c r="J1054">
        <f>PSI_OC!$A$6</f>
        <v>100</v>
      </c>
      <c r="K1054">
        <v>-1</v>
      </c>
      <c r="L1054" t="s">
        <v>432</v>
      </c>
      <c r="M1054" s="17">
        <f t="shared" si="98"/>
        <v>0</v>
      </c>
      <c r="N1054" t="s">
        <v>537</v>
      </c>
    </row>
    <row r="1055" spans="1:14" ht="16" x14ac:dyDescent="0.2">
      <c r="A1055" s="51" t="s">
        <v>51</v>
      </c>
      <c r="B1055" s="87" t="s">
        <v>509</v>
      </c>
      <c r="C1055" t="s">
        <v>241</v>
      </c>
      <c r="D1055" s="88">
        <v>0</v>
      </c>
      <c r="E1055" t="s">
        <v>350</v>
      </c>
      <c r="F1055">
        <v>0</v>
      </c>
      <c r="G1055">
        <v>0</v>
      </c>
      <c r="H1055">
        <v>0</v>
      </c>
      <c r="I1055">
        <v>0</v>
      </c>
      <c r="J1055">
        <f>PSI_OC!$A$6</f>
        <v>100</v>
      </c>
      <c r="K1055">
        <v>-1</v>
      </c>
      <c r="L1055" t="s">
        <v>434</v>
      </c>
      <c r="M1055" s="17">
        <f t="shared" si="98"/>
        <v>0</v>
      </c>
      <c r="N1055" t="s">
        <v>537</v>
      </c>
    </row>
    <row r="1056" spans="1:14" ht="16" x14ac:dyDescent="0.2">
      <c r="A1056" s="51" t="s">
        <v>10</v>
      </c>
      <c r="B1056" s="90" t="s">
        <v>513</v>
      </c>
      <c r="C1056" t="s">
        <v>242</v>
      </c>
      <c r="D1056" s="88">
        <v>0</v>
      </c>
      <c r="E1056" t="s">
        <v>351</v>
      </c>
      <c r="F1056">
        <v>0</v>
      </c>
      <c r="G1056">
        <v>0</v>
      </c>
      <c r="H1056">
        <v>0</v>
      </c>
      <c r="I1056">
        <v>0</v>
      </c>
      <c r="J1056">
        <f>PSI_OC!$A$8</f>
        <v>1</v>
      </c>
      <c r="K1056">
        <v>1</v>
      </c>
      <c r="L1056" t="s">
        <v>435</v>
      </c>
      <c r="M1056" s="17">
        <f t="shared" si="98"/>
        <v>0</v>
      </c>
      <c r="N1056" t="s">
        <v>537</v>
      </c>
    </row>
    <row r="1057" spans="1:14" ht="16" x14ac:dyDescent="0.2">
      <c r="A1057" s="51" t="s">
        <v>49</v>
      </c>
      <c r="B1057" s="89" t="s">
        <v>506</v>
      </c>
      <c r="C1057" t="s">
        <v>243</v>
      </c>
      <c r="D1057" s="88">
        <v>0.12681999999999999</v>
      </c>
      <c r="E1057" t="s">
        <v>352</v>
      </c>
      <c r="F1057">
        <v>1.26824</v>
      </c>
      <c r="G1057">
        <v>1.26824</v>
      </c>
      <c r="H1057">
        <v>3.0599999999999998E-3</v>
      </c>
      <c r="I1057">
        <v>1.26824</v>
      </c>
      <c r="J1057">
        <f>PSI_OC!$A$6</f>
        <v>100</v>
      </c>
      <c r="K1057">
        <v>-1</v>
      </c>
      <c r="L1057" t="s">
        <v>436</v>
      </c>
      <c r="M1057" s="17">
        <f t="shared" si="98"/>
        <v>-10432685824.754421</v>
      </c>
      <c r="N1057" t="s">
        <v>537</v>
      </c>
    </row>
    <row r="1058" spans="1:14" ht="16" x14ac:dyDescent="0.2">
      <c r="A1058" s="51" t="s">
        <v>50</v>
      </c>
      <c r="B1058" s="87" t="s">
        <v>508</v>
      </c>
      <c r="C1058" t="s">
        <v>244</v>
      </c>
      <c r="D1058" s="88">
        <v>1.2700000000000001E-3</v>
      </c>
      <c r="E1058" t="s">
        <v>353</v>
      </c>
      <c r="F1058">
        <v>1.2700000000000001E-3</v>
      </c>
      <c r="G1058">
        <v>1.2700000000000001E-3</v>
      </c>
      <c r="H1058">
        <v>3.0599999999999998E-3</v>
      </c>
      <c r="I1058">
        <v>1.2700000000000001E-3</v>
      </c>
      <c r="J1058">
        <v>0</v>
      </c>
      <c r="K1058">
        <v>0</v>
      </c>
      <c r="L1058" t="s">
        <v>437</v>
      </c>
      <c r="M1058" s="17">
        <f t="shared" si="98"/>
        <v>0</v>
      </c>
      <c r="N1058" t="s">
        <v>537</v>
      </c>
    </row>
    <row r="1059" spans="1:14" ht="16" x14ac:dyDescent="0.2">
      <c r="A1059" s="51" t="s">
        <v>18</v>
      </c>
      <c r="B1059" s="89" t="s">
        <v>506</v>
      </c>
      <c r="C1059" t="s">
        <v>245</v>
      </c>
      <c r="D1059" s="88">
        <v>1.2700000000000001E-3</v>
      </c>
      <c r="E1059" t="s">
        <v>351</v>
      </c>
      <c r="F1059">
        <v>1.2999999999999999E-4</v>
      </c>
      <c r="G1059">
        <v>1.2700000000000001E-3</v>
      </c>
      <c r="H1059">
        <v>0.30602000000000001</v>
      </c>
      <c r="I1059">
        <v>1.2999999999999999E-4</v>
      </c>
      <c r="J1059">
        <f>PSI_OC!$A$7</f>
        <v>10</v>
      </c>
      <c r="K1059">
        <v>-1</v>
      </c>
      <c r="L1059" t="s">
        <v>435</v>
      </c>
      <c r="M1059" s="17">
        <f t="shared" si="98"/>
        <v>-37182365.420824409</v>
      </c>
      <c r="N1059" t="s">
        <v>537</v>
      </c>
    </row>
    <row r="1060" spans="1:14" x14ac:dyDescent="0.2">
      <c r="B1060" s="55"/>
      <c r="C1060" t="s">
        <v>246</v>
      </c>
      <c r="D1060" s="88">
        <v>1.268E-2</v>
      </c>
      <c r="E1060" t="s">
        <v>354</v>
      </c>
      <c r="F1060">
        <v>1.268E-2</v>
      </c>
      <c r="G1060">
        <v>1.268E-2</v>
      </c>
      <c r="H1060">
        <v>3.0599999999999999E-2</v>
      </c>
      <c r="I1060">
        <v>1.268E-2</v>
      </c>
      <c r="J1060">
        <f>PSI_OC!$A$7</f>
        <v>10</v>
      </c>
      <c r="K1060">
        <v>-1</v>
      </c>
      <c r="L1060" t="s">
        <v>438</v>
      </c>
      <c r="M1060" s="17">
        <f t="shared" si="98"/>
        <v>-14153662.215234902</v>
      </c>
      <c r="N1060" t="s">
        <v>537</v>
      </c>
    </row>
    <row r="1061" spans="1:14" x14ac:dyDescent="0.2">
      <c r="B1061" s="55"/>
      <c r="C1061" t="s">
        <v>247</v>
      </c>
      <c r="D1061" s="88">
        <v>1.26824</v>
      </c>
      <c r="E1061" t="s">
        <v>354</v>
      </c>
      <c r="F1061">
        <v>1.26824</v>
      </c>
      <c r="G1061">
        <v>1.26824</v>
      </c>
      <c r="H1061">
        <v>3.1E-4</v>
      </c>
      <c r="I1061">
        <v>1.26824</v>
      </c>
      <c r="J1061">
        <f>PSI_OC!$A$7</f>
        <v>10</v>
      </c>
      <c r="K1061">
        <v>-1</v>
      </c>
      <c r="L1061" t="s">
        <v>438</v>
      </c>
      <c r="M1061" s="17">
        <f t="shared" si="98"/>
        <v>-1044903578.9849105</v>
      </c>
      <c r="N1061" t="s">
        <v>537</v>
      </c>
    </row>
    <row r="1062" spans="1:14" x14ac:dyDescent="0.2">
      <c r="B1062" s="55"/>
      <c r="C1062" t="s">
        <v>248</v>
      </c>
      <c r="D1062" s="88">
        <v>1.26824</v>
      </c>
      <c r="E1062" t="s">
        <v>350</v>
      </c>
      <c r="F1062">
        <v>1.26824</v>
      </c>
      <c r="G1062">
        <v>1.26824</v>
      </c>
      <c r="H1062">
        <v>0.30602000000000001</v>
      </c>
      <c r="I1062">
        <v>1.26824</v>
      </c>
      <c r="J1062">
        <f>PSI_OC!$A$7</f>
        <v>10</v>
      </c>
      <c r="K1062">
        <v>-1</v>
      </c>
      <c r="L1062" t="s">
        <v>434</v>
      </c>
      <c r="M1062" s="17">
        <f t="shared" si="98"/>
        <v>-1081938240.0739839</v>
      </c>
      <c r="N1062" t="s">
        <v>537</v>
      </c>
    </row>
    <row r="1063" spans="1:14" x14ac:dyDescent="0.2">
      <c r="B1063" s="55"/>
      <c r="C1063" t="s">
        <v>322</v>
      </c>
      <c r="D1063" s="88">
        <v>1.26824</v>
      </c>
      <c r="E1063" t="s">
        <v>355</v>
      </c>
      <c r="F1063">
        <v>1.26824</v>
      </c>
      <c r="G1063">
        <v>1.26824</v>
      </c>
      <c r="H1063">
        <v>3.0599999999999999E-2</v>
      </c>
      <c r="I1063">
        <v>1.26824</v>
      </c>
      <c r="J1063">
        <f>PSI_OC!$A$7</f>
        <v>10</v>
      </c>
      <c r="K1063">
        <v>-1</v>
      </c>
      <c r="L1063" t="s">
        <v>439</v>
      </c>
      <c r="M1063" s="17">
        <f t="shared" si="98"/>
        <v>-1048573003.8790523</v>
      </c>
      <c r="N1063" t="s">
        <v>537</v>
      </c>
    </row>
    <row r="1064" spans="1:14" x14ac:dyDescent="0.2">
      <c r="B1064" s="55"/>
      <c r="C1064" t="s">
        <v>249</v>
      </c>
      <c r="D1064" s="88">
        <v>0.12681999999999999</v>
      </c>
      <c r="E1064" t="s">
        <v>356</v>
      </c>
      <c r="F1064">
        <v>0.12681999999999999</v>
      </c>
      <c r="G1064">
        <v>0.12681999999999999</v>
      </c>
      <c r="H1064">
        <v>3.1E-4</v>
      </c>
      <c r="I1064">
        <v>0.12681999999999999</v>
      </c>
      <c r="J1064">
        <f>PSI_OC!$A$7</f>
        <v>10</v>
      </c>
      <c r="K1064">
        <v>-1</v>
      </c>
      <c r="L1064" t="s">
        <v>440</v>
      </c>
      <c r="M1064" s="17">
        <f t="shared" si="98"/>
        <v>-104520861.34344833</v>
      </c>
      <c r="N1064" t="s">
        <v>537</v>
      </c>
    </row>
    <row r="1065" spans="1:14" x14ac:dyDescent="0.2">
      <c r="B1065" s="55"/>
      <c r="C1065" t="s">
        <v>323</v>
      </c>
      <c r="D1065" s="88">
        <v>1.2700000000000001E-3</v>
      </c>
      <c r="E1065" t="s">
        <v>357</v>
      </c>
      <c r="F1065">
        <v>1.2700000000000001E-3</v>
      </c>
      <c r="G1065">
        <v>1.2700000000000001E-3</v>
      </c>
      <c r="H1065">
        <v>3.0599999999999998E-3</v>
      </c>
      <c r="I1065">
        <v>1.2700000000000001E-3</v>
      </c>
      <c r="J1065">
        <f>PSI_OC!$A$6</f>
        <v>100</v>
      </c>
      <c r="K1065">
        <v>-1</v>
      </c>
      <c r="L1065" t="s">
        <v>441</v>
      </c>
      <c r="M1065" s="17">
        <f t="shared" si="98"/>
        <v>-14170139.633146653</v>
      </c>
      <c r="N1065" t="s">
        <v>537</v>
      </c>
    </row>
    <row r="1066" spans="1:14" x14ac:dyDescent="0.2">
      <c r="B1066" s="55"/>
      <c r="C1066" t="s">
        <v>324</v>
      </c>
      <c r="D1066" s="88">
        <v>1.2700000000000001E-3</v>
      </c>
      <c r="E1066" t="s">
        <v>357</v>
      </c>
      <c r="F1066">
        <v>1.2700000000000001E-3</v>
      </c>
      <c r="G1066">
        <v>1.2700000000000001E-3</v>
      </c>
      <c r="H1066">
        <v>3.0599999999999998E-3</v>
      </c>
      <c r="I1066">
        <v>1.2700000000000001E-3</v>
      </c>
      <c r="J1066">
        <f>PSI_OC!$A$6</f>
        <v>100</v>
      </c>
      <c r="K1066">
        <v>-1</v>
      </c>
      <c r="L1066" t="s">
        <v>441</v>
      </c>
      <c r="M1066" s="17">
        <f t="shared" si="98"/>
        <v>-14170139.633146653</v>
      </c>
      <c r="N1066" t="s">
        <v>537</v>
      </c>
    </row>
    <row r="1067" spans="1:14" x14ac:dyDescent="0.2">
      <c r="B1067" s="55"/>
      <c r="C1067" t="s">
        <v>250</v>
      </c>
      <c r="D1067" s="88">
        <v>1.2700000000000001E-3</v>
      </c>
      <c r="E1067" t="s">
        <v>358</v>
      </c>
      <c r="F1067">
        <v>1.2700000000000001E-3</v>
      </c>
      <c r="G1067">
        <v>1.2700000000000001E-3</v>
      </c>
      <c r="H1067">
        <v>0.30602000000000001</v>
      </c>
      <c r="I1067">
        <v>1.2700000000000001E-3</v>
      </c>
      <c r="J1067">
        <f>PSI_OC!$A$7</f>
        <v>10</v>
      </c>
      <c r="K1067">
        <v>1</v>
      </c>
      <c r="L1067" t="s">
        <v>442</v>
      </c>
      <c r="M1067" s="17">
        <f t="shared" si="98"/>
        <v>38118531.491513491</v>
      </c>
      <c r="N1067" t="s">
        <v>537</v>
      </c>
    </row>
    <row r="1068" spans="1:14" x14ac:dyDescent="0.2">
      <c r="B1068" s="55"/>
      <c r="C1068" t="s">
        <v>251</v>
      </c>
      <c r="D1068" s="88">
        <v>0</v>
      </c>
      <c r="E1068" t="s">
        <v>359</v>
      </c>
      <c r="F1068">
        <v>0</v>
      </c>
      <c r="G1068">
        <v>0</v>
      </c>
      <c r="H1068">
        <v>3.1E-4</v>
      </c>
      <c r="I1068">
        <v>0</v>
      </c>
      <c r="J1068">
        <f>PSI_OC!$A$6</f>
        <v>100</v>
      </c>
      <c r="K1068">
        <v>-1</v>
      </c>
      <c r="L1068" t="s">
        <v>443</v>
      </c>
      <c r="M1068" s="17">
        <f t="shared" si="98"/>
        <v>-375543.65044037608</v>
      </c>
      <c r="N1068" t="s">
        <v>537</v>
      </c>
    </row>
    <row r="1069" spans="1:14" x14ac:dyDescent="0.2">
      <c r="B1069" s="55"/>
      <c r="C1069" t="s">
        <v>252</v>
      </c>
      <c r="D1069" s="88">
        <v>0.12681999999999999</v>
      </c>
      <c r="E1069" t="s">
        <v>360</v>
      </c>
      <c r="F1069">
        <v>0.12681999999999999</v>
      </c>
      <c r="G1069">
        <v>0.12681999999999999</v>
      </c>
      <c r="H1069">
        <v>3.0602</v>
      </c>
      <c r="I1069">
        <v>0.12681999999999999</v>
      </c>
      <c r="J1069">
        <f>PSI_OC!$A$7</f>
        <v>10</v>
      </c>
      <c r="K1069">
        <v>-1</v>
      </c>
      <c r="L1069" t="s">
        <v>444</v>
      </c>
      <c r="M1069" s="17">
        <f t="shared" ref="M1069:M1100" si="99">((SUM(B$1037:B$1039)*D1069)+(SUM(B$1040:B$1041,B$1044,B$1046)*H1069)+(B$1042*F1069)+(B$1043*G1069)+(B$1045*I1069))*J1069*K1069</f>
        <v>-475205461.5195781</v>
      </c>
      <c r="N1069" t="s">
        <v>537</v>
      </c>
    </row>
    <row r="1070" spans="1:14" x14ac:dyDescent="0.2">
      <c r="B1070" s="55"/>
      <c r="C1070" t="s">
        <v>253</v>
      </c>
      <c r="D1070" s="88">
        <v>1.268E-2</v>
      </c>
      <c r="E1070" t="s">
        <v>361</v>
      </c>
      <c r="F1070">
        <v>1.268E-2</v>
      </c>
      <c r="G1070">
        <v>1.268E-2</v>
      </c>
      <c r="H1070">
        <v>0.30602000000000001</v>
      </c>
      <c r="I1070">
        <v>1.268E-2</v>
      </c>
      <c r="J1070">
        <f>PSI_OC!$A$7</f>
        <v>10</v>
      </c>
      <c r="K1070">
        <v>-1</v>
      </c>
      <c r="L1070" t="s">
        <v>445</v>
      </c>
      <c r="M1070" s="17">
        <f t="shared" si="99"/>
        <v>-47518898.410166644</v>
      </c>
      <c r="N1070" t="s">
        <v>537</v>
      </c>
    </row>
    <row r="1071" spans="1:14" x14ac:dyDescent="0.2">
      <c r="B1071" s="55"/>
      <c r="C1071" t="s">
        <v>325</v>
      </c>
      <c r="D1071" s="88">
        <v>1.2700000000000001E-3</v>
      </c>
      <c r="E1071" t="s">
        <v>362</v>
      </c>
      <c r="F1071">
        <v>1.2700000000000001E-3</v>
      </c>
      <c r="G1071">
        <v>1.2700000000000001E-3</v>
      </c>
      <c r="H1071">
        <v>3.1E-4</v>
      </c>
      <c r="I1071">
        <v>1.2700000000000001E-3</v>
      </c>
      <c r="J1071">
        <f>PSI_OC!$A$6</f>
        <v>100</v>
      </c>
      <c r="K1071">
        <v>-1</v>
      </c>
      <c r="L1071" t="s">
        <v>446</v>
      </c>
      <c r="M1071" s="17">
        <f t="shared" si="99"/>
        <v>-10838704.024401382</v>
      </c>
      <c r="N1071" t="s">
        <v>537</v>
      </c>
    </row>
    <row r="1072" spans="1:14" x14ac:dyDescent="0.2">
      <c r="B1072" s="55"/>
      <c r="C1072" t="s">
        <v>254</v>
      </c>
      <c r="D1072" s="88">
        <v>1.2700000000000001E-3</v>
      </c>
      <c r="E1072" t="s">
        <v>363</v>
      </c>
      <c r="F1072">
        <v>1.2700000000000001E-3</v>
      </c>
      <c r="G1072">
        <v>1.2700000000000001E-3</v>
      </c>
      <c r="H1072">
        <v>3.0599999999999998E-3</v>
      </c>
      <c r="I1072">
        <v>1.2700000000000001E-3</v>
      </c>
      <c r="J1072">
        <f>PSI_OC!$A$7</f>
        <v>10</v>
      </c>
      <c r="K1072">
        <v>-1</v>
      </c>
      <c r="L1072" t="s">
        <v>447</v>
      </c>
      <c r="M1072" s="17">
        <f t="shared" si="99"/>
        <v>-1417013.9633146652</v>
      </c>
      <c r="N1072" t="s">
        <v>537</v>
      </c>
    </row>
    <row r="1073" spans="2:14" x14ac:dyDescent="0.2">
      <c r="B1073" s="55"/>
      <c r="C1073" t="s">
        <v>255</v>
      </c>
      <c r="D1073" s="88">
        <v>0</v>
      </c>
      <c r="E1073" t="s">
        <v>364</v>
      </c>
      <c r="F1073">
        <v>0</v>
      </c>
      <c r="G1073">
        <v>0</v>
      </c>
      <c r="H1073">
        <v>0</v>
      </c>
      <c r="I1073">
        <v>0</v>
      </c>
      <c r="J1073">
        <f>PSI_OC!$A$7</f>
        <v>10</v>
      </c>
      <c r="K1073">
        <v>-1</v>
      </c>
      <c r="L1073" t="s">
        <v>448</v>
      </c>
      <c r="M1073" s="17">
        <f t="shared" si="99"/>
        <v>0</v>
      </c>
      <c r="N1073" t="s">
        <v>537</v>
      </c>
    </row>
    <row r="1074" spans="2:14" x14ac:dyDescent="0.2">
      <c r="B1074" s="55"/>
      <c r="C1074" t="s">
        <v>256</v>
      </c>
      <c r="D1074" s="88">
        <v>1.2700000000000001E-3</v>
      </c>
      <c r="E1074" t="s">
        <v>365</v>
      </c>
      <c r="F1074">
        <v>1.2700000000000001E-3</v>
      </c>
      <c r="G1074">
        <v>1.2700000000000001E-3</v>
      </c>
      <c r="H1074">
        <v>0.30602000000000001</v>
      </c>
      <c r="I1074">
        <v>1.2700000000000001E-3</v>
      </c>
      <c r="J1074">
        <f>PSI_OC!$A$7</f>
        <v>10</v>
      </c>
      <c r="K1074">
        <v>-1</v>
      </c>
      <c r="L1074" t="s">
        <v>449</v>
      </c>
      <c r="M1074" s="17">
        <f t="shared" si="99"/>
        <v>-38118531.491513491</v>
      </c>
      <c r="N1074" t="s">
        <v>537</v>
      </c>
    </row>
    <row r="1075" spans="2:14" x14ac:dyDescent="0.2">
      <c r="B1075" s="55"/>
      <c r="C1075" t="s">
        <v>257</v>
      </c>
      <c r="D1075" s="88">
        <v>1.26824</v>
      </c>
      <c r="E1075" t="s">
        <v>366</v>
      </c>
      <c r="F1075">
        <v>1.26824</v>
      </c>
      <c r="G1075">
        <v>1.26824</v>
      </c>
      <c r="H1075">
        <v>3.0599999999999998E-3</v>
      </c>
      <c r="I1075">
        <v>1.26824</v>
      </c>
      <c r="J1075">
        <f>PSI_OC!$A$6</f>
        <v>100</v>
      </c>
      <c r="K1075">
        <v>-1</v>
      </c>
      <c r="L1075" t="s">
        <v>450</v>
      </c>
      <c r="M1075" s="17">
        <f t="shared" si="99"/>
        <v>-10452367225.457851</v>
      </c>
      <c r="N1075" t="s">
        <v>537</v>
      </c>
    </row>
    <row r="1076" spans="2:14" x14ac:dyDescent="0.2">
      <c r="B1076" s="55"/>
      <c r="C1076" t="s">
        <v>258</v>
      </c>
      <c r="D1076" s="88">
        <v>0.12681999999999999</v>
      </c>
      <c r="E1076" t="s">
        <v>367</v>
      </c>
      <c r="F1076">
        <v>0.12681999999999999</v>
      </c>
      <c r="G1076">
        <v>0.12681999999999999</v>
      </c>
      <c r="H1076">
        <v>3.0599999999999998E-3</v>
      </c>
      <c r="I1076">
        <v>0.12681999999999999</v>
      </c>
      <c r="J1076">
        <f>PSI_OC!$A$6</f>
        <v>100</v>
      </c>
      <c r="K1076">
        <v>-1</v>
      </c>
      <c r="L1076" t="s">
        <v>451</v>
      </c>
      <c r="M1076" s="17">
        <f t="shared" si="99"/>
        <v>-1048540049.0432286</v>
      </c>
      <c r="N1076" t="s">
        <v>537</v>
      </c>
    </row>
    <row r="1077" spans="2:14" x14ac:dyDescent="0.2">
      <c r="B1077" s="55"/>
      <c r="C1077" t="s">
        <v>326</v>
      </c>
      <c r="D1077" s="88">
        <v>1.2700000000000001E-3</v>
      </c>
      <c r="E1077" t="s">
        <v>365</v>
      </c>
      <c r="F1077">
        <v>1.2700000000000001E-3</v>
      </c>
      <c r="G1077">
        <v>1.2700000000000001E-3</v>
      </c>
      <c r="H1077">
        <v>3.0599999999999998E-3</v>
      </c>
      <c r="I1077">
        <v>1.2700000000000001E-3</v>
      </c>
      <c r="J1077">
        <v>0</v>
      </c>
      <c r="K1077">
        <v>0</v>
      </c>
      <c r="L1077" t="s">
        <v>449</v>
      </c>
      <c r="M1077" s="17">
        <f t="shared" si="99"/>
        <v>0</v>
      </c>
      <c r="N1077" t="s">
        <v>537</v>
      </c>
    </row>
    <row r="1078" spans="2:14" x14ac:dyDescent="0.2">
      <c r="B1078" s="55"/>
      <c r="C1078" t="s">
        <v>259</v>
      </c>
      <c r="D1078" s="88">
        <v>1.268E-2</v>
      </c>
      <c r="E1078" t="s">
        <v>368</v>
      </c>
      <c r="F1078">
        <v>1.268E-2</v>
      </c>
      <c r="G1078">
        <v>1.268E-2</v>
      </c>
      <c r="H1078">
        <v>3.0599999999999998E-3</v>
      </c>
      <c r="I1078">
        <v>1.268E-2</v>
      </c>
      <c r="J1078">
        <f>PSI_OC!$A$6</f>
        <v>100</v>
      </c>
      <c r="K1078">
        <v>-1</v>
      </c>
      <c r="L1078" t="s">
        <v>452</v>
      </c>
      <c r="M1078" s="17">
        <f t="shared" si="99"/>
        <v>-108173808.81967819</v>
      </c>
      <c r="N1078" t="s">
        <v>537</v>
      </c>
    </row>
    <row r="1079" spans="2:14" x14ac:dyDescent="0.2">
      <c r="B1079" s="55"/>
      <c r="C1079" t="s">
        <v>260</v>
      </c>
      <c r="D1079" s="88">
        <v>0</v>
      </c>
      <c r="E1079" t="s">
        <v>368</v>
      </c>
      <c r="F1079">
        <v>0</v>
      </c>
      <c r="G1079">
        <v>0</v>
      </c>
      <c r="H1079">
        <v>3.0599999999999998E-3</v>
      </c>
      <c r="I1079">
        <v>0</v>
      </c>
      <c r="J1079">
        <v>0</v>
      </c>
      <c r="K1079">
        <v>0</v>
      </c>
      <c r="L1079" t="s">
        <v>452</v>
      </c>
      <c r="M1079" s="17">
        <f t="shared" si="99"/>
        <v>0</v>
      </c>
      <c r="N1079" t="s">
        <v>537</v>
      </c>
    </row>
    <row r="1080" spans="2:14" x14ac:dyDescent="0.2">
      <c r="B1080" s="55"/>
      <c r="C1080" t="s">
        <v>327</v>
      </c>
      <c r="D1080" s="88">
        <v>1.2999999999999999E-4</v>
      </c>
      <c r="E1080" t="s">
        <v>368</v>
      </c>
      <c r="F1080">
        <v>1.2999999999999999E-4</v>
      </c>
      <c r="G1080">
        <v>1.2999999999999999E-4</v>
      </c>
      <c r="H1080">
        <v>0.30602000000000001</v>
      </c>
      <c r="I1080">
        <v>1.2999999999999999E-4</v>
      </c>
      <c r="J1080">
        <f>PSI_OC!$A$6</f>
        <v>100</v>
      </c>
      <c r="K1080">
        <v>-1</v>
      </c>
      <c r="L1080" t="s">
        <v>452</v>
      </c>
      <c r="M1080" s="17">
        <f t="shared" si="99"/>
        <v>-371793186.70543754</v>
      </c>
      <c r="N1080" t="s">
        <v>537</v>
      </c>
    </row>
    <row r="1081" spans="2:14" x14ac:dyDescent="0.2">
      <c r="B1081" s="55"/>
      <c r="C1081" t="s">
        <v>328</v>
      </c>
      <c r="D1081" s="88">
        <v>1.2999999999999999E-4</v>
      </c>
      <c r="E1081" t="s">
        <v>368</v>
      </c>
      <c r="F1081">
        <v>1.2999999999999999E-4</v>
      </c>
      <c r="G1081">
        <v>1.2999999999999999E-4</v>
      </c>
      <c r="H1081">
        <v>0.30602000000000001</v>
      </c>
      <c r="I1081">
        <v>1.2999999999999999E-4</v>
      </c>
      <c r="J1081">
        <v>0</v>
      </c>
      <c r="K1081">
        <v>0</v>
      </c>
      <c r="L1081" t="s">
        <v>452</v>
      </c>
      <c r="M1081" s="17">
        <f t="shared" si="99"/>
        <v>0</v>
      </c>
      <c r="N1081" t="s">
        <v>537</v>
      </c>
    </row>
    <row r="1082" spans="2:14" x14ac:dyDescent="0.2">
      <c r="B1082" s="55"/>
      <c r="C1082" t="s">
        <v>261</v>
      </c>
      <c r="D1082" s="88">
        <v>0.12681999999999999</v>
      </c>
      <c r="E1082" t="s">
        <v>369</v>
      </c>
      <c r="F1082">
        <v>0.12681999999999999</v>
      </c>
      <c r="G1082">
        <v>0.12681999999999999</v>
      </c>
      <c r="H1082">
        <v>3.1E-4</v>
      </c>
      <c r="I1082">
        <v>0.12681999999999999</v>
      </c>
      <c r="J1082">
        <f>PSI_OC!$A$6</f>
        <v>100</v>
      </c>
      <c r="K1082">
        <v>-1</v>
      </c>
      <c r="L1082" t="s">
        <v>453</v>
      </c>
      <c r="M1082" s="17">
        <f t="shared" si="99"/>
        <v>-1045208613.4344833</v>
      </c>
      <c r="N1082" t="s">
        <v>537</v>
      </c>
    </row>
    <row r="1083" spans="2:14" x14ac:dyDescent="0.2">
      <c r="B1083" s="55"/>
      <c r="C1083" t="s">
        <v>263</v>
      </c>
      <c r="D1083" s="88">
        <v>1.2999999999999999E-4</v>
      </c>
      <c r="E1083" t="s">
        <v>370</v>
      </c>
      <c r="F1083">
        <v>1.2999999999999999E-4</v>
      </c>
      <c r="G1083">
        <v>1.2999999999999999E-4</v>
      </c>
      <c r="H1083">
        <v>3.1E-4</v>
      </c>
      <c r="I1083">
        <v>1.2999999999999999E-4</v>
      </c>
      <c r="J1083">
        <f>PSI_OC!$A$6</f>
        <v>100</v>
      </c>
      <c r="K1083">
        <v>-1</v>
      </c>
      <c r="L1083" t="s">
        <v>454</v>
      </c>
      <c r="M1083" s="17">
        <f t="shared" si="99"/>
        <v>-1446575.8147041008</v>
      </c>
      <c r="N1083" t="s">
        <v>537</v>
      </c>
    </row>
    <row r="1084" spans="2:14" x14ac:dyDescent="0.2">
      <c r="B1084" s="55"/>
      <c r="C1084" t="s">
        <v>262</v>
      </c>
      <c r="D1084" s="88">
        <v>1.2999999999999999E-4</v>
      </c>
      <c r="E1084" t="s">
        <v>370</v>
      </c>
      <c r="F1084">
        <v>1.2999999999999999E-4</v>
      </c>
      <c r="G1084">
        <v>1.2999999999999999E-4</v>
      </c>
      <c r="H1084">
        <v>3.0599999999999998E-3</v>
      </c>
      <c r="I1084">
        <v>1.2999999999999999E-4</v>
      </c>
      <c r="J1084">
        <f>PSI_OC!$A$6</f>
        <v>100</v>
      </c>
      <c r="K1084">
        <v>-1</v>
      </c>
      <c r="L1084" t="s">
        <v>454</v>
      </c>
      <c r="M1084" s="17">
        <f t="shared" si="99"/>
        <v>-4778011.4234493719</v>
      </c>
      <c r="N1084" t="s">
        <v>537</v>
      </c>
    </row>
    <row r="1085" spans="2:14" x14ac:dyDescent="0.2">
      <c r="B1085" s="55"/>
      <c r="C1085" t="s">
        <v>264</v>
      </c>
      <c r="D1085" s="88">
        <v>1.2700000000000001E-3</v>
      </c>
      <c r="E1085" t="s">
        <v>371</v>
      </c>
      <c r="F1085">
        <v>1.2700000000000001E-3</v>
      </c>
      <c r="G1085">
        <v>1.2700000000000001E-3</v>
      </c>
      <c r="H1085">
        <v>3.0599999999999999E-2</v>
      </c>
      <c r="I1085">
        <v>1.2700000000000001E-3</v>
      </c>
      <c r="J1085">
        <f>PSI_OC!$A$7</f>
        <v>10</v>
      </c>
      <c r="K1085">
        <v>-1</v>
      </c>
      <c r="L1085" t="s">
        <v>455</v>
      </c>
      <c r="M1085" s="17">
        <f t="shared" si="99"/>
        <v>-4753295.2965817489</v>
      </c>
      <c r="N1085" t="s">
        <v>537</v>
      </c>
    </row>
    <row r="1086" spans="2:14" x14ac:dyDescent="0.2">
      <c r="B1086" s="55"/>
      <c r="C1086" t="s">
        <v>265</v>
      </c>
      <c r="D1086" s="88">
        <v>1.2700000000000001E-3</v>
      </c>
      <c r="E1086" t="s">
        <v>371</v>
      </c>
      <c r="F1086">
        <v>1.2700000000000001E-3</v>
      </c>
      <c r="G1086">
        <v>1.2700000000000001E-3</v>
      </c>
      <c r="H1086">
        <v>3.0599999999999998E-3</v>
      </c>
      <c r="I1086">
        <v>1.2700000000000001E-3</v>
      </c>
      <c r="J1086">
        <f>PSI_OC!$A$7</f>
        <v>10</v>
      </c>
      <c r="K1086">
        <v>-1</v>
      </c>
      <c r="L1086" t="s">
        <v>455</v>
      </c>
      <c r="M1086" s="17">
        <f t="shared" si="99"/>
        <v>-1417013.9633146652</v>
      </c>
      <c r="N1086" t="s">
        <v>537</v>
      </c>
    </row>
    <row r="1087" spans="2:14" x14ac:dyDescent="0.2">
      <c r="B1087" s="55"/>
      <c r="C1087" t="s">
        <v>266</v>
      </c>
      <c r="D1087" s="88">
        <v>1.2700000000000001E-3</v>
      </c>
      <c r="E1087" t="s">
        <v>371</v>
      </c>
      <c r="F1087">
        <v>1.2700000000000001E-3</v>
      </c>
      <c r="G1087">
        <v>1.2700000000000001E-3</v>
      </c>
      <c r="H1087">
        <v>3.0599999999999999E-2</v>
      </c>
      <c r="I1087">
        <v>1.2700000000000001E-3</v>
      </c>
      <c r="J1087">
        <v>0</v>
      </c>
      <c r="K1087">
        <v>0</v>
      </c>
      <c r="L1087" t="s">
        <v>455</v>
      </c>
      <c r="M1087" s="17">
        <f t="shared" si="99"/>
        <v>0</v>
      </c>
      <c r="N1087" t="s">
        <v>537</v>
      </c>
    </row>
    <row r="1088" spans="2:14" x14ac:dyDescent="0.2">
      <c r="B1088" s="55"/>
      <c r="C1088" t="s">
        <v>267</v>
      </c>
      <c r="D1088" s="88">
        <v>1.2999999999999999E-4</v>
      </c>
      <c r="E1088" t="s">
        <v>372</v>
      </c>
      <c r="F1088">
        <v>1.2999999999999999E-4</v>
      </c>
      <c r="G1088">
        <v>1.2999999999999999E-4</v>
      </c>
      <c r="H1088">
        <v>3.0599999999999998E-3</v>
      </c>
      <c r="I1088">
        <v>1.2999999999999999E-4</v>
      </c>
      <c r="J1088">
        <v>0</v>
      </c>
      <c r="K1088">
        <v>0</v>
      </c>
      <c r="L1088" t="s">
        <v>456</v>
      </c>
      <c r="M1088" s="17">
        <f t="shared" si="99"/>
        <v>0</v>
      </c>
      <c r="N1088" t="s">
        <v>537</v>
      </c>
    </row>
    <row r="1089" spans="2:14" x14ac:dyDescent="0.2">
      <c r="B1089" s="55"/>
      <c r="C1089" t="s">
        <v>329</v>
      </c>
      <c r="D1089" s="88">
        <v>0.12681999999999999</v>
      </c>
      <c r="E1089" s="75" t="s">
        <v>373</v>
      </c>
      <c r="F1089">
        <v>0.12681999999999999</v>
      </c>
      <c r="G1089">
        <v>0.12681999999999999</v>
      </c>
      <c r="H1089">
        <v>0.30602000000000001</v>
      </c>
      <c r="I1089">
        <v>0.12681999999999999</v>
      </c>
      <c r="J1089">
        <f>PSI_OC!$A$7</f>
        <v>10</v>
      </c>
      <c r="K1089">
        <v>-1</v>
      </c>
      <c r="L1089" t="s">
        <v>457</v>
      </c>
      <c r="M1089" s="17">
        <f t="shared" si="99"/>
        <v>-141555522.43252167</v>
      </c>
      <c r="N1089" t="s">
        <v>537</v>
      </c>
    </row>
    <row r="1090" spans="2:14" x14ac:dyDescent="0.2">
      <c r="B1090" s="55"/>
      <c r="C1090" t="s">
        <v>314</v>
      </c>
      <c r="D1090" s="88">
        <v>1.2700000000000001E-3</v>
      </c>
      <c r="E1090" s="75" t="s">
        <v>374</v>
      </c>
      <c r="F1090">
        <v>1.2700000000000001E-3</v>
      </c>
      <c r="G1090">
        <v>1.2700000000000001E-3</v>
      </c>
      <c r="H1090">
        <v>3.0599999999999998E-3</v>
      </c>
      <c r="I1090">
        <v>1.2700000000000001E-3</v>
      </c>
      <c r="J1090">
        <f>PSI_OC!$A$7</f>
        <v>10</v>
      </c>
      <c r="K1090">
        <v>-1</v>
      </c>
      <c r="L1090" t="s">
        <v>458</v>
      </c>
      <c r="M1090" s="17">
        <f t="shared" si="99"/>
        <v>-1417013.9633146652</v>
      </c>
      <c r="N1090" t="s">
        <v>537</v>
      </c>
    </row>
    <row r="1091" spans="2:14" x14ac:dyDescent="0.2">
      <c r="B1091" s="55"/>
      <c r="C1091" t="s">
        <v>268</v>
      </c>
      <c r="D1091" s="88">
        <v>1.2700000000000001E-3</v>
      </c>
      <c r="E1091" s="75" t="s">
        <v>374</v>
      </c>
      <c r="F1091">
        <v>1.2700000000000001E-3</v>
      </c>
      <c r="G1091">
        <v>1.2700000000000001E-3</v>
      </c>
      <c r="H1091">
        <v>3.0599999999999998E-3</v>
      </c>
      <c r="I1091">
        <v>1.2700000000000001E-3</v>
      </c>
      <c r="J1091">
        <f>PSI_OC!$A$7</f>
        <v>10</v>
      </c>
      <c r="K1091">
        <v>-1</v>
      </c>
      <c r="L1091" t="s">
        <v>458</v>
      </c>
      <c r="M1091" s="17">
        <f t="shared" si="99"/>
        <v>-1417013.9633146652</v>
      </c>
      <c r="N1091" t="s">
        <v>537</v>
      </c>
    </row>
    <row r="1092" spans="2:14" x14ac:dyDescent="0.2">
      <c r="B1092" s="55"/>
      <c r="C1092" t="s">
        <v>269</v>
      </c>
      <c r="D1092" s="88">
        <v>1.2700000000000001E-3</v>
      </c>
      <c r="E1092" s="75" t="s">
        <v>374</v>
      </c>
      <c r="F1092">
        <v>1.2700000000000001E-3</v>
      </c>
      <c r="G1092">
        <v>1.2700000000000001E-3</v>
      </c>
      <c r="H1092">
        <v>3.0599999999999998E-3</v>
      </c>
      <c r="I1092">
        <v>1.2700000000000001E-3</v>
      </c>
      <c r="J1092">
        <v>0</v>
      </c>
      <c r="K1092">
        <v>0</v>
      </c>
      <c r="L1092" t="s">
        <v>458</v>
      </c>
      <c r="M1092" s="17">
        <f t="shared" si="99"/>
        <v>0</v>
      </c>
      <c r="N1092" t="s">
        <v>537</v>
      </c>
    </row>
    <row r="1093" spans="2:14" x14ac:dyDescent="0.2">
      <c r="B1093" s="55"/>
      <c r="C1093" t="s">
        <v>270</v>
      </c>
      <c r="D1093" s="88">
        <v>1.2700000000000001E-3</v>
      </c>
      <c r="E1093" s="75" t="s">
        <v>375</v>
      </c>
      <c r="F1093">
        <v>1.2700000000000001E-3</v>
      </c>
      <c r="G1093">
        <v>1.2700000000000001E-3</v>
      </c>
      <c r="H1093">
        <v>0</v>
      </c>
      <c r="I1093">
        <v>1.2700000000000001E-3</v>
      </c>
      <c r="J1093">
        <f>PSI_OC!$A$6</f>
        <v>100</v>
      </c>
      <c r="K1093">
        <v>-1</v>
      </c>
      <c r="L1093" t="s">
        <v>459</v>
      </c>
      <c r="M1093" s="17">
        <f t="shared" si="99"/>
        <v>-10463160.373961003</v>
      </c>
      <c r="N1093" t="s">
        <v>537</v>
      </c>
    </row>
    <row r="1094" spans="2:14" x14ac:dyDescent="0.2">
      <c r="B1094" s="55"/>
      <c r="C1094" t="s">
        <v>271</v>
      </c>
      <c r="D1094" s="88">
        <v>0.12681999999999999</v>
      </c>
      <c r="E1094" s="75" t="s">
        <v>376</v>
      </c>
      <c r="F1094">
        <v>0.12681999999999999</v>
      </c>
      <c r="G1094">
        <v>0.12681999999999999</v>
      </c>
      <c r="H1094">
        <v>3.0602</v>
      </c>
      <c r="I1094">
        <v>0.12681999999999999</v>
      </c>
      <c r="J1094">
        <v>0</v>
      </c>
      <c r="K1094">
        <v>0</v>
      </c>
      <c r="L1094" t="s">
        <v>460</v>
      </c>
      <c r="M1094" s="17">
        <f t="shared" si="99"/>
        <v>0</v>
      </c>
      <c r="N1094" t="s">
        <v>537</v>
      </c>
    </row>
    <row r="1095" spans="2:14" x14ac:dyDescent="0.2">
      <c r="B1095" s="55"/>
      <c r="C1095" t="s">
        <v>272</v>
      </c>
      <c r="D1095" s="88">
        <v>1.26824</v>
      </c>
      <c r="E1095" t="s">
        <v>377</v>
      </c>
      <c r="F1095">
        <v>1.26824</v>
      </c>
      <c r="G1095">
        <v>1.26824</v>
      </c>
      <c r="H1095">
        <v>3.0599999999999998E-3</v>
      </c>
      <c r="I1095">
        <v>1.26824</v>
      </c>
      <c r="J1095">
        <v>0</v>
      </c>
      <c r="K1095">
        <v>0</v>
      </c>
      <c r="L1095" t="s">
        <v>461</v>
      </c>
      <c r="M1095" s="17">
        <f t="shared" si="99"/>
        <v>0</v>
      </c>
      <c r="N1095" t="s">
        <v>537</v>
      </c>
    </row>
    <row r="1096" spans="2:14" x14ac:dyDescent="0.2">
      <c r="B1096" s="55"/>
      <c r="C1096" t="s">
        <v>273</v>
      </c>
      <c r="D1096" s="88">
        <v>1.2999999999999999E-4</v>
      </c>
      <c r="E1096" t="s">
        <v>378</v>
      </c>
      <c r="F1096">
        <v>1.2999999999999999E-4</v>
      </c>
      <c r="G1096">
        <v>1.2999999999999999E-4</v>
      </c>
      <c r="H1096">
        <v>3.0602</v>
      </c>
      <c r="I1096">
        <v>1.2999999999999999E-4</v>
      </c>
      <c r="J1096">
        <f>PSI_OC!$A$7</f>
        <v>10</v>
      </c>
      <c r="K1096">
        <v>-1</v>
      </c>
      <c r="L1096" t="s">
        <v>462</v>
      </c>
      <c r="M1096" s="17">
        <f t="shared" si="99"/>
        <v>-370829257.75760025</v>
      </c>
      <c r="N1096" t="s">
        <v>537</v>
      </c>
    </row>
    <row r="1097" spans="2:14" x14ac:dyDescent="0.2">
      <c r="B1097" s="55"/>
      <c r="C1097" t="s">
        <v>274</v>
      </c>
      <c r="D1097" s="88">
        <v>1.2999999999999999E-4</v>
      </c>
      <c r="E1097" t="s">
        <v>379</v>
      </c>
      <c r="F1097">
        <v>1.2999999999999999E-4</v>
      </c>
      <c r="G1097">
        <v>1.2999999999999999E-4</v>
      </c>
      <c r="H1097">
        <v>3.1E-4</v>
      </c>
      <c r="I1097">
        <v>1.2999999999999999E-4</v>
      </c>
      <c r="J1097">
        <v>0</v>
      </c>
      <c r="K1097">
        <v>0</v>
      </c>
      <c r="L1097" t="s">
        <v>463</v>
      </c>
      <c r="M1097" s="17">
        <f t="shared" si="99"/>
        <v>0</v>
      </c>
      <c r="N1097" t="s">
        <v>537</v>
      </c>
    </row>
    <row r="1098" spans="2:14" x14ac:dyDescent="0.2">
      <c r="B1098" s="55"/>
      <c r="C1098" t="s">
        <v>275</v>
      </c>
      <c r="D1098" s="88">
        <v>1.26824</v>
      </c>
      <c r="E1098" t="s">
        <v>377</v>
      </c>
      <c r="F1098">
        <v>1.26824</v>
      </c>
      <c r="G1098">
        <v>1.26824</v>
      </c>
      <c r="H1098">
        <v>3.0599999999999998E-3</v>
      </c>
      <c r="I1098">
        <v>1.26824</v>
      </c>
      <c r="J1098">
        <f>PSI_OC!$A$6</f>
        <v>100</v>
      </c>
      <c r="K1098">
        <v>-1</v>
      </c>
      <c r="L1098" t="s">
        <v>461</v>
      </c>
      <c r="M1098" s="17">
        <f t="shared" si="99"/>
        <v>-10452367225.457851</v>
      </c>
      <c r="N1098" t="s">
        <v>537</v>
      </c>
    </row>
    <row r="1099" spans="2:14" x14ac:dyDescent="0.2">
      <c r="B1099" s="55"/>
      <c r="C1099" t="s">
        <v>276</v>
      </c>
      <c r="D1099" s="88">
        <v>1.26824</v>
      </c>
      <c r="E1099" t="s">
        <v>377</v>
      </c>
      <c r="F1099">
        <v>1.26824</v>
      </c>
      <c r="G1099">
        <v>1.26824</v>
      </c>
      <c r="H1099">
        <v>3.0599999999999998E-3</v>
      </c>
      <c r="I1099">
        <v>1.26824</v>
      </c>
      <c r="J1099">
        <f>PSI_OC!$A$6</f>
        <v>100</v>
      </c>
      <c r="K1099">
        <v>-1</v>
      </c>
      <c r="L1099" t="s">
        <v>461</v>
      </c>
      <c r="M1099" s="17">
        <f t="shared" si="99"/>
        <v>-10452367225.457851</v>
      </c>
      <c r="N1099" t="s">
        <v>537</v>
      </c>
    </row>
    <row r="1100" spans="2:14" x14ac:dyDescent="0.2">
      <c r="B1100" s="55"/>
      <c r="C1100" t="s">
        <v>277</v>
      </c>
      <c r="D1100" s="88">
        <v>1.2700000000000001E-3</v>
      </c>
      <c r="E1100" t="s">
        <v>380</v>
      </c>
      <c r="F1100">
        <v>1.2700000000000001E-3</v>
      </c>
      <c r="G1100">
        <v>1.2700000000000001E-3</v>
      </c>
      <c r="H1100">
        <v>3.1E-4</v>
      </c>
      <c r="I1100">
        <v>1.2700000000000001E-3</v>
      </c>
      <c r="J1100">
        <f>PSI_OC!$A$6</f>
        <v>100</v>
      </c>
      <c r="K1100">
        <v>-1</v>
      </c>
      <c r="L1100" t="s">
        <v>464</v>
      </c>
      <c r="M1100" s="17">
        <f t="shared" si="99"/>
        <v>-10838704.024401382</v>
      </c>
      <c r="N1100" t="s">
        <v>537</v>
      </c>
    </row>
    <row r="1101" spans="2:14" x14ac:dyDescent="0.2">
      <c r="B1101" s="55"/>
      <c r="C1101" t="s">
        <v>278</v>
      </c>
      <c r="D1101" s="88">
        <v>1.26824</v>
      </c>
      <c r="E1101" t="s">
        <v>381</v>
      </c>
      <c r="F1101">
        <v>1.26824</v>
      </c>
      <c r="G1101">
        <v>1.26824</v>
      </c>
      <c r="H1101">
        <v>3.0602</v>
      </c>
      <c r="I1101">
        <v>1.26824</v>
      </c>
      <c r="J1101">
        <f>PSI_OC!$A$6</f>
        <v>100</v>
      </c>
      <c r="K1101">
        <v>-1</v>
      </c>
      <c r="L1101" t="s">
        <v>465</v>
      </c>
      <c r="M1101" s="17">
        <f t="shared" ref="M1101:M1132" si="100">((SUM(B$1037:B$1039)*D1101)+(SUM(B$1040:B$1041,B$1044,B$1046)*H1101)+(B$1042*F1101)+(B$1043*G1101)+(B$1045*I1101))*J1101*K1101</f>
        <v>-14155881791.610405</v>
      </c>
      <c r="N1101" t="s">
        <v>537</v>
      </c>
    </row>
    <row r="1102" spans="2:14" x14ac:dyDescent="0.2">
      <c r="B1102" s="55"/>
      <c r="C1102" t="s">
        <v>330</v>
      </c>
      <c r="D1102" s="88">
        <v>1.2999999999999999E-4</v>
      </c>
      <c r="E1102" t="s">
        <v>382</v>
      </c>
      <c r="F1102">
        <v>1.2999999999999999E-4</v>
      </c>
      <c r="G1102">
        <v>1.2999999999999999E-4</v>
      </c>
      <c r="H1102">
        <v>3.1E-4</v>
      </c>
      <c r="I1102">
        <v>1.2999999999999999E-4</v>
      </c>
      <c r="J1102">
        <f>PSI_OC!$A$7</f>
        <v>10</v>
      </c>
      <c r="K1102">
        <v>-1</v>
      </c>
      <c r="L1102" t="s">
        <v>466</v>
      </c>
      <c r="M1102" s="17">
        <f t="shared" si="100"/>
        <v>-144657.58147041008</v>
      </c>
      <c r="N1102" t="s">
        <v>537</v>
      </c>
    </row>
    <row r="1103" spans="2:14" x14ac:dyDescent="0.2">
      <c r="B1103" s="55"/>
      <c r="C1103" t="s">
        <v>279</v>
      </c>
      <c r="D1103" s="88">
        <v>1.2999999999999999E-4</v>
      </c>
      <c r="E1103" t="s">
        <v>382</v>
      </c>
      <c r="F1103">
        <v>1.2999999999999999E-4</v>
      </c>
      <c r="G1103">
        <v>1.2999999999999999E-4</v>
      </c>
      <c r="H1103">
        <v>3.1E-4</v>
      </c>
      <c r="I1103">
        <v>1.2999999999999999E-4</v>
      </c>
      <c r="J1103">
        <f>PSI_OC!$A$7</f>
        <v>10</v>
      </c>
      <c r="K1103">
        <v>-1</v>
      </c>
      <c r="L1103" t="s">
        <v>466</v>
      </c>
      <c r="M1103" s="17">
        <f t="shared" si="100"/>
        <v>-144657.58147041008</v>
      </c>
      <c r="N1103" t="s">
        <v>537</v>
      </c>
    </row>
    <row r="1104" spans="2:14" x14ac:dyDescent="0.2">
      <c r="B1104" s="55"/>
      <c r="C1104" t="s">
        <v>280</v>
      </c>
      <c r="D1104" s="88">
        <v>1.2999999999999999E-4</v>
      </c>
      <c r="E1104" t="s">
        <v>382</v>
      </c>
      <c r="F1104">
        <v>1.2999999999999999E-4</v>
      </c>
      <c r="G1104">
        <v>1.2999999999999999E-4</v>
      </c>
      <c r="H1104">
        <v>3.0599999999999998E-3</v>
      </c>
      <c r="I1104">
        <v>1.2999999999999999E-4</v>
      </c>
      <c r="J1104">
        <v>0</v>
      </c>
      <c r="K1104">
        <v>0</v>
      </c>
      <c r="L1104" t="s">
        <v>466</v>
      </c>
      <c r="M1104" s="17">
        <f t="shared" si="100"/>
        <v>0</v>
      </c>
      <c r="N1104" t="s">
        <v>537</v>
      </c>
    </row>
    <row r="1105" spans="2:14" x14ac:dyDescent="0.2">
      <c r="B1105" s="55"/>
      <c r="C1105" t="s">
        <v>331</v>
      </c>
      <c r="D1105" s="88">
        <v>1.2700000000000001E-3</v>
      </c>
      <c r="E1105" t="s">
        <v>383</v>
      </c>
      <c r="F1105">
        <v>1.2700000000000001E-3</v>
      </c>
      <c r="G1105">
        <v>1.2700000000000001E-3</v>
      </c>
      <c r="H1105">
        <v>3.0599999999999998E-3</v>
      </c>
      <c r="I1105">
        <v>1.2700000000000001E-3</v>
      </c>
      <c r="J1105">
        <v>0</v>
      </c>
      <c r="K1105">
        <v>0</v>
      </c>
      <c r="L1105" t="s">
        <v>467</v>
      </c>
      <c r="M1105" s="17">
        <f t="shared" si="100"/>
        <v>0</v>
      </c>
      <c r="N1105" t="s">
        <v>537</v>
      </c>
    </row>
    <row r="1106" spans="2:14" x14ac:dyDescent="0.2">
      <c r="B1106" s="55"/>
      <c r="C1106" t="s">
        <v>281</v>
      </c>
      <c r="D1106" s="88">
        <v>1.2999999999999999E-4</v>
      </c>
      <c r="E1106" t="s">
        <v>384</v>
      </c>
      <c r="F1106">
        <v>1.2999999999999999E-4</v>
      </c>
      <c r="G1106">
        <v>1.2999999999999999E-4</v>
      </c>
      <c r="H1106">
        <v>3.1E-4</v>
      </c>
      <c r="I1106">
        <v>1.2999999999999999E-4</v>
      </c>
      <c r="J1106">
        <f>PSI_OC!$A$7</f>
        <v>10</v>
      </c>
      <c r="K1106">
        <v>-1</v>
      </c>
      <c r="L1106" t="s">
        <v>468</v>
      </c>
      <c r="M1106" s="17">
        <f t="shared" si="100"/>
        <v>-144657.58147041008</v>
      </c>
      <c r="N1106" t="s">
        <v>537</v>
      </c>
    </row>
    <row r="1107" spans="2:14" x14ac:dyDescent="0.2">
      <c r="B1107" s="55"/>
      <c r="C1107" t="s">
        <v>282</v>
      </c>
      <c r="D1107" s="88">
        <v>0.12681999999999999</v>
      </c>
      <c r="E1107" t="s">
        <v>385</v>
      </c>
      <c r="F1107">
        <v>0.12681999999999999</v>
      </c>
      <c r="G1107">
        <v>0.12681999999999999</v>
      </c>
      <c r="H1107">
        <v>0.30602000000000001</v>
      </c>
      <c r="I1107">
        <v>0.12681999999999999</v>
      </c>
      <c r="J1107">
        <v>0</v>
      </c>
      <c r="K1107">
        <v>0</v>
      </c>
      <c r="L1107" t="s">
        <v>469</v>
      </c>
      <c r="M1107" s="17">
        <f t="shared" si="100"/>
        <v>0</v>
      </c>
      <c r="N1107" t="s">
        <v>537</v>
      </c>
    </row>
    <row r="1108" spans="2:14" x14ac:dyDescent="0.2">
      <c r="B1108" s="55"/>
      <c r="C1108" t="s">
        <v>332</v>
      </c>
      <c r="D1108" s="88">
        <v>1.268E-2</v>
      </c>
      <c r="E1108" t="s">
        <v>386</v>
      </c>
      <c r="F1108">
        <v>1.268E-2</v>
      </c>
      <c r="G1108">
        <v>1.268E-2</v>
      </c>
      <c r="H1108">
        <v>3.0599999999999998E-3</v>
      </c>
      <c r="I1108">
        <v>1.268E-2</v>
      </c>
      <c r="J1108">
        <v>0</v>
      </c>
      <c r="K1108">
        <v>0</v>
      </c>
      <c r="L1108" t="s">
        <v>470</v>
      </c>
      <c r="M1108" s="17">
        <f t="shared" si="100"/>
        <v>0</v>
      </c>
      <c r="N1108" t="s">
        <v>537</v>
      </c>
    </row>
    <row r="1109" spans="2:14" x14ac:dyDescent="0.2">
      <c r="B1109" s="55"/>
      <c r="C1109" t="s">
        <v>283</v>
      </c>
      <c r="D1109" s="88">
        <v>1.2700000000000001E-3</v>
      </c>
      <c r="E1109" t="s">
        <v>387</v>
      </c>
      <c r="F1109">
        <v>1.2700000000000001E-3</v>
      </c>
      <c r="G1109">
        <v>1.2700000000000001E-3</v>
      </c>
      <c r="H1109">
        <v>3.0599999999999998E-3</v>
      </c>
      <c r="I1109">
        <v>1.2700000000000001E-3</v>
      </c>
      <c r="J1109">
        <f>PSI_OC!$A$7</f>
        <v>10</v>
      </c>
      <c r="K1109">
        <v>-1</v>
      </c>
      <c r="L1109" t="s">
        <v>471</v>
      </c>
      <c r="M1109" s="17">
        <f t="shared" si="100"/>
        <v>-1417013.9633146652</v>
      </c>
      <c r="N1109" t="s">
        <v>537</v>
      </c>
    </row>
    <row r="1110" spans="2:14" x14ac:dyDescent="0.2">
      <c r="B1110" s="55"/>
      <c r="C1110" t="s">
        <v>284</v>
      </c>
      <c r="D1110" s="88">
        <v>1.2999999999999999E-4</v>
      </c>
      <c r="E1110" t="s">
        <v>388</v>
      </c>
      <c r="F1110">
        <v>1.2999999999999999E-4</v>
      </c>
      <c r="G1110">
        <v>1.2999999999999999E-4</v>
      </c>
      <c r="H1110">
        <v>3.0602</v>
      </c>
      <c r="I1110">
        <v>1.2999999999999999E-4</v>
      </c>
      <c r="J1110">
        <f>PSI_OC!$A$7</f>
        <v>10</v>
      </c>
      <c r="K1110">
        <v>-1</v>
      </c>
      <c r="L1110" t="s">
        <v>472</v>
      </c>
      <c r="M1110" s="17">
        <f t="shared" si="100"/>
        <v>-370829257.75760025</v>
      </c>
      <c r="N1110" t="s">
        <v>537</v>
      </c>
    </row>
    <row r="1111" spans="2:14" x14ac:dyDescent="0.2">
      <c r="B1111" s="55"/>
      <c r="C1111" t="s">
        <v>285</v>
      </c>
      <c r="D1111" s="88">
        <v>1.2700000000000001E-3</v>
      </c>
      <c r="E1111" t="s">
        <v>389</v>
      </c>
      <c r="F1111">
        <v>1.2700000000000001E-3</v>
      </c>
      <c r="G1111">
        <v>1.2700000000000001E-3</v>
      </c>
      <c r="H1111">
        <v>3.0599999999999998E-3</v>
      </c>
      <c r="I1111">
        <v>1.2700000000000001E-3</v>
      </c>
      <c r="J1111">
        <f>PSI_OC!$A$7</f>
        <v>10</v>
      </c>
      <c r="K1111">
        <v>-1</v>
      </c>
      <c r="L1111" t="s">
        <v>473</v>
      </c>
      <c r="M1111" s="17">
        <f t="shared" si="100"/>
        <v>-1417013.9633146652</v>
      </c>
      <c r="N1111" t="s">
        <v>537</v>
      </c>
    </row>
    <row r="1112" spans="2:14" x14ac:dyDescent="0.2">
      <c r="B1112" s="55"/>
      <c r="C1112" t="s">
        <v>286</v>
      </c>
      <c r="D1112" s="88">
        <v>1.268E-2</v>
      </c>
      <c r="E1112" t="s">
        <v>390</v>
      </c>
      <c r="F1112">
        <v>1.268E-2</v>
      </c>
      <c r="G1112">
        <v>1.268E-2</v>
      </c>
      <c r="H1112">
        <v>3.0599999999999998E-3</v>
      </c>
      <c r="I1112">
        <v>1.268E-2</v>
      </c>
      <c r="J1112">
        <f>PSI_OC!$A$6</f>
        <v>100</v>
      </c>
      <c r="K1112">
        <v>-1</v>
      </c>
      <c r="L1112" t="s">
        <v>474</v>
      </c>
      <c r="M1112" s="17">
        <f t="shared" si="100"/>
        <v>-108173808.81967819</v>
      </c>
      <c r="N1112" t="s">
        <v>537</v>
      </c>
    </row>
    <row r="1113" spans="2:14" x14ac:dyDescent="0.2">
      <c r="B1113" s="55"/>
      <c r="C1113" t="s">
        <v>287</v>
      </c>
      <c r="D1113" s="88">
        <v>1.2700000000000001E-3</v>
      </c>
      <c r="E1113" t="s">
        <v>391</v>
      </c>
      <c r="F1113">
        <v>1.2700000000000001E-3</v>
      </c>
      <c r="G1113">
        <v>1.2700000000000001E-3</v>
      </c>
      <c r="H1113">
        <v>3.0599999999999998E-3</v>
      </c>
      <c r="I1113">
        <v>1.2700000000000001E-3</v>
      </c>
      <c r="J1113">
        <f>PSI_OC!$A$6</f>
        <v>100</v>
      </c>
      <c r="K1113">
        <v>-1</v>
      </c>
      <c r="L1113" t="s">
        <v>475</v>
      </c>
      <c r="M1113" s="17">
        <f t="shared" si="100"/>
        <v>-14170139.633146653</v>
      </c>
      <c r="N1113" t="s">
        <v>537</v>
      </c>
    </row>
    <row r="1114" spans="2:14" x14ac:dyDescent="0.2">
      <c r="B1114" s="55"/>
      <c r="C1114" t="s">
        <v>288</v>
      </c>
      <c r="D1114" s="88">
        <v>1.2700000000000001E-3</v>
      </c>
      <c r="E1114" t="s">
        <v>392</v>
      </c>
      <c r="F1114">
        <v>1.2700000000000001E-3</v>
      </c>
      <c r="G1114">
        <v>1.2700000000000001E-3</v>
      </c>
      <c r="H1114">
        <v>3.0599999999999998E-3</v>
      </c>
      <c r="I1114">
        <v>1.2700000000000001E-3</v>
      </c>
      <c r="J1114">
        <f>PSI_OC!$A$6</f>
        <v>100</v>
      </c>
      <c r="K1114">
        <v>-1</v>
      </c>
      <c r="L1114" t="s">
        <v>476</v>
      </c>
      <c r="M1114" s="17">
        <f t="shared" si="100"/>
        <v>-14170139.633146653</v>
      </c>
      <c r="N1114" t="s">
        <v>537</v>
      </c>
    </row>
    <row r="1115" spans="2:14" x14ac:dyDescent="0.2">
      <c r="B1115" s="55"/>
      <c r="C1115" t="s">
        <v>333</v>
      </c>
      <c r="D1115" s="88">
        <v>1.2700000000000001E-3</v>
      </c>
      <c r="E1115" t="s">
        <v>340</v>
      </c>
      <c r="F1115">
        <v>1.2700000000000001E-3</v>
      </c>
      <c r="G1115">
        <v>1.2700000000000001E-3</v>
      </c>
      <c r="H1115">
        <v>3.0599999999999998E-3</v>
      </c>
      <c r="I1115">
        <v>1.2999999999999999E-4</v>
      </c>
      <c r="J1115">
        <f>PSI_OC!$A$7</f>
        <v>10</v>
      </c>
      <c r="K1115">
        <v>-1</v>
      </c>
      <c r="L1115" t="s">
        <v>424</v>
      </c>
      <c r="M1115" s="17">
        <f t="shared" si="100"/>
        <v>-484461.99330167938</v>
      </c>
      <c r="N1115" t="s">
        <v>537</v>
      </c>
    </row>
    <row r="1116" spans="2:14" x14ac:dyDescent="0.2">
      <c r="B1116" s="55"/>
      <c r="C1116" t="s">
        <v>334</v>
      </c>
      <c r="D1116" s="88">
        <v>1.268E-2</v>
      </c>
      <c r="E1116" t="s">
        <v>393</v>
      </c>
      <c r="F1116">
        <v>1.268E-2</v>
      </c>
      <c r="G1116">
        <v>1.268E-2</v>
      </c>
      <c r="H1116">
        <v>3.0599999999999999E-2</v>
      </c>
      <c r="I1116">
        <v>1.268E-2</v>
      </c>
      <c r="J1116">
        <v>0</v>
      </c>
      <c r="K1116">
        <v>0</v>
      </c>
      <c r="L1116" t="s">
        <v>477</v>
      </c>
      <c r="M1116" s="17">
        <f t="shared" si="100"/>
        <v>0</v>
      </c>
      <c r="N1116" t="s">
        <v>537</v>
      </c>
    </row>
    <row r="1117" spans="2:14" x14ac:dyDescent="0.2">
      <c r="B1117" s="55"/>
      <c r="C1117" t="s">
        <v>335</v>
      </c>
      <c r="D1117" s="88">
        <v>1.2700000000000001E-3</v>
      </c>
      <c r="E1117" t="s">
        <v>394</v>
      </c>
      <c r="F1117">
        <v>1.2700000000000001E-3</v>
      </c>
      <c r="G1117">
        <v>1.2700000000000001E-3</v>
      </c>
      <c r="H1117">
        <v>3.0599999999999998E-3</v>
      </c>
      <c r="I1117">
        <v>1.2700000000000001E-3</v>
      </c>
      <c r="J1117">
        <f>PSI_OC!$A$7</f>
        <v>10</v>
      </c>
      <c r="K1117">
        <v>-1</v>
      </c>
      <c r="L1117" t="s">
        <v>478</v>
      </c>
      <c r="M1117" s="17">
        <f t="shared" si="100"/>
        <v>-1417013.9633146652</v>
      </c>
      <c r="N1117" t="s">
        <v>537</v>
      </c>
    </row>
    <row r="1118" spans="2:14" x14ac:dyDescent="0.2">
      <c r="B1118" s="55"/>
      <c r="C1118" t="s">
        <v>289</v>
      </c>
      <c r="D1118" s="88">
        <v>1.2700000000000001E-3</v>
      </c>
      <c r="E1118" t="s">
        <v>395</v>
      </c>
      <c r="F1118">
        <v>1.2700000000000001E-3</v>
      </c>
      <c r="G1118">
        <v>1.2700000000000001E-3</v>
      </c>
      <c r="H1118">
        <v>0.30602000000000001</v>
      </c>
      <c r="I1118">
        <v>1.2700000000000001E-3</v>
      </c>
      <c r="J1118">
        <f>PSI_OC!$A$7</f>
        <v>10</v>
      </c>
      <c r="K1118">
        <v>-1</v>
      </c>
      <c r="L1118" t="s">
        <v>479</v>
      </c>
      <c r="M1118" s="17">
        <f t="shared" si="100"/>
        <v>-38118531.491513491</v>
      </c>
      <c r="N1118" t="s">
        <v>537</v>
      </c>
    </row>
    <row r="1119" spans="2:14" x14ac:dyDescent="0.2">
      <c r="B1119" s="55"/>
      <c r="C1119" t="s">
        <v>290</v>
      </c>
      <c r="D1119" s="88">
        <v>1.2999999999999999E-4</v>
      </c>
      <c r="E1119" t="s">
        <v>396</v>
      </c>
      <c r="F1119">
        <v>1.2999999999999999E-4</v>
      </c>
      <c r="G1119">
        <v>1.2999999999999999E-4</v>
      </c>
      <c r="H1119">
        <v>3.1E-4</v>
      </c>
      <c r="I1119">
        <v>1.2999999999999999E-4</v>
      </c>
      <c r="J1119">
        <f>PSI_OC!$A$7</f>
        <v>10</v>
      </c>
      <c r="K1119">
        <v>-1</v>
      </c>
      <c r="L1119" t="s">
        <v>480</v>
      </c>
      <c r="M1119" s="17">
        <f t="shared" si="100"/>
        <v>-144657.58147041008</v>
      </c>
      <c r="N1119" t="s">
        <v>537</v>
      </c>
    </row>
    <row r="1120" spans="2:14" x14ac:dyDescent="0.2">
      <c r="B1120" s="55"/>
      <c r="C1120" t="s">
        <v>291</v>
      </c>
      <c r="D1120" s="88">
        <v>1.2999999999999999E-4</v>
      </c>
      <c r="E1120" t="s">
        <v>397</v>
      </c>
      <c r="F1120">
        <v>1.2999999999999999E-4</v>
      </c>
      <c r="G1120">
        <v>1.2999999999999999E-4</v>
      </c>
      <c r="H1120">
        <v>3.1E-4</v>
      </c>
      <c r="I1120">
        <v>1.2999999999999999E-4</v>
      </c>
      <c r="J1120">
        <f>PSI_OC!$A$8</f>
        <v>1</v>
      </c>
      <c r="K1120">
        <v>-1</v>
      </c>
      <c r="L1120" t="s">
        <v>481</v>
      </c>
      <c r="M1120" s="17">
        <f t="shared" si="100"/>
        <v>-14465.758147041008</v>
      </c>
      <c r="N1120" t="s">
        <v>537</v>
      </c>
    </row>
    <row r="1121" spans="1:14" x14ac:dyDescent="0.2">
      <c r="B1121" s="55"/>
      <c r="C1121" t="s">
        <v>292</v>
      </c>
      <c r="D1121" s="88">
        <v>1.268E-2</v>
      </c>
      <c r="E1121" t="s">
        <v>360</v>
      </c>
      <c r="F1121">
        <v>1.268E-2</v>
      </c>
      <c r="G1121">
        <v>1.268E-2</v>
      </c>
      <c r="H1121">
        <v>3.0599999999999998E-3</v>
      </c>
      <c r="I1121">
        <v>1.268E-2</v>
      </c>
      <c r="J1121">
        <f>PSI_OC!$A$6</f>
        <v>100</v>
      </c>
      <c r="K1121">
        <v>-1</v>
      </c>
      <c r="L1121" t="s">
        <v>444</v>
      </c>
      <c r="M1121" s="17">
        <f t="shared" si="100"/>
        <v>-108173808.81967819</v>
      </c>
      <c r="N1121" t="s">
        <v>537</v>
      </c>
    </row>
    <row r="1122" spans="1:14" x14ac:dyDescent="0.2">
      <c r="B1122" s="55"/>
      <c r="C1122" t="s">
        <v>293</v>
      </c>
      <c r="D1122" s="88">
        <v>1.26824</v>
      </c>
      <c r="E1122" t="s">
        <v>398</v>
      </c>
      <c r="F1122">
        <v>1.26824</v>
      </c>
      <c r="G1122">
        <v>1.26824</v>
      </c>
      <c r="H1122">
        <v>3.0599999999999998E-3</v>
      </c>
      <c r="I1122">
        <v>1.26824</v>
      </c>
      <c r="J1122">
        <f>PSI_OC!$A$7</f>
        <v>10</v>
      </c>
      <c r="K1122">
        <v>-1</v>
      </c>
      <c r="L1122" t="s">
        <v>482</v>
      </c>
      <c r="M1122" s="17">
        <f t="shared" si="100"/>
        <v>-1045236722.5457852</v>
      </c>
      <c r="N1122" t="s">
        <v>537</v>
      </c>
    </row>
    <row r="1123" spans="1:14" x14ac:dyDescent="0.2">
      <c r="B1123" s="55"/>
      <c r="C1123" t="s">
        <v>294</v>
      </c>
      <c r="D1123" s="88">
        <v>1.2999999999999999E-4</v>
      </c>
      <c r="E1123" t="s">
        <v>399</v>
      </c>
      <c r="F1123">
        <v>1.2999999999999999E-4</v>
      </c>
      <c r="G1123">
        <v>1.2999999999999999E-4</v>
      </c>
      <c r="H1123">
        <v>3.1E-4</v>
      </c>
      <c r="I1123">
        <v>1.2999999999999999E-4</v>
      </c>
      <c r="J1123">
        <f>PSI_OC!$A$8</f>
        <v>1</v>
      </c>
      <c r="K1123">
        <v>-1</v>
      </c>
      <c r="L1123" t="s">
        <v>483</v>
      </c>
      <c r="M1123" s="17">
        <f t="shared" si="100"/>
        <v>-14465.758147041008</v>
      </c>
      <c r="N1123" t="s">
        <v>537</v>
      </c>
    </row>
    <row r="1124" spans="1:14" x14ac:dyDescent="0.2">
      <c r="B1124" s="55"/>
      <c r="C1124" t="s">
        <v>336</v>
      </c>
      <c r="D1124" s="88">
        <v>1.2700000000000001E-3</v>
      </c>
      <c r="E1124" t="s">
        <v>400</v>
      </c>
      <c r="F1124">
        <v>1.2700000000000001E-3</v>
      </c>
      <c r="G1124">
        <v>1.2700000000000001E-3</v>
      </c>
      <c r="H1124">
        <v>0</v>
      </c>
      <c r="I1124">
        <v>1.2700000000000001E-3</v>
      </c>
      <c r="J1124">
        <f>PSI_OC!$A$6</f>
        <v>100</v>
      </c>
      <c r="K1124">
        <v>-1</v>
      </c>
      <c r="L1124" t="s">
        <v>484</v>
      </c>
      <c r="M1124" s="17">
        <f t="shared" si="100"/>
        <v>-10463160.373961003</v>
      </c>
      <c r="N1124" t="s">
        <v>537</v>
      </c>
    </row>
    <row r="1125" spans="1:14" x14ac:dyDescent="0.2">
      <c r="B1125" s="55"/>
      <c r="C1125" t="s">
        <v>295</v>
      </c>
      <c r="D1125" s="88">
        <v>1.2999999999999999E-4</v>
      </c>
      <c r="E1125" t="s">
        <v>401</v>
      </c>
      <c r="F1125">
        <v>1.2999999999999999E-4</v>
      </c>
      <c r="G1125">
        <v>1.2999999999999999E-4</v>
      </c>
      <c r="H1125">
        <v>3.1E-4</v>
      </c>
      <c r="I1125">
        <v>1.2999999999999999E-4</v>
      </c>
      <c r="J1125">
        <f>PSI_OC!$A$6</f>
        <v>100</v>
      </c>
      <c r="K1125">
        <v>-1</v>
      </c>
      <c r="L1125" t="s">
        <v>485</v>
      </c>
      <c r="M1125" s="17">
        <f t="shared" si="100"/>
        <v>-1446575.8147041008</v>
      </c>
      <c r="N1125" t="s">
        <v>537</v>
      </c>
    </row>
    <row r="1126" spans="1:14" x14ac:dyDescent="0.2">
      <c r="C1126" t="s">
        <v>296</v>
      </c>
      <c r="D1126" s="88">
        <v>1.26824</v>
      </c>
      <c r="E1126" t="s">
        <v>402</v>
      </c>
      <c r="F1126">
        <v>1.26824</v>
      </c>
      <c r="G1126">
        <v>1.26824</v>
      </c>
      <c r="H1126">
        <v>3.0599999999999998E-3</v>
      </c>
      <c r="I1126">
        <v>1.26824</v>
      </c>
      <c r="J1126">
        <f>PSI_OC!$A$7</f>
        <v>10</v>
      </c>
      <c r="K1126">
        <v>-1</v>
      </c>
      <c r="L1126" t="s">
        <v>486</v>
      </c>
      <c r="M1126" s="17">
        <f t="shared" si="100"/>
        <v>-1045236722.5457852</v>
      </c>
      <c r="N1126" t="s">
        <v>537</v>
      </c>
    </row>
    <row r="1127" spans="1:14" x14ac:dyDescent="0.2">
      <c r="C1127" t="s">
        <v>297</v>
      </c>
      <c r="D1127" s="88">
        <v>1.2999999999999999E-4</v>
      </c>
      <c r="E1127" t="s">
        <v>403</v>
      </c>
      <c r="F1127">
        <v>1.2999999999999999E-4</v>
      </c>
      <c r="G1127">
        <v>1.2999999999999999E-4</v>
      </c>
      <c r="H1127">
        <v>3.0599999999999998E-3</v>
      </c>
      <c r="I1127">
        <v>1.2999999999999999E-4</v>
      </c>
      <c r="J1127">
        <f>PSI_OC!$A$7</f>
        <v>10</v>
      </c>
      <c r="K1127">
        <v>-1</v>
      </c>
      <c r="L1127" t="s">
        <v>487</v>
      </c>
      <c r="M1127" s="17">
        <f t="shared" si="100"/>
        <v>-477801.14234493719</v>
      </c>
      <c r="N1127" t="s">
        <v>537</v>
      </c>
    </row>
    <row r="1128" spans="1:14" x14ac:dyDescent="0.2">
      <c r="C1128" t="s">
        <v>298</v>
      </c>
      <c r="D1128" s="88">
        <v>1.2700000000000001E-3</v>
      </c>
      <c r="E1128" t="s">
        <v>394</v>
      </c>
      <c r="F1128">
        <v>1.2999999999999999E-4</v>
      </c>
      <c r="G1128">
        <v>1.2999999999999999E-4</v>
      </c>
      <c r="H1128">
        <v>3.0599999999999998E-3</v>
      </c>
      <c r="I1128">
        <v>1.2999999999999999E-4</v>
      </c>
      <c r="J1128">
        <f>PSI_OC!$A$7</f>
        <v>10</v>
      </c>
      <c r="K1128">
        <v>-1</v>
      </c>
      <c r="L1128" t="s">
        <v>478</v>
      </c>
      <c r="M1128" s="17">
        <f t="shared" si="100"/>
        <v>-479766.83392226283</v>
      </c>
      <c r="N1128" t="s">
        <v>537</v>
      </c>
    </row>
    <row r="1129" spans="1:14" x14ac:dyDescent="0.2">
      <c r="C1129" t="s">
        <v>299</v>
      </c>
      <c r="D1129" s="88">
        <v>1.2999999999999999E-4</v>
      </c>
      <c r="E1129" t="s">
        <v>404</v>
      </c>
      <c r="F1129">
        <v>1.2999999999999999E-4</v>
      </c>
      <c r="G1129">
        <v>1.2999999999999999E-4</v>
      </c>
      <c r="H1129">
        <v>0.30602000000000001</v>
      </c>
      <c r="I1129">
        <v>1.2999999999999999E-4</v>
      </c>
      <c r="J1129">
        <f>PSI_OC!$A$7</f>
        <v>10</v>
      </c>
      <c r="K1129">
        <v>-1</v>
      </c>
      <c r="L1129" t="s">
        <v>488</v>
      </c>
      <c r="M1129" s="17">
        <f t="shared" si="100"/>
        <v>-37179318.670543753</v>
      </c>
      <c r="N1129" t="s">
        <v>537</v>
      </c>
    </row>
    <row r="1130" spans="1:14" x14ac:dyDescent="0.2">
      <c r="C1130" t="s">
        <v>300</v>
      </c>
      <c r="D1130" s="88">
        <v>0.12681999999999999</v>
      </c>
      <c r="E1130" t="s">
        <v>405</v>
      </c>
      <c r="F1130">
        <v>0.12681999999999999</v>
      </c>
      <c r="G1130">
        <v>0.12681999999999999</v>
      </c>
      <c r="H1130">
        <v>3.0599999999999998E-3</v>
      </c>
      <c r="I1130">
        <v>0.12681999999999999</v>
      </c>
      <c r="J1130">
        <f>PSI_OC!$A$7</f>
        <v>10</v>
      </c>
      <c r="K1130">
        <v>-1</v>
      </c>
      <c r="L1130" t="s">
        <v>489</v>
      </c>
      <c r="M1130" s="17">
        <f t="shared" si="100"/>
        <v>-104854004.90432286</v>
      </c>
      <c r="N1130" t="s">
        <v>537</v>
      </c>
    </row>
    <row r="1131" spans="1:14" x14ac:dyDescent="0.2">
      <c r="A1131" s="38"/>
      <c r="B1131" s="55"/>
      <c r="C1131" t="s">
        <v>301</v>
      </c>
      <c r="D1131" s="88">
        <v>1.2700000000000001E-3</v>
      </c>
      <c r="E1131" t="s">
        <v>406</v>
      </c>
      <c r="F1131">
        <v>1.2700000000000001E-3</v>
      </c>
      <c r="G1131">
        <v>1.2700000000000001E-3</v>
      </c>
      <c r="H1131">
        <v>0.30602000000000001</v>
      </c>
      <c r="I1131">
        <v>1.2700000000000001E-3</v>
      </c>
      <c r="J1131">
        <f>PSI_OC!$A$6</f>
        <v>100</v>
      </c>
      <c r="K1131">
        <v>-1</v>
      </c>
      <c r="L1131" t="s">
        <v>490</v>
      </c>
      <c r="M1131" s="17">
        <f t="shared" si="100"/>
        <v>-381185314.91513491</v>
      </c>
      <c r="N1131" t="s">
        <v>537</v>
      </c>
    </row>
    <row r="1132" spans="1:14" x14ac:dyDescent="0.2">
      <c r="A1132" s="38"/>
      <c r="B1132" s="55"/>
      <c r="C1132" t="s">
        <v>302</v>
      </c>
      <c r="D1132" s="88">
        <v>1.2700000000000001E-3</v>
      </c>
      <c r="E1132" t="s">
        <v>407</v>
      </c>
      <c r="F1132">
        <v>1.2700000000000001E-3</v>
      </c>
      <c r="G1132">
        <v>1.2700000000000001E-3</v>
      </c>
      <c r="H1132">
        <v>3.0599999999999998E-3</v>
      </c>
      <c r="I1132">
        <v>1.2700000000000001E-3</v>
      </c>
      <c r="J1132">
        <f>PSI_OC!$A$6</f>
        <v>100</v>
      </c>
      <c r="K1132">
        <v>-1</v>
      </c>
      <c r="L1132" t="s">
        <v>491</v>
      </c>
      <c r="M1132" s="17">
        <f t="shared" si="100"/>
        <v>-14170139.633146653</v>
      </c>
      <c r="N1132" t="s">
        <v>537</v>
      </c>
    </row>
    <row r="1133" spans="1:14" x14ac:dyDescent="0.2">
      <c r="C1133" t="s">
        <v>303</v>
      </c>
      <c r="D1133" s="88">
        <v>1.2700000000000001E-3</v>
      </c>
      <c r="E1133" t="s">
        <v>408</v>
      </c>
      <c r="F1133">
        <v>1.2700000000000001E-3</v>
      </c>
      <c r="G1133">
        <v>1.2700000000000001E-3</v>
      </c>
      <c r="H1133">
        <v>3.0599999999999998E-3</v>
      </c>
      <c r="I1133">
        <v>1.2700000000000001E-3</v>
      </c>
      <c r="J1133">
        <f>PSI_OC!$A$7</f>
        <v>10</v>
      </c>
      <c r="K1133">
        <v>-1</v>
      </c>
      <c r="L1133" t="s">
        <v>492</v>
      </c>
      <c r="M1133" s="17">
        <f t="shared" ref="M1133:M1142" si="101">((SUM(B$1037:B$1039)*D1133)+(SUM(B$1040:B$1041,B$1044,B$1046)*H1133)+(B$1042*F1133)+(B$1043*G1133)+(B$1045*I1133))*J1133*K1133</f>
        <v>-1417013.9633146652</v>
      </c>
      <c r="N1133" t="s">
        <v>537</v>
      </c>
    </row>
    <row r="1134" spans="1:14" ht="16" customHeight="1" x14ac:dyDescent="0.2">
      <c r="C1134" t="s">
        <v>304</v>
      </c>
      <c r="D1134" s="88">
        <v>1.26824</v>
      </c>
      <c r="E1134" t="s">
        <v>409</v>
      </c>
      <c r="F1134">
        <v>1.26824</v>
      </c>
      <c r="G1134">
        <v>1.26824</v>
      </c>
      <c r="H1134">
        <v>3.0602</v>
      </c>
      <c r="I1134">
        <v>1.26824</v>
      </c>
      <c r="J1134">
        <f>PSI_OC!$A$6</f>
        <v>100</v>
      </c>
      <c r="K1134">
        <v>-1</v>
      </c>
      <c r="L1134" t="s">
        <v>493</v>
      </c>
      <c r="M1134" s="17">
        <f t="shared" si="101"/>
        <v>-14155881791.610405</v>
      </c>
      <c r="N1134" t="s">
        <v>537</v>
      </c>
    </row>
    <row r="1135" spans="1:14" ht="15" customHeight="1" x14ac:dyDescent="0.2">
      <c r="C1135" t="s">
        <v>305</v>
      </c>
      <c r="D1135" s="88">
        <v>1.2700000000000001E-3</v>
      </c>
      <c r="E1135" t="s">
        <v>410</v>
      </c>
      <c r="F1135">
        <v>1.2700000000000001E-3</v>
      </c>
      <c r="G1135">
        <v>1.2700000000000001E-3</v>
      </c>
      <c r="H1135">
        <v>3.0599999999999998E-3</v>
      </c>
      <c r="I1135">
        <v>1.2700000000000001E-3</v>
      </c>
      <c r="J1135">
        <f>PSI_OC!$A$7</f>
        <v>10</v>
      </c>
      <c r="K1135">
        <v>-1</v>
      </c>
      <c r="L1135" t="s">
        <v>494</v>
      </c>
      <c r="M1135" s="17">
        <f t="shared" si="101"/>
        <v>-1417013.9633146652</v>
      </c>
      <c r="N1135" t="s">
        <v>537</v>
      </c>
    </row>
    <row r="1136" spans="1:14" x14ac:dyDescent="0.2">
      <c r="C1136" t="s">
        <v>306</v>
      </c>
      <c r="D1136" s="88">
        <v>1.2700000000000001E-3</v>
      </c>
      <c r="E1136" t="s">
        <v>411</v>
      </c>
      <c r="F1136">
        <v>1.2700000000000001E-3</v>
      </c>
      <c r="G1136">
        <v>1.2700000000000001E-3</v>
      </c>
      <c r="H1136">
        <v>3.0599999999999998E-3</v>
      </c>
      <c r="I1136">
        <v>1.2700000000000001E-3</v>
      </c>
      <c r="J1136">
        <f>PSI_OC!$A$8</f>
        <v>1</v>
      </c>
      <c r="K1136">
        <v>-1</v>
      </c>
      <c r="L1136" t="s">
        <v>495</v>
      </c>
      <c r="M1136" s="17">
        <f t="shared" si="101"/>
        <v>-141701.39633146653</v>
      </c>
      <c r="N1136" t="s">
        <v>537</v>
      </c>
    </row>
    <row r="1137" spans="1:14" x14ac:dyDescent="0.2">
      <c r="C1137" t="s">
        <v>307</v>
      </c>
      <c r="D1137" s="88">
        <v>1.2700000000000001E-3</v>
      </c>
      <c r="E1137" t="s">
        <v>411</v>
      </c>
      <c r="F1137">
        <v>1.2700000000000001E-3</v>
      </c>
      <c r="G1137">
        <v>1.2700000000000001E-3</v>
      </c>
      <c r="H1137">
        <v>3.0599999999999998E-3</v>
      </c>
      <c r="I1137">
        <v>1.2700000000000001E-3</v>
      </c>
      <c r="J1137">
        <f>PSI_OC!$A$8</f>
        <v>1</v>
      </c>
      <c r="K1137">
        <v>-1</v>
      </c>
      <c r="L1137" t="s">
        <v>495</v>
      </c>
      <c r="M1137" s="17">
        <f t="shared" si="101"/>
        <v>-141701.39633146653</v>
      </c>
      <c r="N1137" t="s">
        <v>537</v>
      </c>
    </row>
    <row r="1138" spans="1:14" x14ac:dyDescent="0.2">
      <c r="C1138" t="s">
        <v>337</v>
      </c>
      <c r="D1138" s="88">
        <v>0.12681999999999999</v>
      </c>
      <c r="E1138" t="s">
        <v>412</v>
      </c>
      <c r="F1138">
        <v>0.12681999999999999</v>
      </c>
      <c r="G1138">
        <v>0.12681999999999999</v>
      </c>
      <c r="H1138">
        <v>3.0599999999999998E-3</v>
      </c>
      <c r="I1138">
        <v>0.12681999999999999</v>
      </c>
      <c r="J1138">
        <v>0</v>
      </c>
      <c r="K1138">
        <v>0</v>
      </c>
      <c r="L1138" t="s">
        <v>496</v>
      </c>
      <c r="M1138" s="17">
        <f t="shared" si="101"/>
        <v>0</v>
      </c>
      <c r="N1138" t="s">
        <v>537</v>
      </c>
    </row>
    <row r="1139" spans="1:14" x14ac:dyDescent="0.2">
      <c r="C1139" t="s">
        <v>308</v>
      </c>
      <c r="D1139" s="88">
        <v>1.2700000000000001E-3</v>
      </c>
      <c r="E1139" t="s">
        <v>413</v>
      </c>
      <c r="F1139">
        <v>1.2700000000000001E-3</v>
      </c>
      <c r="G1139">
        <v>1.2700000000000001E-3</v>
      </c>
      <c r="H1139">
        <v>3.0599999999999998E-3</v>
      </c>
      <c r="I1139">
        <v>1.2700000000000001E-3</v>
      </c>
      <c r="J1139">
        <f>PSI_OC!$A$7</f>
        <v>10</v>
      </c>
      <c r="K1139">
        <v>-1</v>
      </c>
      <c r="L1139" t="s">
        <v>497</v>
      </c>
      <c r="M1139" s="17">
        <f t="shared" si="101"/>
        <v>-1417013.9633146652</v>
      </c>
      <c r="N1139" t="s">
        <v>537</v>
      </c>
    </row>
    <row r="1140" spans="1:14" x14ac:dyDescent="0.2">
      <c r="C1140" t="s">
        <v>309</v>
      </c>
      <c r="D1140" s="88">
        <v>1.2700000000000001E-3</v>
      </c>
      <c r="E1140" t="s">
        <v>413</v>
      </c>
      <c r="F1140">
        <v>1.2700000000000001E-3</v>
      </c>
      <c r="G1140">
        <v>1.2700000000000001E-3</v>
      </c>
      <c r="H1140">
        <v>3.0599999999999998E-3</v>
      </c>
      <c r="I1140">
        <v>1.2700000000000001E-3</v>
      </c>
      <c r="J1140">
        <f>PSI_OC!$A$7</f>
        <v>10</v>
      </c>
      <c r="K1140">
        <v>-1</v>
      </c>
      <c r="L1140" t="s">
        <v>497</v>
      </c>
      <c r="M1140" s="17">
        <f t="shared" si="101"/>
        <v>-1417013.9633146652</v>
      </c>
      <c r="N1140" t="s">
        <v>537</v>
      </c>
    </row>
    <row r="1141" spans="1:14" x14ac:dyDescent="0.2">
      <c r="C1141" t="s">
        <v>310</v>
      </c>
      <c r="D1141" s="88">
        <v>1.2700000000000001E-3</v>
      </c>
      <c r="E1141" t="s">
        <v>413</v>
      </c>
      <c r="F1141">
        <v>1.2700000000000001E-3</v>
      </c>
      <c r="G1141">
        <v>1.2700000000000001E-3</v>
      </c>
      <c r="H1141">
        <v>3.0599999999999998E-3</v>
      </c>
      <c r="I1141">
        <v>1.2700000000000001E-3</v>
      </c>
      <c r="J1141">
        <v>0</v>
      </c>
      <c r="K1141">
        <v>0</v>
      </c>
      <c r="L1141" t="s">
        <v>497</v>
      </c>
      <c r="M1141" s="17">
        <f t="shared" si="101"/>
        <v>0</v>
      </c>
      <c r="N1141" t="s">
        <v>537</v>
      </c>
    </row>
    <row r="1142" spans="1:14" x14ac:dyDescent="0.2">
      <c r="C1142" t="s">
        <v>311</v>
      </c>
      <c r="D1142" s="88">
        <v>1.2700000000000001E-3</v>
      </c>
      <c r="E1142" t="s">
        <v>414</v>
      </c>
      <c r="F1142">
        <v>1.2700000000000001E-3</v>
      </c>
      <c r="G1142">
        <v>1.2700000000000001E-3</v>
      </c>
      <c r="H1142">
        <v>3.1E-4</v>
      </c>
      <c r="I1142">
        <v>1.2700000000000001E-3</v>
      </c>
      <c r="J1142">
        <f>PSI_OC!$A$7</f>
        <v>10</v>
      </c>
      <c r="K1142">
        <v>-1</v>
      </c>
      <c r="L1142" t="s">
        <v>498</v>
      </c>
      <c r="M1142" s="17">
        <f t="shared" si="101"/>
        <v>-1083870.4024401382</v>
      </c>
      <c r="N1142" t="s">
        <v>537</v>
      </c>
    </row>
    <row r="1145" spans="1:14" ht="22" customHeight="1" x14ac:dyDescent="0.2">
      <c r="A1145" s="377" t="s">
        <v>11</v>
      </c>
      <c r="B1145" s="378"/>
      <c r="C1145" s="378"/>
      <c r="D1145" s="378"/>
      <c r="E1145" s="378"/>
      <c r="F1145" s="378"/>
      <c r="G1145" s="378"/>
      <c r="H1145" s="378"/>
      <c r="I1145" s="378"/>
      <c r="J1145" s="378"/>
      <c r="K1145" s="378"/>
      <c r="L1145" s="378"/>
      <c r="M1145" s="378"/>
      <c r="N1145" s="378"/>
    </row>
    <row r="1146" spans="1:14" ht="15" customHeight="1" x14ac:dyDescent="0.2">
      <c r="A1146" s="379"/>
      <c r="B1146" s="380"/>
      <c r="C1146" s="380"/>
      <c r="D1146" s="380"/>
      <c r="E1146" s="380"/>
      <c r="F1146" s="380"/>
      <c r="G1146" s="380"/>
      <c r="H1146" s="380"/>
      <c r="I1146" s="380"/>
      <c r="J1146" s="380"/>
      <c r="K1146" s="380"/>
      <c r="L1146" s="380"/>
      <c r="M1146" s="380"/>
      <c r="N1146" s="380"/>
    </row>
    <row r="1147" spans="1:14" ht="16" customHeight="1" x14ac:dyDescent="0.2">
      <c r="A1147" s="358" t="s">
        <v>8</v>
      </c>
      <c r="B1147" s="363" t="s">
        <v>1022</v>
      </c>
      <c r="C1147" s="364" t="s">
        <v>503</v>
      </c>
      <c r="D1147" s="364"/>
      <c r="E1147" s="364"/>
      <c r="F1147" s="79" t="s">
        <v>507</v>
      </c>
      <c r="G1147" s="79" t="s">
        <v>505</v>
      </c>
      <c r="H1147" s="328" t="s">
        <v>421</v>
      </c>
      <c r="I1147" s="329"/>
      <c r="J1147" s="330"/>
      <c r="K1147" s="381" t="s">
        <v>28</v>
      </c>
      <c r="L1147" s="381"/>
      <c r="M1147" s="376" t="s">
        <v>420</v>
      </c>
      <c r="N1147" s="376"/>
    </row>
    <row r="1148" spans="1:14" x14ac:dyDescent="0.2">
      <c r="A1148" s="358"/>
      <c r="B1148" s="363"/>
      <c r="C1148" s="93" t="s">
        <v>502</v>
      </c>
      <c r="D1148" s="94"/>
      <c r="E1148" s="92"/>
      <c r="F1148" s="87" t="s">
        <v>506</v>
      </c>
      <c r="G1148" s="7" t="s">
        <v>504</v>
      </c>
      <c r="H1148" s="331"/>
      <c r="I1148" s="332"/>
      <c r="J1148" s="333"/>
      <c r="K1148" s="381"/>
      <c r="L1148" s="381"/>
      <c r="M1148" s="376"/>
      <c r="N1148" s="376"/>
    </row>
    <row r="1149" spans="1:14" ht="16" customHeight="1" x14ac:dyDescent="0.2">
      <c r="A1149" s="358"/>
      <c r="B1149" s="363"/>
      <c r="C1149" s="6" t="s">
        <v>317</v>
      </c>
      <c r="D1149" s="58" t="s">
        <v>319</v>
      </c>
      <c r="E1149" s="58" t="s">
        <v>5</v>
      </c>
      <c r="F1149" s="58" t="s">
        <v>319</v>
      </c>
      <c r="G1149" s="58" t="s">
        <v>319</v>
      </c>
      <c r="H1149" s="64" t="s">
        <v>0</v>
      </c>
      <c r="I1149" s="64" t="s">
        <v>499</v>
      </c>
      <c r="J1149" s="64" t="s">
        <v>5</v>
      </c>
      <c r="K1149" s="64" t="s">
        <v>0</v>
      </c>
      <c r="L1149" s="58" t="s">
        <v>5</v>
      </c>
      <c r="M1149" s="64" t="s">
        <v>0</v>
      </c>
      <c r="N1149" s="58" t="s">
        <v>5</v>
      </c>
    </row>
    <row r="1150" spans="1:14" ht="15" customHeight="1" x14ac:dyDescent="0.2">
      <c r="A1150" s="81" t="s">
        <v>57</v>
      </c>
      <c r="B1150" s="82">
        <v>148966.43237513592</v>
      </c>
      <c r="C1150" t="s">
        <v>225</v>
      </c>
      <c r="D1150" s="88">
        <v>1.2999999999999999E-4</v>
      </c>
      <c r="E1150" t="s">
        <v>338</v>
      </c>
      <c r="F1150">
        <v>3.1E-4</v>
      </c>
      <c r="G1150">
        <v>1.2999999999999999E-4</v>
      </c>
      <c r="H1150">
        <f>$A$6</f>
        <v>100</v>
      </c>
      <c r="I1150">
        <v>-1</v>
      </c>
      <c r="J1150" t="s">
        <v>422</v>
      </c>
      <c r="K1150" s="17">
        <f t="shared" ref="K1150:K1181" si="102">((B$1150*D1150)+(SUM(B$1151:B$1153)*F1150)+(B$1153*G1150))*H1150*I1150</f>
        <v>-2155771.5774343428</v>
      </c>
      <c r="L1150" t="s">
        <v>537</v>
      </c>
      <c r="M1150" s="69">
        <f>SUM(K1150:K1255)</f>
        <v>-84757842432.65921</v>
      </c>
      <c r="N1150" t="s">
        <v>537</v>
      </c>
    </row>
    <row r="1151" spans="1:14" ht="16" x14ac:dyDescent="0.2">
      <c r="A1151" s="50" t="s">
        <v>166</v>
      </c>
      <c r="B1151" s="82">
        <v>61117200.279290773</v>
      </c>
      <c r="C1151" t="s">
        <v>226</v>
      </c>
      <c r="D1151" s="88">
        <v>1.2999999999999999E-4</v>
      </c>
      <c r="E1151" t="s">
        <v>339</v>
      </c>
      <c r="F1151">
        <v>3.1E-4</v>
      </c>
      <c r="G1151">
        <v>1.2999999999999999E-4</v>
      </c>
      <c r="H1151">
        <f>$A$7</f>
        <v>10</v>
      </c>
      <c r="I1151">
        <v>-1</v>
      </c>
      <c r="J1151" t="s">
        <v>423</v>
      </c>
      <c r="K1151" s="17">
        <f t="shared" si="102"/>
        <v>-215577.15774343431</v>
      </c>
      <c r="L1151" t="s">
        <v>537</v>
      </c>
    </row>
    <row r="1152" spans="1:14" ht="16" x14ac:dyDescent="0.2">
      <c r="A1152" s="51" t="s">
        <v>167</v>
      </c>
      <c r="B1152" s="82">
        <v>8346771.2534453003</v>
      </c>
      <c r="C1152" t="s">
        <v>227</v>
      </c>
      <c r="D1152" s="88">
        <v>1.2700000000000001E-3</v>
      </c>
      <c r="E1152" t="s">
        <v>340</v>
      </c>
      <c r="F1152">
        <v>3.0599999999999998E-3</v>
      </c>
      <c r="G1152">
        <v>1.2700000000000001E-3</v>
      </c>
      <c r="H1152">
        <f>$A$7</f>
        <v>10</v>
      </c>
      <c r="I1152">
        <v>-1</v>
      </c>
      <c r="J1152" t="s">
        <v>424</v>
      </c>
      <c r="K1152" s="17">
        <f t="shared" si="102"/>
        <v>-2127934.1096322392</v>
      </c>
      <c r="L1152" t="s">
        <v>537</v>
      </c>
    </row>
    <row r="1153" spans="1:12" ht="16" x14ac:dyDescent="0.2">
      <c r="A1153" s="51" t="s">
        <v>12</v>
      </c>
      <c r="B1153" s="82">
        <v>10270.370423812146</v>
      </c>
      <c r="C1153" t="s">
        <v>228</v>
      </c>
      <c r="D1153" s="88">
        <v>0.12681999999999999</v>
      </c>
      <c r="E1153" t="s">
        <v>341</v>
      </c>
      <c r="F1153">
        <v>3.0599999999999998E-3</v>
      </c>
      <c r="G1153">
        <v>0.12681999999999999</v>
      </c>
      <c r="H1153">
        <f>$A$7</f>
        <v>10</v>
      </c>
      <c r="I1153">
        <v>-1</v>
      </c>
      <c r="J1153" t="s">
        <v>425</v>
      </c>
      <c r="K1153" s="17">
        <f t="shared" si="102"/>
        <v>-2327855.9155463185</v>
      </c>
      <c r="L1153" t="s">
        <v>537</v>
      </c>
    </row>
    <row r="1154" spans="1:12" x14ac:dyDescent="0.2">
      <c r="A1154" s="1" t="s">
        <v>17</v>
      </c>
      <c r="B1154" s="82">
        <v>69623208.33553502</v>
      </c>
      <c r="C1154" t="s">
        <v>229</v>
      </c>
      <c r="D1154" s="88">
        <v>1.268E-2</v>
      </c>
      <c r="E1154" t="s">
        <v>342</v>
      </c>
      <c r="F1154">
        <v>3.0599999999999998E-3</v>
      </c>
      <c r="G1154">
        <v>1.268E-2</v>
      </c>
      <c r="H1154">
        <f>$A$6</f>
        <v>100</v>
      </c>
      <c r="I1154">
        <v>-1</v>
      </c>
      <c r="J1154" t="s">
        <v>426</v>
      </c>
      <c r="K1154" s="17">
        <f t="shared" si="102"/>
        <v>-21461030.288315993</v>
      </c>
      <c r="L1154" t="s">
        <v>537</v>
      </c>
    </row>
    <row r="1155" spans="1:12" x14ac:dyDescent="0.2">
      <c r="C1155" t="s">
        <v>230</v>
      </c>
      <c r="D1155" s="88">
        <v>0.12681999999999999</v>
      </c>
      <c r="E1155" t="s">
        <v>343</v>
      </c>
      <c r="F1155">
        <v>3.0602</v>
      </c>
      <c r="G1155">
        <v>0.12681999999999999</v>
      </c>
      <c r="H1155">
        <f>$A$6</f>
        <v>100</v>
      </c>
      <c r="I1155">
        <v>-1</v>
      </c>
      <c r="J1155" t="s">
        <v>427</v>
      </c>
      <c r="K1155" s="17">
        <f t="shared" si="102"/>
        <v>-21262526948.338085</v>
      </c>
      <c r="L1155" t="s">
        <v>537</v>
      </c>
    </row>
    <row r="1156" spans="1:12" ht="16" x14ac:dyDescent="0.2">
      <c r="A1156" s="66" t="s">
        <v>8</v>
      </c>
      <c r="B1156" s="76" t="s">
        <v>418</v>
      </c>
      <c r="C1156" t="s">
        <v>231</v>
      </c>
      <c r="D1156" s="88">
        <v>0.12681999999999999</v>
      </c>
      <c r="E1156" t="s">
        <v>344</v>
      </c>
      <c r="F1156">
        <v>3.0599999999999998E-3</v>
      </c>
      <c r="G1156">
        <v>1.268E-2</v>
      </c>
      <c r="H1156">
        <f>$A$7</f>
        <v>10</v>
      </c>
      <c r="I1156">
        <v>-1</v>
      </c>
      <c r="J1156" t="s">
        <v>428</v>
      </c>
      <c r="K1156" s="17">
        <f t="shared" si="102"/>
        <v>-2316133.3147445791</v>
      </c>
      <c r="L1156" t="s">
        <v>537</v>
      </c>
    </row>
    <row r="1157" spans="1:12" ht="16" x14ac:dyDescent="0.2">
      <c r="A1157" s="81" t="s">
        <v>57</v>
      </c>
      <c r="B1157" s="61" t="s">
        <v>502</v>
      </c>
      <c r="C1157" t="s">
        <v>232</v>
      </c>
      <c r="D1157" s="88">
        <v>1.2999999999999999E-4</v>
      </c>
      <c r="E1157" t="s">
        <v>345</v>
      </c>
      <c r="F1157">
        <v>3.1E-4</v>
      </c>
      <c r="G1157">
        <v>1.2999999999999999E-4</v>
      </c>
      <c r="H1157">
        <f>$A$7</f>
        <v>10</v>
      </c>
      <c r="I1157">
        <v>-1</v>
      </c>
      <c r="J1157" t="s">
        <v>429</v>
      </c>
      <c r="K1157" s="17">
        <f t="shared" si="102"/>
        <v>-215577.15774343431</v>
      </c>
      <c r="L1157" t="s">
        <v>537</v>
      </c>
    </row>
    <row r="1158" spans="1:12" ht="16" x14ac:dyDescent="0.2">
      <c r="A1158" s="50" t="s">
        <v>166</v>
      </c>
      <c r="B1158" s="89" t="s">
        <v>506</v>
      </c>
      <c r="C1158" t="s">
        <v>233</v>
      </c>
      <c r="D1158" s="88">
        <v>1.2999999999999999E-4</v>
      </c>
      <c r="E1158" t="s">
        <v>345</v>
      </c>
      <c r="F1158">
        <v>3.1E-4</v>
      </c>
      <c r="G1158">
        <v>1.2999999999999999E-4</v>
      </c>
      <c r="H1158">
        <f>$A$7</f>
        <v>10</v>
      </c>
      <c r="I1158">
        <v>-1</v>
      </c>
      <c r="J1158" t="s">
        <v>429</v>
      </c>
      <c r="K1158" s="17">
        <f t="shared" si="102"/>
        <v>-215577.15774343431</v>
      </c>
      <c r="L1158" t="s">
        <v>537</v>
      </c>
    </row>
    <row r="1159" spans="1:12" ht="16" x14ac:dyDescent="0.2">
      <c r="A1159" s="51" t="s">
        <v>167</v>
      </c>
      <c r="B1159" s="89" t="s">
        <v>506</v>
      </c>
      <c r="C1159" t="s">
        <v>320</v>
      </c>
      <c r="D1159" s="88">
        <v>0</v>
      </c>
      <c r="E1159" t="s">
        <v>344</v>
      </c>
      <c r="F1159">
        <v>0.30602000000000001</v>
      </c>
      <c r="G1159">
        <v>1.2999999999999999E-4</v>
      </c>
      <c r="H1159">
        <f>$A$6</f>
        <v>100</v>
      </c>
      <c r="I1159">
        <v>-1</v>
      </c>
      <c r="J1159" t="s">
        <v>428</v>
      </c>
      <c r="K1159" s="17">
        <f t="shared" si="102"/>
        <v>-2126050884.2353146</v>
      </c>
      <c r="L1159" t="s">
        <v>537</v>
      </c>
    </row>
    <row r="1160" spans="1:12" ht="16" x14ac:dyDescent="0.2">
      <c r="A1160" s="51" t="s">
        <v>12</v>
      </c>
      <c r="B1160" s="1" t="s">
        <v>504</v>
      </c>
      <c r="C1160" t="s">
        <v>321</v>
      </c>
      <c r="D1160" s="88">
        <v>0</v>
      </c>
      <c r="E1160" t="s">
        <v>344</v>
      </c>
      <c r="F1160">
        <v>0.30602000000000001</v>
      </c>
      <c r="G1160">
        <v>1.2999999999999999E-4</v>
      </c>
      <c r="H1160">
        <f>$A$6</f>
        <v>100</v>
      </c>
      <c r="I1160">
        <v>-1</v>
      </c>
      <c r="J1160" t="s">
        <v>428</v>
      </c>
      <c r="K1160" s="17">
        <f t="shared" si="102"/>
        <v>-2126050884.2353146</v>
      </c>
      <c r="L1160" t="s">
        <v>537</v>
      </c>
    </row>
    <row r="1161" spans="1:12" x14ac:dyDescent="0.2">
      <c r="C1161" t="s">
        <v>234</v>
      </c>
      <c r="D1161" s="88">
        <v>0</v>
      </c>
      <c r="E1161" t="s">
        <v>344</v>
      </c>
      <c r="F1161">
        <v>0.30602000000000001</v>
      </c>
      <c r="G1161">
        <v>1.2999999999999999E-4</v>
      </c>
      <c r="H1161">
        <v>0</v>
      </c>
      <c r="I1161">
        <v>0</v>
      </c>
      <c r="J1161" t="s">
        <v>428</v>
      </c>
      <c r="K1161" s="17">
        <f t="shared" si="102"/>
        <v>0</v>
      </c>
      <c r="L1161" t="s">
        <v>537</v>
      </c>
    </row>
    <row r="1162" spans="1:12" x14ac:dyDescent="0.2">
      <c r="C1162" t="s">
        <v>235</v>
      </c>
      <c r="D1162" s="88">
        <v>0.12681999999999999</v>
      </c>
      <c r="E1162" t="s">
        <v>346</v>
      </c>
      <c r="F1162">
        <v>0.30602000000000001</v>
      </c>
      <c r="G1162">
        <v>0.12681999999999999</v>
      </c>
      <c r="H1162">
        <f>$A$8</f>
        <v>1</v>
      </c>
      <c r="I1162">
        <v>1</v>
      </c>
      <c r="J1162" t="s">
        <v>430</v>
      </c>
      <c r="K1162" s="17">
        <f t="shared" si="102"/>
        <v>21280701.918535952</v>
      </c>
      <c r="L1162" t="s">
        <v>537</v>
      </c>
    </row>
    <row r="1163" spans="1:12" x14ac:dyDescent="0.2">
      <c r="C1163" t="s">
        <v>236</v>
      </c>
      <c r="D1163" s="88">
        <v>1.2999999999999999E-4</v>
      </c>
      <c r="E1163" t="s">
        <v>347</v>
      </c>
      <c r="F1163">
        <v>3.0602</v>
      </c>
      <c r="G1163">
        <v>1.2999999999999999E-4</v>
      </c>
      <c r="H1163">
        <f>$A$7</f>
        <v>10</v>
      </c>
      <c r="I1163">
        <v>-1</v>
      </c>
      <c r="J1163" t="s">
        <v>431</v>
      </c>
      <c r="K1163" s="17">
        <f t="shared" si="102"/>
        <v>-2126050957.7283425</v>
      </c>
      <c r="L1163" t="s">
        <v>537</v>
      </c>
    </row>
    <row r="1164" spans="1:12" x14ac:dyDescent="0.2">
      <c r="C1164" t="s">
        <v>237</v>
      </c>
      <c r="D1164" s="88">
        <v>0.12681999999999999</v>
      </c>
      <c r="E1164" t="s">
        <v>348</v>
      </c>
      <c r="F1164">
        <v>0.30602000000000001</v>
      </c>
      <c r="G1164">
        <v>0.12681999999999999</v>
      </c>
      <c r="H1164">
        <f>$A$6</f>
        <v>100</v>
      </c>
      <c r="I1164">
        <v>-1</v>
      </c>
      <c r="J1164" t="s">
        <v>432</v>
      </c>
      <c r="K1164" s="17">
        <f t="shared" si="102"/>
        <v>-2128070191.8535953</v>
      </c>
      <c r="L1164" t="s">
        <v>537</v>
      </c>
    </row>
    <row r="1165" spans="1:12" x14ac:dyDescent="0.2">
      <c r="C1165" t="s">
        <v>238</v>
      </c>
      <c r="D1165" s="88">
        <v>0</v>
      </c>
      <c r="E1165" t="s">
        <v>349</v>
      </c>
      <c r="F1165">
        <v>0</v>
      </c>
      <c r="G1165">
        <v>0</v>
      </c>
      <c r="H1165">
        <f>$A$7</f>
        <v>10</v>
      </c>
      <c r="I1165">
        <v>-1</v>
      </c>
      <c r="J1165" t="s">
        <v>433</v>
      </c>
      <c r="K1165" s="17">
        <f t="shared" si="102"/>
        <v>0</v>
      </c>
      <c r="L1165" t="s">
        <v>537</v>
      </c>
    </row>
    <row r="1166" spans="1:12" x14ac:dyDescent="0.2">
      <c r="C1166" t="s">
        <v>239</v>
      </c>
      <c r="D1166" s="88">
        <v>1.2700000000000001E-3</v>
      </c>
      <c r="E1166" t="s">
        <v>348</v>
      </c>
      <c r="F1166">
        <v>3.0599999999999998E-3</v>
      </c>
      <c r="G1166">
        <v>1.2700000000000001E-3</v>
      </c>
      <c r="H1166">
        <f>$A$6</f>
        <v>100</v>
      </c>
      <c r="I1166">
        <v>-1</v>
      </c>
      <c r="J1166" t="s">
        <v>432</v>
      </c>
      <c r="K1166" s="17">
        <f t="shared" si="102"/>
        <v>-21279341.096322391</v>
      </c>
      <c r="L1166" t="s">
        <v>537</v>
      </c>
    </row>
    <row r="1167" spans="1:12" x14ac:dyDescent="0.2">
      <c r="C1167" t="s">
        <v>240</v>
      </c>
      <c r="D1167" s="88">
        <v>0</v>
      </c>
      <c r="E1167" t="s">
        <v>348</v>
      </c>
      <c r="F1167">
        <v>0</v>
      </c>
      <c r="G1167">
        <v>0</v>
      </c>
      <c r="H1167">
        <f>$A$6</f>
        <v>100</v>
      </c>
      <c r="I1167">
        <v>-1</v>
      </c>
      <c r="J1167" t="s">
        <v>432</v>
      </c>
      <c r="K1167" s="17">
        <f t="shared" si="102"/>
        <v>0</v>
      </c>
      <c r="L1167" t="s">
        <v>537</v>
      </c>
    </row>
    <row r="1168" spans="1:12" x14ac:dyDescent="0.2">
      <c r="C1168" t="s">
        <v>241</v>
      </c>
      <c r="D1168" s="88">
        <v>0</v>
      </c>
      <c r="E1168" t="s">
        <v>350</v>
      </c>
      <c r="F1168">
        <v>0</v>
      </c>
      <c r="G1168">
        <v>0</v>
      </c>
      <c r="H1168">
        <f>$A$6</f>
        <v>100</v>
      </c>
      <c r="I1168">
        <v>-1</v>
      </c>
      <c r="J1168" t="s">
        <v>434</v>
      </c>
      <c r="K1168" s="17">
        <f t="shared" si="102"/>
        <v>0</v>
      </c>
      <c r="L1168" t="s">
        <v>537</v>
      </c>
    </row>
    <row r="1169" spans="3:12" x14ac:dyDescent="0.2">
      <c r="C1169" t="s">
        <v>242</v>
      </c>
      <c r="D1169" s="88">
        <v>0</v>
      </c>
      <c r="E1169" t="s">
        <v>351</v>
      </c>
      <c r="F1169">
        <v>0</v>
      </c>
      <c r="G1169">
        <v>0</v>
      </c>
      <c r="H1169">
        <f>$A$8</f>
        <v>1</v>
      </c>
      <c r="I1169">
        <v>1</v>
      </c>
      <c r="J1169" t="s">
        <v>435</v>
      </c>
      <c r="K1169" s="17">
        <f t="shared" si="102"/>
        <v>0</v>
      </c>
      <c r="L1169" t="s">
        <v>537</v>
      </c>
    </row>
    <row r="1170" spans="3:12" x14ac:dyDescent="0.2">
      <c r="C1170" t="s">
        <v>243</v>
      </c>
      <c r="D1170" s="88">
        <v>0.12681999999999999</v>
      </c>
      <c r="E1170" t="s">
        <v>352</v>
      </c>
      <c r="F1170">
        <v>3.0599999999999998E-3</v>
      </c>
      <c r="G1170">
        <v>1.268E-2</v>
      </c>
      <c r="H1170">
        <f>$A$6</f>
        <v>100</v>
      </c>
      <c r="I1170">
        <v>-1</v>
      </c>
      <c r="J1170" t="s">
        <v>436</v>
      </c>
      <c r="K1170" s="17">
        <f t="shared" si="102"/>
        <v>-23161333.147445794</v>
      </c>
      <c r="L1170" t="s">
        <v>537</v>
      </c>
    </row>
    <row r="1171" spans="3:12" x14ac:dyDescent="0.2">
      <c r="C1171" t="s">
        <v>244</v>
      </c>
      <c r="D1171" s="88">
        <v>1.2700000000000001E-3</v>
      </c>
      <c r="E1171" t="s">
        <v>353</v>
      </c>
      <c r="F1171">
        <v>3.0599999999999998E-3</v>
      </c>
      <c r="G1171">
        <v>1.2700000000000001E-3</v>
      </c>
      <c r="H1171">
        <v>0</v>
      </c>
      <c r="I1171">
        <v>0</v>
      </c>
      <c r="J1171" t="s">
        <v>437</v>
      </c>
      <c r="K1171" s="17">
        <f t="shared" si="102"/>
        <v>0</v>
      </c>
      <c r="L1171" t="s">
        <v>537</v>
      </c>
    </row>
    <row r="1172" spans="3:12" x14ac:dyDescent="0.2">
      <c r="C1172" t="s">
        <v>245</v>
      </c>
      <c r="D1172" s="88">
        <v>1.2700000000000001E-3</v>
      </c>
      <c r="E1172" t="s">
        <v>351</v>
      </c>
      <c r="F1172">
        <v>0.30602000000000001</v>
      </c>
      <c r="G1172">
        <v>1.2999999999999999E-4</v>
      </c>
      <c r="H1172">
        <f t="shared" ref="H1172:H1177" si="103">$A$7</f>
        <v>10</v>
      </c>
      <c r="I1172">
        <v>-1</v>
      </c>
      <c r="J1172" t="s">
        <v>435</v>
      </c>
      <c r="K1172" s="17">
        <f t="shared" si="102"/>
        <v>-212606980.29722261</v>
      </c>
      <c r="L1172" t="s">
        <v>537</v>
      </c>
    </row>
    <row r="1173" spans="3:12" x14ac:dyDescent="0.2">
      <c r="C1173" t="s">
        <v>246</v>
      </c>
      <c r="D1173" s="88">
        <v>1.268E-2</v>
      </c>
      <c r="E1173" t="s">
        <v>354</v>
      </c>
      <c r="F1173">
        <v>3.0599999999999999E-2</v>
      </c>
      <c r="G1173">
        <v>1.268E-2</v>
      </c>
      <c r="H1173">
        <f t="shared" si="103"/>
        <v>10</v>
      </c>
      <c r="I1173">
        <v>-1</v>
      </c>
      <c r="J1173" t="s">
        <v>438</v>
      </c>
      <c r="K1173" s="17">
        <f t="shared" si="102"/>
        <v>-21279309.248961829</v>
      </c>
      <c r="L1173" t="s">
        <v>537</v>
      </c>
    </row>
    <row r="1174" spans="3:12" x14ac:dyDescent="0.2">
      <c r="C1174" t="s">
        <v>247</v>
      </c>
      <c r="D1174" s="88">
        <v>1.26824</v>
      </c>
      <c r="E1174" t="s">
        <v>354</v>
      </c>
      <c r="F1174">
        <v>3.1E-4</v>
      </c>
      <c r="G1174">
        <v>1.26824</v>
      </c>
      <c r="H1174">
        <f t="shared" si="103"/>
        <v>10</v>
      </c>
      <c r="I1174">
        <v>-1</v>
      </c>
      <c r="J1174" t="s">
        <v>438</v>
      </c>
      <c r="K1174" s="17">
        <f t="shared" si="102"/>
        <v>-2234874.9777171747</v>
      </c>
      <c r="L1174" t="s">
        <v>537</v>
      </c>
    </row>
    <row r="1175" spans="3:12" x14ac:dyDescent="0.2">
      <c r="C1175" t="s">
        <v>248</v>
      </c>
      <c r="D1175" s="88">
        <v>1.26824</v>
      </c>
      <c r="E1175" t="s">
        <v>350</v>
      </c>
      <c r="F1175">
        <v>0.30602000000000001</v>
      </c>
      <c r="G1175">
        <v>1.26824</v>
      </c>
      <c r="H1175">
        <f t="shared" si="103"/>
        <v>10</v>
      </c>
      <c r="I1175">
        <v>-1</v>
      </c>
      <c r="J1175" t="s">
        <v>434</v>
      </c>
      <c r="K1175" s="17">
        <f t="shared" si="102"/>
        <v>-214624579.8998673</v>
      </c>
      <c r="L1175" t="s">
        <v>537</v>
      </c>
    </row>
    <row r="1176" spans="3:12" x14ac:dyDescent="0.2">
      <c r="C1176" t="s">
        <v>322</v>
      </c>
      <c r="D1176" s="88">
        <v>1.26824</v>
      </c>
      <c r="E1176" t="s">
        <v>355</v>
      </c>
      <c r="F1176">
        <v>3.0599999999999999E-2</v>
      </c>
      <c r="G1176">
        <v>1.26824</v>
      </c>
      <c r="H1176">
        <f t="shared" si="103"/>
        <v>10</v>
      </c>
      <c r="I1176">
        <v>-1</v>
      </c>
      <c r="J1176" t="s">
        <v>439</v>
      </c>
      <c r="K1176" s="17">
        <f t="shared" si="102"/>
        <v>-23278622.850184307</v>
      </c>
      <c r="L1176" t="s">
        <v>537</v>
      </c>
    </row>
    <row r="1177" spans="3:12" x14ac:dyDescent="0.2">
      <c r="C1177" t="s">
        <v>249</v>
      </c>
      <c r="D1177" s="88">
        <v>0.12681999999999999</v>
      </c>
      <c r="E1177" t="s">
        <v>356</v>
      </c>
      <c r="F1177">
        <v>3.1E-4</v>
      </c>
      <c r="G1177">
        <v>0.12681999999999999</v>
      </c>
      <c r="H1177">
        <f t="shared" si="103"/>
        <v>10</v>
      </c>
      <c r="I1177">
        <v>-1</v>
      </c>
      <c r="J1177" t="s">
        <v>440</v>
      </c>
      <c r="K1177" s="17">
        <f t="shared" si="102"/>
        <v>-417314.26320942154</v>
      </c>
      <c r="L1177" t="s">
        <v>537</v>
      </c>
    </row>
    <row r="1178" spans="3:12" x14ac:dyDescent="0.2">
      <c r="C1178" t="s">
        <v>323</v>
      </c>
      <c r="D1178" s="88">
        <v>1.2700000000000001E-3</v>
      </c>
      <c r="E1178" t="s">
        <v>357</v>
      </c>
      <c r="F1178">
        <v>3.0599999999999998E-3</v>
      </c>
      <c r="G1178">
        <v>1.2700000000000001E-3</v>
      </c>
      <c r="H1178">
        <f>$A$6</f>
        <v>100</v>
      </c>
      <c r="I1178">
        <v>-1</v>
      </c>
      <c r="J1178" t="s">
        <v>441</v>
      </c>
      <c r="K1178" s="17">
        <f t="shared" si="102"/>
        <v>-21279341.096322391</v>
      </c>
      <c r="L1178" t="s">
        <v>537</v>
      </c>
    </row>
    <row r="1179" spans="3:12" x14ac:dyDescent="0.2">
      <c r="C1179" t="s">
        <v>324</v>
      </c>
      <c r="D1179" s="88">
        <v>1.2700000000000001E-3</v>
      </c>
      <c r="E1179" t="s">
        <v>357</v>
      </c>
      <c r="F1179">
        <v>3.0599999999999998E-3</v>
      </c>
      <c r="G1179">
        <v>1.2700000000000001E-3</v>
      </c>
      <c r="H1179">
        <f>$A$6</f>
        <v>100</v>
      </c>
      <c r="I1179">
        <v>-1</v>
      </c>
      <c r="J1179" t="s">
        <v>441</v>
      </c>
      <c r="K1179" s="17">
        <f t="shared" si="102"/>
        <v>-21279341.096322391</v>
      </c>
      <c r="L1179" t="s">
        <v>537</v>
      </c>
    </row>
    <row r="1180" spans="3:12" x14ac:dyDescent="0.2">
      <c r="C1180" t="s">
        <v>250</v>
      </c>
      <c r="D1180" s="88">
        <v>1.2700000000000001E-3</v>
      </c>
      <c r="E1180" t="s">
        <v>358</v>
      </c>
      <c r="F1180">
        <v>0.30602000000000001</v>
      </c>
      <c r="G1180">
        <v>1.2700000000000001E-3</v>
      </c>
      <c r="H1180">
        <f>$A$7</f>
        <v>10</v>
      </c>
      <c r="I1180">
        <v>1</v>
      </c>
      <c r="J1180" t="s">
        <v>442</v>
      </c>
      <c r="K1180" s="17">
        <f t="shared" si="102"/>
        <v>212607097.37944543</v>
      </c>
      <c r="L1180" t="s">
        <v>537</v>
      </c>
    </row>
    <row r="1181" spans="3:12" x14ac:dyDescent="0.2">
      <c r="C1181" t="s">
        <v>251</v>
      </c>
      <c r="D1181" s="88">
        <v>0</v>
      </c>
      <c r="E1181" t="s">
        <v>359</v>
      </c>
      <c r="F1181">
        <v>3.1E-4</v>
      </c>
      <c r="G1181">
        <v>0</v>
      </c>
      <c r="H1181">
        <f>$A$6</f>
        <v>100</v>
      </c>
      <c r="I1181">
        <v>-1</v>
      </c>
      <c r="J1181" t="s">
        <v>443</v>
      </c>
      <c r="K1181" s="17">
        <f t="shared" si="102"/>
        <v>-2153701.4989979565</v>
      </c>
      <c r="L1181" t="s">
        <v>537</v>
      </c>
    </row>
    <row r="1182" spans="3:12" x14ac:dyDescent="0.2">
      <c r="C1182" t="s">
        <v>252</v>
      </c>
      <c r="D1182" s="88">
        <v>0.12681999999999999</v>
      </c>
      <c r="E1182" t="s">
        <v>360</v>
      </c>
      <c r="F1182">
        <v>3.0602</v>
      </c>
      <c r="G1182">
        <v>0.12681999999999999</v>
      </c>
      <c r="H1182">
        <f>$A$7</f>
        <v>10</v>
      </c>
      <c r="I1182">
        <v>-1</v>
      </c>
      <c r="J1182" t="s">
        <v>444</v>
      </c>
      <c r="K1182" s="17">
        <f t="shared" ref="K1182:K1213" si="104">((B$1150*D1182)+(SUM(B$1151:B$1153)*F1182)+(B$1153*G1182))*H1182*I1182</f>
        <v>-2126252694.8338084</v>
      </c>
      <c r="L1182" t="s">
        <v>537</v>
      </c>
    </row>
    <row r="1183" spans="3:12" x14ac:dyDescent="0.2">
      <c r="C1183" t="s">
        <v>253</v>
      </c>
      <c r="D1183" s="88">
        <v>1.268E-2</v>
      </c>
      <c r="E1183" t="s">
        <v>361</v>
      </c>
      <c r="F1183">
        <v>0.30602000000000001</v>
      </c>
      <c r="G1183">
        <v>1.268E-2</v>
      </c>
      <c r="H1183">
        <f>$A$7</f>
        <v>10</v>
      </c>
      <c r="I1183">
        <v>-1</v>
      </c>
      <c r="J1183" t="s">
        <v>445</v>
      </c>
      <c r="K1183" s="17">
        <f t="shared" si="104"/>
        <v>-212625266.29864481</v>
      </c>
      <c r="L1183" t="s">
        <v>537</v>
      </c>
    </row>
    <row r="1184" spans="3:12" x14ac:dyDescent="0.2">
      <c r="C1184" t="s">
        <v>325</v>
      </c>
      <c r="D1184" s="88">
        <v>1.2700000000000001E-3</v>
      </c>
      <c r="E1184" t="s">
        <v>362</v>
      </c>
      <c r="F1184">
        <v>3.1E-4</v>
      </c>
      <c r="G1184">
        <v>1.2700000000000001E-3</v>
      </c>
      <c r="H1184">
        <f>$A$6</f>
        <v>100</v>
      </c>
      <c r="I1184">
        <v>-1</v>
      </c>
      <c r="J1184" t="s">
        <v>446</v>
      </c>
      <c r="K1184" s="17">
        <f t="shared" si="104"/>
        <v>-2173924.572953423</v>
      </c>
      <c r="L1184" t="s">
        <v>537</v>
      </c>
    </row>
    <row r="1185" spans="3:12" x14ac:dyDescent="0.2">
      <c r="C1185" t="s">
        <v>254</v>
      </c>
      <c r="D1185" s="88">
        <v>1.2700000000000001E-3</v>
      </c>
      <c r="E1185" t="s">
        <v>363</v>
      </c>
      <c r="F1185">
        <v>3.0599999999999998E-3</v>
      </c>
      <c r="G1185">
        <v>1.2700000000000001E-3</v>
      </c>
      <c r="H1185">
        <f>$A$7</f>
        <v>10</v>
      </c>
      <c r="I1185">
        <v>-1</v>
      </c>
      <c r="J1185" t="s">
        <v>447</v>
      </c>
      <c r="K1185" s="17">
        <f t="shared" si="104"/>
        <v>-2127934.1096322392</v>
      </c>
      <c r="L1185" t="s">
        <v>537</v>
      </c>
    </row>
    <row r="1186" spans="3:12" x14ac:dyDescent="0.2">
      <c r="C1186" t="s">
        <v>255</v>
      </c>
      <c r="D1186" s="88">
        <v>0</v>
      </c>
      <c r="E1186" t="s">
        <v>364</v>
      </c>
      <c r="F1186">
        <v>0</v>
      </c>
      <c r="G1186">
        <v>0</v>
      </c>
      <c r="H1186">
        <f>$A$7</f>
        <v>10</v>
      </c>
      <c r="I1186">
        <v>-1</v>
      </c>
      <c r="J1186" t="s">
        <v>448</v>
      </c>
      <c r="K1186" s="17">
        <f t="shared" si="104"/>
        <v>0</v>
      </c>
      <c r="L1186" t="s">
        <v>537</v>
      </c>
    </row>
    <row r="1187" spans="3:12" x14ac:dyDescent="0.2">
      <c r="C1187" t="s">
        <v>256</v>
      </c>
      <c r="D1187" s="88">
        <v>1.2700000000000001E-3</v>
      </c>
      <c r="E1187" t="s">
        <v>365</v>
      </c>
      <c r="F1187">
        <v>0.30602000000000001</v>
      </c>
      <c r="G1187">
        <v>1.2700000000000001E-3</v>
      </c>
      <c r="H1187">
        <f>$A$7</f>
        <v>10</v>
      </c>
      <c r="I1187">
        <v>-1</v>
      </c>
      <c r="J1187" t="s">
        <v>449</v>
      </c>
      <c r="K1187" s="17">
        <f t="shared" si="104"/>
        <v>-212607097.37944543</v>
      </c>
      <c r="L1187" t="s">
        <v>537</v>
      </c>
    </row>
    <row r="1188" spans="3:12" x14ac:dyDescent="0.2">
      <c r="C1188" t="s">
        <v>257</v>
      </c>
      <c r="D1188" s="88">
        <v>1.26824</v>
      </c>
      <c r="E1188" t="s">
        <v>366</v>
      </c>
      <c r="F1188">
        <v>3.0599999999999998E-3</v>
      </c>
      <c r="G1188">
        <v>1.26824</v>
      </c>
      <c r="H1188">
        <f>$A$6</f>
        <v>100</v>
      </c>
      <c r="I1188">
        <v>-1</v>
      </c>
      <c r="J1188" t="s">
        <v>450</v>
      </c>
      <c r="K1188" s="17">
        <f t="shared" si="104"/>
        <v>-41454166.300540708</v>
      </c>
      <c r="L1188" t="s">
        <v>537</v>
      </c>
    </row>
    <row r="1189" spans="3:12" x14ac:dyDescent="0.2">
      <c r="C1189" t="s">
        <v>258</v>
      </c>
      <c r="D1189" s="88">
        <v>0.12681999999999999</v>
      </c>
      <c r="E1189" t="s">
        <v>367</v>
      </c>
      <c r="F1189">
        <v>3.0599999999999998E-3</v>
      </c>
      <c r="G1189">
        <v>0.12681999999999999</v>
      </c>
      <c r="H1189">
        <f>$A$6</f>
        <v>100</v>
      </c>
      <c r="I1189">
        <v>-1</v>
      </c>
      <c r="J1189" t="s">
        <v>451</v>
      </c>
      <c r="K1189" s="17">
        <f t="shared" si="104"/>
        <v>-23278559.155463181</v>
      </c>
      <c r="L1189" t="s">
        <v>537</v>
      </c>
    </row>
    <row r="1190" spans="3:12" x14ac:dyDescent="0.2">
      <c r="C1190" t="s">
        <v>326</v>
      </c>
      <c r="D1190" s="88">
        <v>1.2700000000000001E-3</v>
      </c>
      <c r="E1190" t="s">
        <v>365</v>
      </c>
      <c r="F1190">
        <v>3.0599999999999998E-3</v>
      </c>
      <c r="G1190">
        <v>1.2700000000000001E-3</v>
      </c>
      <c r="H1190">
        <v>0</v>
      </c>
      <c r="I1190">
        <v>0</v>
      </c>
      <c r="J1190" t="s">
        <v>449</v>
      </c>
      <c r="K1190" s="17">
        <f t="shared" si="104"/>
        <v>0</v>
      </c>
      <c r="L1190" t="s">
        <v>537</v>
      </c>
    </row>
    <row r="1191" spans="3:12" x14ac:dyDescent="0.2">
      <c r="C1191" t="s">
        <v>259</v>
      </c>
      <c r="D1191" s="88">
        <v>1.268E-2</v>
      </c>
      <c r="E1191" t="s">
        <v>368</v>
      </c>
      <c r="F1191">
        <v>3.0599999999999998E-3</v>
      </c>
      <c r="G1191">
        <v>1.268E-2</v>
      </c>
      <c r="H1191">
        <f>$A$6</f>
        <v>100</v>
      </c>
      <c r="I1191">
        <v>-1</v>
      </c>
      <c r="J1191" t="s">
        <v>452</v>
      </c>
      <c r="K1191" s="17">
        <f t="shared" si="104"/>
        <v>-21461030.288315993</v>
      </c>
      <c r="L1191" t="s">
        <v>537</v>
      </c>
    </row>
    <row r="1192" spans="3:12" x14ac:dyDescent="0.2">
      <c r="C1192" t="s">
        <v>260</v>
      </c>
      <c r="D1192" s="88">
        <v>0</v>
      </c>
      <c r="E1192" t="s">
        <v>368</v>
      </c>
      <c r="F1192">
        <v>3.0599999999999998E-3</v>
      </c>
      <c r="G1192">
        <v>0</v>
      </c>
      <c r="H1192">
        <v>0</v>
      </c>
      <c r="I1192">
        <v>0</v>
      </c>
      <c r="J1192" t="s">
        <v>452</v>
      </c>
      <c r="K1192" s="17">
        <f t="shared" si="104"/>
        <v>0</v>
      </c>
      <c r="L1192" t="s">
        <v>537</v>
      </c>
    </row>
    <row r="1193" spans="3:12" x14ac:dyDescent="0.2">
      <c r="C1193" t="s">
        <v>327</v>
      </c>
      <c r="D1193" s="88">
        <v>1.2999999999999999E-4</v>
      </c>
      <c r="E1193" t="s">
        <v>368</v>
      </c>
      <c r="F1193">
        <v>0.30602000000000001</v>
      </c>
      <c r="G1193">
        <v>1.2999999999999999E-4</v>
      </c>
      <c r="H1193">
        <f>$A$6</f>
        <v>100</v>
      </c>
      <c r="I1193">
        <v>-1</v>
      </c>
      <c r="J1193" t="s">
        <v>452</v>
      </c>
      <c r="K1193" s="17">
        <f t="shared" si="104"/>
        <v>-2126052820.7989354</v>
      </c>
      <c r="L1193" t="s">
        <v>537</v>
      </c>
    </row>
    <row r="1194" spans="3:12" x14ac:dyDescent="0.2">
      <c r="C1194" t="s">
        <v>328</v>
      </c>
      <c r="D1194" s="88">
        <v>1.2999999999999999E-4</v>
      </c>
      <c r="E1194" t="s">
        <v>368</v>
      </c>
      <c r="F1194">
        <v>0.30602000000000001</v>
      </c>
      <c r="G1194">
        <v>1.2999999999999999E-4</v>
      </c>
      <c r="H1194">
        <v>0</v>
      </c>
      <c r="I1194">
        <v>0</v>
      </c>
      <c r="J1194" t="s">
        <v>452</v>
      </c>
      <c r="K1194" s="17">
        <f t="shared" si="104"/>
        <v>0</v>
      </c>
      <c r="L1194" t="s">
        <v>537</v>
      </c>
    </row>
    <row r="1195" spans="3:12" x14ac:dyDescent="0.2">
      <c r="C1195" t="s">
        <v>261</v>
      </c>
      <c r="D1195" s="88">
        <v>0.12681999999999999</v>
      </c>
      <c r="E1195" t="s">
        <v>369</v>
      </c>
      <c r="F1195">
        <v>3.1E-4</v>
      </c>
      <c r="G1195">
        <v>0.12681999999999999</v>
      </c>
      <c r="H1195">
        <f>$A$6</f>
        <v>100</v>
      </c>
      <c r="I1195">
        <v>-1</v>
      </c>
      <c r="J1195" t="s">
        <v>453</v>
      </c>
      <c r="K1195" s="17">
        <f t="shared" si="104"/>
        <v>-4173142.6320942156</v>
      </c>
      <c r="L1195" t="s">
        <v>537</v>
      </c>
    </row>
    <row r="1196" spans="3:12" x14ac:dyDescent="0.2">
      <c r="C1196" t="s">
        <v>263</v>
      </c>
      <c r="D1196" s="88">
        <v>1.2999999999999999E-4</v>
      </c>
      <c r="E1196" t="s">
        <v>370</v>
      </c>
      <c r="F1196">
        <v>3.1E-4</v>
      </c>
      <c r="G1196">
        <v>1.2999999999999999E-4</v>
      </c>
      <c r="H1196">
        <f>$A$6</f>
        <v>100</v>
      </c>
      <c r="I1196">
        <v>-1</v>
      </c>
      <c r="J1196" t="s">
        <v>454</v>
      </c>
      <c r="K1196" s="17">
        <f t="shared" si="104"/>
        <v>-2155771.5774343428</v>
      </c>
      <c r="L1196" t="s">
        <v>537</v>
      </c>
    </row>
    <row r="1197" spans="3:12" x14ac:dyDescent="0.2">
      <c r="C1197" t="s">
        <v>262</v>
      </c>
      <c r="D1197" s="88">
        <v>1.2999999999999999E-4</v>
      </c>
      <c r="E1197" t="s">
        <v>370</v>
      </c>
      <c r="F1197">
        <v>3.0599999999999998E-3</v>
      </c>
      <c r="G1197">
        <v>1.2999999999999999E-4</v>
      </c>
      <c r="H1197">
        <f>$A$6</f>
        <v>100</v>
      </c>
      <c r="I1197">
        <v>-1</v>
      </c>
      <c r="J1197" t="s">
        <v>454</v>
      </c>
      <c r="K1197" s="17">
        <f t="shared" si="104"/>
        <v>-21261188.100803312</v>
      </c>
      <c r="L1197" t="s">
        <v>537</v>
      </c>
    </row>
    <row r="1198" spans="3:12" x14ac:dyDescent="0.2">
      <c r="C1198" t="s">
        <v>264</v>
      </c>
      <c r="D1198" s="88">
        <v>1.2700000000000001E-3</v>
      </c>
      <c r="E1198" t="s">
        <v>371</v>
      </c>
      <c r="F1198">
        <v>3.0599999999999999E-2</v>
      </c>
      <c r="G1198">
        <v>1.2700000000000001E-3</v>
      </c>
      <c r="H1198">
        <f>$A$7</f>
        <v>10</v>
      </c>
      <c r="I1198">
        <v>-1</v>
      </c>
      <c r="J1198" t="s">
        <v>455</v>
      </c>
      <c r="K1198" s="17">
        <f t="shared" si="104"/>
        <v>-21261140.329762474</v>
      </c>
      <c r="L1198" t="s">
        <v>537</v>
      </c>
    </row>
    <row r="1199" spans="3:12" x14ac:dyDescent="0.2">
      <c r="C1199" t="s">
        <v>265</v>
      </c>
      <c r="D1199" s="88">
        <v>1.2700000000000001E-3</v>
      </c>
      <c r="E1199" t="s">
        <v>371</v>
      </c>
      <c r="F1199">
        <v>3.0599999999999998E-3</v>
      </c>
      <c r="G1199">
        <v>1.2700000000000001E-3</v>
      </c>
      <c r="H1199">
        <f>$A$7</f>
        <v>10</v>
      </c>
      <c r="I1199">
        <v>-1</v>
      </c>
      <c r="J1199" t="s">
        <v>455</v>
      </c>
      <c r="K1199" s="17">
        <f t="shared" si="104"/>
        <v>-2127934.1096322392</v>
      </c>
      <c r="L1199" t="s">
        <v>537</v>
      </c>
    </row>
    <row r="1200" spans="3:12" x14ac:dyDescent="0.2">
      <c r="C1200" t="s">
        <v>266</v>
      </c>
      <c r="D1200" s="88">
        <v>1.2700000000000001E-3</v>
      </c>
      <c r="E1200" t="s">
        <v>371</v>
      </c>
      <c r="F1200">
        <v>3.0599999999999999E-2</v>
      </c>
      <c r="G1200">
        <v>1.2700000000000001E-3</v>
      </c>
      <c r="H1200">
        <v>0</v>
      </c>
      <c r="I1200">
        <v>0</v>
      </c>
      <c r="J1200" t="s">
        <v>455</v>
      </c>
      <c r="K1200" s="17">
        <f t="shared" si="104"/>
        <v>0</v>
      </c>
      <c r="L1200" t="s">
        <v>537</v>
      </c>
    </row>
    <row r="1201" spans="3:12" x14ac:dyDescent="0.2">
      <c r="C1201" t="s">
        <v>267</v>
      </c>
      <c r="D1201" s="88">
        <v>1.2999999999999999E-4</v>
      </c>
      <c r="E1201" t="s">
        <v>372</v>
      </c>
      <c r="F1201">
        <v>3.0599999999999998E-3</v>
      </c>
      <c r="G1201">
        <v>1.2999999999999999E-4</v>
      </c>
      <c r="H1201">
        <v>0</v>
      </c>
      <c r="I1201">
        <v>0</v>
      </c>
      <c r="J1201" t="s">
        <v>456</v>
      </c>
      <c r="K1201" s="17">
        <f t="shared" si="104"/>
        <v>0</v>
      </c>
      <c r="L1201" t="s">
        <v>537</v>
      </c>
    </row>
    <row r="1202" spans="3:12" x14ac:dyDescent="0.2">
      <c r="C1202" t="s">
        <v>329</v>
      </c>
      <c r="D1202" s="88">
        <v>0.12681999999999999</v>
      </c>
      <c r="E1202" s="75" t="s">
        <v>373</v>
      </c>
      <c r="F1202">
        <v>0.30602000000000001</v>
      </c>
      <c r="G1202">
        <v>0.12681999999999999</v>
      </c>
      <c r="H1202">
        <f>$A$7</f>
        <v>10</v>
      </c>
      <c r="I1202">
        <v>-1</v>
      </c>
      <c r="J1202" t="s">
        <v>457</v>
      </c>
      <c r="K1202" s="17">
        <f t="shared" si="104"/>
        <v>-212807019.18535951</v>
      </c>
      <c r="L1202" t="s">
        <v>537</v>
      </c>
    </row>
    <row r="1203" spans="3:12" x14ac:dyDescent="0.2">
      <c r="C1203" t="s">
        <v>314</v>
      </c>
      <c r="D1203" s="88">
        <v>1.2700000000000001E-3</v>
      </c>
      <c r="E1203" s="75" t="s">
        <v>374</v>
      </c>
      <c r="F1203">
        <v>3.0599999999999998E-3</v>
      </c>
      <c r="G1203">
        <v>1.2700000000000001E-3</v>
      </c>
      <c r="H1203">
        <f>$A$7</f>
        <v>10</v>
      </c>
      <c r="I1203">
        <v>-1</v>
      </c>
      <c r="J1203" t="s">
        <v>458</v>
      </c>
      <c r="K1203" s="17">
        <f t="shared" si="104"/>
        <v>-2127934.1096322392</v>
      </c>
      <c r="L1203" t="s">
        <v>537</v>
      </c>
    </row>
    <row r="1204" spans="3:12" x14ac:dyDescent="0.2">
      <c r="C1204" t="s">
        <v>268</v>
      </c>
      <c r="D1204" s="88">
        <v>1.2700000000000001E-3</v>
      </c>
      <c r="E1204" s="75" t="s">
        <v>374</v>
      </c>
      <c r="F1204">
        <v>3.0599999999999998E-3</v>
      </c>
      <c r="G1204">
        <v>1.2700000000000001E-3</v>
      </c>
      <c r="H1204">
        <f>$A$7</f>
        <v>10</v>
      </c>
      <c r="I1204">
        <v>-1</v>
      </c>
      <c r="J1204" t="s">
        <v>458</v>
      </c>
      <c r="K1204" s="17">
        <f t="shared" si="104"/>
        <v>-2127934.1096322392</v>
      </c>
      <c r="L1204" t="s">
        <v>537</v>
      </c>
    </row>
    <row r="1205" spans="3:12" x14ac:dyDescent="0.2">
      <c r="C1205" t="s">
        <v>269</v>
      </c>
      <c r="D1205" s="88">
        <v>1.2700000000000001E-3</v>
      </c>
      <c r="E1205" s="75" t="s">
        <v>374</v>
      </c>
      <c r="F1205">
        <v>3.0599999999999998E-3</v>
      </c>
      <c r="G1205">
        <v>1.2700000000000001E-3</v>
      </c>
      <c r="H1205">
        <v>0</v>
      </c>
      <c r="I1205">
        <v>0</v>
      </c>
      <c r="J1205" t="s">
        <v>458</v>
      </c>
      <c r="K1205" s="17">
        <f t="shared" si="104"/>
        <v>0</v>
      </c>
      <c r="L1205" t="s">
        <v>537</v>
      </c>
    </row>
    <row r="1206" spans="3:12" x14ac:dyDescent="0.2">
      <c r="C1206" t="s">
        <v>270</v>
      </c>
      <c r="D1206" s="88">
        <v>1.2700000000000001E-3</v>
      </c>
      <c r="E1206" s="75" t="s">
        <v>375</v>
      </c>
      <c r="F1206">
        <v>0</v>
      </c>
      <c r="G1206">
        <v>1.2700000000000001E-3</v>
      </c>
      <c r="H1206">
        <f>$A$6</f>
        <v>100</v>
      </c>
      <c r="I1206">
        <v>-1</v>
      </c>
      <c r="J1206" t="s">
        <v>459</v>
      </c>
      <c r="K1206" s="17">
        <f t="shared" si="104"/>
        <v>-20223.073955466403</v>
      </c>
      <c r="L1206" t="s">
        <v>537</v>
      </c>
    </row>
    <row r="1207" spans="3:12" x14ac:dyDescent="0.2">
      <c r="C1207" t="s">
        <v>271</v>
      </c>
      <c r="D1207" s="88">
        <v>0.12681999999999999</v>
      </c>
      <c r="E1207" s="75" t="s">
        <v>376</v>
      </c>
      <c r="F1207">
        <v>3.0602</v>
      </c>
      <c r="G1207">
        <v>0.12681999999999999</v>
      </c>
      <c r="H1207">
        <v>0</v>
      </c>
      <c r="I1207">
        <v>0</v>
      </c>
      <c r="J1207" t="s">
        <v>460</v>
      </c>
      <c r="K1207" s="17">
        <f t="shared" si="104"/>
        <v>0</v>
      </c>
      <c r="L1207" t="s">
        <v>537</v>
      </c>
    </row>
    <row r="1208" spans="3:12" x14ac:dyDescent="0.2">
      <c r="C1208" t="s">
        <v>272</v>
      </c>
      <c r="D1208" s="88">
        <v>1.26824</v>
      </c>
      <c r="E1208" t="s">
        <v>377</v>
      </c>
      <c r="F1208">
        <v>3.0599999999999998E-3</v>
      </c>
      <c r="G1208">
        <v>1.26824</v>
      </c>
      <c r="H1208">
        <v>0</v>
      </c>
      <c r="I1208">
        <v>0</v>
      </c>
      <c r="J1208" t="s">
        <v>461</v>
      </c>
      <c r="K1208" s="17">
        <f t="shared" si="104"/>
        <v>0</v>
      </c>
      <c r="L1208" t="s">
        <v>537</v>
      </c>
    </row>
    <row r="1209" spans="3:12" x14ac:dyDescent="0.2">
      <c r="C1209" t="s">
        <v>273</v>
      </c>
      <c r="D1209" s="88">
        <v>1.2999999999999999E-4</v>
      </c>
      <c r="E1209" t="s">
        <v>378</v>
      </c>
      <c r="F1209">
        <v>3.0602</v>
      </c>
      <c r="G1209">
        <v>1.2999999999999999E-4</v>
      </c>
      <c r="H1209">
        <f>$A$7</f>
        <v>10</v>
      </c>
      <c r="I1209">
        <v>-1</v>
      </c>
      <c r="J1209" t="s">
        <v>462</v>
      </c>
      <c r="K1209" s="17">
        <f t="shared" si="104"/>
        <v>-2126050957.7283425</v>
      </c>
      <c r="L1209" t="s">
        <v>537</v>
      </c>
    </row>
    <row r="1210" spans="3:12" x14ac:dyDescent="0.2">
      <c r="C1210" t="s">
        <v>274</v>
      </c>
      <c r="D1210" s="88">
        <v>1.2999999999999999E-4</v>
      </c>
      <c r="E1210" t="s">
        <v>379</v>
      </c>
      <c r="F1210">
        <v>3.1E-4</v>
      </c>
      <c r="G1210">
        <v>1.2999999999999999E-4</v>
      </c>
      <c r="H1210">
        <v>0</v>
      </c>
      <c r="I1210">
        <v>0</v>
      </c>
      <c r="J1210" t="s">
        <v>463</v>
      </c>
      <c r="K1210" s="17">
        <f t="shared" si="104"/>
        <v>0</v>
      </c>
      <c r="L1210" t="s">
        <v>537</v>
      </c>
    </row>
    <row r="1211" spans="3:12" x14ac:dyDescent="0.2">
      <c r="C1211" t="s">
        <v>275</v>
      </c>
      <c r="D1211" s="88">
        <v>1.26824</v>
      </c>
      <c r="E1211" t="s">
        <v>377</v>
      </c>
      <c r="F1211">
        <v>3.0599999999999998E-3</v>
      </c>
      <c r="G1211">
        <v>1.26824</v>
      </c>
      <c r="H1211">
        <f>$A$6</f>
        <v>100</v>
      </c>
      <c r="I1211">
        <v>-1</v>
      </c>
      <c r="J1211" t="s">
        <v>461</v>
      </c>
      <c r="K1211" s="17">
        <f t="shared" si="104"/>
        <v>-41454166.300540708</v>
      </c>
      <c r="L1211" t="s">
        <v>537</v>
      </c>
    </row>
    <row r="1212" spans="3:12" x14ac:dyDescent="0.2">
      <c r="C1212" t="s">
        <v>276</v>
      </c>
      <c r="D1212" s="88">
        <v>1.26824</v>
      </c>
      <c r="E1212" t="s">
        <v>377</v>
      </c>
      <c r="F1212">
        <v>3.0599999999999998E-3</v>
      </c>
      <c r="G1212">
        <v>1.26824</v>
      </c>
      <c r="H1212">
        <f>$A$6</f>
        <v>100</v>
      </c>
      <c r="I1212">
        <v>-1</v>
      </c>
      <c r="J1212" t="s">
        <v>461</v>
      </c>
      <c r="K1212" s="17">
        <f t="shared" si="104"/>
        <v>-41454166.300540708</v>
      </c>
      <c r="L1212" t="s">
        <v>537</v>
      </c>
    </row>
    <row r="1213" spans="3:12" x14ac:dyDescent="0.2">
      <c r="C1213" t="s">
        <v>277</v>
      </c>
      <c r="D1213" s="88">
        <v>1.2700000000000001E-3</v>
      </c>
      <c r="E1213" t="s">
        <v>380</v>
      </c>
      <c r="F1213">
        <v>3.1E-4</v>
      </c>
      <c r="G1213">
        <v>1.2700000000000001E-3</v>
      </c>
      <c r="H1213">
        <f>$A$6</f>
        <v>100</v>
      </c>
      <c r="I1213">
        <v>-1</v>
      </c>
      <c r="J1213" t="s">
        <v>464</v>
      </c>
      <c r="K1213" s="17">
        <f t="shared" si="104"/>
        <v>-2173924.572953423</v>
      </c>
      <c r="L1213" t="s">
        <v>537</v>
      </c>
    </row>
    <row r="1214" spans="3:12" x14ac:dyDescent="0.2">
      <c r="C1214" t="s">
        <v>278</v>
      </c>
      <c r="D1214" s="88">
        <v>1.26824</v>
      </c>
      <c r="E1214" t="s">
        <v>381</v>
      </c>
      <c r="F1214">
        <v>3.0602</v>
      </c>
      <c r="G1214">
        <v>1.26824</v>
      </c>
      <c r="H1214">
        <f>$A$6</f>
        <v>100</v>
      </c>
      <c r="I1214">
        <v>-1</v>
      </c>
      <c r="J1214" t="s">
        <v>465</v>
      </c>
      <c r="K1214" s="17">
        <f t="shared" ref="K1214:K1245" si="105">((B$1150*D1214)+(SUM(B$1151:B$1153)*F1214)+(B$1153*G1214))*H1214*I1214</f>
        <v>-21280702555.483162</v>
      </c>
      <c r="L1214" t="s">
        <v>537</v>
      </c>
    </row>
    <row r="1215" spans="3:12" x14ac:dyDescent="0.2">
      <c r="C1215" t="s">
        <v>330</v>
      </c>
      <c r="D1215" s="88">
        <v>1.2999999999999999E-4</v>
      </c>
      <c r="E1215" t="s">
        <v>382</v>
      </c>
      <c r="F1215">
        <v>3.1E-4</v>
      </c>
      <c r="G1215">
        <v>1.2999999999999999E-4</v>
      </c>
      <c r="H1215">
        <f>$A$7</f>
        <v>10</v>
      </c>
      <c r="I1215">
        <v>-1</v>
      </c>
      <c r="J1215" t="s">
        <v>466</v>
      </c>
      <c r="K1215" s="17">
        <f t="shared" si="105"/>
        <v>-215577.15774343431</v>
      </c>
      <c r="L1215" t="s">
        <v>537</v>
      </c>
    </row>
    <row r="1216" spans="3:12" x14ac:dyDescent="0.2">
      <c r="C1216" t="s">
        <v>279</v>
      </c>
      <c r="D1216" s="88">
        <v>1.2999999999999999E-4</v>
      </c>
      <c r="E1216" t="s">
        <v>382</v>
      </c>
      <c r="F1216">
        <v>3.1E-4</v>
      </c>
      <c r="G1216">
        <v>1.2999999999999999E-4</v>
      </c>
      <c r="H1216">
        <f>$A$7</f>
        <v>10</v>
      </c>
      <c r="I1216">
        <v>-1</v>
      </c>
      <c r="J1216" t="s">
        <v>466</v>
      </c>
      <c r="K1216" s="17">
        <f t="shared" si="105"/>
        <v>-215577.15774343431</v>
      </c>
      <c r="L1216" t="s">
        <v>537</v>
      </c>
    </row>
    <row r="1217" spans="3:12" x14ac:dyDescent="0.2">
      <c r="C1217" t="s">
        <v>280</v>
      </c>
      <c r="D1217" s="88">
        <v>1.2999999999999999E-4</v>
      </c>
      <c r="E1217" t="s">
        <v>382</v>
      </c>
      <c r="F1217">
        <v>3.0599999999999998E-3</v>
      </c>
      <c r="G1217">
        <v>1.2999999999999999E-4</v>
      </c>
      <c r="H1217">
        <v>0</v>
      </c>
      <c r="I1217">
        <v>0</v>
      </c>
      <c r="J1217" t="s">
        <v>466</v>
      </c>
      <c r="K1217" s="17">
        <f t="shared" si="105"/>
        <v>0</v>
      </c>
      <c r="L1217" t="s">
        <v>537</v>
      </c>
    </row>
    <row r="1218" spans="3:12" x14ac:dyDescent="0.2">
      <c r="C1218" t="s">
        <v>331</v>
      </c>
      <c r="D1218" s="88">
        <v>1.2700000000000001E-3</v>
      </c>
      <c r="E1218" t="s">
        <v>383</v>
      </c>
      <c r="F1218">
        <v>3.0599999999999998E-3</v>
      </c>
      <c r="G1218">
        <v>1.2700000000000001E-3</v>
      </c>
      <c r="H1218">
        <v>0</v>
      </c>
      <c r="I1218">
        <v>0</v>
      </c>
      <c r="J1218" t="s">
        <v>467</v>
      </c>
      <c r="K1218" s="17">
        <f t="shared" si="105"/>
        <v>0</v>
      </c>
      <c r="L1218" t="s">
        <v>537</v>
      </c>
    </row>
    <row r="1219" spans="3:12" x14ac:dyDescent="0.2">
      <c r="C1219" t="s">
        <v>281</v>
      </c>
      <c r="D1219" s="88">
        <v>1.2999999999999999E-4</v>
      </c>
      <c r="E1219" t="s">
        <v>384</v>
      </c>
      <c r="F1219">
        <v>3.1E-4</v>
      </c>
      <c r="G1219">
        <v>1.2999999999999999E-4</v>
      </c>
      <c r="H1219">
        <f>$A$7</f>
        <v>10</v>
      </c>
      <c r="I1219">
        <v>-1</v>
      </c>
      <c r="J1219" t="s">
        <v>468</v>
      </c>
      <c r="K1219" s="17">
        <f t="shared" si="105"/>
        <v>-215577.15774343431</v>
      </c>
      <c r="L1219" t="s">
        <v>537</v>
      </c>
    </row>
    <row r="1220" spans="3:12" x14ac:dyDescent="0.2">
      <c r="C1220" t="s">
        <v>282</v>
      </c>
      <c r="D1220" s="88">
        <v>0.12681999999999999</v>
      </c>
      <c r="E1220" t="s">
        <v>385</v>
      </c>
      <c r="F1220">
        <v>0.30602000000000001</v>
      </c>
      <c r="G1220">
        <v>0.12681999999999999</v>
      </c>
      <c r="H1220">
        <v>0</v>
      </c>
      <c r="I1220">
        <v>0</v>
      </c>
      <c r="J1220" t="s">
        <v>469</v>
      </c>
      <c r="K1220" s="17">
        <f t="shared" si="105"/>
        <v>0</v>
      </c>
      <c r="L1220" t="s">
        <v>537</v>
      </c>
    </row>
    <row r="1221" spans="3:12" x14ac:dyDescent="0.2">
      <c r="C1221" t="s">
        <v>332</v>
      </c>
      <c r="D1221" s="88">
        <v>1.268E-2</v>
      </c>
      <c r="E1221" t="s">
        <v>386</v>
      </c>
      <c r="F1221">
        <v>3.0599999999999998E-3</v>
      </c>
      <c r="G1221">
        <v>1.268E-2</v>
      </c>
      <c r="H1221">
        <v>0</v>
      </c>
      <c r="I1221">
        <v>0</v>
      </c>
      <c r="J1221" t="s">
        <v>470</v>
      </c>
      <c r="K1221" s="17">
        <f t="shared" si="105"/>
        <v>0</v>
      </c>
      <c r="L1221" t="s">
        <v>537</v>
      </c>
    </row>
    <row r="1222" spans="3:12" x14ac:dyDescent="0.2">
      <c r="C1222" t="s">
        <v>283</v>
      </c>
      <c r="D1222" s="88">
        <v>1.2700000000000001E-3</v>
      </c>
      <c r="E1222" t="s">
        <v>387</v>
      </c>
      <c r="F1222">
        <v>3.0599999999999998E-3</v>
      </c>
      <c r="G1222">
        <v>1.2700000000000001E-3</v>
      </c>
      <c r="H1222">
        <f>$A$7</f>
        <v>10</v>
      </c>
      <c r="I1222">
        <v>-1</v>
      </c>
      <c r="J1222" t="s">
        <v>471</v>
      </c>
      <c r="K1222" s="17">
        <f t="shared" si="105"/>
        <v>-2127934.1096322392</v>
      </c>
      <c r="L1222" t="s">
        <v>537</v>
      </c>
    </row>
    <row r="1223" spans="3:12" x14ac:dyDescent="0.2">
      <c r="C1223" t="s">
        <v>284</v>
      </c>
      <c r="D1223" s="88">
        <v>1.2999999999999999E-4</v>
      </c>
      <c r="E1223" t="s">
        <v>388</v>
      </c>
      <c r="F1223">
        <v>3.0602</v>
      </c>
      <c r="G1223">
        <v>1.2999999999999999E-4</v>
      </c>
      <c r="H1223">
        <f>$A$7</f>
        <v>10</v>
      </c>
      <c r="I1223">
        <v>-1</v>
      </c>
      <c r="J1223" t="s">
        <v>472</v>
      </c>
      <c r="K1223" s="17">
        <f t="shared" si="105"/>
        <v>-2126050957.7283425</v>
      </c>
      <c r="L1223" t="s">
        <v>537</v>
      </c>
    </row>
    <row r="1224" spans="3:12" x14ac:dyDescent="0.2">
      <c r="C1224" t="s">
        <v>285</v>
      </c>
      <c r="D1224" s="88">
        <v>1.2700000000000001E-3</v>
      </c>
      <c r="E1224" t="s">
        <v>389</v>
      </c>
      <c r="F1224">
        <v>3.0599999999999998E-3</v>
      </c>
      <c r="G1224">
        <v>1.2700000000000001E-3</v>
      </c>
      <c r="H1224">
        <f>$A$7</f>
        <v>10</v>
      </c>
      <c r="I1224">
        <v>-1</v>
      </c>
      <c r="J1224" t="s">
        <v>473</v>
      </c>
      <c r="K1224" s="17">
        <f t="shared" si="105"/>
        <v>-2127934.1096322392</v>
      </c>
      <c r="L1224" t="s">
        <v>537</v>
      </c>
    </row>
    <row r="1225" spans="3:12" x14ac:dyDescent="0.2">
      <c r="C1225" t="s">
        <v>286</v>
      </c>
      <c r="D1225" s="88">
        <v>1.268E-2</v>
      </c>
      <c r="E1225" t="s">
        <v>390</v>
      </c>
      <c r="F1225">
        <v>3.0599999999999998E-3</v>
      </c>
      <c r="G1225">
        <v>1.268E-2</v>
      </c>
      <c r="H1225">
        <f>$A$6</f>
        <v>100</v>
      </c>
      <c r="I1225">
        <v>-1</v>
      </c>
      <c r="J1225" t="s">
        <v>474</v>
      </c>
      <c r="K1225" s="17">
        <f t="shared" si="105"/>
        <v>-21461030.288315993</v>
      </c>
      <c r="L1225" t="s">
        <v>537</v>
      </c>
    </row>
    <row r="1226" spans="3:12" x14ac:dyDescent="0.2">
      <c r="C1226" t="s">
        <v>287</v>
      </c>
      <c r="D1226" s="88">
        <v>1.2700000000000001E-3</v>
      </c>
      <c r="E1226" t="s">
        <v>391</v>
      </c>
      <c r="F1226">
        <v>3.0599999999999998E-3</v>
      </c>
      <c r="G1226">
        <v>1.2700000000000001E-3</v>
      </c>
      <c r="H1226">
        <f>$A$6</f>
        <v>100</v>
      </c>
      <c r="I1226">
        <v>-1</v>
      </c>
      <c r="J1226" t="s">
        <v>475</v>
      </c>
      <c r="K1226" s="17">
        <f t="shared" si="105"/>
        <v>-21279341.096322391</v>
      </c>
      <c r="L1226" t="s">
        <v>537</v>
      </c>
    </row>
    <row r="1227" spans="3:12" x14ac:dyDescent="0.2">
      <c r="C1227" t="s">
        <v>288</v>
      </c>
      <c r="D1227" s="88">
        <v>1.2700000000000001E-3</v>
      </c>
      <c r="E1227" t="s">
        <v>392</v>
      </c>
      <c r="F1227">
        <v>3.0599999999999998E-3</v>
      </c>
      <c r="G1227">
        <v>1.2700000000000001E-3</v>
      </c>
      <c r="H1227">
        <f>$A$6</f>
        <v>100</v>
      </c>
      <c r="I1227">
        <v>-1</v>
      </c>
      <c r="J1227" t="s">
        <v>476</v>
      </c>
      <c r="K1227" s="17">
        <f t="shared" si="105"/>
        <v>-21279341.096322391</v>
      </c>
      <c r="L1227" t="s">
        <v>537</v>
      </c>
    </row>
    <row r="1228" spans="3:12" x14ac:dyDescent="0.2">
      <c r="C1228" t="s">
        <v>333</v>
      </c>
      <c r="D1228" s="88">
        <v>1.2700000000000001E-3</v>
      </c>
      <c r="E1228" t="s">
        <v>340</v>
      </c>
      <c r="F1228">
        <v>3.0599999999999998E-3</v>
      </c>
      <c r="G1228">
        <v>1.2700000000000001E-3</v>
      </c>
      <c r="H1228">
        <f>$A$7</f>
        <v>10</v>
      </c>
      <c r="I1228">
        <v>-1</v>
      </c>
      <c r="J1228" t="s">
        <v>424</v>
      </c>
      <c r="K1228" s="17">
        <f t="shared" si="105"/>
        <v>-2127934.1096322392</v>
      </c>
      <c r="L1228" t="s">
        <v>537</v>
      </c>
    </row>
    <row r="1229" spans="3:12" x14ac:dyDescent="0.2">
      <c r="C1229" t="s">
        <v>334</v>
      </c>
      <c r="D1229" s="88">
        <v>1.268E-2</v>
      </c>
      <c r="E1229" t="s">
        <v>393</v>
      </c>
      <c r="F1229">
        <v>3.0599999999999999E-2</v>
      </c>
      <c r="G1229">
        <v>1.268E-2</v>
      </c>
      <c r="H1229">
        <v>0</v>
      </c>
      <c r="I1229">
        <v>0</v>
      </c>
      <c r="J1229" t="s">
        <v>477</v>
      </c>
      <c r="K1229" s="17">
        <f t="shared" si="105"/>
        <v>0</v>
      </c>
      <c r="L1229" t="s">
        <v>537</v>
      </c>
    </row>
    <row r="1230" spans="3:12" x14ac:dyDescent="0.2">
      <c r="C1230" t="s">
        <v>335</v>
      </c>
      <c r="D1230" s="88">
        <v>1.2700000000000001E-3</v>
      </c>
      <c r="E1230" t="s">
        <v>394</v>
      </c>
      <c r="F1230">
        <v>3.0599999999999998E-3</v>
      </c>
      <c r="G1230">
        <v>1.268E-2</v>
      </c>
      <c r="H1230">
        <f>$A$7</f>
        <v>10</v>
      </c>
      <c r="I1230">
        <v>-1</v>
      </c>
      <c r="J1230" t="s">
        <v>478</v>
      </c>
      <c r="K1230" s="17">
        <f t="shared" si="105"/>
        <v>-2129105.9588975962</v>
      </c>
      <c r="L1230" t="s">
        <v>537</v>
      </c>
    </row>
    <row r="1231" spans="3:12" x14ac:dyDescent="0.2">
      <c r="C1231" t="s">
        <v>289</v>
      </c>
      <c r="D1231" s="88">
        <v>1.2700000000000001E-3</v>
      </c>
      <c r="E1231" t="s">
        <v>395</v>
      </c>
      <c r="F1231">
        <v>0.30602000000000001</v>
      </c>
      <c r="G1231">
        <v>1.2700000000000001E-3</v>
      </c>
      <c r="H1231">
        <f>$A$7</f>
        <v>10</v>
      </c>
      <c r="I1231">
        <v>-1</v>
      </c>
      <c r="J1231" t="s">
        <v>479</v>
      </c>
      <c r="K1231" s="17">
        <f t="shared" si="105"/>
        <v>-212607097.37944543</v>
      </c>
      <c r="L1231" t="s">
        <v>537</v>
      </c>
    </row>
    <row r="1232" spans="3:12" x14ac:dyDescent="0.2">
      <c r="C1232" t="s">
        <v>290</v>
      </c>
      <c r="D1232" s="88">
        <v>1.2999999999999999E-4</v>
      </c>
      <c r="E1232" t="s">
        <v>396</v>
      </c>
      <c r="F1232">
        <v>3.1E-4</v>
      </c>
      <c r="G1232">
        <v>1.2999999999999999E-4</v>
      </c>
      <c r="H1232">
        <f>$A$7</f>
        <v>10</v>
      </c>
      <c r="I1232">
        <v>-1</v>
      </c>
      <c r="J1232" t="s">
        <v>480</v>
      </c>
      <c r="K1232" s="17">
        <f t="shared" si="105"/>
        <v>-215577.15774343431</v>
      </c>
      <c r="L1232" t="s">
        <v>537</v>
      </c>
    </row>
    <row r="1233" spans="3:12" x14ac:dyDescent="0.2">
      <c r="C1233" t="s">
        <v>291</v>
      </c>
      <c r="D1233" s="88">
        <v>1.2999999999999999E-4</v>
      </c>
      <c r="E1233" t="s">
        <v>397</v>
      </c>
      <c r="F1233">
        <v>3.1E-4</v>
      </c>
      <c r="G1233">
        <v>1.2999999999999999E-4</v>
      </c>
      <c r="H1233">
        <f>$A$8</f>
        <v>1</v>
      </c>
      <c r="I1233">
        <v>-1</v>
      </c>
      <c r="J1233" t="s">
        <v>481</v>
      </c>
      <c r="K1233" s="17">
        <f t="shared" si="105"/>
        <v>-21557.715774343429</v>
      </c>
      <c r="L1233" t="s">
        <v>537</v>
      </c>
    </row>
    <row r="1234" spans="3:12" x14ac:dyDescent="0.2">
      <c r="C1234" t="s">
        <v>292</v>
      </c>
      <c r="D1234" s="88">
        <v>1.268E-2</v>
      </c>
      <c r="E1234" t="s">
        <v>360</v>
      </c>
      <c r="F1234">
        <v>3.0599999999999998E-3</v>
      </c>
      <c r="G1234">
        <v>1.268E-2</v>
      </c>
      <c r="H1234">
        <f>$A$6</f>
        <v>100</v>
      </c>
      <c r="I1234">
        <v>-1</v>
      </c>
      <c r="J1234" t="s">
        <v>444</v>
      </c>
      <c r="K1234" s="17">
        <f t="shared" si="105"/>
        <v>-21461030.288315993</v>
      </c>
      <c r="L1234" t="s">
        <v>537</v>
      </c>
    </row>
    <row r="1235" spans="3:12" x14ac:dyDescent="0.2">
      <c r="C1235" t="s">
        <v>293</v>
      </c>
      <c r="D1235" s="88">
        <v>1.26824</v>
      </c>
      <c r="E1235" t="s">
        <v>398</v>
      </c>
      <c r="F1235">
        <v>3.0599999999999998E-3</v>
      </c>
      <c r="G1235">
        <v>1.26824</v>
      </c>
      <c r="H1235">
        <f>$A$7</f>
        <v>10</v>
      </c>
      <c r="I1235">
        <v>-1</v>
      </c>
      <c r="J1235" t="s">
        <v>482</v>
      </c>
      <c r="K1235" s="17">
        <f t="shared" si="105"/>
        <v>-4145416.6300540706</v>
      </c>
      <c r="L1235" t="s">
        <v>537</v>
      </c>
    </row>
    <row r="1236" spans="3:12" x14ac:dyDescent="0.2">
      <c r="C1236" t="s">
        <v>294</v>
      </c>
      <c r="D1236" s="88">
        <v>1.2999999999999999E-4</v>
      </c>
      <c r="E1236" t="s">
        <v>399</v>
      </c>
      <c r="F1236">
        <v>3.1E-4</v>
      </c>
      <c r="G1236">
        <v>1.2999999999999999E-4</v>
      </c>
      <c r="H1236">
        <f>$A$8</f>
        <v>1</v>
      </c>
      <c r="I1236">
        <v>-1</v>
      </c>
      <c r="J1236" t="s">
        <v>483</v>
      </c>
      <c r="K1236" s="17">
        <f t="shared" si="105"/>
        <v>-21557.715774343429</v>
      </c>
      <c r="L1236" t="s">
        <v>537</v>
      </c>
    </row>
    <row r="1237" spans="3:12" x14ac:dyDescent="0.2">
      <c r="C1237" t="s">
        <v>336</v>
      </c>
      <c r="D1237" s="88">
        <v>1.2700000000000001E-3</v>
      </c>
      <c r="E1237" t="s">
        <v>400</v>
      </c>
      <c r="F1237">
        <v>0</v>
      </c>
      <c r="G1237">
        <v>1.2700000000000001E-3</v>
      </c>
      <c r="H1237">
        <f>$A$6</f>
        <v>100</v>
      </c>
      <c r="I1237">
        <v>-1</v>
      </c>
      <c r="J1237" t="s">
        <v>484</v>
      </c>
      <c r="K1237" s="17">
        <f t="shared" si="105"/>
        <v>-20223.073955466403</v>
      </c>
      <c r="L1237" t="s">
        <v>537</v>
      </c>
    </row>
    <row r="1238" spans="3:12" x14ac:dyDescent="0.2">
      <c r="C1238" t="s">
        <v>295</v>
      </c>
      <c r="D1238" s="88">
        <v>1.2999999999999999E-4</v>
      </c>
      <c r="E1238" t="s">
        <v>401</v>
      </c>
      <c r="F1238">
        <v>3.1E-4</v>
      </c>
      <c r="G1238">
        <v>1.2999999999999999E-4</v>
      </c>
      <c r="H1238">
        <f>$A$6</f>
        <v>100</v>
      </c>
      <c r="I1238">
        <v>-1</v>
      </c>
      <c r="J1238" t="s">
        <v>485</v>
      </c>
      <c r="K1238" s="17">
        <f t="shared" si="105"/>
        <v>-2155771.5774343428</v>
      </c>
      <c r="L1238" t="s">
        <v>537</v>
      </c>
    </row>
    <row r="1239" spans="3:12" x14ac:dyDescent="0.2">
      <c r="C1239" t="s">
        <v>296</v>
      </c>
      <c r="D1239" s="88">
        <v>1.26824</v>
      </c>
      <c r="E1239" t="s">
        <v>402</v>
      </c>
      <c r="F1239">
        <v>3.0599999999999998E-3</v>
      </c>
      <c r="G1239">
        <v>1.26824</v>
      </c>
      <c r="H1239">
        <f>$A$7</f>
        <v>10</v>
      </c>
      <c r="I1239">
        <v>-1</v>
      </c>
      <c r="J1239" t="s">
        <v>486</v>
      </c>
      <c r="K1239" s="17">
        <f t="shared" si="105"/>
        <v>-4145416.6300540706</v>
      </c>
      <c r="L1239" t="s">
        <v>537</v>
      </c>
    </row>
    <row r="1240" spans="3:12" x14ac:dyDescent="0.2">
      <c r="C1240" t="s">
        <v>297</v>
      </c>
      <c r="D1240" s="88">
        <v>1.2999999999999999E-4</v>
      </c>
      <c r="E1240" t="s">
        <v>403</v>
      </c>
      <c r="F1240">
        <v>3.0599999999999998E-3</v>
      </c>
      <c r="G1240">
        <v>1.2999999999999999E-4</v>
      </c>
      <c r="H1240">
        <f>$A$7</f>
        <v>10</v>
      </c>
      <c r="I1240">
        <v>-1</v>
      </c>
      <c r="J1240" t="s">
        <v>487</v>
      </c>
      <c r="K1240" s="17">
        <f t="shared" si="105"/>
        <v>-2126118.8100803313</v>
      </c>
      <c r="L1240" t="s">
        <v>537</v>
      </c>
    </row>
    <row r="1241" spans="3:12" x14ac:dyDescent="0.2">
      <c r="C1241" t="s">
        <v>298</v>
      </c>
      <c r="D1241" s="88">
        <v>1.2700000000000001E-3</v>
      </c>
      <c r="E1241" t="s">
        <v>394</v>
      </c>
      <c r="F1241">
        <v>3.0599999999999998E-3</v>
      </c>
      <c r="G1241">
        <v>1.2999999999999999E-4</v>
      </c>
      <c r="H1241">
        <f>$A$7</f>
        <v>10</v>
      </c>
      <c r="I1241">
        <v>-1</v>
      </c>
      <c r="J1241" t="s">
        <v>478</v>
      </c>
      <c r="K1241" s="17">
        <f t="shared" si="105"/>
        <v>-2127817.0274094078</v>
      </c>
      <c r="L1241" t="s">
        <v>537</v>
      </c>
    </row>
    <row r="1242" spans="3:12" x14ac:dyDescent="0.2">
      <c r="C1242" t="s">
        <v>299</v>
      </c>
      <c r="D1242" s="88">
        <v>1.2999999999999999E-4</v>
      </c>
      <c r="E1242" t="s">
        <v>404</v>
      </c>
      <c r="F1242">
        <v>0.30602000000000001</v>
      </c>
      <c r="G1242">
        <v>1.2999999999999999E-4</v>
      </c>
      <c r="H1242">
        <f>$A$7</f>
        <v>10</v>
      </c>
      <c r="I1242">
        <v>-1</v>
      </c>
      <c r="J1242" t="s">
        <v>488</v>
      </c>
      <c r="K1242" s="17">
        <f t="shared" si="105"/>
        <v>-212605282.07989353</v>
      </c>
      <c r="L1242" t="s">
        <v>537</v>
      </c>
    </row>
    <row r="1243" spans="3:12" x14ac:dyDescent="0.2">
      <c r="C1243" t="s">
        <v>300</v>
      </c>
      <c r="D1243" s="88">
        <v>0.12681999999999999</v>
      </c>
      <c r="E1243" t="s">
        <v>405</v>
      </c>
      <c r="F1243">
        <v>3.0599999999999998E-3</v>
      </c>
      <c r="G1243">
        <v>0.12681999999999999</v>
      </c>
      <c r="H1243">
        <f>$A$7</f>
        <v>10</v>
      </c>
      <c r="I1243">
        <v>-1</v>
      </c>
      <c r="J1243" t="s">
        <v>489</v>
      </c>
      <c r="K1243" s="17">
        <f t="shared" si="105"/>
        <v>-2327855.9155463185</v>
      </c>
      <c r="L1243" t="s">
        <v>537</v>
      </c>
    </row>
    <row r="1244" spans="3:12" x14ac:dyDescent="0.2">
      <c r="C1244" t="s">
        <v>301</v>
      </c>
      <c r="D1244" s="88">
        <v>1.2700000000000001E-3</v>
      </c>
      <c r="E1244" t="s">
        <v>406</v>
      </c>
      <c r="F1244">
        <v>0.30602000000000001</v>
      </c>
      <c r="G1244">
        <v>1.2700000000000001E-3</v>
      </c>
      <c r="H1244">
        <f>$A$6</f>
        <v>100</v>
      </c>
      <c r="I1244">
        <v>-1</v>
      </c>
      <c r="J1244" t="s">
        <v>490</v>
      </c>
      <c r="K1244" s="17">
        <f t="shared" si="105"/>
        <v>-2126070973.7944543</v>
      </c>
      <c r="L1244" t="s">
        <v>537</v>
      </c>
    </row>
    <row r="1245" spans="3:12" x14ac:dyDescent="0.2">
      <c r="C1245" t="s">
        <v>302</v>
      </c>
      <c r="D1245" s="88">
        <v>1.2700000000000001E-3</v>
      </c>
      <c r="E1245" t="s">
        <v>407</v>
      </c>
      <c r="F1245">
        <v>3.0599999999999998E-3</v>
      </c>
      <c r="G1245">
        <v>1.2700000000000001E-3</v>
      </c>
      <c r="H1245">
        <f>$A$6</f>
        <v>100</v>
      </c>
      <c r="I1245">
        <v>-1</v>
      </c>
      <c r="J1245" t="s">
        <v>491</v>
      </c>
      <c r="K1245" s="17">
        <f t="shared" si="105"/>
        <v>-21279341.096322391</v>
      </c>
      <c r="L1245" t="s">
        <v>537</v>
      </c>
    </row>
    <row r="1246" spans="3:12" x14ac:dyDescent="0.2">
      <c r="C1246" t="s">
        <v>303</v>
      </c>
      <c r="D1246" s="88">
        <v>1.2700000000000001E-3</v>
      </c>
      <c r="E1246" t="s">
        <v>408</v>
      </c>
      <c r="F1246">
        <v>3.0599999999999998E-3</v>
      </c>
      <c r="G1246">
        <v>1.2700000000000001E-3</v>
      </c>
      <c r="H1246">
        <f>$A$7</f>
        <v>10</v>
      </c>
      <c r="I1246">
        <v>-1</v>
      </c>
      <c r="J1246" t="s">
        <v>492</v>
      </c>
      <c r="K1246" s="17">
        <f t="shared" ref="K1246:K1255" si="106">((B$1150*D1246)+(SUM(B$1151:B$1153)*F1246)+(B$1153*G1246))*H1246*I1246</f>
        <v>-2127934.1096322392</v>
      </c>
      <c r="L1246" t="s">
        <v>537</v>
      </c>
    </row>
    <row r="1247" spans="3:12" x14ac:dyDescent="0.2">
      <c r="C1247" t="s">
        <v>304</v>
      </c>
      <c r="D1247" s="88">
        <v>1.26824</v>
      </c>
      <c r="E1247" t="s">
        <v>409</v>
      </c>
      <c r="F1247">
        <v>3.0602</v>
      </c>
      <c r="G1247">
        <v>1.26824</v>
      </c>
      <c r="H1247">
        <f>$A$6</f>
        <v>100</v>
      </c>
      <c r="I1247">
        <v>-1</v>
      </c>
      <c r="J1247" t="s">
        <v>493</v>
      </c>
      <c r="K1247" s="17">
        <f t="shared" si="106"/>
        <v>-21280702555.483162</v>
      </c>
      <c r="L1247" t="s">
        <v>537</v>
      </c>
    </row>
    <row r="1248" spans="3:12" x14ac:dyDescent="0.2">
      <c r="C1248" t="s">
        <v>305</v>
      </c>
      <c r="D1248" s="88">
        <v>1.2700000000000001E-3</v>
      </c>
      <c r="E1248" t="s">
        <v>410</v>
      </c>
      <c r="F1248">
        <v>3.0599999999999998E-3</v>
      </c>
      <c r="G1248">
        <v>1.2700000000000001E-3</v>
      </c>
      <c r="H1248">
        <f>$A$7</f>
        <v>10</v>
      </c>
      <c r="I1248">
        <v>-1</v>
      </c>
      <c r="J1248" t="s">
        <v>494</v>
      </c>
      <c r="K1248" s="17">
        <f t="shared" si="106"/>
        <v>-2127934.1096322392</v>
      </c>
      <c r="L1248" t="s">
        <v>537</v>
      </c>
    </row>
    <row r="1249" spans="1:16" x14ac:dyDescent="0.2">
      <c r="C1249" t="s">
        <v>306</v>
      </c>
      <c r="D1249" s="88">
        <v>1.2700000000000001E-3</v>
      </c>
      <c r="E1249" t="s">
        <v>411</v>
      </c>
      <c r="F1249">
        <v>3.0599999999999998E-3</v>
      </c>
      <c r="G1249">
        <v>1.2700000000000001E-3</v>
      </c>
      <c r="H1249">
        <f>$A$8</f>
        <v>1</v>
      </c>
      <c r="I1249">
        <v>-1</v>
      </c>
      <c r="J1249" t="s">
        <v>495</v>
      </c>
      <c r="K1249" s="17">
        <f t="shared" si="106"/>
        <v>-212793.41096322393</v>
      </c>
      <c r="L1249" t="s">
        <v>537</v>
      </c>
    </row>
    <row r="1250" spans="1:16" x14ac:dyDescent="0.2">
      <c r="C1250" t="s">
        <v>307</v>
      </c>
      <c r="D1250" s="88">
        <v>1.2700000000000001E-3</v>
      </c>
      <c r="E1250" t="s">
        <v>411</v>
      </c>
      <c r="F1250">
        <v>3.0599999999999998E-3</v>
      </c>
      <c r="G1250">
        <v>1.2700000000000001E-3</v>
      </c>
      <c r="H1250">
        <f>$A$8</f>
        <v>1</v>
      </c>
      <c r="I1250">
        <v>-1</v>
      </c>
      <c r="J1250" t="s">
        <v>495</v>
      </c>
      <c r="K1250" s="17">
        <f t="shared" si="106"/>
        <v>-212793.41096322393</v>
      </c>
      <c r="L1250" t="s">
        <v>537</v>
      </c>
    </row>
    <row r="1251" spans="1:16" x14ac:dyDescent="0.2">
      <c r="C1251" t="s">
        <v>337</v>
      </c>
      <c r="D1251" s="88">
        <v>0.12681999999999999</v>
      </c>
      <c r="E1251" t="s">
        <v>412</v>
      </c>
      <c r="F1251">
        <v>3.0599999999999998E-3</v>
      </c>
      <c r="G1251">
        <v>0.12681999999999999</v>
      </c>
      <c r="H1251">
        <v>0</v>
      </c>
      <c r="I1251">
        <v>0</v>
      </c>
      <c r="J1251" t="s">
        <v>496</v>
      </c>
      <c r="K1251" s="17">
        <f t="shared" si="106"/>
        <v>0</v>
      </c>
      <c r="L1251" t="s">
        <v>537</v>
      </c>
    </row>
    <row r="1252" spans="1:16" x14ac:dyDescent="0.2">
      <c r="C1252" t="s">
        <v>308</v>
      </c>
      <c r="D1252" s="88">
        <v>1.2700000000000001E-3</v>
      </c>
      <c r="E1252" t="s">
        <v>413</v>
      </c>
      <c r="F1252">
        <v>3.0599999999999998E-3</v>
      </c>
      <c r="G1252">
        <v>1.2700000000000001E-3</v>
      </c>
      <c r="H1252">
        <f>$A$7</f>
        <v>10</v>
      </c>
      <c r="I1252">
        <v>-1</v>
      </c>
      <c r="J1252" t="s">
        <v>497</v>
      </c>
      <c r="K1252" s="17">
        <f t="shared" si="106"/>
        <v>-2127934.1096322392</v>
      </c>
      <c r="L1252" t="s">
        <v>537</v>
      </c>
    </row>
    <row r="1253" spans="1:16" x14ac:dyDescent="0.2">
      <c r="C1253" t="s">
        <v>309</v>
      </c>
      <c r="D1253" s="88">
        <v>1.2700000000000001E-3</v>
      </c>
      <c r="E1253" t="s">
        <v>413</v>
      </c>
      <c r="F1253">
        <v>3.0599999999999998E-3</v>
      </c>
      <c r="G1253">
        <v>1.2700000000000001E-3</v>
      </c>
      <c r="H1253">
        <f>$A$7</f>
        <v>10</v>
      </c>
      <c r="I1253">
        <v>-1</v>
      </c>
      <c r="J1253" t="s">
        <v>497</v>
      </c>
      <c r="K1253" s="17">
        <f t="shared" si="106"/>
        <v>-2127934.1096322392</v>
      </c>
      <c r="L1253" t="s">
        <v>537</v>
      </c>
    </row>
    <row r="1254" spans="1:16" x14ac:dyDescent="0.2">
      <c r="C1254" t="s">
        <v>310</v>
      </c>
      <c r="D1254" s="88">
        <v>1.2700000000000001E-3</v>
      </c>
      <c r="E1254" t="s">
        <v>413</v>
      </c>
      <c r="F1254">
        <v>3.0599999999999998E-3</v>
      </c>
      <c r="G1254">
        <v>1.2700000000000001E-3</v>
      </c>
      <c r="H1254">
        <v>0</v>
      </c>
      <c r="I1254">
        <v>0</v>
      </c>
      <c r="J1254" t="s">
        <v>497</v>
      </c>
      <c r="K1254" s="17">
        <f t="shared" si="106"/>
        <v>0</v>
      </c>
      <c r="L1254" t="s">
        <v>537</v>
      </c>
    </row>
    <row r="1255" spans="1:16" x14ac:dyDescent="0.2">
      <c r="A1255" s="9"/>
      <c r="B1255" s="55"/>
      <c r="C1255" t="s">
        <v>311</v>
      </c>
      <c r="D1255" s="88">
        <v>1.2700000000000001E-3</v>
      </c>
      <c r="E1255" t="s">
        <v>414</v>
      </c>
      <c r="F1255">
        <v>3.1E-4</v>
      </c>
      <c r="G1255">
        <v>1.2700000000000001E-3</v>
      </c>
      <c r="H1255">
        <f>$A$7</f>
        <v>10</v>
      </c>
      <c r="I1255">
        <v>-1</v>
      </c>
      <c r="J1255" t="s">
        <v>498</v>
      </c>
      <c r="K1255" s="17">
        <f t="shared" si="106"/>
        <v>-217392.45729534229</v>
      </c>
      <c r="L1255" t="s">
        <v>537</v>
      </c>
    </row>
    <row r="1256" spans="1:16" x14ac:dyDescent="0.2">
      <c r="A1256" s="9"/>
      <c r="B1256" s="55"/>
      <c r="C1256" s="55"/>
      <c r="D1256" s="55"/>
      <c r="E1256" s="55"/>
    </row>
    <row r="1257" spans="1:16" x14ac:dyDescent="0.2">
      <c r="A1257" s="38"/>
      <c r="B1257" s="55"/>
      <c r="C1257" s="55"/>
      <c r="D1257" s="55"/>
      <c r="E1257" s="55"/>
    </row>
    <row r="1258" spans="1:16" x14ac:dyDescent="0.2">
      <c r="A1258" s="38"/>
      <c r="B1258" s="55"/>
      <c r="C1258" s="55"/>
      <c r="D1258" s="55"/>
      <c r="E1258" s="55"/>
    </row>
    <row r="1259" spans="1:16" ht="22" customHeight="1" x14ac:dyDescent="0.2">
      <c r="A1259" s="397" t="s">
        <v>13</v>
      </c>
      <c r="B1259" s="397"/>
      <c r="C1259" s="397"/>
      <c r="D1259" s="397"/>
      <c r="E1259" s="397"/>
      <c r="F1259" s="397"/>
      <c r="G1259" s="397"/>
      <c r="H1259" s="397"/>
      <c r="I1259" s="397"/>
      <c r="J1259" s="397"/>
      <c r="K1259" s="397"/>
      <c r="L1259" s="397"/>
      <c r="M1259" s="397"/>
      <c r="N1259" s="397"/>
      <c r="O1259" s="397"/>
      <c r="P1259" s="15"/>
    </row>
    <row r="1260" spans="1:16" ht="15" customHeight="1" thickBot="1" x14ac:dyDescent="0.25">
      <c r="A1260" s="398"/>
      <c r="B1260" s="398"/>
      <c r="C1260" s="398"/>
      <c r="D1260" s="398"/>
      <c r="E1260" s="398"/>
      <c r="F1260" s="398"/>
      <c r="G1260" s="398"/>
      <c r="H1260" s="398"/>
      <c r="I1260" s="398"/>
      <c r="J1260" s="398"/>
      <c r="K1260" s="398"/>
      <c r="L1260" s="398"/>
      <c r="M1260" s="398"/>
      <c r="N1260" s="398"/>
      <c r="O1260" s="398"/>
      <c r="P1260" s="15"/>
    </row>
    <row r="1261" spans="1:16" ht="15" customHeight="1" x14ac:dyDescent="0.2">
      <c r="A1261" s="358" t="s">
        <v>8</v>
      </c>
      <c r="B1261" s="363" t="s">
        <v>1022</v>
      </c>
      <c r="C1261" s="399" t="s">
        <v>503</v>
      </c>
      <c r="D1261" s="399"/>
      <c r="E1261" s="399"/>
      <c r="F1261" s="95" t="s">
        <v>505</v>
      </c>
      <c r="G1261" s="95" t="s">
        <v>50</v>
      </c>
      <c r="H1261" s="95" t="s">
        <v>512</v>
      </c>
      <c r="I1261" s="406" t="s">
        <v>421</v>
      </c>
      <c r="J1261" s="407"/>
      <c r="K1261" s="408"/>
      <c r="L1261" s="409" t="s">
        <v>28</v>
      </c>
      <c r="M1261" s="410"/>
      <c r="N1261" s="411" t="s">
        <v>420</v>
      </c>
      <c r="O1261" s="412"/>
    </row>
    <row r="1262" spans="1:16" x14ac:dyDescent="0.2">
      <c r="A1262" s="358"/>
      <c r="B1262" s="363"/>
      <c r="C1262" s="93" t="s">
        <v>502</v>
      </c>
      <c r="D1262" s="94"/>
      <c r="E1262" s="92"/>
      <c r="F1262" s="7" t="s">
        <v>504</v>
      </c>
      <c r="G1262" s="87" t="s">
        <v>508</v>
      </c>
      <c r="H1262" s="87" t="s">
        <v>509</v>
      </c>
      <c r="I1262" s="331"/>
      <c r="J1262" s="332"/>
      <c r="K1262" s="333"/>
      <c r="L1262" s="336"/>
      <c r="M1262" s="337"/>
      <c r="N1262" s="340"/>
      <c r="O1262" s="341"/>
    </row>
    <row r="1263" spans="1:16" x14ac:dyDescent="0.2">
      <c r="A1263" s="358"/>
      <c r="B1263" s="363"/>
      <c r="C1263" s="6" t="s">
        <v>317</v>
      </c>
      <c r="D1263" s="58" t="s">
        <v>319</v>
      </c>
      <c r="E1263" s="58" t="s">
        <v>5</v>
      </c>
      <c r="F1263" s="58" t="s">
        <v>319</v>
      </c>
      <c r="G1263" s="58" t="s">
        <v>319</v>
      </c>
      <c r="H1263" s="58" t="s">
        <v>319</v>
      </c>
      <c r="I1263" s="64" t="s">
        <v>0</v>
      </c>
      <c r="J1263" s="64" t="s">
        <v>499</v>
      </c>
      <c r="K1263" s="64" t="s">
        <v>5</v>
      </c>
      <c r="L1263" s="64" t="s">
        <v>0</v>
      </c>
      <c r="M1263" s="58" t="s">
        <v>5</v>
      </c>
      <c r="N1263" s="64" t="s">
        <v>0</v>
      </c>
      <c r="O1263" s="58" t="s">
        <v>5</v>
      </c>
    </row>
    <row r="1264" spans="1:16" ht="16" x14ac:dyDescent="0.2">
      <c r="A1264" s="81" t="s">
        <v>37</v>
      </c>
      <c r="B1264" s="82">
        <v>7298062.3306019343</v>
      </c>
      <c r="C1264" t="s">
        <v>225</v>
      </c>
      <c r="D1264" s="88">
        <v>1.2999999999999999E-4</v>
      </c>
      <c r="E1264" t="s">
        <v>338</v>
      </c>
      <c r="F1264">
        <v>1.2999999999999999E-4</v>
      </c>
      <c r="G1264">
        <v>1.2999999999999999E-4</v>
      </c>
      <c r="H1264">
        <v>1.2999999999999999E-4</v>
      </c>
      <c r="I1264">
        <f>$A$6</f>
        <v>100</v>
      </c>
      <c r="J1264">
        <v>-1</v>
      </c>
      <c r="K1264" t="s">
        <v>422</v>
      </c>
      <c r="L1264" s="17">
        <f t="shared" ref="L1264:L1295" si="107">((SUM(B$1264:B$1266)*F1264)+(SUM(B$1267)*G1264)+(SUM(B$1268:B$1271)*H1264)+(B$1272*D1264))*I1264*J1264</f>
        <v>-698005.14304953499</v>
      </c>
      <c r="M1264" t="s">
        <v>537</v>
      </c>
      <c r="N1264" s="69">
        <f>SUM(L1264:L1369)</f>
        <v>-42770309987.424362</v>
      </c>
      <c r="O1264" t="s">
        <v>537</v>
      </c>
    </row>
    <row r="1265" spans="1:13" ht="16" x14ac:dyDescent="0.2">
      <c r="A1265" s="81" t="s">
        <v>38</v>
      </c>
      <c r="B1265" s="82">
        <v>7982255.6740958653</v>
      </c>
      <c r="C1265" t="s">
        <v>226</v>
      </c>
      <c r="D1265" s="88">
        <v>1.2999999999999999E-4</v>
      </c>
      <c r="E1265" t="s">
        <v>339</v>
      </c>
      <c r="F1265">
        <v>1.2999999999999999E-4</v>
      </c>
      <c r="G1265">
        <v>1.2999999999999999E-4</v>
      </c>
      <c r="H1265">
        <v>1.2999999999999999E-4</v>
      </c>
      <c r="I1265">
        <f>$A$7</f>
        <v>10</v>
      </c>
      <c r="J1265">
        <v>-1</v>
      </c>
      <c r="K1265" t="s">
        <v>423</v>
      </c>
      <c r="L1265" s="17">
        <f t="shared" si="107"/>
        <v>-69800.514304953496</v>
      </c>
      <c r="M1265" t="s">
        <v>537</v>
      </c>
    </row>
    <row r="1266" spans="1:13" ht="16" x14ac:dyDescent="0.2">
      <c r="A1266" s="51" t="s">
        <v>39</v>
      </c>
      <c r="B1266" s="82">
        <v>23946767.022287592</v>
      </c>
      <c r="C1266" t="s">
        <v>227</v>
      </c>
      <c r="D1266" s="88">
        <v>1.2700000000000001E-3</v>
      </c>
      <c r="E1266" t="s">
        <v>340</v>
      </c>
      <c r="F1266">
        <v>1.2700000000000001E-3</v>
      </c>
      <c r="G1266">
        <v>1.2700000000000001E-3</v>
      </c>
      <c r="H1266">
        <v>1.2700000000000001E-3</v>
      </c>
      <c r="I1266">
        <f>$A$7</f>
        <v>10</v>
      </c>
      <c r="J1266">
        <v>-1</v>
      </c>
      <c r="K1266" t="s">
        <v>424</v>
      </c>
      <c r="L1266" s="17">
        <f t="shared" si="107"/>
        <v>-681897.33205608418</v>
      </c>
      <c r="M1266" t="s">
        <v>537</v>
      </c>
    </row>
    <row r="1267" spans="1:13" ht="16" x14ac:dyDescent="0.2">
      <c r="A1267" s="51" t="s">
        <v>40</v>
      </c>
      <c r="B1267" s="82">
        <v>12879415.520956349</v>
      </c>
      <c r="C1267" t="s">
        <v>228</v>
      </c>
      <c r="D1267" s="88">
        <v>0.12681999999999999</v>
      </c>
      <c r="E1267" t="s">
        <v>341</v>
      </c>
      <c r="F1267">
        <v>0.12681999999999999</v>
      </c>
      <c r="G1267">
        <v>0.12681999999999999</v>
      </c>
      <c r="H1267">
        <v>0.12681999999999999</v>
      </c>
      <c r="I1267">
        <f>$A$7</f>
        <v>10</v>
      </c>
      <c r="J1267">
        <v>-1</v>
      </c>
      <c r="K1267" t="s">
        <v>425</v>
      </c>
      <c r="L1267" s="17">
        <f t="shared" si="107"/>
        <v>-68093086.339647695</v>
      </c>
      <c r="M1267" t="s">
        <v>537</v>
      </c>
    </row>
    <row r="1268" spans="1:13" ht="16" x14ac:dyDescent="0.2">
      <c r="A1268" s="51" t="s">
        <v>42</v>
      </c>
      <c r="B1268" s="82">
        <v>37742.486544504063</v>
      </c>
      <c r="C1268" t="s">
        <v>229</v>
      </c>
      <c r="D1268" s="88">
        <v>1.268E-2</v>
      </c>
      <c r="E1268" t="s">
        <v>342</v>
      </c>
      <c r="F1268">
        <v>1.268E-2</v>
      </c>
      <c r="G1268">
        <v>1.268E-2</v>
      </c>
      <c r="H1268">
        <v>1.268E-2</v>
      </c>
      <c r="I1268">
        <f>$A$6</f>
        <v>100</v>
      </c>
      <c r="J1268">
        <v>-1</v>
      </c>
      <c r="K1268" t="s">
        <v>426</v>
      </c>
      <c r="L1268" s="17">
        <f t="shared" si="107"/>
        <v>-68082347.798985407</v>
      </c>
      <c r="M1268" t="s">
        <v>537</v>
      </c>
    </row>
    <row r="1269" spans="1:13" ht="16" x14ac:dyDescent="0.2">
      <c r="A1269" s="51" t="s">
        <v>43</v>
      </c>
      <c r="B1269" s="82">
        <v>912.14140656716438</v>
      </c>
      <c r="C1269" t="s">
        <v>230</v>
      </c>
      <c r="D1269" s="88">
        <v>0.12681999999999999</v>
      </c>
      <c r="E1269" t="s">
        <v>343</v>
      </c>
      <c r="F1269">
        <v>0.12681999999999999</v>
      </c>
      <c r="G1269">
        <v>0.12681999999999999</v>
      </c>
      <c r="H1269">
        <v>0.12681999999999999</v>
      </c>
      <c r="I1269">
        <f>$A$6</f>
        <v>100</v>
      </c>
      <c r="J1269">
        <v>-1</v>
      </c>
      <c r="K1269" t="s">
        <v>427</v>
      </c>
      <c r="L1269" s="17">
        <f t="shared" si="107"/>
        <v>-680930863.39647698</v>
      </c>
      <c r="M1269" t="s">
        <v>537</v>
      </c>
    </row>
    <row r="1270" spans="1:13" ht="16" x14ac:dyDescent="0.2">
      <c r="A1270" s="51" t="s">
        <v>44</v>
      </c>
      <c r="B1270" s="82">
        <v>912.14140656716438</v>
      </c>
      <c r="C1270" t="s">
        <v>231</v>
      </c>
      <c r="D1270" s="88">
        <v>0.12681999999999999</v>
      </c>
      <c r="E1270" t="s">
        <v>344</v>
      </c>
      <c r="F1270">
        <v>1.268E-2</v>
      </c>
      <c r="G1270">
        <v>1.26824</v>
      </c>
      <c r="H1270">
        <v>1.26824</v>
      </c>
      <c r="I1270">
        <f>$A$7</f>
        <v>10</v>
      </c>
      <c r="J1270">
        <v>-1</v>
      </c>
      <c r="K1270" t="s">
        <v>428</v>
      </c>
      <c r="L1270" s="17">
        <f t="shared" si="107"/>
        <v>-170789550.51239133</v>
      </c>
      <c r="M1270" t="s">
        <v>537</v>
      </c>
    </row>
    <row r="1271" spans="1:13" ht="16" x14ac:dyDescent="0.2">
      <c r="A1271" s="51" t="s">
        <v>45</v>
      </c>
      <c r="B1271" s="82">
        <v>912.14140656716438</v>
      </c>
      <c r="C1271" t="s">
        <v>232</v>
      </c>
      <c r="D1271" s="88">
        <v>1.2999999999999999E-4</v>
      </c>
      <c r="E1271" t="s">
        <v>345</v>
      </c>
      <c r="F1271">
        <v>1.2999999999999999E-4</v>
      </c>
      <c r="G1271">
        <v>1.2999999999999999E-4</v>
      </c>
      <c r="H1271">
        <v>1.2999999999999999E-4</v>
      </c>
      <c r="I1271">
        <f>$A$7</f>
        <v>10</v>
      </c>
      <c r="J1271">
        <v>-1</v>
      </c>
      <c r="K1271" t="s">
        <v>429</v>
      </c>
      <c r="L1271" s="17">
        <f t="shared" si="107"/>
        <v>-69800.514304953496</v>
      </c>
      <c r="M1271" t="s">
        <v>537</v>
      </c>
    </row>
    <row r="1272" spans="1:13" ht="16" x14ac:dyDescent="0.2">
      <c r="A1272" s="51" t="s">
        <v>35</v>
      </c>
      <c r="B1272" s="82">
        <v>1545723.852796742</v>
      </c>
      <c r="C1272" t="s">
        <v>233</v>
      </c>
      <c r="D1272" s="88">
        <v>1.2999999999999999E-4</v>
      </c>
      <c r="E1272" t="s">
        <v>345</v>
      </c>
      <c r="F1272">
        <v>1.2999999999999999E-4</v>
      </c>
      <c r="G1272">
        <v>1.2999999999999999E-4</v>
      </c>
      <c r="H1272">
        <v>1.2999999999999999E-4</v>
      </c>
      <c r="I1272">
        <f>$A$7</f>
        <v>10</v>
      </c>
      <c r="J1272">
        <v>-1</v>
      </c>
      <c r="K1272" t="s">
        <v>429</v>
      </c>
      <c r="L1272" s="17">
        <f t="shared" si="107"/>
        <v>-69800.514304953496</v>
      </c>
      <c r="M1272" t="s">
        <v>537</v>
      </c>
    </row>
    <row r="1273" spans="1:13" x14ac:dyDescent="0.2">
      <c r="A1273" s="51"/>
      <c r="B1273" s="82"/>
      <c r="C1273" t="s">
        <v>320</v>
      </c>
      <c r="D1273" s="88">
        <v>0</v>
      </c>
      <c r="E1273" t="s">
        <v>344</v>
      </c>
      <c r="F1273">
        <v>1.2999999999999999E-4</v>
      </c>
      <c r="G1273">
        <v>0</v>
      </c>
      <c r="H1273">
        <v>0</v>
      </c>
      <c r="I1273">
        <f>$A$6</f>
        <v>100</v>
      </c>
      <c r="J1273">
        <v>-1</v>
      </c>
      <c r="K1273" t="s">
        <v>428</v>
      </c>
      <c r="L1273" s="17">
        <f t="shared" si="107"/>
        <v>-509952.10535081004</v>
      </c>
      <c r="M1273" t="s">
        <v>537</v>
      </c>
    </row>
    <row r="1274" spans="1:13" x14ac:dyDescent="0.2">
      <c r="A1274" s="1" t="s">
        <v>17</v>
      </c>
      <c r="B1274" s="82">
        <v>53692703.311502688</v>
      </c>
      <c r="C1274" t="s">
        <v>321</v>
      </c>
      <c r="D1274" s="88">
        <v>0</v>
      </c>
      <c r="E1274" t="s">
        <v>344</v>
      </c>
      <c r="F1274">
        <v>1.2999999999999999E-4</v>
      </c>
      <c r="G1274">
        <v>0</v>
      </c>
      <c r="H1274">
        <v>0</v>
      </c>
      <c r="I1274">
        <f>$A$6</f>
        <v>100</v>
      </c>
      <c r="J1274">
        <v>-1</v>
      </c>
      <c r="K1274" t="s">
        <v>428</v>
      </c>
      <c r="L1274" s="17">
        <f t="shared" si="107"/>
        <v>-509952.10535081004</v>
      </c>
      <c r="M1274" t="s">
        <v>537</v>
      </c>
    </row>
    <row r="1275" spans="1:13" x14ac:dyDescent="0.2">
      <c r="B1275" s="55"/>
      <c r="C1275" t="s">
        <v>234</v>
      </c>
      <c r="D1275" s="88">
        <v>0</v>
      </c>
      <c r="E1275" t="s">
        <v>344</v>
      </c>
      <c r="F1275">
        <v>1.2999999999999999E-4</v>
      </c>
      <c r="G1275">
        <v>0</v>
      </c>
      <c r="H1275">
        <v>0</v>
      </c>
      <c r="I1275">
        <v>0</v>
      </c>
      <c r="J1275">
        <v>0</v>
      </c>
      <c r="K1275" t="s">
        <v>428</v>
      </c>
      <c r="L1275" s="17">
        <f t="shared" si="107"/>
        <v>0</v>
      </c>
      <c r="M1275" t="s">
        <v>537</v>
      </c>
    </row>
    <row r="1276" spans="1:13" ht="16" x14ac:dyDescent="0.2">
      <c r="A1276" s="66" t="s">
        <v>8</v>
      </c>
      <c r="B1276" s="76" t="s">
        <v>418</v>
      </c>
      <c r="C1276" t="s">
        <v>235</v>
      </c>
      <c r="D1276" s="88">
        <v>0.12681999999999999</v>
      </c>
      <c r="E1276" t="s">
        <v>346</v>
      </c>
      <c r="F1276">
        <v>0.12681999999999999</v>
      </c>
      <c r="G1276">
        <v>0.12681999999999999</v>
      </c>
      <c r="H1276">
        <v>0.12681999999999999</v>
      </c>
      <c r="I1276">
        <f>$A$8</f>
        <v>1</v>
      </c>
      <c r="J1276">
        <v>1</v>
      </c>
      <c r="K1276" t="s">
        <v>430</v>
      </c>
      <c r="L1276" s="17">
        <f t="shared" si="107"/>
        <v>6809308.6339647695</v>
      </c>
      <c r="M1276" t="s">
        <v>537</v>
      </c>
    </row>
    <row r="1277" spans="1:13" ht="16" x14ac:dyDescent="0.2">
      <c r="A1277" s="81" t="s">
        <v>37</v>
      </c>
      <c r="B1277" s="1" t="s">
        <v>504</v>
      </c>
      <c r="C1277" t="s">
        <v>236</v>
      </c>
      <c r="D1277" s="88">
        <v>1.2999999999999999E-4</v>
      </c>
      <c r="E1277" t="s">
        <v>347</v>
      </c>
      <c r="F1277">
        <v>1.2999999999999999E-4</v>
      </c>
      <c r="G1277">
        <v>1.2999999999999999E-4</v>
      </c>
      <c r="H1277">
        <v>1.2999999999999999E-4</v>
      </c>
      <c r="I1277">
        <f>$A$7</f>
        <v>10</v>
      </c>
      <c r="J1277">
        <v>-1</v>
      </c>
      <c r="K1277" t="s">
        <v>431</v>
      </c>
      <c r="L1277" s="17">
        <f t="shared" si="107"/>
        <v>-69800.514304953496</v>
      </c>
      <c r="M1277" t="s">
        <v>537</v>
      </c>
    </row>
    <row r="1278" spans="1:13" ht="16" x14ac:dyDescent="0.2">
      <c r="A1278" s="81" t="s">
        <v>38</v>
      </c>
      <c r="B1278" s="1" t="s">
        <v>504</v>
      </c>
      <c r="C1278" t="s">
        <v>237</v>
      </c>
      <c r="D1278" s="88">
        <v>0.12681999999999999</v>
      </c>
      <c r="E1278" t="s">
        <v>348</v>
      </c>
      <c r="F1278">
        <v>0.12681999999999999</v>
      </c>
      <c r="G1278">
        <v>0.12681999999999999</v>
      </c>
      <c r="H1278">
        <v>0.12681999999999999</v>
      </c>
      <c r="I1278">
        <f>$A$6</f>
        <v>100</v>
      </c>
      <c r="J1278">
        <v>-1</v>
      </c>
      <c r="K1278" t="s">
        <v>432</v>
      </c>
      <c r="L1278" s="17">
        <f t="shared" si="107"/>
        <v>-680930863.39647698</v>
      </c>
      <c r="M1278" t="s">
        <v>537</v>
      </c>
    </row>
    <row r="1279" spans="1:13" ht="16" x14ac:dyDescent="0.2">
      <c r="A1279" s="51" t="s">
        <v>39</v>
      </c>
      <c r="B1279" s="1" t="s">
        <v>504</v>
      </c>
      <c r="C1279" t="s">
        <v>238</v>
      </c>
      <c r="D1279" s="88">
        <v>0</v>
      </c>
      <c r="E1279" t="s">
        <v>349</v>
      </c>
      <c r="F1279">
        <v>0</v>
      </c>
      <c r="G1279">
        <v>0</v>
      </c>
      <c r="H1279">
        <v>0</v>
      </c>
      <c r="I1279">
        <f>$A$7</f>
        <v>10</v>
      </c>
      <c r="J1279">
        <v>-1</v>
      </c>
      <c r="K1279" t="s">
        <v>433</v>
      </c>
      <c r="L1279" s="17">
        <f t="shared" si="107"/>
        <v>0</v>
      </c>
      <c r="M1279" t="s">
        <v>537</v>
      </c>
    </row>
    <row r="1280" spans="1:13" ht="16" x14ac:dyDescent="0.2">
      <c r="A1280" s="51" t="s">
        <v>40</v>
      </c>
      <c r="B1280" s="89" t="s">
        <v>508</v>
      </c>
      <c r="C1280" t="s">
        <v>239</v>
      </c>
      <c r="D1280" s="88">
        <v>1.2700000000000001E-3</v>
      </c>
      <c r="E1280" t="s">
        <v>348</v>
      </c>
      <c r="F1280">
        <v>1.2700000000000001E-3</v>
      </c>
      <c r="G1280">
        <v>1.2700000000000001E-3</v>
      </c>
      <c r="H1280">
        <v>1.2700000000000001E-3</v>
      </c>
      <c r="I1280">
        <f>$A$6</f>
        <v>100</v>
      </c>
      <c r="J1280">
        <v>-1</v>
      </c>
      <c r="K1280" t="s">
        <v>432</v>
      </c>
      <c r="L1280" s="17">
        <f t="shared" si="107"/>
        <v>-6818973.3205608409</v>
      </c>
      <c r="M1280" t="s">
        <v>537</v>
      </c>
    </row>
    <row r="1281" spans="1:13" ht="16" x14ac:dyDescent="0.2">
      <c r="A1281" s="51" t="s">
        <v>42</v>
      </c>
      <c r="B1281" s="89" t="s">
        <v>509</v>
      </c>
      <c r="C1281" t="s">
        <v>240</v>
      </c>
      <c r="D1281" s="88">
        <v>0</v>
      </c>
      <c r="E1281" t="s">
        <v>348</v>
      </c>
      <c r="F1281">
        <v>0</v>
      </c>
      <c r="G1281">
        <v>0</v>
      </c>
      <c r="H1281">
        <v>0</v>
      </c>
      <c r="I1281">
        <f>$A$6</f>
        <v>100</v>
      </c>
      <c r="J1281">
        <v>-1</v>
      </c>
      <c r="K1281" t="s">
        <v>432</v>
      </c>
      <c r="L1281" s="17">
        <f t="shared" si="107"/>
        <v>0</v>
      </c>
      <c r="M1281" t="s">
        <v>537</v>
      </c>
    </row>
    <row r="1282" spans="1:13" ht="16" x14ac:dyDescent="0.2">
      <c r="A1282" s="51" t="s">
        <v>43</v>
      </c>
      <c r="B1282" s="89" t="s">
        <v>509</v>
      </c>
      <c r="C1282" t="s">
        <v>241</v>
      </c>
      <c r="D1282" s="88">
        <v>0</v>
      </c>
      <c r="E1282" t="s">
        <v>350</v>
      </c>
      <c r="F1282">
        <v>0</v>
      </c>
      <c r="G1282">
        <v>0</v>
      </c>
      <c r="H1282">
        <v>0</v>
      </c>
      <c r="I1282">
        <f>$A$6</f>
        <v>100</v>
      </c>
      <c r="J1282">
        <v>-1</v>
      </c>
      <c r="K1282" t="s">
        <v>434</v>
      </c>
      <c r="L1282" s="17">
        <f t="shared" si="107"/>
        <v>0</v>
      </c>
      <c r="M1282" t="s">
        <v>537</v>
      </c>
    </row>
    <row r="1283" spans="1:13" ht="16" x14ac:dyDescent="0.2">
      <c r="A1283" s="51" t="s">
        <v>44</v>
      </c>
      <c r="B1283" s="89" t="s">
        <v>509</v>
      </c>
      <c r="C1283" t="s">
        <v>242</v>
      </c>
      <c r="D1283" s="88">
        <v>0</v>
      </c>
      <c r="E1283" t="s">
        <v>351</v>
      </c>
      <c r="F1283">
        <v>0</v>
      </c>
      <c r="G1283">
        <v>0</v>
      </c>
      <c r="H1283">
        <v>0</v>
      </c>
      <c r="I1283">
        <f>$A$8</f>
        <v>1</v>
      </c>
      <c r="J1283">
        <v>1</v>
      </c>
      <c r="K1283" t="s">
        <v>435</v>
      </c>
      <c r="L1283" s="17">
        <f t="shared" si="107"/>
        <v>0</v>
      </c>
      <c r="M1283" t="s">
        <v>537</v>
      </c>
    </row>
    <row r="1284" spans="1:13" ht="16" x14ac:dyDescent="0.2">
      <c r="A1284" s="51" t="s">
        <v>45</v>
      </c>
      <c r="B1284" s="89" t="s">
        <v>509</v>
      </c>
      <c r="C1284" t="s">
        <v>243</v>
      </c>
      <c r="D1284" s="88">
        <v>0.12681999999999999</v>
      </c>
      <c r="E1284" t="s">
        <v>352</v>
      </c>
      <c r="F1284">
        <v>1.268E-2</v>
      </c>
      <c r="G1284">
        <v>1.26824</v>
      </c>
      <c r="H1284">
        <v>1.26824</v>
      </c>
      <c r="I1284">
        <f>$A$6</f>
        <v>100</v>
      </c>
      <c r="J1284">
        <v>-1</v>
      </c>
      <c r="K1284" t="s">
        <v>436</v>
      </c>
      <c r="L1284" s="17">
        <f t="shared" si="107"/>
        <v>-1707895505.1239133</v>
      </c>
      <c r="M1284" t="s">
        <v>537</v>
      </c>
    </row>
    <row r="1285" spans="1:13" ht="16" x14ac:dyDescent="0.2">
      <c r="A1285" s="51" t="s">
        <v>35</v>
      </c>
      <c r="B1285" s="61" t="s">
        <v>502</v>
      </c>
      <c r="C1285" t="s">
        <v>244</v>
      </c>
      <c r="D1285" s="88">
        <v>1.2700000000000001E-3</v>
      </c>
      <c r="E1285" t="s">
        <v>353</v>
      </c>
      <c r="F1285">
        <v>1.2700000000000001E-3</v>
      </c>
      <c r="G1285">
        <v>1.2700000000000001E-3</v>
      </c>
      <c r="H1285">
        <v>1.2700000000000001E-3</v>
      </c>
      <c r="I1285">
        <v>0</v>
      </c>
      <c r="J1285">
        <v>0</v>
      </c>
      <c r="K1285" t="s">
        <v>437</v>
      </c>
      <c r="L1285" s="17">
        <f t="shared" si="107"/>
        <v>0</v>
      </c>
      <c r="M1285" t="s">
        <v>537</v>
      </c>
    </row>
    <row r="1286" spans="1:13" x14ac:dyDescent="0.2">
      <c r="B1286" s="55"/>
      <c r="C1286" t="s">
        <v>245</v>
      </c>
      <c r="D1286" s="88">
        <v>1.2700000000000001E-3</v>
      </c>
      <c r="E1286" t="s">
        <v>351</v>
      </c>
      <c r="F1286">
        <v>1.2999999999999999E-4</v>
      </c>
      <c r="G1286">
        <v>1.2999999999999999E-4</v>
      </c>
      <c r="H1286">
        <v>1.2999999999999999E-4</v>
      </c>
      <c r="I1286">
        <f t="shared" ref="I1286:I1291" si="108">$A$7</f>
        <v>10</v>
      </c>
      <c r="J1286">
        <v>-1</v>
      </c>
      <c r="K1286" t="s">
        <v>435</v>
      </c>
      <c r="L1286" s="17">
        <f t="shared" si="107"/>
        <v>-87421.766226836349</v>
      </c>
      <c r="M1286" t="s">
        <v>537</v>
      </c>
    </row>
    <row r="1287" spans="1:13" x14ac:dyDescent="0.2">
      <c r="B1287" s="55"/>
      <c r="C1287" t="s">
        <v>246</v>
      </c>
      <c r="D1287" s="88">
        <v>1.268E-2</v>
      </c>
      <c r="E1287" t="s">
        <v>354</v>
      </c>
      <c r="F1287">
        <v>1.268E-2</v>
      </c>
      <c r="G1287">
        <v>1.268E-2</v>
      </c>
      <c r="H1287">
        <v>1.268E-2</v>
      </c>
      <c r="I1287">
        <f t="shared" si="108"/>
        <v>10</v>
      </c>
      <c r="J1287">
        <v>-1</v>
      </c>
      <c r="K1287" t="s">
        <v>438</v>
      </c>
      <c r="L1287" s="17">
        <f t="shared" si="107"/>
        <v>-6808234.779898541</v>
      </c>
      <c r="M1287" t="s">
        <v>537</v>
      </c>
    </row>
    <row r="1288" spans="1:13" x14ac:dyDescent="0.2">
      <c r="B1288" s="55"/>
      <c r="C1288" t="s">
        <v>247</v>
      </c>
      <c r="D1288" s="88">
        <v>1.26824</v>
      </c>
      <c r="E1288" t="s">
        <v>354</v>
      </c>
      <c r="F1288">
        <v>1.26824</v>
      </c>
      <c r="G1288">
        <v>1.26824</v>
      </c>
      <c r="H1288">
        <v>1.26824</v>
      </c>
      <c r="I1288">
        <f t="shared" si="108"/>
        <v>10</v>
      </c>
      <c r="J1288">
        <v>-1</v>
      </c>
      <c r="K1288" t="s">
        <v>438</v>
      </c>
      <c r="L1288" s="17">
        <f t="shared" si="107"/>
        <v>-680952340.47780168</v>
      </c>
      <c r="M1288" t="s">
        <v>537</v>
      </c>
    </row>
    <row r="1289" spans="1:13" x14ac:dyDescent="0.2">
      <c r="B1289" s="55"/>
      <c r="C1289" t="s">
        <v>248</v>
      </c>
      <c r="D1289" s="88">
        <v>1.26824</v>
      </c>
      <c r="E1289" t="s">
        <v>350</v>
      </c>
      <c r="F1289">
        <v>1.26824</v>
      </c>
      <c r="G1289">
        <v>1.26824</v>
      </c>
      <c r="H1289">
        <v>1.26824</v>
      </c>
      <c r="I1289">
        <f t="shared" si="108"/>
        <v>10</v>
      </c>
      <c r="J1289">
        <v>-1</v>
      </c>
      <c r="K1289" t="s">
        <v>434</v>
      </c>
      <c r="L1289" s="17">
        <f t="shared" si="107"/>
        <v>-680952340.47780168</v>
      </c>
      <c r="M1289" t="s">
        <v>537</v>
      </c>
    </row>
    <row r="1290" spans="1:13" x14ac:dyDescent="0.2">
      <c r="B1290" s="55"/>
      <c r="C1290" t="s">
        <v>322</v>
      </c>
      <c r="D1290" s="88">
        <v>1.26824</v>
      </c>
      <c r="E1290" t="s">
        <v>355</v>
      </c>
      <c r="F1290">
        <v>1.26824</v>
      </c>
      <c r="G1290">
        <v>1.26824</v>
      </c>
      <c r="H1290">
        <v>1.26824</v>
      </c>
      <c r="I1290">
        <f t="shared" si="108"/>
        <v>10</v>
      </c>
      <c r="J1290">
        <v>-1</v>
      </c>
      <c r="K1290" t="s">
        <v>439</v>
      </c>
      <c r="L1290" s="17">
        <f t="shared" si="107"/>
        <v>-680952340.47780168</v>
      </c>
      <c r="M1290" t="s">
        <v>537</v>
      </c>
    </row>
    <row r="1291" spans="1:13" x14ac:dyDescent="0.2">
      <c r="B1291" s="55"/>
      <c r="C1291" t="s">
        <v>249</v>
      </c>
      <c r="D1291" s="88">
        <v>0.12681999999999999</v>
      </c>
      <c r="E1291" t="s">
        <v>356</v>
      </c>
      <c r="F1291">
        <v>0.12681999999999999</v>
      </c>
      <c r="G1291">
        <v>0.12681999999999999</v>
      </c>
      <c r="H1291">
        <v>0.12681999999999999</v>
      </c>
      <c r="I1291">
        <f t="shared" si="108"/>
        <v>10</v>
      </c>
      <c r="J1291">
        <v>-1</v>
      </c>
      <c r="K1291" t="s">
        <v>440</v>
      </c>
      <c r="L1291" s="17">
        <f t="shared" si="107"/>
        <v>-68093086.339647695</v>
      </c>
      <c r="M1291" t="s">
        <v>537</v>
      </c>
    </row>
    <row r="1292" spans="1:13" x14ac:dyDescent="0.2">
      <c r="B1292" s="55"/>
      <c r="C1292" t="s">
        <v>323</v>
      </c>
      <c r="D1292" s="88">
        <v>1.2700000000000001E-3</v>
      </c>
      <c r="E1292" t="s">
        <v>357</v>
      </c>
      <c r="F1292">
        <v>1.2700000000000001E-3</v>
      </c>
      <c r="G1292">
        <v>1.2700000000000001E-3</v>
      </c>
      <c r="H1292">
        <v>1.2700000000000001E-3</v>
      </c>
      <c r="I1292">
        <f>$A$6</f>
        <v>100</v>
      </c>
      <c r="J1292">
        <v>-1</v>
      </c>
      <c r="K1292" t="s">
        <v>441</v>
      </c>
      <c r="L1292" s="17">
        <f t="shared" si="107"/>
        <v>-6818973.3205608409</v>
      </c>
      <c r="M1292" t="s">
        <v>537</v>
      </c>
    </row>
    <row r="1293" spans="1:13" x14ac:dyDescent="0.2">
      <c r="B1293" s="55"/>
      <c r="C1293" t="s">
        <v>324</v>
      </c>
      <c r="D1293" s="88">
        <v>1.2700000000000001E-3</v>
      </c>
      <c r="E1293" t="s">
        <v>357</v>
      </c>
      <c r="F1293">
        <v>1.2700000000000001E-3</v>
      </c>
      <c r="G1293">
        <v>1.2700000000000001E-3</v>
      </c>
      <c r="H1293">
        <v>1.2700000000000001E-3</v>
      </c>
      <c r="I1293">
        <f>$A$6</f>
        <v>100</v>
      </c>
      <c r="J1293">
        <v>-1</v>
      </c>
      <c r="K1293" t="s">
        <v>441</v>
      </c>
      <c r="L1293" s="17">
        <f t="shared" si="107"/>
        <v>-6818973.3205608409</v>
      </c>
      <c r="M1293" t="s">
        <v>537</v>
      </c>
    </row>
    <row r="1294" spans="1:13" x14ac:dyDescent="0.2">
      <c r="B1294" s="55"/>
      <c r="C1294" t="s">
        <v>250</v>
      </c>
      <c r="D1294" s="88">
        <v>1.2700000000000001E-3</v>
      </c>
      <c r="E1294" t="s">
        <v>358</v>
      </c>
      <c r="F1294">
        <v>1.2700000000000001E-3</v>
      </c>
      <c r="G1294">
        <v>1.2700000000000001E-3</v>
      </c>
      <c r="H1294">
        <v>1.2700000000000001E-3</v>
      </c>
      <c r="I1294">
        <f>$A$7</f>
        <v>10</v>
      </c>
      <c r="J1294">
        <v>1</v>
      </c>
      <c r="K1294" t="s">
        <v>442</v>
      </c>
      <c r="L1294" s="17">
        <f t="shared" si="107"/>
        <v>681897.33205608418</v>
      </c>
      <c r="M1294" t="s">
        <v>537</v>
      </c>
    </row>
    <row r="1295" spans="1:13" x14ac:dyDescent="0.2">
      <c r="B1295" s="55"/>
      <c r="C1295" t="s">
        <v>251</v>
      </c>
      <c r="D1295" s="88">
        <v>0</v>
      </c>
      <c r="E1295" t="s">
        <v>359</v>
      </c>
      <c r="F1295">
        <v>0</v>
      </c>
      <c r="G1295">
        <v>0</v>
      </c>
      <c r="H1295">
        <v>0</v>
      </c>
      <c r="I1295">
        <f>$A$6</f>
        <v>100</v>
      </c>
      <c r="J1295">
        <v>-1</v>
      </c>
      <c r="K1295" t="s">
        <v>443</v>
      </c>
      <c r="L1295" s="17">
        <f t="shared" si="107"/>
        <v>0</v>
      </c>
      <c r="M1295" t="s">
        <v>537</v>
      </c>
    </row>
    <row r="1296" spans="1:13" x14ac:dyDescent="0.2">
      <c r="B1296" s="55"/>
      <c r="C1296" t="s">
        <v>252</v>
      </c>
      <c r="D1296" s="88">
        <v>0.12681999999999999</v>
      </c>
      <c r="E1296" t="s">
        <v>360</v>
      </c>
      <c r="F1296">
        <v>0.12681999999999999</v>
      </c>
      <c r="G1296">
        <v>0.12681999999999999</v>
      </c>
      <c r="H1296">
        <v>0.12681999999999999</v>
      </c>
      <c r="I1296">
        <f>$A$7</f>
        <v>10</v>
      </c>
      <c r="J1296">
        <v>-1</v>
      </c>
      <c r="K1296" t="s">
        <v>444</v>
      </c>
      <c r="L1296" s="17">
        <f t="shared" ref="L1296:L1327" si="109">((SUM(B$1264:B$1266)*F1296)+(SUM(B$1267)*G1296)+(SUM(B$1268:B$1271)*H1296)+(B$1272*D1296))*I1296*J1296</f>
        <v>-68093086.339647695</v>
      </c>
      <c r="M1296" t="s">
        <v>537</v>
      </c>
    </row>
    <row r="1297" spans="2:13" x14ac:dyDescent="0.2">
      <c r="B1297" s="55"/>
      <c r="C1297" t="s">
        <v>253</v>
      </c>
      <c r="D1297" s="88">
        <v>1.268E-2</v>
      </c>
      <c r="E1297" t="s">
        <v>361</v>
      </c>
      <c r="F1297">
        <v>1.268E-2</v>
      </c>
      <c r="G1297">
        <v>1.268E-2</v>
      </c>
      <c r="H1297">
        <v>1.268E-2</v>
      </c>
      <c r="I1297">
        <f>$A$7</f>
        <v>10</v>
      </c>
      <c r="J1297">
        <v>-1</v>
      </c>
      <c r="K1297" t="s">
        <v>445</v>
      </c>
      <c r="L1297" s="17">
        <f t="shared" si="109"/>
        <v>-6808234.779898541</v>
      </c>
      <c r="M1297" t="s">
        <v>537</v>
      </c>
    </row>
    <row r="1298" spans="2:13" x14ac:dyDescent="0.2">
      <c r="B1298" s="55"/>
      <c r="C1298" t="s">
        <v>325</v>
      </c>
      <c r="D1298" s="88">
        <v>1.2700000000000001E-3</v>
      </c>
      <c r="E1298" t="s">
        <v>362</v>
      </c>
      <c r="F1298">
        <v>1.2700000000000001E-3</v>
      </c>
      <c r="G1298">
        <v>1.2700000000000001E-3</v>
      </c>
      <c r="H1298">
        <v>1.2700000000000001E-3</v>
      </c>
      <c r="I1298">
        <f>$A$6</f>
        <v>100</v>
      </c>
      <c r="J1298">
        <v>-1</v>
      </c>
      <c r="K1298" t="s">
        <v>446</v>
      </c>
      <c r="L1298" s="17">
        <f t="shared" si="109"/>
        <v>-6818973.3205608409</v>
      </c>
      <c r="M1298" t="s">
        <v>537</v>
      </c>
    </row>
    <row r="1299" spans="2:13" x14ac:dyDescent="0.2">
      <c r="B1299" s="55"/>
      <c r="C1299" t="s">
        <v>254</v>
      </c>
      <c r="D1299" s="88">
        <v>1.2700000000000001E-3</v>
      </c>
      <c r="E1299" t="s">
        <v>363</v>
      </c>
      <c r="F1299">
        <v>1.2700000000000001E-3</v>
      </c>
      <c r="G1299">
        <v>1.2700000000000001E-3</v>
      </c>
      <c r="H1299">
        <v>1.2700000000000001E-3</v>
      </c>
      <c r="I1299">
        <f>$A$7</f>
        <v>10</v>
      </c>
      <c r="J1299">
        <v>-1</v>
      </c>
      <c r="K1299" t="s">
        <v>447</v>
      </c>
      <c r="L1299" s="17">
        <f t="shared" si="109"/>
        <v>-681897.33205608418</v>
      </c>
      <c r="M1299" t="s">
        <v>537</v>
      </c>
    </row>
    <row r="1300" spans="2:13" x14ac:dyDescent="0.2">
      <c r="B1300" s="55"/>
      <c r="C1300" t="s">
        <v>255</v>
      </c>
      <c r="D1300" s="88">
        <v>0</v>
      </c>
      <c r="E1300" t="s">
        <v>364</v>
      </c>
      <c r="F1300">
        <v>0</v>
      </c>
      <c r="G1300">
        <v>0</v>
      </c>
      <c r="H1300">
        <v>0</v>
      </c>
      <c r="I1300">
        <f>$A$7</f>
        <v>10</v>
      </c>
      <c r="J1300">
        <v>-1</v>
      </c>
      <c r="K1300" t="s">
        <v>448</v>
      </c>
      <c r="L1300" s="17">
        <f t="shared" si="109"/>
        <v>0</v>
      </c>
      <c r="M1300" t="s">
        <v>537</v>
      </c>
    </row>
    <row r="1301" spans="2:13" x14ac:dyDescent="0.2">
      <c r="B1301" s="55"/>
      <c r="C1301" t="s">
        <v>256</v>
      </c>
      <c r="D1301" s="88">
        <v>1.2700000000000001E-3</v>
      </c>
      <c r="E1301" t="s">
        <v>365</v>
      </c>
      <c r="F1301">
        <v>1.2700000000000001E-3</v>
      </c>
      <c r="G1301">
        <v>1.2700000000000001E-3</v>
      </c>
      <c r="H1301">
        <v>1.2700000000000001E-3</v>
      </c>
      <c r="I1301">
        <f>$A$7</f>
        <v>10</v>
      </c>
      <c r="J1301">
        <v>-1</v>
      </c>
      <c r="K1301" t="s">
        <v>449</v>
      </c>
      <c r="L1301" s="17">
        <f t="shared" si="109"/>
        <v>-681897.33205608418</v>
      </c>
      <c r="M1301" t="s">
        <v>537</v>
      </c>
    </row>
    <row r="1302" spans="2:13" x14ac:dyDescent="0.2">
      <c r="B1302" s="55"/>
      <c r="C1302" t="s">
        <v>257</v>
      </c>
      <c r="D1302" s="88">
        <v>1.26824</v>
      </c>
      <c r="E1302" t="s">
        <v>366</v>
      </c>
      <c r="F1302">
        <v>1.26824</v>
      </c>
      <c r="G1302">
        <v>1.26824</v>
      </c>
      <c r="H1302">
        <v>1.26824</v>
      </c>
      <c r="I1302">
        <f>$A$6</f>
        <v>100</v>
      </c>
      <c r="J1302">
        <v>-1</v>
      </c>
      <c r="K1302" t="s">
        <v>450</v>
      </c>
      <c r="L1302" s="17">
        <f t="shared" si="109"/>
        <v>-6809523404.778017</v>
      </c>
      <c r="M1302" t="s">
        <v>537</v>
      </c>
    </row>
    <row r="1303" spans="2:13" x14ac:dyDescent="0.2">
      <c r="B1303" s="55"/>
      <c r="C1303" t="s">
        <v>258</v>
      </c>
      <c r="D1303" s="88">
        <v>0.12681999999999999</v>
      </c>
      <c r="E1303" t="s">
        <v>367</v>
      </c>
      <c r="F1303">
        <v>0.12681999999999999</v>
      </c>
      <c r="G1303">
        <v>0.12681999999999999</v>
      </c>
      <c r="H1303">
        <v>0.12681999999999999</v>
      </c>
      <c r="I1303">
        <f>$A$6</f>
        <v>100</v>
      </c>
      <c r="J1303">
        <v>-1</v>
      </c>
      <c r="K1303" t="s">
        <v>451</v>
      </c>
      <c r="L1303" s="17">
        <f t="shared" si="109"/>
        <v>-680930863.39647698</v>
      </c>
      <c r="M1303" t="s">
        <v>537</v>
      </c>
    </row>
    <row r="1304" spans="2:13" x14ac:dyDescent="0.2">
      <c r="B1304" s="55"/>
      <c r="C1304" t="s">
        <v>326</v>
      </c>
      <c r="D1304" s="88">
        <v>1.2700000000000001E-3</v>
      </c>
      <c r="E1304" t="s">
        <v>365</v>
      </c>
      <c r="F1304">
        <v>1.2700000000000001E-3</v>
      </c>
      <c r="G1304">
        <v>1.2700000000000001E-3</v>
      </c>
      <c r="H1304">
        <v>1.2700000000000001E-3</v>
      </c>
      <c r="I1304">
        <v>0</v>
      </c>
      <c r="J1304">
        <v>0</v>
      </c>
      <c r="K1304" t="s">
        <v>449</v>
      </c>
      <c r="L1304" s="17">
        <f t="shared" si="109"/>
        <v>0</v>
      </c>
      <c r="M1304" t="s">
        <v>537</v>
      </c>
    </row>
    <row r="1305" spans="2:13" x14ac:dyDescent="0.2">
      <c r="B1305" s="55"/>
      <c r="C1305" t="s">
        <v>259</v>
      </c>
      <c r="D1305" s="88">
        <v>1.268E-2</v>
      </c>
      <c r="E1305" t="s">
        <v>368</v>
      </c>
      <c r="F1305">
        <v>1.268E-2</v>
      </c>
      <c r="G1305">
        <v>1.268E-2</v>
      </c>
      <c r="H1305">
        <v>1.268E-2</v>
      </c>
      <c r="I1305">
        <f>$A$6</f>
        <v>100</v>
      </c>
      <c r="J1305">
        <v>-1</v>
      </c>
      <c r="K1305" t="s">
        <v>452</v>
      </c>
      <c r="L1305" s="17">
        <f t="shared" si="109"/>
        <v>-68082347.798985407</v>
      </c>
      <c r="M1305" t="s">
        <v>537</v>
      </c>
    </row>
    <row r="1306" spans="2:13" x14ac:dyDescent="0.2">
      <c r="B1306" s="55"/>
      <c r="C1306" t="s">
        <v>260</v>
      </c>
      <c r="D1306" s="88">
        <v>0</v>
      </c>
      <c r="E1306" t="s">
        <v>368</v>
      </c>
      <c r="F1306">
        <v>0</v>
      </c>
      <c r="G1306">
        <v>0</v>
      </c>
      <c r="H1306">
        <v>0</v>
      </c>
      <c r="I1306">
        <v>0</v>
      </c>
      <c r="J1306">
        <v>0</v>
      </c>
      <c r="K1306" t="s">
        <v>452</v>
      </c>
      <c r="L1306" s="17">
        <f t="shared" si="109"/>
        <v>0</v>
      </c>
      <c r="M1306" t="s">
        <v>537</v>
      </c>
    </row>
    <row r="1307" spans="2:13" x14ac:dyDescent="0.2">
      <c r="B1307" s="55"/>
      <c r="C1307" t="s">
        <v>327</v>
      </c>
      <c r="D1307" s="88">
        <v>1.2999999999999999E-4</v>
      </c>
      <c r="E1307" t="s">
        <v>368</v>
      </c>
      <c r="F1307">
        <v>1.2999999999999999E-4</v>
      </c>
      <c r="G1307">
        <v>1.2999999999999999E-4</v>
      </c>
      <c r="H1307">
        <v>1.2999999999999999E-4</v>
      </c>
      <c r="I1307">
        <f>$A$6</f>
        <v>100</v>
      </c>
      <c r="J1307">
        <v>-1</v>
      </c>
      <c r="K1307" t="s">
        <v>452</v>
      </c>
      <c r="L1307" s="17">
        <f t="shared" si="109"/>
        <v>-698005.14304953499</v>
      </c>
      <c r="M1307" t="s">
        <v>537</v>
      </c>
    </row>
    <row r="1308" spans="2:13" x14ac:dyDescent="0.2">
      <c r="B1308" s="55"/>
      <c r="C1308" t="s">
        <v>328</v>
      </c>
      <c r="D1308" s="88">
        <v>1.2999999999999999E-4</v>
      </c>
      <c r="E1308" t="s">
        <v>368</v>
      </c>
      <c r="F1308">
        <v>1.2999999999999999E-4</v>
      </c>
      <c r="G1308">
        <v>1.2999999999999999E-4</v>
      </c>
      <c r="H1308">
        <v>1.2999999999999999E-4</v>
      </c>
      <c r="I1308">
        <v>0</v>
      </c>
      <c r="J1308">
        <v>0</v>
      </c>
      <c r="K1308" t="s">
        <v>452</v>
      </c>
      <c r="L1308" s="17">
        <f t="shared" si="109"/>
        <v>0</v>
      </c>
      <c r="M1308" t="s">
        <v>537</v>
      </c>
    </row>
    <row r="1309" spans="2:13" x14ac:dyDescent="0.2">
      <c r="B1309" s="55"/>
      <c r="C1309" t="s">
        <v>261</v>
      </c>
      <c r="D1309" s="88">
        <v>0.12681999999999999</v>
      </c>
      <c r="E1309" t="s">
        <v>369</v>
      </c>
      <c r="F1309">
        <v>0.12681999999999999</v>
      </c>
      <c r="G1309">
        <v>0.12681999999999999</v>
      </c>
      <c r="H1309">
        <v>0.12681999999999999</v>
      </c>
      <c r="I1309">
        <f>$A$6</f>
        <v>100</v>
      </c>
      <c r="J1309">
        <v>-1</v>
      </c>
      <c r="K1309" t="s">
        <v>453</v>
      </c>
      <c r="L1309" s="17">
        <f t="shared" si="109"/>
        <v>-680930863.39647698</v>
      </c>
      <c r="M1309" t="s">
        <v>537</v>
      </c>
    </row>
    <row r="1310" spans="2:13" x14ac:dyDescent="0.2">
      <c r="B1310" s="55"/>
      <c r="C1310" t="s">
        <v>263</v>
      </c>
      <c r="D1310" s="88">
        <v>1.2999999999999999E-4</v>
      </c>
      <c r="E1310" t="s">
        <v>370</v>
      </c>
      <c r="F1310">
        <v>1.2999999999999999E-4</v>
      </c>
      <c r="G1310">
        <v>1.2999999999999999E-4</v>
      </c>
      <c r="H1310">
        <v>1.2999999999999999E-4</v>
      </c>
      <c r="I1310">
        <f>$A$6</f>
        <v>100</v>
      </c>
      <c r="J1310">
        <v>-1</v>
      </c>
      <c r="K1310" t="s">
        <v>454</v>
      </c>
      <c r="L1310" s="17">
        <f t="shared" si="109"/>
        <v>-698005.14304953499</v>
      </c>
      <c r="M1310" t="s">
        <v>537</v>
      </c>
    </row>
    <row r="1311" spans="2:13" x14ac:dyDescent="0.2">
      <c r="B1311" s="55"/>
      <c r="C1311" t="s">
        <v>262</v>
      </c>
      <c r="D1311" s="88">
        <v>1.2999999999999999E-4</v>
      </c>
      <c r="E1311" t="s">
        <v>370</v>
      </c>
      <c r="F1311">
        <v>1.2999999999999999E-4</v>
      </c>
      <c r="G1311">
        <v>1.2999999999999999E-4</v>
      </c>
      <c r="H1311">
        <v>1.2999999999999999E-4</v>
      </c>
      <c r="I1311">
        <f>$A$6</f>
        <v>100</v>
      </c>
      <c r="J1311">
        <v>-1</v>
      </c>
      <c r="K1311" t="s">
        <v>454</v>
      </c>
      <c r="L1311" s="17">
        <f t="shared" si="109"/>
        <v>-698005.14304953499</v>
      </c>
      <c r="M1311" t="s">
        <v>537</v>
      </c>
    </row>
    <row r="1312" spans="2:13" x14ac:dyDescent="0.2">
      <c r="B1312" s="55"/>
      <c r="C1312" t="s">
        <v>264</v>
      </c>
      <c r="D1312" s="88">
        <v>1.2700000000000001E-3</v>
      </c>
      <c r="E1312" t="s">
        <v>371</v>
      </c>
      <c r="F1312">
        <v>1.2700000000000001E-3</v>
      </c>
      <c r="G1312">
        <v>1.2700000000000001E-3</v>
      </c>
      <c r="H1312">
        <v>1.2700000000000001E-3</v>
      </c>
      <c r="I1312">
        <f>$A$7</f>
        <v>10</v>
      </c>
      <c r="J1312">
        <v>-1</v>
      </c>
      <c r="K1312" t="s">
        <v>455</v>
      </c>
      <c r="L1312" s="17">
        <f t="shared" si="109"/>
        <v>-681897.33205608418</v>
      </c>
      <c r="M1312" t="s">
        <v>537</v>
      </c>
    </row>
    <row r="1313" spans="2:13" x14ac:dyDescent="0.2">
      <c r="B1313" s="55"/>
      <c r="C1313" t="s">
        <v>265</v>
      </c>
      <c r="D1313" s="88">
        <v>1.2700000000000001E-3</v>
      </c>
      <c r="E1313" t="s">
        <v>371</v>
      </c>
      <c r="F1313">
        <v>1.2700000000000001E-3</v>
      </c>
      <c r="G1313">
        <v>1.2700000000000001E-3</v>
      </c>
      <c r="H1313">
        <v>1.2700000000000001E-3</v>
      </c>
      <c r="I1313">
        <f>$A$7</f>
        <v>10</v>
      </c>
      <c r="J1313">
        <v>-1</v>
      </c>
      <c r="K1313" t="s">
        <v>455</v>
      </c>
      <c r="L1313" s="17">
        <f t="shared" si="109"/>
        <v>-681897.33205608418</v>
      </c>
      <c r="M1313" t="s">
        <v>537</v>
      </c>
    </row>
    <row r="1314" spans="2:13" x14ac:dyDescent="0.2">
      <c r="B1314" s="55"/>
      <c r="C1314" t="s">
        <v>266</v>
      </c>
      <c r="D1314" s="88">
        <v>1.2700000000000001E-3</v>
      </c>
      <c r="E1314" t="s">
        <v>371</v>
      </c>
      <c r="F1314">
        <v>1.2700000000000001E-3</v>
      </c>
      <c r="G1314">
        <v>1.2700000000000001E-3</v>
      </c>
      <c r="H1314">
        <v>1.2700000000000001E-3</v>
      </c>
      <c r="I1314">
        <v>0</v>
      </c>
      <c r="J1314">
        <v>0</v>
      </c>
      <c r="K1314" t="s">
        <v>455</v>
      </c>
      <c r="L1314" s="17">
        <f t="shared" si="109"/>
        <v>0</v>
      </c>
      <c r="M1314" t="s">
        <v>537</v>
      </c>
    </row>
    <row r="1315" spans="2:13" x14ac:dyDescent="0.2">
      <c r="B1315" s="55"/>
      <c r="C1315" t="s">
        <v>267</v>
      </c>
      <c r="D1315" s="88">
        <v>1.2999999999999999E-4</v>
      </c>
      <c r="E1315" t="s">
        <v>372</v>
      </c>
      <c r="F1315">
        <v>1.2999999999999999E-4</v>
      </c>
      <c r="G1315">
        <v>1.2999999999999999E-4</v>
      </c>
      <c r="H1315">
        <v>1.2999999999999999E-4</v>
      </c>
      <c r="I1315">
        <v>0</v>
      </c>
      <c r="J1315">
        <v>0</v>
      </c>
      <c r="K1315" t="s">
        <v>456</v>
      </c>
      <c r="L1315" s="17">
        <f t="shared" si="109"/>
        <v>0</v>
      </c>
      <c r="M1315" t="s">
        <v>537</v>
      </c>
    </row>
    <row r="1316" spans="2:13" x14ac:dyDescent="0.2">
      <c r="B1316" s="55"/>
      <c r="C1316" t="s">
        <v>329</v>
      </c>
      <c r="D1316" s="88">
        <v>0.12681999999999999</v>
      </c>
      <c r="E1316" s="75" t="s">
        <v>373</v>
      </c>
      <c r="F1316">
        <v>0.12681999999999999</v>
      </c>
      <c r="G1316">
        <v>0.12681999999999999</v>
      </c>
      <c r="H1316">
        <v>0.12681999999999999</v>
      </c>
      <c r="I1316">
        <f>$A$7</f>
        <v>10</v>
      </c>
      <c r="J1316">
        <v>-1</v>
      </c>
      <c r="K1316" t="s">
        <v>457</v>
      </c>
      <c r="L1316" s="17">
        <f t="shared" si="109"/>
        <v>-68093086.339647695</v>
      </c>
      <c r="M1316" t="s">
        <v>537</v>
      </c>
    </row>
    <row r="1317" spans="2:13" x14ac:dyDescent="0.2">
      <c r="B1317" s="55"/>
      <c r="C1317" t="s">
        <v>314</v>
      </c>
      <c r="D1317" s="88">
        <v>1.2700000000000001E-3</v>
      </c>
      <c r="E1317" s="75" t="s">
        <v>374</v>
      </c>
      <c r="F1317">
        <v>1.2700000000000001E-3</v>
      </c>
      <c r="G1317">
        <v>1.2700000000000001E-3</v>
      </c>
      <c r="H1317">
        <v>1.2700000000000001E-3</v>
      </c>
      <c r="I1317">
        <f>$A$7</f>
        <v>10</v>
      </c>
      <c r="J1317">
        <v>-1</v>
      </c>
      <c r="K1317" t="s">
        <v>458</v>
      </c>
      <c r="L1317" s="17">
        <f t="shared" si="109"/>
        <v>-681897.33205608418</v>
      </c>
      <c r="M1317" t="s">
        <v>537</v>
      </c>
    </row>
    <row r="1318" spans="2:13" x14ac:dyDescent="0.2">
      <c r="B1318" s="55"/>
      <c r="C1318" t="s">
        <v>268</v>
      </c>
      <c r="D1318" s="88">
        <v>1.2700000000000001E-3</v>
      </c>
      <c r="E1318" s="75" t="s">
        <v>374</v>
      </c>
      <c r="F1318">
        <v>1.2700000000000001E-3</v>
      </c>
      <c r="G1318">
        <v>1.2700000000000001E-3</v>
      </c>
      <c r="H1318">
        <v>1.2700000000000001E-3</v>
      </c>
      <c r="I1318">
        <f>$A$7</f>
        <v>10</v>
      </c>
      <c r="J1318">
        <v>-1</v>
      </c>
      <c r="K1318" t="s">
        <v>458</v>
      </c>
      <c r="L1318" s="17">
        <f t="shared" si="109"/>
        <v>-681897.33205608418</v>
      </c>
      <c r="M1318" t="s">
        <v>537</v>
      </c>
    </row>
    <row r="1319" spans="2:13" x14ac:dyDescent="0.2">
      <c r="B1319" s="55"/>
      <c r="C1319" t="s">
        <v>269</v>
      </c>
      <c r="D1319" s="88">
        <v>1.2700000000000001E-3</v>
      </c>
      <c r="E1319" s="75" t="s">
        <v>374</v>
      </c>
      <c r="F1319">
        <v>1.2700000000000001E-3</v>
      </c>
      <c r="G1319">
        <v>1.2700000000000001E-3</v>
      </c>
      <c r="H1319">
        <v>1.2700000000000001E-3</v>
      </c>
      <c r="I1319">
        <v>0</v>
      </c>
      <c r="J1319">
        <v>0</v>
      </c>
      <c r="K1319" t="s">
        <v>458</v>
      </c>
      <c r="L1319" s="17">
        <f t="shared" si="109"/>
        <v>0</v>
      </c>
      <c r="M1319" t="s">
        <v>537</v>
      </c>
    </row>
    <row r="1320" spans="2:13" x14ac:dyDescent="0.2">
      <c r="B1320" s="55"/>
      <c r="C1320" t="s">
        <v>270</v>
      </c>
      <c r="D1320" s="88">
        <v>1.2700000000000001E-3</v>
      </c>
      <c r="E1320" s="75" t="s">
        <v>375</v>
      </c>
      <c r="F1320">
        <v>1.2700000000000001E-3</v>
      </c>
      <c r="G1320">
        <v>1.2700000000000001E-3</v>
      </c>
      <c r="H1320">
        <v>1.2700000000000001E-3</v>
      </c>
      <c r="I1320">
        <f>$A$6</f>
        <v>100</v>
      </c>
      <c r="J1320">
        <v>-1</v>
      </c>
      <c r="K1320" t="s">
        <v>459</v>
      </c>
      <c r="L1320" s="17">
        <f t="shared" si="109"/>
        <v>-6818973.3205608409</v>
      </c>
      <c r="M1320" t="s">
        <v>537</v>
      </c>
    </row>
    <row r="1321" spans="2:13" x14ac:dyDescent="0.2">
      <c r="B1321" s="55"/>
      <c r="C1321" t="s">
        <v>271</v>
      </c>
      <c r="D1321" s="88">
        <v>0.12681999999999999</v>
      </c>
      <c r="E1321" s="75" t="s">
        <v>376</v>
      </c>
      <c r="F1321">
        <v>0.12681999999999999</v>
      </c>
      <c r="G1321">
        <v>0.12681999999999999</v>
      </c>
      <c r="H1321">
        <v>0.12681999999999999</v>
      </c>
      <c r="I1321">
        <v>0</v>
      </c>
      <c r="J1321">
        <v>0</v>
      </c>
      <c r="K1321" t="s">
        <v>460</v>
      </c>
      <c r="L1321" s="17">
        <f t="shared" si="109"/>
        <v>0</v>
      </c>
      <c r="M1321" t="s">
        <v>537</v>
      </c>
    </row>
    <row r="1322" spans="2:13" x14ac:dyDescent="0.2">
      <c r="B1322" s="55"/>
      <c r="C1322" t="s">
        <v>272</v>
      </c>
      <c r="D1322" s="88">
        <v>1.26824</v>
      </c>
      <c r="E1322" t="s">
        <v>377</v>
      </c>
      <c r="F1322">
        <v>1.26824</v>
      </c>
      <c r="G1322">
        <v>1.26824</v>
      </c>
      <c r="H1322">
        <v>1.26824</v>
      </c>
      <c r="I1322">
        <v>0</v>
      </c>
      <c r="J1322">
        <v>0</v>
      </c>
      <c r="K1322" t="s">
        <v>461</v>
      </c>
      <c r="L1322" s="17">
        <f t="shared" si="109"/>
        <v>0</v>
      </c>
      <c r="M1322" t="s">
        <v>537</v>
      </c>
    </row>
    <row r="1323" spans="2:13" x14ac:dyDescent="0.2">
      <c r="B1323" s="55"/>
      <c r="C1323" t="s">
        <v>273</v>
      </c>
      <c r="D1323" s="88">
        <v>1.2999999999999999E-4</v>
      </c>
      <c r="E1323" t="s">
        <v>378</v>
      </c>
      <c r="F1323">
        <v>1.2999999999999999E-4</v>
      </c>
      <c r="G1323">
        <v>1.2999999999999999E-4</v>
      </c>
      <c r="H1323">
        <v>1.2999999999999999E-4</v>
      </c>
      <c r="I1323">
        <f>$A$7</f>
        <v>10</v>
      </c>
      <c r="J1323">
        <v>-1</v>
      </c>
      <c r="K1323" t="s">
        <v>462</v>
      </c>
      <c r="L1323" s="17">
        <f t="shared" si="109"/>
        <v>-69800.514304953496</v>
      </c>
      <c r="M1323" t="s">
        <v>537</v>
      </c>
    </row>
    <row r="1324" spans="2:13" x14ac:dyDescent="0.2">
      <c r="B1324" s="55"/>
      <c r="C1324" t="s">
        <v>274</v>
      </c>
      <c r="D1324" s="88">
        <v>1.2999999999999999E-4</v>
      </c>
      <c r="E1324" t="s">
        <v>379</v>
      </c>
      <c r="F1324">
        <v>1.2999999999999999E-4</v>
      </c>
      <c r="G1324">
        <v>1.2999999999999999E-4</v>
      </c>
      <c r="H1324">
        <v>1.2999999999999999E-4</v>
      </c>
      <c r="I1324">
        <v>0</v>
      </c>
      <c r="J1324">
        <v>0</v>
      </c>
      <c r="K1324" t="s">
        <v>463</v>
      </c>
      <c r="L1324" s="17">
        <f t="shared" si="109"/>
        <v>0</v>
      </c>
      <c r="M1324" t="s">
        <v>537</v>
      </c>
    </row>
    <row r="1325" spans="2:13" x14ac:dyDescent="0.2">
      <c r="B1325" s="55"/>
      <c r="C1325" t="s">
        <v>275</v>
      </c>
      <c r="D1325" s="88">
        <v>1.26824</v>
      </c>
      <c r="E1325" t="s">
        <v>377</v>
      </c>
      <c r="F1325">
        <v>1.26824</v>
      </c>
      <c r="G1325">
        <v>1.26824</v>
      </c>
      <c r="H1325">
        <v>1.26824</v>
      </c>
      <c r="I1325">
        <f>$A$6</f>
        <v>100</v>
      </c>
      <c r="J1325">
        <v>-1</v>
      </c>
      <c r="K1325" t="s">
        <v>461</v>
      </c>
      <c r="L1325" s="17">
        <f t="shared" si="109"/>
        <v>-6809523404.778017</v>
      </c>
      <c r="M1325" t="s">
        <v>537</v>
      </c>
    </row>
    <row r="1326" spans="2:13" x14ac:dyDescent="0.2">
      <c r="B1326" s="55"/>
      <c r="C1326" t="s">
        <v>276</v>
      </c>
      <c r="D1326" s="88">
        <v>1.26824</v>
      </c>
      <c r="E1326" t="s">
        <v>377</v>
      </c>
      <c r="F1326">
        <v>1.26824</v>
      </c>
      <c r="G1326">
        <v>1.26824</v>
      </c>
      <c r="H1326">
        <v>1.26824</v>
      </c>
      <c r="I1326">
        <f>$A$6</f>
        <v>100</v>
      </c>
      <c r="J1326">
        <v>-1</v>
      </c>
      <c r="K1326" t="s">
        <v>461</v>
      </c>
      <c r="L1326" s="17">
        <f t="shared" si="109"/>
        <v>-6809523404.778017</v>
      </c>
      <c r="M1326" t="s">
        <v>537</v>
      </c>
    </row>
    <row r="1327" spans="2:13" x14ac:dyDescent="0.2">
      <c r="B1327" s="55"/>
      <c r="C1327" t="s">
        <v>277</v>
      </c>
      <c r="D1327" s="88">
        <v>1.2700000000000001E-3</v>
      </c>
      <c r="E1327" t="s">
        <v>380</v>
      </c>
      <c r="F1327">
        <v>1.2700000000000001E-3</v>
      </c>
      <c r="G1327">
        <v>1.2700000000000001E-3</v>
      </c>
      <c r="H1327">
        <v>1.2700000000000001E-3</v>
      </c>
      <c r="I1327">
        <f>$A$6</f>
        <v>100</v>
      </c>
      <c r="J1327">
        <v>-1</v>
      </c>
      <c r="K1327" t="s">
        <v>464</v>
      </c>
      <c r="L1327" s="17">
        <f t="shared" si="109"/>
        <v>-6818973.3205608409</v>
      </c>
      <c r="M1327" t="s">
        <v>537</v>
      </c>
    </row>
    <row r="1328" spans="2:13" x14ac:dyDescent="0.2">
      <c r="B1328" s="55"/>
      <c r="C1328" t="s">
        <v>278</v>
      </c>
      <c r="D1328" s="88">
        <v>1.26824</v>
      </c>
      <c r="E1328" t="s">
        <v>381</v>
      </c>
      <c r="F1328">
        <v>1.26824</v>
      </c>
      <c r="G1328">
        <v>1.26824</v>
      </c>
      <c r="H1328">
        <v>1.26824</v>
      </c>
      <c r="I1328">
        <f>$A$6</f>
        <v>100</v>
      </c>
      <c r="J1328">
        <v>-1</v>
      </c>
      <c r="K1328" t="s">
        <v>465</v>
      </c>
      <c r="L1328" s="17">
        <f t="shared" ref="L1328:L1359" si="110">((SUM(B$1264:B$1266)*F1328)+(SUM(B$1267)*G1328)+(SUM(B$1268:B$1271)*H1328)+(B$1272*D1328))*I1328*J1328</f>
        <v>-6809523404.778017</v>
      </c>
      <c r="M1328" t="s">
        <v>537</v>
      </c>
    </row>
    <row r="1329" spans="2:13" x14ac:dyDescent="0.2">
      <c r="B1329" s="55"/>
      <c r="C1329" t="s">
        <v>330</v>
      </c>
      <c r="D1329" s="88">
        <v>1.2999999999999999E-4</v>
      </c>
      <c r="E1329" t="s">
        <v>382</v>
      </c>
      <c r="F1329">
        <v>1.2999999999999999E-4</v>
      </c>
      <c r="G1329">
        <v>1.2999999999999999E-4</v>
      </c>
      <c r="H1329">
        <v>1.2999999999999999E-4</v>
      </c>
      <c r="I1329">
        <f>$A$7</f>
        <v>10</v>
      </c>
      <c r="J1329">
        <v>-1</v>
      </c>
      <c r="K1329" t="s">
        <v>466</v>
      </c>
      <c r="L1329" s="17">
        <f t="shared" si="110"/>
        <v>-69800.514304953496</v>
      </c>
      <c r="M1329" t="s">
        <v>537</v>
      </c>
    </row>
    <row r="1330" spans="2:13" x14ac:dyDescent="0.2">
      <c r="B1330" s="55"/>
      <c r="C1330" t="s">
        <v>279</v>
      </c>
      <c r="D1330" s="88">
        <v>1.2999999999999999E-4</v>
      </c>
      <c r="E1330" t="s">
        <v>382</v>
      </c>
      <c r="F1330">
        <v>1.2999999999999999E-4</v>
      </c>
      <c r="G1330">
        <v>1.2999999999999999E-4</v>
      </c>
      <c r="H1330">
        <v>1.2999999999999999E-4</v>
      </c>
      <c r="I1330">
        <f>$A$7</f>
        <v>10</v>
      </c>
      <c r="J1330">
        <v>-1</v>
      </c>
      <c r="K1330" t="s">
        <v>466</v>
      </c>
      <c r="L1330" s="17">
        <f t="shared" si="110"/>
        <v>-69800.514304953496</v>
      </c>
      <c r="M1330" t="s">
        <v>537</v>
      </c>
    </row>
    <row r="1331" spans="2:13" x14ac:dyDescent="0.2">
      <c r="B1331" s="55"/>
      <c r="C1331" t="s">
        <v>280</v>
      </c>
      <c r="D1331" s="88">
        <v>1.2999999999999999E-4</v>
      </c>
      <c r="E1331" t="s">
        <v>382</v>
      </c>
      <c r="F1331">
        <v>1.2999999999999999E-4</v>
      </c>
      <c r="G1331">
        <v>1.2999999999999999E-4</v>
      </c>
      <c r="H1331">
        <v>1.2999999999999999E-4</v>
      </c>
      <c r="I1331">
        <v>0</v>
      </c>
      <c r="J1331">
        <v>0</v>
      </c>
      <c r="K1331" t="s">
        <v>466</v>
      </c>
      <c r="L1331" s="17">
        <f t="shared" si="110"/>
        <v>0</v>
      </c>
      <c r="M1331" t="s">
        <v>537</v>
      </c>
    </row>
    <row r="1332" spans="2:13" x14ac:dyDescent="0.2">
      <c r="B1332" s="55"/>
      <c r="C1332" t="s">
        <v>331</v>
      </c>
      <c r="D1332" s="88">
        <v>1.2700000000000001E-3</v>
      </c>
      <c r="E1332" t="s">
        <v>383</v>
      </c>
      <c r="F1332">
        <v>1.2700000000000001E-3</v>
      </c>
      <c r="G1332">
        <v>1.2700000000000001E-3</v>
      </c>
      <c r="H1332">
        <v>1.2700000000000001E-3</v>
      </c>
      <c r="I1332">
        <v>0</v>
      </c>
      <c r="J1332">
        <v>0</v>
      </c>
      <c r="K1332" t="s">
        <v>467</v>
      </c>
      <c r="L1332" s="17">
        <f t="shared" si="110"/>
        <v>0</v>
      </c>
      <c r="M1332" t="s">
        <v>537</v>
      </c>
    </row>
    <row r="1333" spans="2:13" x14ac:dyDescent="0.2">
      <c r="B1333" s="55"/>
      <c r="C1333" t="s">
        <v>281</v>
      </c>
      <c r="D1333" s="88">
        <v>1.2999999999999999E-4</v>
      </c>
      <c r="E1333" t="s">
        <v>384</v>
      </c>
      <c r="F1333">
        <v>1.2999999999999999E-4</v>
      </c>
      <c r="G1333">
        <v>1.2999999999999999E-4</v>
      </c>
      <c r="H1333">
        <v>1.2999999999999999E-4</v>
      </c>
      <c r="I1333">
        <f>$A$7</f>
        <v>10</v>
      </c>
      <c r="J1333">
        <v>-1</v>
      </c>
      <c r="K1333" t="s">
        <v>468</v>
      </c>
      <c r="L1333" s="17">
        <f t="shared" si="110"/>
        <v>-69800.514304953496</v>
      </c>
      <c r="M1333" t="s">
        <v>537</v>
      </c>
    </row>
    <row r="1334" spans="2:13" x14ac:dyDescent="0.2">
      <c r="B1334" s="55"/>
      <c r="C1334" t="s">
        <v>282</v>
      </c>
      <c r="D1334" s="88">
        <v>0.12681999999999999</v>
      </c>
      <c r="E1334" t="s">
        <v>385</v>
      </c>
      <c r="F1334">
        <v>0.12681999999999999</v>
      </c>
      <c r="G1334">
        <v>0.12681999999999999</v>
      </c>
      <c r="H1334">
        <v>0.12681999999999999</v>
      </c>
      <c r="I1334">
        <v>0</v>
      </c>
      <c r="J1334">
        <v>0</v>
      </c>
      <c r="K1334" t="s">
        <v>469</v>
      </c>
      <c r="L1334" s="17">
        <f t="shared" si="110"/>
        <v>0</v>
      </c>
      <c r="M1334" t="s">
        <v>537</v>
      </c>
    </row>
    <row r="1335" spans="2:13" x14ac:dyDescent="0.2">
      <c r="B1335" s="55"/>
      <c r="C1335" t="s">
        <v>332</v>
      </c>
      <c r="D1335" s="88">
        <v>1.268E-2</v>
      </c>
      <c r="E1335" t="s">
        <v>386</v>
      </c>
      <c r="F1335">
        <v>1.268E-2</v>
      </c>
      <c r="G1335">
        <v>1.268E-2</v>
      </c>
      <c r="H1335">
        <v>1.268E-2</v>
      </c>
      <c r="I1335">
        <v>0</v>
      </c>
      <c r="J1335">
        <v>0</v>
      </c>
      <c r="K1335" t="s">
        <v>470</v>
      </c>
      <c r="L1335" s="17">
        <f t="shared" si="110"/>
        <v>0</v>
      </c>
      <c r="M1335" t="s">
        <v>537</v>
      </c>
    </row>
    <row r="1336" spans="2:13" x14ac:dyDescent="0.2">
      <c r="B1336" s="55"/>
      <c r="C1336" t="s">
        <v>283</v>
      </c>
      <c r="D1336" s="88">
        <v>1.2700000000000001E-3</v>
      </c>
      <c r="E1336" t="s">
        <v>387</v>
      </c>
      <c r="F1336">
        <v>1.2700000000000001E-3</v>
      </c>
      <c r="G1336">
        <v>1.2700000000000001E-3</v>
      </c>
      <c r="H1336">
        <v>1.2700000000000001E-3</v>
      </c>
      <c r="I1336">
        <f>$A$7</f>
        <v>10</v>
      </c>
      <c r="J1336">
        <v>-1</v>
      </c>
      <c r="K1336" t="s">
        <v>471</v>
      </c>
      <c r="L1336" s="17">
        <f t="shared" si="110"/>
        <v>-681897.33205608418</v>
      </c>
      <c r="M1336" t="s">
        <v>537</v>
      </c>
    </row>
    <row r="1337" spans="2:13" x14ac:dyDescent="0.2">
      <c r="B1337" s="55"/>
      <c r="C1337" t="s">
        <v>284</v>
      </c>
      <c r="D1337" s="88">
        <v>1.2999999999999999E-4</v>
      </c>
      <c r="E1337" t="s">
        <v>388</v>
      </c>
      <c r="F1337">
        <v>1.2999999999999999E-4</v>
      </c>
      <c r="G1337">
        <v>1.2999999999999999E-4</v>
      </c>
      <c r="H1337">
        <v>1.2999999999999999E-4</v>
      </c>
      <c r="I1337">
        <f>$A$7</f>
        <v>10</v>
      </c>
      <c r="J1337">
        <v>-1</v>
      </c>
      <c r="K1337" t="s">
        <v>472</v>
      </c>
      <c r="L1337" s="17">
        <f t="shared" si="110"/>
        <v>-69800.514304953496</v>
      </c>
      <c r="M1337" t="s">
        <v>537</v>
      </c>
    </row>
    <row r="1338" spans="2:13" x14ac:dyDescent="0.2">
      <c r="B1338" s="55"/>
      <c r="C1338" t="s">
        <v>285</v>
      </c>
      <c r="D1338" s="88">
        <v>1.2700000000000001E-3</v>
      </c>
      <c r="E1338" t="s">
        <v>389</v>
      </c>
      <c r="F1338">
        <v>1.2700000000000001E-3</v>
      </c>
      <c r="G1338">
        <v>1.2700000000000001E-3</v>
      </c>
      <c r="H1338">
        <v>1.2700000000000001E-3</v>
      </c>
      <c r="I1338">
        <f>$A$7</f>
        <v>10</v>
      </c>
      <c r="J1338">
        <v>-1</v>
      </c>
      <c r="K1338" t="s">
        <v>473</v>
      </c>
      <c r="L1338" s="17">
        <f t="shared" si="110"/>
        <v>-681897.33205608418</v>
      </c>
      <c r="M1338" t="s">
        <v>537</v>
      </c>
    </row>
    <row r="1339" spans="2:13" x14ac:dyDescent="0.2">
      <c r="B1339" s="55"/>
      <c r="C1339" t="s">
        <v>286</v>
      </c>
      <c r="D1339" s="88">
        <v>1.268E-2</v>
      </c>
      <c r="E1339" t="s">
        <v>390</v>
      </c>
      <c r="F1339">
        <v>1.268E-2</v>
      </c>
      <c r="G1339">
        <v>1.268E-2</v>
      </c>
      <c r="H1339">
        <v>1.268E-2</v>
      </c>
      <c r="I1339">
        <f>$A$6</f>
        <v>100</v>
      </c>
      <c r="J1339">
        <v>-1</v>
      </c>
      <c r="K1339" t="s">
        <v>474</v>
      </c>
      <c r="L1339" s="17">
        <f t="shared" si="110"/>
        <v>-68082347.798985407</v>
      </c>
      <c r="M1339" t="s">
        <v>537</v>
      </c>
    </row>
    <row r="1340" spans="2:13" x14ac:dyDescent="0.2">
      <c r="B1340" s="55"/>
      <c r="C1340" t="s">
        <v>287</v>
      </c>
      <c r="D1340" s="88">
        <v>1.2700000000000001E-3</v>
      </c>
      <c r="E1340" t="s">
        <v>391</v>
      </c>
      <c r="F1340">
        <v>1.2700000000000001E-3</v>
      </c>
      <c r="G1340">
        <v>1.2700000000000001E-3</v>
      </c>
      <c r="H1340">
        <v>1.2700000000000001E-3</v>
      </c>
      <c r="I1340">
        <f>$A$6</f>
        <v>100</v>
      </c>
      <c r="J1340">
        <v>-1</v>
      </c>
      <c r="K1340" t="s">
        <v>475</v>
      </c>
      <c r="L1340" s="17">
        <f t="shared" si="110"/>
        <v>-6818973.3205608409</v>
      </c>
      <c r="M1340" t="s">
        <v>537</v>
      </c>
    </row>
    <row r="1341" spans="2:13" x14ac:dyDescent="0.2">
      <c r="B1341" s="55"/>
      <c r="C1341" t="s">
        <v>288</v>
      </c>
      <c r="D1341" s="88">
        <v>1.2700000000000001E-3</v>
      </c>
      <c r="E1341" t="s">
        <v>392</v>
      </c>
      <c r="F1341">
        <v>1.2700000000000001E-3</v>
      </c>
      <c r="G1341">
        <v>1.2700000000000001E-3</v>
      </c>
      <c r="H1341">
        <v>1.2700000000000001E-3</v>
      </c>
      <c r="I1341">
        <f>$A$6</f>
        <v>100</v>
      </c>
      <c r="J1341">
        <v>-1</v>
      </c>
      <c r="K1341" t="s">
        <v>476</v>
      </c>
      <c r="L1341" s="17">
        <f t="shared" si="110"/>
        <v>-6818973.3205608409</v>
      </c>
      <c r="M1341" t="s">
        <v>537</v>
      </c>
    </row>
    <row r="1342" spans="2:13" x14ac:dyDescent="0.2">
      <c r="B1342" s="55"/>
      <c r="C1342" t="s">
        <v>333</v>
      </c>
      <c r="D1342" s="88">
        <v>1.2700000000000001E-3</v>
      </c>
      <c r="E1342" t="s">
        <v>340</v>
      </c>
      <c r="F1342">
        <v>1.2700000000000001E-3</v>
      </c>
      <c r="G1342">
        <v>1.2999999999999999E-4</v>
      </c>
      <c r="H1342">
        <v>1.2700000000000001E-3</v>
      </c>
      <c r="I1342">
        <f>$A$7</f>
        <v>10</v>
      </c>
      <c r="J1342">
        <v>-1</v>
      </c>
      <c r="K1342" t="s">
        <v>424</v>
      </c>
      <c r="L1342" s="17">
        <f t="shared" si="110"/>
        <v>-535071.99511718191</v>
      </c>
      <c r="M1342" t="s">
        <v>537</v>
      </c>
    </row>
    <row r="1343" spans="2:13" x14ac:dyDescent="0.2">
      <c r="B1343" s="55"/>
      <c r="C1343" t="s">
        <v>334</v>
      </c>
      <c r="D1343" s="88">
        <v>1.268E-2</v>
      </c>
      <c r="E1343" t="s">
        <v>393</v>
      </c>
      <c r="F1343">
        <v>1.268E-2</v>
      </c>
      <c r="G1343">
        <v>1.268E-2</v>
      </c>
      <c r="H1343">
        <v>1.268E-2</v>
      </c>
      <c r="I1343">
        <v>0</v>
      </c>
      <c r="J1343">
        <v>0</v>
      </c>
      <c r="K1343" t="s">
        <v>477</v>
      </c>
      <c r="L1343" s="17">
        <f t="shared" si="110"/>
        <v>0</v>
      </c>
      <c r="M1343" t="s">
        <v>537</v>
      </c>
    </row>
    <row r="1344" spans="2:13" x14ac:dyDescent="0.2">
      <c r="B1344" s="55"/>
      <c r="C1344" t="s">
        <v>335</v>
      </c>
      <c r="D1344" s="88">
        <v>1.2700000000000001E-3</v>
      </c>
      <c r="E1344" t="s">
        <v>394</v>
      </c>
      <c r="F1344">
        <v>1.268E-2</v>
      </c>
      <c r="G1344">
        <v>1.2700000000000001E-3</v>
      </c>
      <c r="H1344">
        <v>1.2700000000000001E-3</v>
      </c>
      <c r="I1344">
        <f>$A$7</f>
        <v>10</v>
      </c>
      <c r="J1344">
        <v>-1</v>
      </c>
      <c r="K1344" t="s">
        <v>478</v>
      </c>
      <c r="L1344" s="17">
        <f t="shared" si="110"/>
        <v>-5157707.7336351182</v>
      </c>
      <c r="M1344" t="s">
        <v>537</v>
      </c>
    </row>
    <row r="1345" spans="2:13" x14ac:dyDescent="0.2">
      <c r="B1345" s="55"/>
      <c r="C1345" t="s">
        <v>289</v>
      </c>
      <c r="D1345" s="88">
        <v>1.2700000000000001E-3</v>
      </c>
      <c r="E1345" t="s">
        <v>395</v>
      </c>
      <c r="F1345">
        <v>1.2700000000000001E-3</v>
      </c>
      <c r="G1345">
        <v>1.2700000000000001E-3</v>
      </c>
      <c r="H1345">
        <v>1.2700000000000001E-3</v>
      </c>
      <c r="I1345">
        <f>$A$7</f>
        <v>10</v>
      </c>
      <c r="J1345">
        <v>-1</v>
      </c>
      <c r="K1345" t="s">
        <v>479</v>
      </c>
      <c r="L1345" s="17">
        <f t="shared" si="110"/>
        <v>-681897.33205608418</v>
      </c>
      <c r="M1345" t="s">
        <v>537</v>
      </c>
    </row>
    <row r="1346" spans="2:13" x14ac:dyDescent="0.2">
      <c r="B1346" s="55"/>
      <c r="C1346" t="s">
        <v>290</v>
      </c>
      <c r="D1346" s="88">
        <v>1.2999999999999999E-4</v>
      </c>
      <c r="E1346" t="s">
        <v>396</v>
      </c>
      <c r="F1346">
        <v>1.2999999999999999E-4</v>
      </c>
      <c r="G1346">
        <v>1.2999999999999999E-4</v>
      </c>
      <c r="H1346">
        <v>1.2999999999999999E-4</v>
      </c>
      <c r="I1346">
        <f>$A$7</f>
        <v>10</v>
      </c>
      <c r="J1346">
        <v>-1</v>
      </c>
      <c r="K1346" t="s">
        <v>480</v>
      </c>
      <c r="L1346" s="17">
        <f t="shared" si="110"/>
        <v>-69800.514304953496</v>
      </c>
      <c r="M1346" t="s">
        <v>537</v>
      </c>
    </row>
    <row r="1347" spans="2:13" x14ac:dyDescent="0.2">
      <c r="B1347" s="55"/>
      <c r="C1347" t="s">
        <v>291</v>
      </c>
      <c r="D1347" s="88">
        <v>1.2999999999999999E-4</v>
      </c>
      <c r="E1347" t="s">
        <v>397</v>
      </c>
      <c r="F1347">
        <v>1.2999999999999999E-4</v>
      </c>
      <c r="G1347">
        <v>1.2999999999999999E-4</v>
      </c>
      <c r="H1347">
        <v>1.2999999999999999E-4</v>
      </c>
      <c r="I1347">
        <f>$A$8</f>
        <v>1</v>
      </c>
      <c r="J1347">
        <v>-1</v>
      </c>
      <c r="K1347" t="s">
        <v>481</v>
      </c>
      <c r="L1347" s="17">
        <f t="shared" si="110"/>
        <v>-6980.0514304953495</v>
      </c>
      <c r="M1347" t="s">
        <v>537</v>
      </c>
    </row>
    <row r="1348" spans="2:13" x14ac:dyDescent="0.2">
      <c r="B1348" s="55"/>
      <c r="C1348" t="s">
        <v>292</v>
      </c>
      <c r="D1348" s="88">
        <v>1.268E-2</v>
      </c>
      <c r="E1348" t="s">
        <v>360</v>
      </c>
      <c r="F1348">
        <v>1.268E-2</v>
      </c>
      <c r="G1348">
        <v>1.268E-2</v>
      </c>
      <c r="H1348">
        <v>1.268E-2</v>
      </c>
      <c r="I1348">
        <f>$A$6</f>
        <v>100</v>
      </c>
      <c r="J1348">
        <v>-1</v>
      </c>
      <c r="K1348" t="s">
        <v>444</v>
      </c>
      <c r="L1348" s="17">
        <f t="shared" si="110"/>
        <v>-68082347.798985407</v>
      </c>
      <c r="M1348" t="s">
        <v>537</v>
      </c>
    </row>
    <row r="1349" spans="2:13" x14ac:dyDescent="0.2">
      <c r="B1349" s="55"/>
      <c r="C1349" t="s">
        <v>293</v>
      </c>
      <c r="D1349" s="88">
        <v>1.26824</v>
      </c>
      <c r="E1349" t="s">
        <v>398</v>
      </c>
      <c r="F1349">
        <v>1.26824</v>
      </c>
      <c r="G1349">
        <v>1.26824</v>
      </c>
      <c r="H1349">
        <v>1.26824</v>
      </c>
      <c r="I1349">
        <f>$A$7</f>
        <v>10</v>
      </c>
      <c r="J1349">
        <v>-1</v>
      </c>
      <c r="K1349" t="s">
        <v>482</v>
      </c>
      <c r="L1349" s="17">
        <f t="shared" si="110"/>
        <v>-680952340.47780168</v>
      </c>
      <c r="M1349" t="s">
        <v>537</v>
      </c>
    </row>
    <row r="1350" spans="2:13" x14ac:dyDescent="0.2">
      <c r="B1350" s="55"/>
      <c r="C1350" t="s">
        <v>294</v>
      </c>
      <c r="D1350" s="88">
        <v>1.2999999999999999E-4</v>
      </c>
      <c r="E1350" t="s">
        <v>399</v>
      </c>
      <c r="F1350">
        <v>1.2999999999999999E-4</v>
      </c>
      <c r="G1350">
        <v>1.2999999999999999E-4</v>
      </c>
      <c r="H1350">
        <v>1.2999999999999999E-4</v>
      </c>
      <c r="I1350">
        <f>$A$8</f>
        <v>1</v>
      </c>
      <c r="J1350">
        <v>-1</v>
      </c>
      <c r="K1350" t="s">
        <v>483</v>
      </c>
      <c r="L1350" s="17">
        <f t="shared" si="110"/>
        <v>-6980.0514304953495</v>
      </c>
      <c r="M1350" t="s">
        <v>537</v>
      </c>
    </row>
    <row r="1351" spans="2:13" x14ac:dyDescent="0.2">
      <c r="B1351" s="55"/>
      <c r="C1351" t="s">
        <v>336</v>
      </c>
      <c r="D1351" s="88">
        <v>1.2700000000000001E-3</v>
      </c>
      <c r="E1351" t="s">
        <v>400</v>
      </c>
      <c r="F1351">
        <v>1.2700000000000001E-3</v>
      </c>
      <c r="G1351">
        <v>1.2700000000000001E-3</v>
      </c>
      <c r="H1351">
        <v>1.2700000000000001E-3</v>
      </c>
      <c r="I1351">
        <f>$A$6</f>
        <v>100</v>
      </c>
      <c r="J1351">
        <v>-1</v>
      </c>
      <c r="K1351" t="s">
        <v>484</v>
      </c>
      <c r="L1351" s="17">
        <f t="shared" si="110"/>
        <v>-6818973.3205608409</v>
      </c>
      <c r="M1351" t="s">
        <v>537</v>
      </c>
    </row>
    <row r="1352" spans="2:13" x14ac:dyDescent="0.2">
      <c r="B1352" s="55"/>
      <c r="C1352" t="s">
        <v>295</v>
      </c>
      <c r="D1352" s="88">
        <v>1.2999999999999999E-4</v>
      </c>
      <c r="E1352" t="s">
        <v>401</v>
      </c>
      <c r="F1352">
        <v>1.2999999999999999E-4</v>
      </c>
      <c r="G1352">
        <v>1.2999999999999999E-4</v>
      </c>
      <c r="H1352">
        <v>1.2999999999999999E-4</v>
      </c>
      <c r="I1352">
        <f>$A$6</f>
        <v>100</v>
      </c>
      <c r="J1352">
        <v>-1</v>
      </c>
      <c r="K1352" t="s">
        <v>485</v>
      </c>
      <c r="L1352" s="17">
        <f t="shared" si="110"/>
        <v>-698005.14304953499</v>
      </c>
      <c r="M1352" t="s">
        <v>537</v>
      </c>
    </row>
    <row r="1353" spans="2:13" x14ac:dyDescent="0.2">
      <c r="B1353" s="55"/>
      <c r="C1353" t="s">
        <v>296</v>
      </c>
      <c r="D1353" s="88">
        <v>1.26824</v>
      </c>
      <c r="E1353" t="s">
        <v>402</v>
      </c>
      <c r="F1353">
        <v>1.26824</v>
      </c>
      <c r="G1353">
        <v>1.26824</v>
      </c>
      <c r="H1353">
        <v>1.26824</v>
      </c>
      <c r="I1353">
        <f>$A$7</f>
        <v>10</v>
      </c>
      <c r="J1353">
        <v>-1</v>
      </c>
      <c r="K1353" t="s">
        <v>486</v>
      </c>
      <c r="L1353" s="17">
        <f t="shared" si="110"/>
        <v>-680952340.47780168</v>
      </c>
      <c r="M1353" t="s">
        <v>537</v>
      </c>
    </row>
    <row r="1354" spans="2:13" x14ac:dyDescent="0.2">
      <c r="B1354" s="55"/>
      <c r="C1354" t="s">
        <v>297</v>
      </c>
      <c r="D1354" s="88">
        <v>1.2999999999999999E-4</v>
      </c>
      <c r="E1354" t="s">
        <v>403</v>
      </c>
      <c r="F1354">
        <v>1.2999999999999999E-4</v>
      </c>
      <c r="G1354">
        <v>1.2999999999999999E-4</v>
      </c>
      <c r="H1354">
        <v>1.2999999999999999E-4</v>
      </c>
      <c r="I1354">
        <f>$A$7</f>
        <v>10</v>
      </c>
      <c r="J1354">
        <v>-1</v>
      </c>
      <c r="K1354" t="s">
        <v>487</v>
      </c>
      <c r="L1354" s="17">
        <f t="shared" si="110"/>
        <v>-69800.514304953496</v>
      </c>
      <c r="M1354" t="s">
        <v>537</v>
      </c>
    </row>
    <row r="1355" spans="2:13" x14ac:dyDescent="0.2">
      <c r="B1355" s="55"/>
      <c r="C1355" t="s">
        <v>298</v>
      </c>
      <c r="D1355" s="88">
        <v>1.2700000000000001E-3</v>
      </c>
      <c r="E1355" t="s">
        <v>394</v>
      </c>
      <c r="F1355">
        <v>1.2999999999999999E-4</v>
      </c>
      <c r="G1355">
        <v>1.2999999999999999E-4</v>
      </c>
      <c r="H1355">
        <v>1.2999999999999999E-4</v>
      </c>
      <c r="I1355">
        <f>$A$7</f>
        <v>10</v>
      </c>
      <c r="J1355">
        <v>-1</v>
      </c>
      <c r="K1355" t="s">
        <v>478</v>
      </c>
      <c r="L1355" s="17">
        <f t="shared" si="110"/>
        <v>-87421.766226836349</v>
      </c>
      <c r="M1355" t="s">
        <v>537</v>
      </c>
    </row>
    <row r="1356" spans="2:13" x14ac:dyDescent="0.2">
      <c r="B1356" s="55"/>
      <c r="C1356" t="s">
        <v>299</v>
      </c>
      <c r="D1356" s="88">
        <v>1.2999999999999999E-4</v>
      </c>
      <c r="E1356" t="s">
        <v>404</v>
      </c>
      <c r="F1356">
        <v>1.2999999999999999E-4</v>
      </c>
      <c r="G1356">
        <v>1.2999999999999999E-4</v>
      </c>
      <c r="H1356">
        <v>1.2999999999999999E-4</v>
      </c>
      <c r="I1356">
        <f>$A$7</f>
        <v>10</v>
      </c>
      <c r="J1356">
        <v>-1</v>
      </c>
      <c r="K1356" t="s">
        <v>488</v>
      </c>
      <c r="L1356" s="17">
        <f t="shared" si="110"/>
        <v>-69800.514304953496</v>
      </c>
      <c r="M1356" t="s">
        <v>537</v>
      </c>
    </row>
    <row r="1357" spans="2:13" x14ac:dyDescent="0.2">
      <c r="B1357" s="55"/>
      <c r="C1357" t="s">
        <v>300</v>
      </c>
      <c r="D1357" s="88">
        <v>0.12681999999999999</v>
      </c>
      <c r="E1357" t="s">
        <v>405</v>
      </c>
      <c r="F1357">
        <v>0.12681999999999999</v>
      </c>
      <c r="G1357">
        <v>0.12681999999999999</v>
      </c>
      <c r="H1357">
        <v>0.12681999999999999</v>
      </c>
      <c r="I1357">
        <f>$A$7</f>
        <v>10</v>
      </c>
      <c r="J1357">
        <v>-1</v>
      </c>
      <c r="K1357" t="s">
        <v>489</v>
      </c>
      <c r="L1357" s="17">
        <f t="shared" si="110"/>
        <v>-68093086.339647695</v>
      </c>
      <c r="M1357" t="s">
        <v>537</v>
      </c>
    </row>
    <row r="1358" spans="2:13" x14ac:dyDescent="0.2">
      <c r="B1358" s="55"/>
      <c r="C1358" t="s">
        <v>301</v>
      </c>
      <c r="D1358" s="88">
        <v>1.2700000000000001E-3</v>
      </c>
      <c r="E1358" t="s">
        <v>406</v>
      </c>
      <c r="F1358">
        <v>1.2700000000000001E-3</v>
      </c>
      <c r="G1358">
        <v>1.2700000000000001E-3</v>
      </c>
      <c r="H1358">
        <v>1.2700000000000001E-3</v>
      </c>
      <c r="I1358">
        <f>$A$6</f>
        <v>100</v>
      </c>
      <c r="J1358">
        <v>-1</v>
      </c>
      <c r="K1358" t="s">
        <v>490</v>
      </c>
      <c r="L1358" s="17">
        <f t="shared" si="110"/>
        <v>-6818973.3205608409</v>
      </c>
      <c r="M1358" t="s">
        <v>537</v>
      </c>
    </row>
    <row r="1359" spans="2:13" x14ac:dyDescent="0.2">
      <c r="B1359" s="55"/>
      <c r="C1359" t="s">
        <v>302</v>
      </c>
      <c r="D1359" s="88">
        <v>1.2700000000000001E-3</v>
      </c>
      <c r="E1359" t="s">
        <v>407</v>
      </c>
      <c r="F1359">
        <v>1.2700000000000001E-3</v>
      </c>
      <c r="G1359">
        <v>1.2700000000000001E-3</v>
      </c>
      <c r="H1359">
        <v>1.2700000000000001E-3</v>
      </c>
      <c r="I1359">
        <f>$A$6</f>
        <v>100</v>
      </c>
      <c r="J1359">
        <v>-1</v>
      </c>
      <c r="K1359" t="s">
        <v>491</v>
      </c>
      <c r="L1359" s="17">
        <f t="shared" si="110"/>
        <v>-6818973.3205608409</v>
      </c>
      <c r="M1359" t="s">
        <v>537</v>
      </c>
    </row>
    <row r="1360" spans="2:13" x14ac:dyDescent="0.2">
      <c r="B1360" s="55"/>
      <c r="C1360" t="s">
        <v>303</v>
      </c>
      <c r="D1360" s="88">
        <v>1.2700000000000001E-3</v>
      </c>
      <c r="E1360" t="s">
        <v>408</v>
      </c>
      <c r="F1360">
        <v>1.2700000000000001E-3</v>
      </c>
      <c r="G1360">
        <v>1.2700000000000001E-3</v>
      </c>
      <c r="H1360">
        <v>1.2700000000000001E-3</v>
      </c>
      <c r="I1360">
        <f>$A$7</f>
        <v>10</v>
      </c>
      <c r="J1360">
        <v>-1</v>
      </c>
      <c r="K1360" t="s">
        <v>492</v>
      </c>
      <c r="L1360" s="17">
        <f t="shared" ref="L1360:L1369" si="111">((SUM(B$1264:B$1266)*F1360)+(SUM(B$1267)*G1360)+(SUM(B$1268:B$1271)*H1360)+(B$1272*D1360))*I1360*J1360</f>
        <v>-681897.33205608418</v>
      </c>
      <c r="M1360" t="s">
        <v>537</v>
      </c>
    </row>
    <row r="1361" spans="1:16" x14ac:dyDescent="0.2">
      <c r="B1361" s="55"/>
      <c r="C1361" t="s">
        <v>304</v>
      </c>
      <c r="D1361" s="88">
        <v>1.26824</v>
      </c>
      <c r="E1361" t="s">
        <v>409</v>
      </c>
      <c r="F1361">
        <v>1.26824</v>
      </c>
      <c r="G1361">
        <v>1.26824</v>
      </c>
      <c r="H1361">
        <v>1.26824</v>
      </c>
      <c r="I1361">
        <f>$A$6</f>
        <v>100</v>
      </c>
      <c r="J1361">
        <v>-1</v>
      </c>
      <c r="K1361" t="s">
        <v>493</v>
      </c>
      <c r="L1361" s="17">
        <f t="shared" si="111"/>
        <v>-6809523404.778017</v>
      </c>
      <c r="M1361" t="s">
        <v>537</v>
      </c>
    </row>
    <row r="1362" spans="1:16" x14ac:dyDescent="0.2">
      <c r="B1362" s="55"/>
      <c r="C1362" t="s">
        <v>305</v>
      </c>
      <c r="D1362" s="88">
        <v>1.2700000000000001E-3</v>
      </c>
      <c r="E1362" t="s">
        <v>410</v>
      </c>
      <c r="F1362">
        <v>1.2700000000000001E-3</v>
      </c>
      <c r="G1362">
        <v>1.2700000000000001E-3</v>
      </c>
      <c r="H1362">
        <v>1.2700000000000001E-3</v>
      </c>
      <c r="I1362">
        <f>$A$7</f>
        <v>10</v>
      </c>
      <c r="J1362">
        <v>-1</v>
      </c>
      <c r="K1362" t="s">
        <v>494</v>
      </c>
      <c r="L1362" s="17">
        <f t="shared" si="111"/>
        <v>-681897.33205608418</v>
      </c>
      <c r="M1362" t="s">
        <v>537</v>
      </c>
    </row>
    <row r="1363" spans="1:16" x14ac:dyDescent="0.2">
      <c r="B1363" s="55"/>
      <c r="C1363" t="s">
        <v>306</v>
      </c>
      <c r="D1363" s="88">
        <v>1.2700000000000001E-3</v>
      </c>
      <c r="E1363" t="s">
        <v>411</v>
      </c>
      <c r="F1363">
        <v>1.2700000000000001E-3</v>
      </c>
      <c r="G1363">
        <v>1.2700000000000001E-3</v>
      </c>
      <c r="H1363">
        <v>1.2700000000000001E-3</v>
      </c>
      <c r="I1363">
        <f>$A$8</f>
        <v>1</v>
      </c>
      <c r="J1363">
        <v>-1</v>
      </c>
      <c r="K1363" t="s">
        <v>495</v>
      </c>
      <c r="L1363" s="17">
        <f t="shared" si="111"/>
        <v>-68189.733205608412</v>
      </c>
      <c r="M1363" t="s">
        <v>537</v>
      </c>
    </row>
    <row r="1364" spans="1:16" x14ac:dyDescent="0.2">
      <c r="B1364" s="55"/>
      <c r="C1364" t="s">
        <v>307</v>
      </c>
      <c r="D1364" s="88">
        <v>1.2700000000000001E-3</v>
      </c>
      <c r="E1364" t="s">
        <v>411</v>
      </c>
      <c r="F1364">
        <v>1.2700000000000001E-3</v>
      </c>
      <c r="G1364">
        <v>1.2700000000000001E-3</v>
      </c>
      <c r="H1364">
        <v>1.2700000000000001E-3</v>
      </c>
      <c r="I1364">
        <f>$A$8</f>
        <v>1</v>
      </c>
      <c r="J1364">
        <v>-1</v>
      </c>
      <c r="K1364" t="s">
        <v>495</v>
      </c>
      <c r="L1364" s="17">
        <f t="shared" si="111"/>
        <v>-68189.733205608412</v>
      </c>
      <c r="M1364" t="s">
        <v>537</v>
      </c>
    </row>
    <row r="1365" spans="1:16" x14ac:dyDescent="0.2">
      <c r="B1365" s="55"/>
      <c r="C1365" t="s">
        <v>337</v>
      </c>
      <c r="D1365" s="88">
        <v>0.12681999999999999</v>
      </c>
      <c r="E1365" t="s">
        <v>412</v>
      </c>
      <c r="F1365">
        <v>0.12681999999999999</v>
      </c>
      <c r="G1365">
        <v>0.12681999999999999</v>
      </c>
      <c r="H1365">
        <v>0.12681999999999999</v>
      </c>
      <c r="I1365">
        <v>0</v>
      </c>
      <c r="J1365">
        <v>0</v>
      </c>
      <c r="K1365" t="s">
        <v>496</v>
      </c>
      <c r="L1365" s="17">
        <f t="shared" si="111"/>
        <v>0</v>
      </c>
      <c r="M1365" t="s">
        <v>537</v>
      </c>
    </row>
    <row r="1366" spans="1:16" x14ac:dyDescent="0.2">
      <c r="B1366" s="55"/>
      <c r="C1366" t="s">
        <v>308</v>
      </c>
      <c r="D1366" s="88">
        <v>1.2700000000000001E-3</v>
      </c>
      <c r="E1366" t="s">
        <v>413</v>
      </c>
      <c r="F1366">
        <v>1.2700000000000001E-3</v>
      </c>
      <c r="G1366">
        <v>1.2700000000000001E-3</v>
      </c>
      <c r="H1366">
        <v>1.2700000000000001E-3</v>
      </c>
      <c r="I1366">
        <f>$A$7</f>
        <v>10</v>
      </c>
      <c r="J1366">
        <v>-1</v>
      </c>
      <c r="K1366" t="s">
        <v>497</v>
      </c>
      <c r="L1366" s="17">
        <f t="shared" si="111"/>
        <v>-681897.33205608418</v>
      </c>
      <c r="M1366" t="s">
        <v>537</v>
      </c>
    </row>
    <row r="1367" spans="1:16" x14ac:dyDescent="0.2">
      <c r="B1367" s="55"/>
      <c r="C1367" t="s">
        <v>309</v>
      </c>
      <c r="D1367" s="88">
        <v>1.2700000000000001E-3</v>
      </c>
      <c r="E1367" t="s">
        <v>413</v>
      </c>
      <c r="F1367">
        <v>1.2700000000000001E-3</v>
      </c>
      <c r="G1367">
        <v>1.2700000000000001E-3</v>
      </c>
      <c r="H1367">
        <v>1.2700000000000001E-3</v>
      </c>
      <c r="I1367">
        <f>$A$7</f>
        <v>10</v>
      </c>
      <c r="J1367">
        <v>-1</v>
      </c>
      <c r="K1367" t="s">
        <v>497</v>
      </c>
      <c r="L1367" s="17">
        <f t="shared" si="111"/>
        <v>-681897.33205608418</v>
      </c>
      <c r="M1367" t="s">
        <v>537</v>
      </c>
    </row>
    <row r="1368" spans="1:16" x14ac:dyDescent="0.2">
      <c r="B1368" s="55"/>
      <c r="C1368" t="s">
        <v>310</v>
      </c>
      <c r="D1368" s="88">
        <v>1.2700000000000001E-3</v>
      </c>
      <c r="E1368" t="s">
        <v>413</v>
      </c>
      <c r="F1368">
        <v>1.2700000000000001E-3</v>
      </c>
      <c r="G1368">
        <v>1.2700000000000001E-3</v>
      </c>
      <c r="H1368">
        <v>1.2700000000000001E-3</v>
      </c>
      <c r="I1368">
        <v>0</v>
      </c>
      <c r="J1368">
        <v>0</v>
      </c>
      <c r="K1368" t="s">
        <v>497</v>
      </c>
      <c r="L1368" s="17">
        <f t="shared" si="111"/>
        <v>0</v>
      </c>
      <c r="M1368" t="s">
        <v>537</v>
      </c>
    </row>
    <row r="1369" spans="1:16" x14ac:dyDescent="0.2">
      <c r="B1369" s="55"/>
      <c r="C1369" t="s">
        <v>311</v>
      </c>
      <c r="D1369" s="88">
        <v>1.2700000000000001E-3</v>
      </c>
      <c r="E1369" t="s">
        <v>414</v>
      </c>
      <c r="F1369">
        <v>1.2700000000000001E-3</v>
      </c>
      <c r="G1369">
        <v>1.2700000000000001E-3</v>
      </c>
      <c r="H1369">
        <v>1.2700000000000001E-3</v>
      </c>
      <c r="I1369">
        <f>$A$7</f>
        <v>10</v>
      </c>
      <c r="J1369">
        <v>-1</v>
      </c>
      <c r="K1369" t="s">
        <v>498</v>
      </c>
      <c r="L1369" s="17">
        <f t="shared" si="111"/>
        <v>-681897.33205608418</v>
      </c>
      <c r="M1369" t="s">
        <v>537</v>
      </c>
    </row>
    <row r="1370" spans="1:16" x14ac:dyDescent="0.2">
      <c r="B1370" s="55"/>
      <c r="C1370" s="55"/>
      <c r="D1370" s="55"/>
      <c r="E1370" s="55"/>
    </row>
    <row r="1371" spans="1:16" x14ac:dyDescent="0.2">
      <c r="B1371" s="55"/>
      <c r="C1371" s="55"/>
      <c r="D1371" s="55"/>
      <c r="E1371" s="55"/>
    </row>
    <row r="1372" spans="1:16" ht="22" customHeight="1" x14ac:dyDescent="0.2">
      <c r="A1372" s="404" t="s">
        <v>53</v>
      </c>
      <c r="B1372" s="405"/>
      <c r="C1372" s="405"/>
      <c r="D1372" s="405"/>
      <c r="E1372" s="405"/>
      <c r="F1372" s="405"/>
      <c r="G1372" s="405"/>
      <c r="H1372" s="405"/>
      <c r="I1372" s="405"/>
      <c r="J1372" s="405"/>
      <c r="K1372" s="405"/>
      <c r="L1372" s="405"/>
      <c r="M1372" s="405"/>
      <c r="N1372" s="405"/>
      <c r="O1372" s="405"/>
      <c r="P1372" s="405"/>
    </row>
    <row r="1373" spans="1:16" x14ac:dyDescent="0.2">
      <c r="A1373" s="404"/>
      <c r="B1373" s="405"/>
      <c r="C1373" s="405"/>
      <c r="D1373" s="405"/>
      <c r="E1373" s="405"/>
      <c r="F1373" s="405"/>
      <c r="G1373" s="405"/>
      <c r="H1373" s="405"/>
      <c r="I1373" s="405"/>
      <c r="J1373" s="405"/>
      <c r="K1373" s="405"/>
      <c r="L1373" s="405"/>
      <c r="M1373" s="405"/>
      <c r="N1373" s="405"/>
      <c r="O1373" s="405"/>
      <c r="P1373" s="405"/>
    </row>
    <row r="1374" spans="1:16" ht="16" customHeight="1" x14ac:dyDescent="0.2">
      <c r="A1374" s="358" t="s">
        <v>8</v>
      </c>
      <c r="B1374" s="363" t="s">
        <v>1022</v>
      </c>
      <c r="C1374" s="364" t="s">
        <v>503</v>
      </c>
      <c r="D1374" s="364"/>
      <c r="E1374" s="364"/>
      <c r="F1374" s="79" t="s">
        <v>512</v>
      </c>
      <c r="G1374" s="78" t="s">
        <v>507</v>
      </c>
      <c r="H1374" s="328" t="s">
        <v>421</v>
      </c>
      <c r="I1374" s="329"/>
      <c r="J1374" s="330"/>
      <c r="K1374" s="334" t="s">
        <v>28</v>
      </c>
      <c r="L1374" s="335"/>
      <c r="M1374" s="338" t="s">
        <v>420</v>
      </c>
      <c r="N1374" s="339"/>
    </row>
    <row r="1375" spans="1:16" x14ac:dyDescent="0.2">
      <c r="A1375" s="358"/>
      <c r="B1375" s="363"/>
      <c r="C1375" s="61" t="s">
        <v>502</v>
      </c>
      <c r="D1375" s="61"/>
      <c r="E1375" s="61"/>
      <c r="F1375" s="87" t="s">
        <v>509</v>
      </c>
      <c r="G1375" s="89" t="s">
        <v>506</v>
      </c>
      <c r="H1375" s="331"/>
      <c r="I1375" s="332"/>
      <c r="J1375" s="333"/>
      <c r="K1375" s="336"/>
      <c r="L1375" s="337"/>
      <c r="M1375" s="340"/>
      <c r="N1375" s="341"/>
    </row>
    <row r="1376" spans="1:16" x14ac:dyDescent="0.2">
      <c r="A1376" s="358"/>
      <c r="B1376" s="363"/>
      <c r="C1376" s="6" t="s">
        <v>317</v>
      </c>
      <c r="D1376" s="58" t="s">
        <v>319</v>
      </c>
      <c r="E1376" s="58" t="s">
        <v>5</v>
      </c>
      <c r="F1376" s="58" t="s">
        <v>319</v>
      </c>
      <c r="G1376" s="58" t="s">
        <v>319</v>
      </c>
      <c r="H1376" s="64" t="s">
        <v>0</v>
      </c>
      <c r="I1376" s="64" t="s">
        <v>499</v>
      </c>
      <c r="J1376" s="64" t="s">
        <v>5</v>
      </c>
      <c r="K1376" s="64" t="s">
        <v>0</v>
      </c>
      <c r="L1376" s="58" t="s">
        <v>5</v>
      </c>
      <c r="M1376" s="64" t="s">
        <v>0</v>
      </c>
      <c r="N1376" s="58" t="s">
        <v>5</v>
      </c>
    </row>
    <row r="1377" spans="1:14" ht="16" x14ac:dyDescent="0.2">
      <c r="A1377" s="81" t="s">
        <v>100</v>
      </c>
      <c r="B1377" s="82">
        <v>468819.87531502347</v>
      </c>
      <c r="C1377" t="s">
        <v>225</v>
      </c>
      <c r="D1377" s="88">
        <v>1.2999999999999999E-4</v>
      </c>
      <c r="E1377" t="s">
        <v>338</v>
      </c>
      <c r="F1377">
        <v>1.2999999999999999E-4</v>
      </c>
      <c r="G1377">
        <v>3.1E-4</v>
      </c>
      <c r="H1377">
        <f>PSI_OC!$A$6</f>
        <v>100</v>
      </c>
      <c r="I1377">
        <v>-1</v>
      </c>
      <c r="J1377" t="s">
        <v>422</v>
      </c>
      <c r="K1377" s="17">
        <f t="shared" ref="K1377:K1408" si="112">((SUM(B$1377,B$1380)*F1377)+(SUM(B$1378:B$1379,B$1384)*D1377)+(SUM(B$1381:B$1383,B$1385:B$1386)*G1377))*H1377*I1377</f>
        <v>-44822.313630370954</v>
      </c>
      <c r="L1377" t="s">
        <v>537</v>
      </c>
      <c r="M1377" s="69">
        <f>SUM(K1377:K1482)</f>
        <v>-1959551914.9049194</v>
      </c>
      <c r="N1377" t="s">
        <v>537</v>
      </c>
    </row>
    <row r="1378" spans="1:14" ht="16" x14ac:dyDescent="0.2">
      <c r="A1378" s="81" t="s">
        <v>97</v>
      </c>
      <c r="B1378" s="82">
        <v>4985.1483854559583</v>
      </c>
      <c r="C1378" t="s">
        <v>226</v>
      </c>
      <c r="D1378" s="88">
        <v>1.2999999999999999E-4</v>
      </c>
      <c r="E1378" t="s">
        <v>339</v>
      </c>
      <c r="F1378">
        <v>1.2999999999999999E-4</v>
      </c>
      <c r="G1378">
        <v>3.1E-4</v>
      </c>
      <c r="H1378">
        <f>PSI_OC!$A$7</f>
        <v>10</v>
      </c>
      <c r="I1378">
        <v>-1</v>
      </c>
      <c r="J1378" t="s">
        <v>423</v>
      </c>
      <c r="K1378" s="17">
        <f t="shared" si="112"/>
        <v>-4482.2313630370954</v>
      </c>
      <c r="L1378" t="s">
        <v>537</v>
      </c>
    </row>
    <row r="1379" spans="1:14" ht="16" x14ac:dyDescent="0.2">
      <c r="A1379" s="81" t="s">
        <v>98</v>
      </c>
      <c r="B1379" s="82">
        <v>36337.632586577209</v>
      </c>
      <c r="C1379" t="s">
        <v>227</v>
      </c>
      <c r="D1379" s="88">
        <v>1.2700000000000001E-3</v>
      </c>
      <c r="E1379" t="s">
        <v>340</v>
      </c>
      <c r="F1379">
        <v>1.2700000000000001E-3</v>
      </c>
      <c r="G1379">
        <v>3.0599999999999998E-3</v>
      </c>
      <c r="H1379">
        <f>PSI_OC!$A$7</f>
        <v>10</v>
      </c>
      <c r="I1379">
        <v>-1</v>
      </c>
      <c r="J1379" t="s">
        <v>424</v>
      </c>
      <c r="K1379" s="17">
        <f t="shared" si="112"/>
        <v>-44174.962294925033</v>
      </c>
      <c r="L1379" t="s">
        <v>537</v>
      </c>
    </row>
    <row r="1380" spans="1:14" ht="16" x14ac:dyDescent="0.2">
      <c r="A1380" s="51" t="s">
        <v>55</v>
      </c>
      <c r="B1380" s="82">
        <v>10100.157375547566</v>
      </c>
      <c r="C1380" t="s">
        <v>228</v>
      </c>
      <c r="D1380" s="88">
        <v>0.12681999999999999</v>
      </c>
      <c r="E1380" t="s">
        <v>341</v>
      </c>
      <c r="F1380">
        <v>0.12681999999999999</v>
      </c>
      <c r="G1380">
        <v>3.0599999999999998E-3</v>
      </c>
      <c r="H1380">
        <f>PSI_OC!$A$7</f>
        <v>10</v>
      </c>
      <c r="I1380">
        <v>-1</v>
      </c>
      <c r="J1380" t="s">
        <v>425</v>
      </c>
      <c r="K1380" s="17">
        <f t="shared" si="112"/>
        <v>-699168.07108771184</v>
      </c>
      <c r="L1380" t="s">
        <v>537</v>
      </c>
    </row>
    <row r="1381" spans="1:14" ht="16" x14ac:dyDescent="0.2">
      <c r="A1381" s="51" t="s">
        <v>49</v>
      </c>
      <c r="B1381" s="82">
        <v>3176.0705699578375</v>
      </c>
      <c r="C1381" t="s">
        <v>229</v>
      </c>
      <c r="D1381" s="88">
        <v>1.268E-2</v>
      </c>
      <c r="E1381" t="s">
        <v>342</v>
      </c>
      <c r="F1381">
        <v>1.268E-2</v>
      </c>
      <c r="G1381">
        <v>3.0599999999999998E-3</v>
      </c>
      <c r="H1381">
        <f>PSI_OC!$A$6</f>
        <v>100</v>
      </c>
      <c r="I1381">
        <v>-1</v>
      </c>
      <c r="J1381" t="s">
        <v>426</v>
      </c>
      <c r="K1381" s="17">
        <f t="shared" si="112"/>
        <v>-1037008.1949385534</v>
      </c>
      <c r="L1381" t="s">
        <v>537</v>
      </c>
    </row>
    <row r="1382" spans="1:14" ht="16" x14ac:dyDescent="0.2">
      <c r="A1382" s="51" t="s">
        <v>99</v>
      </c>
      <c r="B1382" s="82">
        <v>1197103.5270526598</v>
      </c>
      <c r="C1382" t="s">
        <v>230</v>
      </c>
      <c r="D1382" s="88">
        <v>0.12681999999999999</v>
      </c>
      <c r="E1382" t="s">
        <v>343</v>
      </c>
      <c r="F1382">
        <v>0.12681999999999999</v>
      </c>
      <c r="G1382">
        <v>3.0602</v>
      </c>
      <c r="H1382">
        <f>PSI_OC!$A$6</f>
        <v>100</v>
      </c>
      <c r="I1382">
        <v>-1</v>
      </c>
      <c r="J1382" t="s">
        <v>427</v>
      </c>
      <c r="K1382" s="17">
        <f t="shared" si="112"/>
        <v>-382134577.44743985</v>
      </c>
      <c r="L1382" t="s">
        <v>537</v>
      </c>
    </row>
    <row r="1383" spans="1:14" ht="16" x14ac:dyDescent="0.2">
      <c r="A1383" s="51" t="s">
        <v>56</v>
      </c>
      <c r="B1383" s="82">
        <v>25962.939864444237</v>
      </c>
      <c r="C1383" t="s">
        <v>231</v>
      </c>
      <c r="D1383" s="88">
        <v>0.12681999999999999</v>
      </c>
      <c r="E1383" t="s">
        <v>344</v>
      </c>
      <c r="F1383">
        <v>1.26824</v>
      </c>
      <c r="G1383">
        <v>3.0599999999999998E-3</v>
      </c>
      <c r="H1383">
        <f>PSI_OC!$A$7</f>
        <v>10</v>
      </c>
      <c r="I1383">
        <v>-1</v>
      </c>
      <c r="J1383" t="s">
        <v>428</v>
      </c>
      <c r="K1383" s="17">
        <f t="shared" si="112"/>
        <v>-6165657.1082244292</v>
      </c>
      <c r="L1383" t="s">
        <v>537</v>
      </c>
    </row>
    <row r="1384" spans="1:14" x14ac:dyDescent="0.2">
      <c r="A1384" s="1" t="s">
        <v>57</v>
      </c>
      <c r="B1384" s="82">
        <v>1456.197721535176</v>
      </c>
      <c r="C1384" t="s">
        <v>232</v>
      </c>
      <c r="D1384" s="88">
        <v>1.2999999999999999E-4</v>
      </c>
      <c r="E1384" t="s">
        <v>345</v>
      </c>
      <c r="F1384">
        <v>1.2999999999999999E-4</v>
      </c>
      <c r="G1384">
        <v>3.1E-4</v>
      </c>
      <c r="H1384">
        <f>PSI_OC!$A$7</f>
        <v>10</v>
      </c>
      <c r="I1384">
        <v>-1</v>
      </c>
      <c r="J1384" t="s">
        <v>429</v>
      </c>
      <c r="K1384" s="17">
        <f t="shared" si="112"/>
        <v>-4482.2313630370954</v>
      </c>
      <c r="L1384" t="s">
        <v>537</v>
      </c>
    </row>
    <row r="1385" spans="1:14" ht="16" x14ac:dyDescent="0.2">
      <c r="A1385" s="51" t="s">
        <v>208</v>
      </c>
      <c r="B1385" s="82">
        <v>838.46148115356027</v>
      </c>
      <c r="C1385" t="s">
        <v>233</v>
      </c>
      <c r="D1385" s="88">
        <v>1.2999999999999999E-4</v>
      </c>
      <c r="E1385" t="s">
        <v>345</v>
      </c>
      <c r="F1385">
        <v>1.2999999999999999E-4</v>
      </c>
      <c r="G1385">
        <v>3.1E-4</v>
      </c>
      <c r="H1385">
        <f>PSI_OC!$A$7</f>
        <v>10</v>
      </c>
      <c r="I1385">
        <v>-1</v>
      </c>
      <c r="J1385" t="s">
        <v>429</v>
      </c>
      <c r="K1385" s="17">
        <f t="shared" si="112"/>
        <v>-4482.2313630370954</v>
      </c>
      <c r="L1385" t="s">
        <v>537</v>
      </c>
    </row>
    <row r="1386" spans="1:14" ht="16" x14ac:dyDescent="0.2">
      <c r="A1386" s="51" t="s">
        <v>14</v>
      </c>
      <c r="B1386" s="82">
        <v>23.081108466407038</v>
      </c>
      <c r="C1386" t="s">
        <v>320</v>
      </c>
      <c r="D1386" s="88">
        <v>0</v>
      </c>
      <c r="E1386" t="s">
        <v>344</v>
      </c>
      <c r="F1386">
        <v>0</v>
      </c>
      <c r="G1386">
        <v>0.30602000000000001</v>
      </c>
      <c r="H1386">
        <f>PSI_OC!$A$6</f>
        <v>100</v>
      </c>
      <c r="I1386">
        <v>-1</v>
      </c>
      <c r="J1386" t="s">
        <v>428</v>
      </c>
      <c r="K1386" s="17">
        <f t="shared" si="112"/>
        <v>-37551839.058506623</v>
      </c>
      <c r="L1386" t="s">
        <v>537</v>
      </c>
    </row>
    <row r="1387" spans="1:14" x14ac:dyDescent="0.2">
      <c r="A1387" s="51"/>
      <c r="B1387" s="82"/>
      <c r="C1387" t="s">
        <v>321</v>
      </c>
      <c r="D1387" s="88">
        <v>0</v>
      </c>
      <c r="E1387" t="s">
        <v>344</v>
      </c>
      <c r="F1387">
        <v>0</v>
      </c>
      <c r="G1387">
        <v>0.30602000000000001</v>
      </c>
      <c r="H1387">
        <f>PSI_OC!$A$6</f>
        <v>100</v>
      </c>
      <c r="I1387">
        <v>-1</v>
      </c>
      <c r="J1387" t="s">
        <v>428</v>
      </c>
      <c r="K1387" s="17">
        <f t="shared" si="112"/>
        <v>-37551839.058506623</v>
      </c>
      <c r="L1387" t="s">
        <v>537</v>
      </c>
    </row>
    <row r="1388" spans="1:14" x14ac:dyDescent="0.2">
      <c r="A1388" s="1" t="s">
        <v>17</v>
      </c>
      <c r="B1388" s="82">
        <v>1748803.0914608212</v>
      </c>
      <c r="C1388" t="s">
        <v>234</v>
      </c>
      <c r="D1388" s="88">
        <v>0</v>
      </c>
      <c r="E1388" t="s">
        <v>344</v>
      </c>
      <c r="F1388">
        <v>0</v>
      </c>
      <c r="G1388">
        <v>0.30602000000000001</v>
      </c>
      <c r="H1388">
        <v>0</v>
      </c>
      <c r="I1388">
        <v>0</v>
      </c>
      <c r="J1388" t="s">
        <v>428</v>
      </c>
      <c r="K1388" s="17">
        <f t="shared" si="112"/>
        <v>0</v>
      </c>
      <c r="L1388" t="s">
        <v>537</v>
      </c>
    </row>
    <row r="1389" spans="1:14" x14ac:dyDescent="0.2">
      <c r="B1389" s="55"/>
      <c r="C1389" t="s">
        <v>235</v>
      </c>
      <c r="D1389" s="88">
        <v>0.12681999999999999</v>
      </c>
      <c r="E1389" t="s">
        <v>346</v>
      </c>
      <c r="F1389">
        <v>0.12681999999999999</v>
      </c>
      <c r="G1389">
        <v>0.30602000000000001</v>
      </c>
      <c r="H1389">
        <f>PSI_OC!$A$8</f>
        <v>1</v>
      </c>
      <c r="I1389">
        <v>1</v>
      </c>
      <c r="J1389" t="s">
        <v>430</v>
      </c>
      <c r="K1389" s="17">
        <f t="shared" si="112"/>
        <v>441680.25920880277</v>
      </c>
      <c r="L1389" t="s">
        <v>537</v>
      </c>
    </row>
    <row r="1390" spans="1:14" ht="16" x14ac:dyDescent="0.2">
      <c r="A1390" s="91" t="s">
        <v>8</v>
      </c>
      <c r="B1390" s="84" t="s">
        <v>318</v>
      </c>
      <c r="C1390" t="s">
        <v>236</v>
      </c>
      <c r="D1390" s="88">
        <v>1.2999999999999999E-4</v>
      </c>
      <c r="E1390" t="s">
        <v>347</v>
      </c>
      <c r="F1390">
        <v>1.2999999999999999E-4</v>
      </c>
      <c r="G1390">
        <v>3.0602</v>
      </c>
      <c r="H1390">
        <f>PSI_OC!$A$7</f>
        <v>10</v>
      </c>
      <c r="I1390">
        <v>-1</v>
      </c>
      <c r="J1390" t="s">
        <v>431</v>
      </c>
      <c r="K1390" s="17">
        <f t="shared" si="112"/>
        <v>-37552517.267221421</v>
      </c>
      <c r="L1390" t="s">
        <v>537</v>
      </c>
    </row>
    <row r="1391" spans="1:14" ht="16" x14ac:dyDescent="0.2">
      <c r="A1391" s="81" t="s">
        <v>100</v>
      </c>
      <c r="B1391" s="89" t="s">
        <v>509</v>
      </c>
      <c r="C1391" t="s">
        <v>237</v>
      </c>
      <c r="D1391" s="88">
        <v>0.12681999999999999</v>
      </c>
      <c r="E1391" t="s">
        <v>348</v>
      </c>
      <c r="F1391">
        <v>0.12681999999999999</v>
      </c>
      <c r="G1391">
        <v>0.30602000000000001</v>
      </c>
      <c r="H1391">
        <f>PSI_OC!$A$6</f>
        <v>100</v>
      </c>
      <c r="I1391">
        <v>-1</v>
      </c>
      <c r="J1391" t="s">
        <v>432</v>
      </c>
      <c r="K1391" s="17">
        <f t="shared" si="112"/>
        <v>-44168025.92088028</v>
      </c>
      <c r="L1391" t="s">
        <v>537</v>
      </c>
    </row>
    <row r="1392" spans="1:14" ht="16" x14ac:dyDescent="0.2">
      <c r="A1392" s="81" t="s">
        <v>97</v>
      </c>
      <c r="B1392" s="61" t="s">
        <v>502</v>
      </c>
      <c r="C1392" t="s">
        <v>238</v>
      </c>
      <c r="D1392" s="88">
        <v>0</v>
      </c>
      <c r="E1392" t="s">
        <v>349</v>
      </c>
      <c r="F1392">
        <v>0</v>
      </c>
      <c r="G1392">
        <v>0</v>
      </c>
      <c r="H1392">
        <f>PSI_OC!$A$7</f>
        <v>10</v>
      </c>
      <c r="I1392">
        <v>-1</v>
      </c>
      <c r="J1392" t="s">
        <v>433</v>
      </c>
      <c r="K1392" s="17">
        <f t="shared" si="112"/>
        <v>0</v>
      </c>
      <c r="L1392" t="s">
        <v>537</v>
      </c>
    </row>
    <row r="1393" spans="1:12" ht="16" x14ac:dyDescent="0.2">
      <c r="A1393" s="81" t="s">
        <v>98</v>
      </c>
      <c r="B1393" s="61" t="s">
        <v>502</v>
      </c>
      <c r="C1393" t="s">
        <v>239</v>
      </c>
      <c r="D1393" s="88">
        <v>1.2700000000000001E-3</v>
      </c>
      <c r="E1393" t="s">
        <v>348</v>
      </c>
      <c r="F1393">
        <v>1.2700000000000001E-3</v>
      </c>
      <c r="G1393">
        <v>3.0599999999999998E-3</v>
      </c>
      <c r="H1393">
        <f>PSI_OC!$A$6</f>
        <v>100</v>
      </c>
      <c r="I1393">
        <v>-1</v>
      </c>
      <c r="J1393" t="s">
        <v>432</v>
      </c>
      <c r="K1393" s="17">
        <f t="shared" si="112"/>
        <v>-441749.62294925033</v>
      </c>
      <c r="L1393" t="s">
        <v>537</v>
      </c>
    </row>
    <row r="1394" spans="1:12" ht="16" x14ac:dyDescent="0.2">
      <c r="A1394" s="51" t="s">
        <v>55</v>
      </c>
      <c r="B1394" s="89" t="s">
        <v>509</v>
      </c>
      <c r="C1394" t="s">
        <v>240</v>
      </c>
      <c r="D1394" s="88">
        <v>0</v>
      </c>
      <c r="E1394" t="s">
        <v>348</v>
      </c>
      <c r="F1394">
        <v>0</v>
      </c>
      <c r="G1394">
        <v>0</v>
      </c>
      <c r="H1394">
        <f>PSI_OC!$A$6</f>
        <v>100</v>
      </c>
      <c r="I1394">
        <v>-1</v>
      </c>
      <c r="J1394" t="s">
        <v>432</v>
      </c>
      <c r="K1394" s="17">
        <f t="shared" si="112"/>
        <v>0</v>
      </c>
      <c r="L1394" t="s">
        <v>537</v>
      </c>
    </row>
    <row r="1395" spans="1:12" ht="16" x14ac:dyDescent="0.2">
      <c r="A1395" s="51" t="s">
        <v>49</v>
      </c>
      <c r="B1395" s="89" t="s">
        <v>506</v>
      </c>
      <c r="C1395" t="s">
        <v>241</v>
      </c>
      <c r="D1395" s="88">
        <v>0</v>
      </c>
      <c r="E1395" t="s">
        <v>350</v>
      </c>
      <c r="F1395">
        <v>0</v>
      </c>
      <c r="G1395">
        <v>0</v>
      </c>
      <c r="H1395">
        <f>PSI_OC!$A$6</f>
        <v>100</v>
      </c>
      <c r="I1395">
        <v>-1</v>
      </c>
      <c r="J1395" t="s">
        <v>434</v>
      </c>
      <c r="K1395" s="17">
        <f t="shared" si="112"/>
        <v>0</v>
      </c>
      <c r="L1395" t="s">
        <v>537</v>
      </c>
    </row>
    <row r="1396" spans="1:12" ht="16" x14ac:dyDescent="0.2">
      <c r="A1396" s="51" t="s">
        <v>99</v>
      </c>
      <c r="B1396" s="89" t="s">
        <v>506</v>
      </c>
      <c r="C1396" t="s">
        <v>242</v>
      </c>
      <c r="D1396" s="88">
        <v>0</v>
      </c>
      <c r="E1396" t="s">
        <v>351</v>
      </c>
      <c r="F1396">
        <v>0</v>
      </c>
      <c r="G1396">
        <v>0</v>
      </c>
      <c r="H1396">
        <f>PSI_OC!$A$8</f>
        <v>1</v>
      </c>
      <c r="I1396">
        <v>1</v>
      </c>
      <c r="J1396" t="s">
        <v>435</v>
      </c>
      <c r="K1396" s="17">
        <f t="shared" si="112"/>
        <v>0</v>
      </c>
      <c r="L1396" t="s">
        <v>537</v>
      </c>
    </row>
    <row r="1397" spans="1:12" ht="16" x14ac:dyDescent="0.2">
      <c r="A1397" s="51" t="s">
        <v>56</v>
      </c>
      <c r="B1397" s="89" t="s">
        <v>506</v>
      </c>
      <c r="C1397" t="s">
        <v>243</v>
      </c>
      <c r="D1397" s="88">
        <v>0.12681999999999999</v>
      </c>
      <c r="E1397" t="s">
        <v>352</v>
      </c>
      <c r="F1397">
        <v>1.26824</v>
      </c>
      <c r="G1397">
        <v>3.0599999999999998E-3</v>
      </c>
      <c r="H1397">
        <f>PSI_OC!$A$6</f>
        <v>100</v>
      </c>
      <c r="I1397">
        <v>-1</v>
      </c>
      <c r="J1397" t="s">
        <v>436</v>
      </c>
      <c r="K1397" s="17">
        <f t="shared" si="112"/>
        <v>-61656571.082244292</v>
      </c>
      <c r="L1397" t="s">
        <v>537</v>
      </c>
    </row>
    <row r="1398" spans="1:12" x14ac:dyDescent="0.2">
      <c r="A1398" s="1" t="s">
        <v>57</v>
      </c>
      <c r="B1398" s="61" t="s">
        <v>502</v>
      </c>
      <c r="C1398" t="s">
        <v>244</v>
      </c>
      <c r="D1398" s="88">
        <v>1.2700000000000001E-3</v>
      </c>
      <c r="E1398" t="s">
        <v>353</v>
      </c>
      <c r="F1398">
        <v>1.2700000000000001E-3</v>
      </c>
      <c r="G1398">
        <v>3.0599999999999998E-3</v>
      </c>
      <c r="H1398">
        <v>0</v>
      </c>
      <c r="I1398">
        <v>0</v>
      </c>
      <c r="J1398" t="s">
        <v>437</v>
      </c>
      <c r="K1398" s="17">
        <f t="shared" si="112"/>
        <v>0</v>
      </c>
      <c r="L1398" t="s">
        <v>537</v>
      </c>
    </row>
    <row r="1399" spans="1:12" ht="16" x14ac:dyDescent="0.2">
      <c r="A1399" s="51" t="s">
        <v>208</v>
      </c>
      <c r="B1399" s="89" t="s">
        <v>506</v>
      </c>
      <c r="C1399" t="s">
        <v>245</v>
      </c>
      <c r="D1399" s="88">
        <v>1.2700000000000001E-3</v>
      </c>
      <c r="E1399" t="s">
        <v>351</v>
      </c>
      <c r="F1399">
        <v>1.2999999999999999E-4</v>
      </c>
      <c r="G1399">
        <v>0.30602000000000001</v>
      </c>
      <c r="H1399">
        <f>PSI_OC!$A$7</f>
        <v>10</v>
      </c>
      <c r="I1399">
        <v>-1</v>
      </c>
      <c r="J1399" t="s">
        <v>435</v>
      </c>
      <c r="K1399" s="17">
        <f t="shared" si="112"/>
        <v>-3756349.7949225684</v>
      </c>
      <c r="L1399" t="s">
        <v>537</v>
      </c>
    </row>
    <row r="1400" spans="1:12" ht="16" x14ac:dyDescent="0.2">
      <c r="A1400" s="51" t="s">
        <v>14</v>
      </c>
      <c r="B1400" s="89" t="s">
        <v>506</v>
      </c>
      <c r="C1400" t="s">
        <v>246</v>
      </c>
      <c r="D1400" s="88">
        <v>1.268E-2</v>
      </c>
      <c r="E1400" t="s">
        <v>354</v>
      </c>
      <c r="F1400">
        <v>1.268E-2</v>
      </c>
      <c r="G1400">
        <v>3.0599999999999999E-2</v>
      </c>
      <c r="H1400">
        <f>PSI_OC!$A$7</f>
        <v>10</v>
      </c>
      <c r="I1400">
        <v>-1</v>
      </c>
      <c r="J1400" t="s">
        <v>438</v>
      </c>
      <c r="K1400" s="17">
        <f t="shared" si="112"/>
        <v>-441645.28314697352</v>
      </c>
      <c r="L1400" t="s">
        <v>537</v>
      </c>
    </row>
    <row r="1401" spans="1:12" x14ac:dyDescent="0.2">
      <c r="B1401" s="55"/>
      <c r="C1401" t="s">
        <v>247</v>
      </c>
      <c r="D1401" s="88">
        <v>1.26824</v>
      </c>
      <c r="E1401" t="s">
        <v>354</v>
      </c>
      <c r="F1401">
        <v>1.26824</v>
      </c>
      <c r="G1401">
        <v>3.1E-4</v>
      </c>
      <c r="H1401">
        <f>PSI_OC!$A$7</f>
        <v>10</v>
      </c>
      <c r="I1401">
        <v>-1</v>
      </c>
      <c r="J1401" t="s">
        <v>438</v>
      </c>
      <c r="K1401" s="17">
        <f t="shared" si="112"/>
        <v>-6620199.5646264479</v>
      </c>
      <c r="L1401" t="s">
        <v>537</v>
      </c>
    </row>
    <row r="1402" spans="1:12" x14ac:dyDescent="0.2">
      <c r="B1402" s="55"/>
      <c r="C1402" t="s">
        <v>248</v>
      </c>
      <c r="D1402" s="88">
        <v>1.26824</v>
      </c>
      <c r="E1402" t="s">
        <v>350</v>
      </c>
      <c r="F1402">
        <v>1.26824</v>
      </c>
      <c r="G1402">
        <v>0.30602000000000001</v>
      </c>
      <c r="H1402">
        <f>PSI_OC!$A$7</f>
        <v>10</v>
      </c>
      <c r="I1402">
        <v>-1</v>
      </c>
      <c r="J1402" t="s">
        <v>434</v>
      </c>
      <c r="K1402" s="17">
        <f t="shared" si="112"/>
        <v>-10371579.44782887</v>
      </c>
      <c r="L1402" t="s">
        <v>537</v>
      </c>
    </row>
    <row r="1403" spans="1:12" x14ac:dyDescent="0.2">
      <c r="B1403" s="55"/>
      <c r="C1403" t="s">
        <v>322</v>
      </c>
      <c r="D1403" s="88">
        <v>1.26824</v>
      </c>
      <c r="E1403" t="s">
        <v>355</v>
      </c>
      <c r="F1403">
        <v>1.26824</v>
      </c>
      <c r="G1403">
        <v>3.0599999999999999E-2</v>
      </c>
      <c r="H1403">
        <f>PSI_OC!$A$7</f>
        <v>10</v>
      </c>
      <c r="I1403">
        <v>-1</v>
      </c>
      <c r="J1403" t="s">
        <v>439</v>
      </c>
      <c r="K1403" s="17">
        <f t="shared" si="112"/>
        <v>-6991889.3904816741</v>
      </c>
      <c r="L1403" t="s">
        <v>537</v>
      </c>
    </row>
    <row r="1404" spans="1:12" x14ac:dyDescent="0.2">
      <c r="B1404" s="55"/>
      <c r="C1404" t="s">
        <v>249</v>
      </c>
      <c r="D1404" s="88">
        <v>0.12681999999999999</v>
      </c>
      <c r="E1404" t="s">
        <v>356</v>
      </c>
      <c r="F1404">
        <v>0.12681999999999999</v>
      </c>
      <c r="G1404">
        <v>3.1E-4</v>
      </c>
      <c r="H1404">
        <f>PSI_OC!$A$7</f>
        <v>10</v>
      </c>
      <c r="I1404">
        <v>-1</v>
      </c>
      <c r="J1404" t="s">
        <v>440</v>
      </c>
      <c r="K1404" s="17">
        <f t="shared" si="112"/>
        <v>-665422.70888560324</v>
      </c>
      <c r="L1404" t="s">
        <v>537</v>
      </c>
    </row>
    <row r="1405" spans="1:12" x14ac:dyDescent="0.2">
      <c r="B1405" s="55"/>
      <c r="C1405" t="s">
        <v>323</v>
      </c>
      <c r="D1405" s="88">
        <v>1.2700000000000001E-3</v>
      </c>
      <c r="E1405" t="s">
        <v>357</v>
      </c>
      <c r="F1405">
        <v>1.2700000000000001E-3</v>
      </c>
      <c r="G1405">
        <v>3.0599999999999998E-3</v>
      </c>
      <c r="H1405">
        <f>PSI_OC!$A$6</f>
        <v>100</v>
      </c>
      <c r="I1405">
        <v>-1</v>
      </c>
      <c r="J1405" t="s">
        <v>441</v>
      </c>
      <c r="K1405" s="17">
        <f t="shared" si="112"/>
        <v>-441749.62294925033</v>
      </c>
      <c r="L1405" t="s">
        <v>537</v>
      </c>
    </row>
    <row r="1406" spans="1:12" x14ac:dyDescent="0.2">
      <c r="B1406" s="55"/>
      <c r="C1406" t="s">
        <v>324</v>
      </c>
      <c r="D1406" s="88">
        <v>1.2700000000000001E-3</v>
      </c>
      <c r="E1406" t="s">
        <v>357</v>
      </c>
      <c r="F1406">
        <v>1.2700000000000001E-3</v>
      </c>
      <c r="G1406">
        <v>3.0599999999999998E-3</v>
      </c>
      <c r="H1406">
        <f>PSI_OC!$A$6</f>
        <v>100</v>
      </c>
      <c r="I1406">
        <v>-1</v>
      </c>
      <c r="J1406" t="s">
        <v>441</v>
      </c>
      <c r="K1406" s="17">
        <f t="shared" si="112"/>
        <v>-441749.62294925033</v>
      </c>
      <c r="L1406" t="s">
        <v>537</v>
      </c>
    </row>
    <row r="1407" spans="1:12" x14ac:dyDescent="0.2">
      <c r="B1407" s="55"/>
      <c r="C1407" t="s">
        <v>250</v>
      </c>
      <c r="D1407" s="88">
        <v>1.2700000000000001E-3</v>
      </c>
      <c r="E1407" t="s">
        <v>358</v>
      </c>
      <c r="F1407">
        <v>1.2700000000000001E-3</v>
      </c>
      <c r="G1407">
        <v>0.30602000000000001</v>
      </c>
      <c r="H1407">
        <f>PSI_OC!$A$7</f>
        <v>10</v>
      </c>
      <c r="I1407">
        <v>1</v>
      </c>
      <c r="J1407" t="s">
        <v>442</v>
      </c>
      <c r="K1407" s="17">
        <f t="shared" si="112"/>
        <v>3761809.4832952409</v>
      </c>
      <c r="L1407" t="s">
        <v>537</v>
      </c>
    </row>
    <row r="1408" spans="1:12" x14ac:dyDescent="0.2">
      <c r="B1408" s="55"/>
      <c r="C1408" t="s">
        <v>251</v>
      </c>
      <c r="D1408" s="88">
        <v>0</v>
      </c>
      <c r="E1408" t="s">
        <v>359</v>
      </c>
      <c r="F1408">
        <v>0</v>
      </c>
      <c r="G1408">
        <v>3.1E-4</v>
      </c>
      <c r="H1408">
        <f>PSI_OC!$A$6</f>
        <v>100</v>
      </c>
      <c r="I1408">
        <v>-1</v>
      </c>
      <c r="J1408" t="s">
        <v>443</v>
      </c>
      <c r="K1408" s="17">
        <f t="shared" si="112"/>
        <v>-38040.22648237714</v>
      </c>
      <c r="L1408" t="s">
        <v>537</v>
      </c>
    </row>
    <row r="1409" spans="2:12" x14ac:dyDescent="0.2">
      <c r="B1409" s="55"/>
      <c r="C1409" t="s">
        <v>252</v>
      </c>
      <c r="D1409" s="88">
        <v>0.12681999999999999</v>
      </c>
      <c r="E1409" t="s">
        <v>360</v>
      </c>
      <c r="F1409">
        <v>0.12681999999999999</v>
      </c>
      <c r="G1409">
        <v>3.0602</v>
      </c>
      <c r="H1409">
        <f>PSI_OC!$A$7</f>
        <v>10</v>
      </c>
      <c r="I1409">
        <v>-1</v>
      </c>
      <c r="J1409" t="s">
        <v>444</v>
      </c>
      <c r="K1409" s="17">
        <f t="shared" ref="K1409:K1440" si="113">((SUM(B$1377,B$1380)*F1409)+(SUM(B$1378:B$1379,B$1384)*D1409)+(SUM(B$1381:B$1383,B$1385:B$1386)*G1409))*H1409*I1409</f>
        <v>-38213457.74474398</v>
      </c>
      <c r="L1409" t="s">
        <v>537</v>
      </c>
    </row>
    <row r="1410" spans="2:12" x14ac:dyDescent="0.2">
      <c r="B1410" s="55"/>
      <c r="C1410" t="s">
        <v>253</v>
      </c>
      <c r="D1410" s="88">
        <v>1.268E-2</v>
      </c>
      <c r="E1410" t="s">
        <v>361</v>
      </c>
      <c r="F1410">
        <v>1.268E-2</v>
      </c>
      <c r="G1410">
        <v>0.30602000000000001</v>
      </c>
      <c r="H1410">
        <f>PSI_OC!$A$7</f>
        <v>10</v>
      </c>
      <c r="I1410">
        <v>-1</v>
      </c>
      <c r="J1410" t="s">
        <v>445</v>
      </c>
      <c r="K1410" s="17">
        <f t="shared" si="113"/>
        <v>-3821335.3404941713</v>
      </c>
      <c r="L1410" t="s">
        <v>537</v>
      </c>
    </row>
    <row r="1411" spans="2:12" x14ac:dyDescent="0.2">
      <c r="B1411" s="55"/>
      <c r="C1411" t="s">
        <v>325</v>
      </c>
      <c r="D1411" s="88">
        <v>1.2700000000000001E-3</v>
      </c>
      <c r="E1411" t="s">
        <v>362</v>
      </c>
      <c r="F1411">
        <v>1.2700000000000001E-3</v>
      </c>
      <c r="G1411">
        <v>3.1E-4</v>
      </c>
      <c r="H1411">
        <f>PSI_OC!$A$6</f>
        <v>100</v>
      </c>
      <c r="I1411">
        <v>-1</v>
      </c>
      <c r="J1411" t="s">
        <v>446</v>
      </c>
      <c r="K1411" s="17">
        <f t="shared" si="113"/>
        <v>-104296.00092816283</v>
      </c>
      <c r="L1411" t="s">
        <v>537</v>
      </c>
    </row>
    <row r="1412" spans="2:12" x14ac:dyDescent="0.2">
      <c r="B1412" s="55"/>
      <c r="C1412" t="s">
        <v>254</v>
      </c>
      <c r="D1412" s="88">
        <v>1.2700000000000001E-3</v>
      </c>
      <c r="E1412" t="s">
        <v>363</v>
      </c>
      <c r="F1412">
        <v>1.2700000000000001E-3</v>
      </c>
      <c r="G1412">
        <v>3.0599999999999998E-3</v>
      </c>
      <c r="H1412">
        <f>PSI_OC!$A$7</f>
        <v>10</v>
      </c>
      <c r="I1412">
        <v>-1</v>
      </c>
      <c r="J1412" t="s">
        <v>447</v>
      </c>
      <c r="K1412" s="17">
        <f t="shared" si="113"/>
        <v>-44174.962294925033</v>
      </c>
      <c r="L1412" t="s">
        <v>537</v>
      </c>
    </row>
    <row r="1413" spans="2:12" x14ac:dyDescent="0.2">
      <c r="B1413" s="55"/>
      <c r="C1413" t="s">
        <v>255</v>
      </c>
      <c r="D1413" s="88">
        <v>0</v>
      </c>
      <c r="E1413" t="s">
        <v>364</v>
      </c>
      <c r="F1413">
        <v>0</v>
      </c>
      <c r="G1413">
        <v>0</v>
      </c>
      <c r="H1413">
        <f>PSI_OC!$A$7</f>
        <v>10</v>
      </c>
      <c r="I1413">
        <v>-1</v>
      </c>
      <c r="J1413" t="s">
        <v>448</v>
      </c>
      <c r="K1413" s="17">
        <f t="shared" si="113"/>
        <v>0</v>
      </c>
      <c r="L1413" t="s">
        <v>537</v>
      </c>
    </row>
    <row r="1414" spans="2:12" x14ac:dyDescent="0.2">
      <c r="B1414" s="55"/>
      <c r="C1414" t="s">
        <v>256</v>
      </c>
      <c r="D1414" s="88">
        <v>1.2700000000000001E-3</v>
      </c>
      <c r="E1414" t="s">
        <v>365</v>
      </c>
      <c r="F1414">
        <v>1.2700000000000001E-3</v>
      </c>
      <c r="G1414">
        <v>0.30602000000000001</v>
      </c>
      <c r="H1414">
        <f>PSI_OC!$A$7</f>
        <v>10</v>
      </c>
      <c r="I1414">
        <v>-1</v>
      </c>
      <c r="J1414" t="s">
        <v>449</v>
      </c>
      <c r="K1414" s="17">
        <f t="shared" si="113"/>
        <v>-3761809.4832952409</v>
      </c>
      <c r="L1414" t="s">
        <v>537</v>
      </c>
    </row>
    <row r="1415" spans="2:12" x14ac:dyDescent="0.2">
      <c r="B1415" s="55"/>
      <c r="C1415" t="s">
        <v>257</v>
      </c>
      <c r="D1415" s="88">
        <v>1.26824</v>
      </c>
      <c r="E1415" t="s">
        <v>366</v>
      </c>
      <c r="F1415">
        <v>1.26824</v>
      </c>
      <c r="G1415">
        <v>3.0599999999999998E-3</v>
      </c>
      <c r="H1415">
        <f>PSI_OC!$A$6</f>
        <v>100</v>
      </c>
      <c r="I1415">
        <v>-1</v>
      </c>
      <c r="J1415" t="s">
        <v>450</v>
      </c>
      <c r="K1415" s="17">
        <f t="shared" si="113"/>
        <v>-66539449.268285558</v>
      </c>
      <c r="L1415" t="s">
        <v>537</v>
      </c>
    </row>
    <row r="1416" spans="2:12" x14ac:dyDescent="0.2">
      <c r="B1416" s="55"/>
      <c r="C1416" t="s">
        <v>258</v>
      </c>
      <c r="D1416" s="88">
        <v>0.12681999999999999</v>
      </c>
      <c r="E1416" t="s">
        <v>367</v>
      </c>
      <c r="F1416">
        <v>0.12681999999999999</v>
      </c>
      <c r="G1416">
        <v>3.0599999999999998E-3</v>
      </c>
      <c r="H1416">
        <f>PSI_OC!$A$6</f>
        <v>100</v>
      </c>
      <c r="I1416">
        <v>-1</v>
      </c>
      <c r="J1416" t="s">
        <v>451</v>
      </c>
      <c r="K1416" s="17">
        <f t="shared" si="113"/>
        <v>-6991680.7108771186</v>
      </c>
      <c r="L1416" t="s">
        <v>537</v>
      </c>
    </row>
    <row r="1417" spans="2:12" x14ac:dyDescent="0.2">
      <c r="B1417" s="55"/>
      <c r="C1417" t="s">
        <v>326</v>
      </c>
      <c r="D1417" s="88">
        <v>1.2700000000000001E-3</v>
      </c>
      <c r="E1417" t="s">
        <v>365</v>
      </c>
      <c r="F1417">
        <v>1.2700000000000001E-3</v>
      </c>
      <c r="G1417">
        <v>3.0599999999999998E-3</v>
      </c>
      <c r="H1417">
        <v>0</v>
      </c>
      <c r="I1417">
        <v>0</v>
      </c>
      <c r="J1417" t="s">
        <v>449</v>
      </c>
      <c r="K1417" s="17">
        <f t="shared" si="113"/>
        <v>0</v>
      </c>
      <c r="L1417" t="s">
        <v>537</v>
      </c>
    </row>
    <row r="1418" spans="2:12" x14ac:dyDescent="0.2">
      <c r="B1418" s="55"/>
      <c r="C1418" t="s">
        <v>259</v>
      </c>
      <c r="D1418" s="88">
        <v>1.268E-2</v>
      </c>
      <c r="E1418" t="s">
        <v>368</v>
      </c>
      <c r="F1418">
        <v>1.268E-2</v>
      </c>
      <c r="G1418">
        <v>3.0599999999999998E-3</v>
      </c>
      <c r="H1418">
        <f>PSI_OC!$A$6</f>
        <v>100</v>
      </c>
      <c r="I1418">
        <v>-1</v>
      </c>
      <c r="J1418" t="s">
        <v>452</v>
      </c>
      <c r="K1418" s="17">
        <f t="shared" si="113"/>
        <v>-1037008.1949385534</v>
      </c>
      <c r="L1418" t="s">
        <v>537</v>
      </c>
    </row>
    <row r="1419" spans="2:12" x14ac:dyDescent="0.2">
      <c r="B1419" s="55"/>
      <c r="C1419" t="s">
        <v>260</v>
      </c>
      <c r="D1419" s="88">
        <v>0</v>
      </c>
      <c r="E1419" t="s">
        <v>368</v>
      </c>
      <c r="F1419">
        <v>0</v>
      </c>
      <c r="G1419">
        <v>3.0599999999999998E-3</v>
      </c>
      <c r="H1419">
        <v>0</v>
      </c>
      <c r="I1419">
        <v>0</v>
      </c>
      <c r="J1419" t="s">
        <v>452</v>
      </c>
      <c r="K1419" s="17">
        <f t="shared" si="113"/>
        <v>0</v>
      </c>
      <c r="L1419" t="s">
        <v>537</v>
      </c>
    </row>
    <row r="1420" spans="2:12" x14ac:dyDescent="0.2">
      <c r="B1420" s="55"/>
      <c r="C1420" t="s">
        <v>327</v>
      </c>
      <c r="D1420" s="88">
        <v>1.2999999999999999E-4</v>
      </c>
      <c r="E1420" t="s">
        <v>368</v>
      </c>
      <c r="F1420">
        <v>1.2999999999999999E-4</v>
      </c>
      <c r="G1420">
        <v>0.30602000000000001</v>
      </c>
      <c r="H1420">
        <f>PSI_OC!$A$6</f>
        <v>100</v>
      </c>
      <c r="I1420">
        <v>-1</v>
      </c>
      <c r="J1420" t="s">
        <v>452</v>
      </c>
      <c r="K1420" s="17">
        <f t="shared" si="113"/>
        <v>-37558621.145654619</v>
      </c>
      <c r="L1420" t="s">
        <v>537</v>
      </c>
    </row>
    <row r="1421" spans="2:12" x14ac:dyDescent="0.2">
      <c r="B1421" s="55"/>
      <c r="C1421" t="s">
        <v>328</v>
      </c>
      <c r="D1421" s="88">
        <v>1.2999999999999999E-4</v>
      </c>
      <c r="E1421" t="s">
        <v>368</v>
      </c>
      <c r="F1421">
        <v>1.2999999999999999E-4</v>
      </c>
      <c r="G1421">
        <v>0.30602000000000001</v>
      </c>
      <c r="H1421">
        <v>0</v>
      </c>
      <c r="I1421">
        <v>0</v>
      </c>
      <c r="J1421" t="s">
        <v>452</v>
      </c>
      <c r="K1421" s="17">
        <f t="shared" si="113"/>
        <v>0</v>
      </c>
      <c r="L1421" t="s">
        <v>537</v>
      </c>
    </row>
    <row r="1422" spans="2:12" x14ac:dyDescent="0.2">
      <c r="B1422" s="55"/>
      <c r="C1422" t="s">
        <v>261</v>
      </c>
      <c r="D1422" s="88">
        <v>0.12681999999999999</v>
      </c>
      <c r="E1422" t="s">
        <v>369</v>
      </c>
      <c r="F1422">
        <v>0.12681999999999999</v>
      </c>
      <c r="G1422">
        <v>3.1E-4</v>
      </c>
      <c r="H1422">
        <f>PSI_OC!$A$6</f>
        <v>100</v>
      </c>
      <c r="I1422">
        <v>-1</v>
      </c>
      <c r="J1422" t="s">
        <v>453</v>
      </c>
      <c r="K1422" s="17">
        <f t="shared" si="113"/>
        <v>-6654227.0888560321</v>
      </c>
      <c r="L1422" t="s">
        <v>537</v>
      </c>
    </row>
    <row r="1423" spans="2:12" x14ac:dyDescent="0.2">
      <c r="B1423" s="55"/>
      <c r="C1423" t="s">
        <v>263</v>
      </c>
      <c r="D1423" s="88">
        <v>1.2999999999999999E-4</v>
      </c>
      <c r="E1423" t="s">
        <v>370</v>
      </c>
      <c r="F1423">
        <v>1.2999999999999999E-4</v>
      </c>
      <c r="G1423">
        <v>3.1E-4</v>
      </c>
      <c r="H1423">
        <f>PSI_OC!$A$6</f>
        <v>100</v>
      </c>
      <c r="I1423">
        <v>-1</v>
      </c>
      <c r="J1423" t="s">
        <v>454</v>
      </c>
      <c r="K1423" s="17">
        <f t="shared" si="113"/>
        <v>-44822.313630370954</v>
      </c>
      <c r="L1423" t="s">
        <v>537</v>
      </c>
    </row>
    <row r="1424" spans="2:12" x14ac:dyDescent="0.2">
      <c r="B1424" s="55"/>
      <c r="C1424" t="s">
        <v>262</v>
      </c>
      <c r="D1424" s="88">
        <v>1.2999999999999999E-4</v>
      </c>
      <c r="E1424" t="s">
        <v>370</v>
      </c>
      <c r="F1424">
        <v>1.2999999999999999E-4</v>
      </c>
      <c r="G1424">
        <v>3.0599999999999998E-3</v>
      </c>
      <c r="H1424">
        <f>PSI_OC!$A$6</f>
        <v>100</v>
      </c>
      <c r="I1424">
        <v>-1</v>
      </c>
      <c r="J1424" t="s">
        <v>454</v>
      </c>
      <c r="K1424" s="17">
        <f t="shared" si="113"/>
        <v>-382275.93565145845</v>
      </c>
      <c r="L1424" t="s">
        <v>537</v>
      </c>
    </row>
    <row r="1425" spans="2:12" x14ac:dyDescent="0.2">
      <c r="B1425" s="55"/>
      <c r="C1425" t="s">
        <v>264</v>
      </c>
      <c r="D1425" s="88">
        <v>1.2700000000000001E-3</v>
      </c>
      <c r="E1425" t="s">
        <v>371</v>
      </c>
      <c r="F1425">
        <v>1.2700000000000001E-3</v>
      </c>
      <c r="G1425">
        <v>3.0599999999999999E-2</v>
      </c>
      <c r="H1425">
        <f>PSI_OC!$A$7</f>
        <v>10</v>
      </c>
      <c r="I1425">
        <v>-1</v>
      </c>
      <c r="J1425" t="s">
        <v>455</v>
      </c>
      <c r="K1425" s="17">
        <f t="shared" si="113"/>
        <v>-382119.42594804324</v>
      </c>
      <c r="L1425" t="s">
        <v>537</v>
      </c>
    </row>
    <row r="1426" spans="2:12" x14ac:dyDescent="0.2">
      <c r="B1426" s="55"/>
      <c r="C1426" t="s">
        <v>265</v>
      </c>
      <c r="D1426" s="88">
        <v>1.2700000000000001E-3</v>
      </c>
      <c r="E1426" t="s">
        <v>371</v>
      </c>
      <c r="F1426">
        <v>1.2700000000000001E-3</v>
      </c>
      <c r="G1426">
        <v>3.0599999999999998E-3</v>
      </c>
      <c r="H1426">
        <f>PSI_OC!$A$7</f>
        <v>10</v>
      </c>
      <c r="I1426">
        <v>-1</v>
      </c>
      <c r="J1426" t="s">
        <v>455</v>
      </c>
      <c r="K1426" s="17">
        <f t="shared" si="113"/>
        <v>-44174.962294925033</v>
      </c>
      <c r="L1426" t="s">
        <v>537</v>
      </c>
    </row>
    <row r="1427" spans="2:12" x14ac:dyDescent="0.2">
      <c r="B1427" s="55"/>
      <c r="C1427" t="s">
        <v>266</v>
      </c>
      <c r="D1427" s="88">
        <v>1.2700000000000001E-3</v>
      </c>
      <c r="E1427" t="s">
        <v>371</v>
      </c>
      <c r="F1427">
        <v>1.2700000000000001E-3</v>
      </c>
      <c r="G1427">
        <v>3.0599999999999999E-2</v>
      </c>
      <c r="H1427">
        <v>0</v>
      </c>
      <c r="I1427">
        <v>0</v>
      </c>
      <c r="J1427" t="s">
        <v>455</v>
      </c>
      <c r="K1427" s="17">
        <f t="shared" si="113"/>
        <v>0</v>
      </c>
      <c r="L1427" t="s">
        <v>537</v>
      </c>
    </row>
    <row r="1428" spans="2:12" x14ac:dyDescent="0.2">
      <c r="B1428" s="55"/>
      <c r="C1428" t="s">
        <v>267</v>
      </c>
      <c r="D1428" s="88">
        <v>1.2999999999999999E-4</v>
      </c>
      <c r="E1428" t="s">
        <v>372</v>
      </c>
      <c r="F1428">
        <v>1.2999999999999999E-4</v>
      </c>
      <c r="G1428">
        <v>3.0599999999999998E-3</v>
      </c>
      <c r="H1428">
        <v>0</v>
      </c>
      <c r="I1428">
        <v>0</v>
      </c>
      <c r="J1428" t="s">
        <v>456</v>
      </c>
      <c r="K1428" s="17">
        <f t="shared" si="113"/>
        <v>0</v>
      </c>
      <c r="L1428" t="s">
        <v>537</v>
      </c>
    </row>
    <row r="1429" spans="2:12" x14ac:dyDescent="0.2">
      <c r="B1429" s="55"/>
      <c r="C1429" t="s">
        <v>329</v>
      </c>
      <c r="D1429" s="88">
        <v>0.12681999999999999</v>
      </c>
      <c r="E1429" s="75" t="s">
        <v>373</v>
      </c>
      <c r="F1429">
        <v>0.12681999999999999</v>
      </c>
      <c r="G1429">
        <v>0.30602000000000001</v>
      </c>
      <c r="H1429">
        <f>PSI_OC!$A$7</f>
        <v>10</v>
      </c>
      <c r="I1429">
        <v>-1</v>
      </c>
      <c r="J1429" t="s">
        <v>457</v>
      </c>
      <c r="K1429" s="17">
        <f t="shared" si="113"/>
        <v>-4416802.5920880279</v>
      </c>
      <c r="L1429" t="s">
        <v>537</v>
      </c>
    </row>
    <row r="1430" spans="2:12" x14ac:dyDescent="0.2">
      <c r="B1430" s="55"/>
      <c r="C1430" t="s">
        <v>314</v>
      </c>
      <c r="D1430" s="88">
        <v>1.2700000000000001E-3</v>
      </c>
      <c r="E1430" s="75" t="s">
        <v>374</v>
      </c>
      <c r="F1430">
        <v>1.2700000000000001E-3</v>
      </c>
      <c r="G1430">
        <v>3.0599999999999998E-3</v>
      </c>
      <c r="H1430">
        <f>PSI_OC!$A$7</f>
        <v>10</v>
      </c>
      <c r="I1430">
        <v>-1</v>
      </c>
      <c r="J1430" t="s">
        <v>458</v>
      </c>
      <c r="K1430" s="17">
        <f t="shared" si="113"/>
        <v>-44174.962294925033</v>
      </c>
      <c r="L1430" t="s">
        <v>537</v>
      </c>
    </row>
    <row r="1431" spans="2:12" x14ac:dyDescent="0.2">
      <c r="B1431" s="55"/>
      <c r="C1431" t="s">
        <v>268</v>
      </c>
      <c r="D1431" s="88">
        <v>1.2700000000000001E-3</v>
      </c>
      <c r="E1431" s="75" t="s">
        <v>374</v>
      </c>
      <c r="F1431">
        <v>1.2700000000000001E-3</v>
      </c>
      <c r="G1431">
        <v>3.0599999999999998E-3</v>
      </c>
      <c r="H1431">
        <f>PSI_OC!$A$7</f>
        <v>10</v>
      </c>
      <c r="I1431">
        <v>-1</v>
      </c>
      <c r="J1431" t="s">
        <v>458</v>
      </c>
      <c r="K1431" s="17">
        <f t="shared" si="113"/>
        <v>-44174.962294925033</v>
      </c>
      <c r="L1431" t="s">
        <v>537</v>
      </c>
    </row>
    <row r="1432" spans="2:12" x14ac:dyDescent="0.2">
      <c r="B1432" s="55"/>
      <c r="C1432" t="s">
        <v>269</v>
      </c>
      <c r="D1432" s="88">
        <v>1.2700000000000001E-3</v>
      </c>
      <c r="E1432" s="75" t="s">
        <v>374</v>
      </c>
      <c r="F1432">
        <v>1.2700000000000001E-3</v>
      </c>
      <c r="G1432">
        <v>3.0599999999999998E-3</v>
      </c>
      <c r="H1432">
        <v>0</v>
      </c>
      <c r="I1432">
        <v>0</v>
      </c>
      <c r="J1432" t="s">
        <v>458</v>
      </c>
      <c r="K1432" s="17">
        <f t="shared" si="113"/>
        <v>0</v>
      </c>
      <c r="L1432" t="s">
        <v>537</v>
      </c>
    </row>
    <row r="1433" spans="2:12" x14ac:dyDescent="0.2">
      <c r="B1433" s="55"/>
      <c r="C1433" t="s">
        <v>270</v>
      </c>
      <c r="D1433" s="88">
        <v>1.2700000000000001E-3</v>
      </c>
      <c r="E1433" s="75" t="s">
        <v>375</v>
      </c>
      <c r="F1433">
        <v>1.2700000000000001E-3</v>
      </c>
      <c r="G1433">
        <v>0</v>
      </c>
      <c r="H1433">
        <f>PSI_OC!$A$6</f>
        <v>100</v>
      </c>
      <c r="I1433">
        <v>-1</v>
      </c>
      <c r="J1433" t="s">
        <v>459</v>
      </c>
      <c r="K1433" s="17">
        <f t="shared" si="113"/>
        <v>-66255.774445785704</v>
      </c>
      <c r="L1433" t="s">
        <v>537</v>
      </c>
    </row>
    <row r="1434" spans="2:12" x14ac:dyDescent="0.2">
      <c r="B1434" s="55"/>
      <c r="C1434" t="s">
        <v>271</v>
      </c>
      <c r="D1434" s="88">
        <v>0.12681999999999999</v>
      </c>
      <c r="E1434" s="75" t="s">
        <v>376</v>
      </c>
      <c r="F1434">
        <v>0.12681999999999999</v>
      </c>
      <c r="G1434">
        <v>3.0602</v>
      </c>
      <c r="H1434">
        <v>0</v>
      </c>
      <c r="I1434">
        <v>0</v>
      </c>
      <c r="J1434" t="s">
        <v>460</v>
      </c>
      <c r="K1434" s="17">
        <f t="shared" si="113"/>
        <v>0</v>
      </c>
      <c r="L1434" t="s">
        <v>537</v>
      </c>
    </row>
    <row r="1435" spans="2:12" x14ac:dyDescent="0.2">
      <c r="B1435" s="55"/>
      <c r="C1435" t="s">
        <v>272</v>
      </c>
      <c r="D1435" s="88">
        <v>1.26824</v>
      </c>
      <c r="E1435" t="s">
        <v>377</v>
      </c>
      <c r="F1435">
        <v>1.26824</v>
      </c>
      <c r="G1435">
        <v>3.0599999999999998E-3</v>
      </c>
      <c r="H1435">
        <v>0</v>
      </c>
      <c r="I1435">
        <v>0</v>
      </c>
      <c r="J1435" t="s">
        <v>461</v>
      </c>
      <c r="K1435" s="17">
        <f t="shared" si="113"/>
        <v>0</v>
      </c>
      <c r="L1435" t="s">
        <v>537</v>
      </c>
    </row>
    <row r="1436" spans="2:12" x14ac:dyDescent="0.2">
      <c r="B1436" s="55"/>
      <c r="C1436" t="s">
        <v>273</v>
      </c>
      <c r="D1436" s="88">
        <v>1.2999999999999999E-4</v>
      </c>
      <c r="E1436" t="s">
        <v>378</v>
      </c>
      <c r="F1436">
        <v>1.2999999999999999E-4</v>
      </c>
      <c r="G1436">
        <v>3.0602</v>
      </c>
      <c r="H1436">
        <f>PSI_OC!$A$7</f>
        <v>10</v>
      </c>
      <c r="I1436">
        <v>-1</v>
      </c>
      <c r="J1436" t="s">
        <v>462</v>
      </c>
      <c r="K1436" s="17">
        <f t="shared" si="113"/>
        <v>-37552517.267221421</v>
      </c>
      <c r="L1436" t="s">
        <v>537</v>
      </c>
    </row>
    <row r="1437" spans="2:12" x14ac:dyDescent="0.2">
      <c r="B1437" s="55"/>
      <c r="C1437" t="s">
        <v>274</v>
      </c>
      <c r="D1437" s="88">
        <v>1.2999999999999999E-4</v>
      </c>
      <c r="E1437" t="s">
        <v>379</v>
      </c>
      <c r="F1437">
        <v>1.2999999999999999E-4</v>
      </c>
      <c r="G1437">
        <v>3.1E-4</v>
      </c>
      <c r="H1437">
        <v>0</v>
      </c>
      <c r="I1437">
        <v>0</v>
      </c>
      <c r="J1437" t="s">
        <v>463</v>
      </c>
      <c r="K1437" s="17">
        <f t="shared" si="113"/>
        <v>0</v>
      </c>
      <c r="L1437" t="s">
        <v>537</v>
      </c>
    </row>
    <row r="1438" spans="2:12" x14ac:dyDescent="0.2">
      <c r="B1438" s="55"/>
      <c r="C1438" t="s">
        <v>275</v>
      </c>
      <c r="D1438" s="88">
        <v>1.26824</v>
      </c>
      <c r="E1438" t="s">
        <v>377</v>
      </c>
      <c r="F1438">
        <v>1.26824</v>
      </c>
      <c r="G1438">
        <v>3.0599999999999998E-3</v>
      </c>
      <c r="H1438">
        <f>PSI_OC!$A$6</f>
        <v>100</v>
      </c>
      <c r="I1438">
        <v>-1</v>
      </c>
      <c r="J1438" t="s">
        <v>461</v>
      </c>
      <c r="K1438" s="17">
        <f t="shared" si="113"/>
        <v>-66539449.268285558</v>
      </c>
      <c r="L1438" t="s">
        <v>537</v>
      </c>
    </row>
    <row r="1439" spans="2:12" x14ac:dyDescent="0.2">
      <c r="B1439" s="55"/>
      <c r="C1439" t="s">
        <v>276</v>
      </c>
      <c r="D1439" s="88">
        <v>1.26824</v>
      </c>
      <c r="E1439" t="s">
        <v>377</v>
      </c>
      <c r="F1439">
        <v>1.26824</v>
      </c>
      <c r="G1439">
        <v>3.0599999999999998E-3</v>
      </c>
      <c r="H1439">
        <f>PSI_OC!$A$6</f>
        <v>100</v>
      </c>
      <c r="I1439">
        <v>-1</v>
      </c>
      <c r="J1439" t="s">
        <v>461</v>
      </c>
      <c r="K1439" s="17">
        <f t="shared" si="113"/>
        <v>-66539449.268285558</v>
      </c>
      <c r="L1439" t="s">
        <v>537</v>
      </c>
    </row>
    <row r="1440" spans="2:12" x14ac:dyDescent="0.2">
      <c r="B1440" s="55"/>
      <c r="C1440" t="s">
        <v>277</v>
      </c>
      <c r="D1440" s="88">
        <v>1.2700000000000001E-3</v>
      </c>
      <c r="E1440" t="s">
        <v>380</v>
      </c>
      <c r="F1440">
        <v>1.2700000000000001E-3</v>
      </c>
      <c r="G1440">
        <v>3.1E-4</v>
      </c>
      <c r="H1440">
        <f>PSI_OC!$A$6</f>
        <v>100</v>
      </c>
      <c r="I1440">
        <v>-1</v>
      </c>
      <c r="J1440" t="s">
        <v>464</v>
      </c>
      <c r="K1440" s="17">
        <f t="shared" si="113"/>
        <v>-104296.00092816283</v>
      </c>
      <c r="L1440" t="s">
        <v>537</v>
      </c>
    </row>
    <row r="1441" spans="2:12" x14ac:dyDescent="0.2">
      <c r="B1441" s="55"/>
      <c r="C1441" t="s">
        <v>278</v>
      </c>
      <c r="D1441" s="88">
        <v>1.26824</v>
      </c>
      <c r="E1441" t="s">
        <v>381</v>
      </c>
      <c r="F1441">
        <v>1.26824</v>
      </c>
      <c r="G1441">
        <v>3.0602</v>
      </c>
      <c r="H1441">
        <f>PSI_OC!$A$6</f>
        <v>100</v>
      </c>
      <c r="I1441">
        <v>-1</v>
      </c>
      <c r="J1441" t="s">
        <v>465</v>
      </c>
      <c r="K1441" s="17">
        <f t="shared" ref="K1441:K1472" si="114">((SUM(B$1377,B$1380)*F1441)+(SUM(B$1378:B$1379,B$1384)*D1441)+(SUM(B$1381:B$1383,B$1385:B$1386)*G1441))*H1441*I1441</f>
        <v>-441682346.0048483</v>
      </c>
      <c r="L1441" t="s">
        <v>537</v>
      </c>
    </row>
    <row r="1442" spans="2:12" x14ac:dyDescent="0.2">
      <c r="B1442" s="55"/>
      <c r="C1442" t="s">
        <v>330</v>
      </c>
      <c r="D1442" s="88">
        <v>1.2999999999999999E-4</v>
      </c>
      <c r="E1442" t="s">
        <v>382</v>
      </c>
      <c r="F1442">
        <v>1.2999999999999999E-4</v>
      </c>
      <c r="G1442">
        <v>3.1E-4</v>
      </c>
      <c r="H1442">
        <f>PSI_OC!$A$7</f>
        <v>10</v>
      </c>
      <c r="I1442">
        <v>-1</v>
      </c>
      <c r="J1442" t="s">
        <v>466</v>
      </c>
      <c r="K1442" s="17">
        <f t="shared" si="114"/>
        <v>-4482.2313630370954</v>
      </c>
      <c r="L1442" t="s">
        <v>537</v>
      </c>
    </row>
    <row r="1443" spans="2:12" x14ac:dyDescent="0.2">
      <c r="B1443" s="55"/>
      <c r="C1443" t="s">
        <v>279</v>
      </c>
      <c r="D1443" s="88">
        <v>1.2999999999999999E-4</v>
      </c>
      <c r="E1443" t="s">
        <v>382</v>
      </c>
      <c r="F1443">
        <v>1.2999999999999999E-4</v>
      </c>
      <c r="G1443">
        <v>3.1E-4</v>
      </c>
      <c r="H1443">
        <f>PSI_OC!$A$7</f>
        <v>10</v>
      </c>
      <c r="I1443">
        <v>-1</v>
      </c>
      <c r="J1443" t="s">
        <v>466</v>
      </c>
      <c r="K1443" s="17">
        <f t="shared" si="114"/>
        <v>-4482.2313630370954</v>
      </c>
      <c r="L1443" t="s">
        <v>537</v>
      </c>
    </row>
    <row r="1444" spans="2:12" x14ac:dyDescent="0.2">
      <c r="B1444" s="55"/>
      <c r="C1444" t="s">
        <v>280</v>
      </c>
      <c r="D1444" s="88">
        <v>1.2999999999999999E-4</v>
      </c>
      <c r="E1444" t="s">
        <v>382</v>
      </c>
      <c r="F1444">
        <v>1.2999999999999999E-4</v>
      </c>
      <c r="G1444">
        <v>3.0599999999999998E-3</v>
      </c>
      <c r="H1444">
        <v>0</v>
      </c>
      <c r="I1444">
        <v>0</v>
      </c>
      <c r="J1444" t="s">
        <v>466</v>
      </c>
      <c r="K1444" s="17">
        <f t="shared" si="114"/>
        <v>0</v>
      </c>
      <c r="L1444" t="s">
        <v>537</v>
      </c>
    </row>
    <row r="1445" spans="2:12" x14ac:dyDescent="0.2">
      <c r="B1445" s="55"/>
      <c r="C1445" t="s">
        <v>331</v>
      </c>
      <c r="D1445" s="88">
        <v>1.2700000000000001E-3</v>
      </c>
      <c r="E1445" t="s">
        <v>383</v>
      </c>
      <c r="F1445">
        <v>1.2700000000000001E-3</v>
      </c>
      <c r="G1445">
        <v>3.0599999999999998E-3</v>
      </c>
      <c r="H1445">
        <v>0</v>
      </c>
      <c r="I1445">
        <v>0</v>
      </c>
      <c r="J1445" t="s">
        <v>467</v>
      </c>
      <c r="K1445" s="17">
        <f t="shared" si="114"/>
        <v>0</v>
      </c>
      <c r="L1445" t="s">
        <v>537</v>
      </c>
    </row>
    <row r="1446" spans="2:12" x14ac:dyDescent="0.2">
      <c r="B1446" s="55"/>
      <c r="C1446" t="s">
        <v>281</v>
      </c>
      <c r="D1446" s="88">
        <v>1.2999999999999999E-4</v>
      </c>
      <c r="E1446" t="s">
        <v>384</v>
      </c>
      <c r="F1446">
        <v>1.2999999999999999E-4</v>
      </c>
      <c r="G1446">
        <v>3.1E-4</v>
      </c>
      <c r="H1446">
        <f>PSI_OC!$A$7</f>
        <v>10</v>
      </c>
      <c r="I1446">
        <v>-1</v>
      </c>
      <c r="J1446" t="s">
        <v>468</v>
      </c>
      <c r="K1446" s="17">
        <f t="shared" si="114"/>
        <v>-4482.2313630370954</v>
      </c>
      <c r="L1446" t="s">
        <v>537</v>
      </c>
    </row>
    <row r="1447" spans="2:12" x14ac:dyDescent="0.2">
      <c r="B1447" s="55"/>
      <c r="C1447" t="s">
        <v>282</v>
      </c>
      <c r="D1447" s="88">
        <v>0.12681999999999999</v>
      </c>
      <c r="E1447" t="s">
        <v>385</v>
      </c>
      <c r="F1447">
        <v>0.12681999999999999</v>
      </c>
      <c r="G1447">
        <v>0.30602000000000001</v>
      </c>
      <c r="H1447">
        <v>0</v>
      </c>
      <c r="I1447">
        <v>0</v>
      </c>
      <c r="J1447" t="s">
        <v>469</v>
      </c>
      <c r="K1447" s="17">
        <f t="shared" si="114"/>
        <v>0</v>
      </c>
      <c r="L1447" t="s">
        <v>537</v>
      </c>
    </row>
    <row r="1448" spans="2:12" x14ac:dyDescent="0.2">
      <c r="B1448" s="55"/>
      <c r="C1448" t="s">
        <v>332</v>
      </c>
      <c r="D1448" s="88">
        <v>1.268E-2</v>
      </c>
      <c r="E1448" t="s">
        <v>386</v>
      </c>
      <c r="F1448">
        <v>1.268E-2</v>
      </c>
      <c r="G1448">
        <v>3.0599999999999998E-3</v>
      </c>
      <c r="H1448">
        <v>0</v>
      </c>
      <c r="I1448">
        <v>0</v>
      </c>
      <c r="J1448" t="s">
        <v>470</v>
      </c>
      <c r="K1448" s="17">
        <f t="shared" si="114"/>
        <v>0</v>
      </c>
      <c r="L1448" t="s">
        <v>537</v>
      </c>
    </row>
    <row r="1449" spans="2:12" x14ac:dyDescent="0.2">
      <c r="B1449" s="55"/>
      <c r="C1449" t="s">
        <v>283</v>
      </c>
      <c r="D1449" s="88">
        <v>1.2700000000000001E-3</v>
      </c>
      <c r="E1449" t="s">
        <v>387</v>
      </c>
      <c r="F1449">
        <v>1.2700000000000001E-3</v>
      </c>
      <c r="G1449">
        <v>3.0599999999999998E-3</v>
      </c>
      <c r="H1449">
        <f>PSI_OC!$A$7</f>
        <v>10</v>
      </c>
      <c r="I1449">
        <v>-1</v>
      </c>
      <c r="J1449" t="s">
        <v>471</v>
      </c>
      <c r="K1449" s="17">
        <f t="shared" si="114"/>
        <v>-44174.962294925033</v>
      </c>
      <c r="L1449" t="s">
        <v>537</v>
      </c>
    </row>
    <row r="1450" spans="2:12" x14ac:dyDescent="0.2">
      <c r="B1450" s="55"/>
      <c r="C1450" t="s">
        <v>284</v>
      </c>
      <c r="D1450" s="88">
        <v>1.2999999999999999E-4</v>
      </c>
      <c r="E1450" t="s">
        <v>388</v>
      </c>
      <c r="F1450">
        <v>1.2999999999999999E-4</v>
      </c>
      <c r="G1450">
        <v>3.0602</v>
      </c>
      <c r="H1450">
        <f>PSI_OC!$A$7</f>
        <v>10</v>
      </c>
      <c r="I1450">
        <v>-1</v>
      </c>
      <c r="J1450" t="s">
        <v>472</v>
      </c>
      <c r="K1450" s="17">
        <f t="shared" si="114"/>
        <v>-37552517.267221421</v>
      </c>
      <c r="L1450" t="s">
        <v>537</v>
      </c>
    </row>
    <row r="1451" spans="2:12" x14ac:dyDescent="0.2">
      <c r="B1451" s="55"/>
      <c r="C1451" t="s">
        <v>285</v>
      </c>
      <c r="D1451" s="88">
        <v>1.2700000000000001E-3</v>
      </c>
      <c r="E1451" t="s">
        <v>389</v>
      </c>
      <c r="F1451">
        <v>1.2700000000000001E-3</v>
      </c>
      <c r="G1451">
        <v>3.0599999999999998E-3</v>
      </c>
      <c r="H1451">
        <f>PSI_OC!$A$7</f>
        <v>10</v>
      </c>
      <c r="I1451">
        <v>-1</v>
      </c>
      <c r="J1451" t="s">
        <v>473</v>
      </c>
      <c r="K1451" s="17">
        <f t="shared" si="114"/>
        <v>-44174.962294925033</v>
      </c>
      <c r="L1451" t="s">
        <v>537</v>
      </c>
    </row>
    <row r="1452" spans="2:12" x14ac:dyDescent="0.2">
      <c r="B1452" s="55"/>
      <c r="C1452" t="s">
        <v>286</v>
      </c>
      <c r="D1452" s="88">
        <v>1.268E-2</v>
      </c>
      <c r="E1452" t="s">
        <v>390</v>
      </c>
      <c r="F1452">
        <v>1.268E-2</v>
      </c>
      <c r="G1452">
        <v>3.0599999999999998E-3</v>
      </c>
      <c r="H1452">
        <f>PSI_OC!$A$6</f>
        <v>100</v>
      </c>
      <c r="I1452">
        <v>-1</v>
      </c>
      <c r="J1452" t="s">
        <v>474</v>
      </c>
      <c r="K1452" s="17">
        <f t="shared" si="114"/>
        <v>-1037008.1949385534</v>
      </c>
      <c r="L1452" t="s">
        <v>537</v>
      </c>
    </row>
    <row r="1453" spans="2:12" x14ac:dyDescent="0.2">
      <c r="B1453" s="55"/>
      <c r="C1453" t="s">
        <v>287</v>
      </c>
      <c r="D1453" s="88">
        <v>1.2700000000000001E-3</v>
      </c>
      <c r="E1453" t="s">
        <v>391</v>
      </c>
      <c r="F1453">
        <v>1.2700000000000001E-3</v>
      </c>
      <c r="G1453">
        <v>3.0599999999999998E-3</v>
      </c>
      <c r="H1453">
        <f>PSI_OC!$A$6</f>
        <v>100</v>
      </c>
      <c r="I1453">
        <v>-1</v>
      </c>
      <c r="J1453" t="s">
        <v>475</v>
      </c>
      <c r="K1453" s="17">
        <f t="shared" si="114"/>
        <v>-441749.62294925033</v>
      </c>
      <c r="L1453" t="s">
        <v>537</v>
      </c>
    </row>
    <row r="1454" spans="2:12" x14ac:dyDescent="0.2">
      <c r="B1454" s="55"/>
      <c r="C1454" t="s">
        <v>288</v>
      </c>
      <c r="D1454" s="88">
        <v>1.2700000000000001E-3</v>
      </c>
      <c r="E1454" t="s">
        <v>392</v>
      </c>
      <c r="F1454">
        <v>1.2700000000000001E-3</v>
      </c>
      <c r="G1454">
        <v>3.0599999999999998E-3</v>
      </c>
      <c r="H1454">
        <f>PSI_OC!$A$6</f>
        <v>100</v>
      </c>
      <c r="I1454">
        <v>-1</v>
      </c>
      <c r="J1454" t="s">
        <v>476</v>
      </c>
      <c r="K1454" s="17">
        <f t="shared" si="114"/>
        <v>-441749.62294925033</v>
      </c>
      <c r="L1454" t="s">
        <v>537</v>
      </c>
    </row>
    <row r="1455" spans="2:12" x14ac:dyDescent="0.2">
      <c r="B1455" s="55"/>
      <c r="C1455" t="s">
        <v>333</v>
      </c>
      <c r="D1455" s="88">
        <v>1.2700000000000001E-3</v>
      </c>
      <c r="E1455" t="s">
        <v>340</v>
      </c>
      <c r="F1455">
        <v>1.2700000000000001E-3</v>
      </c>
      <c r="G1455">
        <v>3.0599999999999998E-3</v>
      </c>
      <c r="H1455">
        <f>PSI_OC!$A$7</f>
        <v>10</v>
      </c>
      <c r="I1455">
        <v>-1</v>
      </c>
      <c r="J1455" t="s">
        <v>424</v>
      </c>
      <c r="K1455" s="17">
        <f t="shared" si="114"/>
        <v>-44174.962294925033</v>
      </c>
      <c r="L1455" t="s">
        <v>537</v>
      </c>
    </row>
    <row r="1456" spans="2:12" x14ac:dyDescent="0.2">
      <c r="B1456" s="55"/>
      <c r="C1456" t="s">
        <v>334</v>
      </c>
      <c r="D1456" s="88">
        <v>1.268E-2</v>
      </c>
      <c r="E1456" t="s">
        <v>393</v>
      </c>
      <c r="F1456">
        <v>1.268E-2</v>
      </c>
      <c r="G1456">
        <v>3.0599999999999999E-2</v>
      </c>
      <c r="H1456">
        <v>0</v>
      </c>
      <c r="I1456">
        <v>0</v>
      </c>
      <c r="J1456" t="s">
        <v>477</v>
      </c>
      <c r="K1456" s="17">
        <f t="shared" si="114"/>
        <v>0</v>
      </c>
      <c r="L1456" t="s">
        <v>537</v>
      </c>
    </row>
    <row r="1457" spans="2:12" x14ac:dyDescent="0.2">
      <c r="B1457" s="55"/>
      <c r="C1457" t="s">
        <v>335</v>
      </c>
      <c r="D1457" s="88">
        <v>1.2700000000000001E-3</v>
      </c>
      <c r="E1457" t="s">
        <v>394</v>
      </c>
      <c r="F1457">
        <v>1.2700000000000001E-3</v>
      </c>
      <c r="G1457">
        <v>3.0599999999999998E-3</v>
      </c>
      <c r="H1457">
        <f>PSI_OC!$A$7</f>
        <v>10</v>
      </c>
      <c r="I1457">
        <v>-1</v>
      </c>
      <c r="J1457" t="s">
        <v>478</v>
      </c>
      <c r="K1457" s="17">
        <f t="shared" si="114"/>
        <v>-44174.962294925033</v>
      </c>
      <c r="L1457" t="s">
        <v>537</v>
      </c>
    </row>
    <row r="1458" spans="2:12" x14ac:dyDescent="0.2">
      <c r="B1458" s="55"/>
      <c r="C1458" t="s">
        <v>289</v>
      </c>
      <c r="D1458" s="88">
        <v>1.2700000000000001E-3</v>
      </c>
      <c r="E1458" t="s">
        <v>395</v>
      </c>
      <c r="F1458">
        <v>1.2700000000000001E-3</v>
      </c>
      <c r="G1458">
        <v>0.30602000000000001</v>
      </c>
      <c r="H1458">
        <f>PSI_OC!$A$7</f>
        <v>10</v>
      </c>
      <c r="I1458">
        <v>-1</v>
      </c>
      <c r="J1458" t="s">
        <v>479</v>
      </c>
      <c r="K1458" s="17">
        <f t="shared" si="114"/>
        <v>-3761809.4832952409</v>
      </c>
      <c r="L1458" t="s">
        <v>537</v>
      </c>
    </row>
    <row r="1459" spans="2:12" x14ac:dyDescent="0.2">
      <c r="B1459" s="55"/>
      <c r="C1459" t="s">
        <v>290</v>
      </c>
      <c r="D1459" s="88">
        <v>1.2999999999999999E-4</v>
      </c>
      <c r="E1459" t="s">
        <v>396</v>
      </c>
      <c r="F1459">
        <v>1.2999999999999999E-4</v>
      </c>
      <c r="G1459">
        <v>3.1E-4</v>
      </c>
      <c r="H1459">
        <f>PSI_OC!$A$7</f>
        <v>10</v>
      </c>
      <c r="I1459">
        <v>-1</v>
      </c>
      <c r="J1459" t="s">
        <v>480</v>
      </c>
      <c r="K1459" s="17">
        <f t="shared" si="114"/>
        <v>-4482.2313630370954</v>
      </c>
      <c r="L1459" t="s">
        <v>537</v>
      </c>
    </row>
    <row r="1460" spans="2:12" x14ac:dyDescent="0.2">
      <c r="B1460" s="55"/>
      <c r="C1460" t="s">
        <v>291</v>
      </c>
      <c r="D1460" s="88">
        <v>1.2999999999999999E-4</v>
      </c>
      <c r="E1460" t="s">
        <v>397</v>
      </c>
      <c r="F1460">
        <v>1.2999999999999999E-4</v>
      </c>
      <c r="G1460">
        <v>3.1E-4</v>
      </c>
      <c r="H1460">
        <f>PSI_OC!$A$8</f>
        <v>1</v>
      </c>
      <c r="I1460">
        <v>-1</v>
      </c>
      <c r="J1460" t="s">
        <v>481</v>
      </c>
      <c r="K1460" s="17">
        <f t="shared" si="114"/>
        <v>-448.22313630370951</v>
      </c>
      <c r="L1460" t="s">
        <v>537</v>
      </c>
    </row>
    <row r="1461" spans="2:12" x14ac:dyDescent="0.2">
      <c r="B1461" s="55"/>
      <c r="C1461" t="s">
        <v>292</v>
      </c>
      <c r="D1461" s="88">
        <v>1.268E-2</v>
      </c>
      <c r="E1461" t="s">
        <v>360</v>
      </c>
      <c r="F1461">
        <v>1.268E-2</v>
      </c>
      <c r="G1461">
        <v>3.0599999999999998E-3</v>
      </c>
      <c r="H1461">
        <f>PSI_OC!$A$6</f>
        <v>100</v>
      </c>
      <c r="I1461">
        <v>-1</v>
      </c>
      <c r="J1461" t="s">
        <v>444</v>
      </c>
      <c r="K1461" s="17">
        <f t="shared" si="114"/>
        <v>-1037008.1949385534</v>
      </c>
      <c r="L1461" t="s">
        <v>537</v>
      </c>
    </row>
    <row r="1462" spans="2:12" x14ac:dyDescent="0.2">
      <c r="B1462" s="55"/>
      <c r="C1462" t="s">
        <v>293</v>
      </c>
      <c r="D1462" s="88">
        <v>1.26824</v>
      </c>
      <c r="E1462" t="s">
        <v>398</v>
      </c>
      <c r="F1462">
        <v>1.26824</v>
      </c>
      <c r="G1462">
        <v>3.0599999999999998E-3</v>
      </c>
      <c r="H1462">
        <f>PSI_OC!$A$7</f>
        <v>10</v>
      </c>
      <c r="I1462">
        <v>-1</v>
      </c>
      <c r="J1462" t="s">
        <v>482</v>
      </c>
      <c r="K1462" s="17">
        <f t="shared" si="114"/>
        <v>-6653944.9268285558</v>
      </c>
      <c r="L1462" t="s">
        <v>537</v>
      </c>
    </row>
    <row r="1463" spans="2:12" x14ac:dyDescent="0.2">
      <c r="B1463" s="55"/>
      <c r="C1463" t="s">
        <v>294</v>
      </c>
      <c r="D1463" s="88">
        <v>1.2999999999999999E-4</v>
      </c>
      <c r="E1463" t="s">
        <v>399</v>
      </c>
      <c r="F1463">
        <v>1.2999999999999999E-4</v>
      </c>
      <c r="G1463">
        <v>3.1E-4</v>
      </c>
      <c r="H1463">
        <f>PSI_OC!$A$8</f>
        <v>1</v>
      </c>
      <c r="I1463">
        <v>-1</v>
      </c>
      <c r="J1463" t="s">
        <v>483</v>
      </c>
      <c r="K1463" s="17">
        <f t="shared" si="114"/>
        <v>-448.22313630370951</v>
      </c>
      <c r="L1463" t="s">
        <v>537</v>
      </c>
    </row>
    <row r="1464" spans="2:12" x14ac:dyDescent="0.2">
      <c r="B1464" s="55"/>
      <c r="C1464" t="s">
        <v>336</v>
      </c>
      <c r="D1464" s="88">
        <v>1.2700000000000001E-3</v>
      </c>
      <c r="E1464" t="s">
        <v>400</v>
      </c>
      <c r="F1464">
        <v>1.2700000000000001E-3</v>
      </c>
      <c r="G1464">
        <v>0</v>
      </c>
      <c r="H1464">
        <f>PSI_OC!$A$6</f>
        <v>100</v>
      </c>
      <c r="I1464">
        <v>-1</v>
      </c>
      <c r="J1464" t="s">
        <v>484</v>
      </c>
      <c r="K1464" s="17">
        <f t="shared" si="114"/>
        <v>-66255.774445785704</v>
      </c>
      <c r="L1464" t="s">
        <v>537</v>
      </c>
    </row>
    <row r="1465" spans="2:12" x14ac:dyDescent="0.2">
      <c r="B1465" s="55"/>
      <c r="C1465" t="s">
        <v>295</v>
      </c>
      <c r="D1465" s="88">
        <v>1.2999999999999999E-4</v>
      </c>
      <c r="E1465" t="s">
        <v>401</v>
      </c>
      <c r="F1465">
        <v>1.2999999999999999E-4</v>
      </c>
      <c r="G1465">
        <v>3.1E-4</v>
      </c>
      <c r="H1465">
        <f>PSI_OC!$A$6</f>
        <v>100</v>
      </c>
      <c r="I1465">
        <v>-1</v>
      </c>
      <c r="J1465" t="s">
        <v>485</v>
      </c>
      <c r="K1465" s="17">
        <f t="shared" si="114"/>
        <v>-44822.313630370954</v>
      </c>
      <c r="L1465" t="s">
        <v>537</v>
      </c>
    </row>
    <row r="1466" spans="2:12" x14ac:dyDescent="0.2">
      <c r="B1466" s="55"/>
      <c r="C1466" t="s">
        <v>296</v>
      </c>
      <c r="D1466" s="88">
        <v>1.26824</v>
      </c>
      <c r="E1466" t="s">
        <v>402</v>
      </c>
      <c r="F1466">
        <v>1.26824</v>
      </c>
      <c r="G1466">
        <v>3.0599999999999998E-3</v>
      </c>
      <c r="H1466">
        <f>PSI_OC!$A$7</f>
        <v>10</v>
      </c>
      <c r="I1466">
        <v>-1</v>
      </c>
      <c r="J1466" t="s">
        <v>486</v>
      </c>
      <c r="K1466" s="17">
        <f t="shared" si="114"/>
        <v>-6653944.9268285558</v>
      </c>
      <c r="L1466" t="s">
        <v>537</v>
      </c>
    </row>
    <row r="1467" spans="2:12" x14ac:dyDescent="0.2">
      <c r="B1467" s="55"/>
      <c r="C1467" t="s">
        <v>297</v>
      </c>
      <c r="D1467" s="88">
        <v>1.2999999999999999E-4</v>
      </c>
      <c r="E1467" t="s">
        <v>403</v>
      </c>
      <c r="F1467">
        <v>1.2999999999999999E-4</v>
      </c>
      <c r="G1467">
        <v>3.0599999999999998E-3</v>
      </c>
      <c r="H1467">
        <f>PSI_OC!$A$7</f>
        <v>10</v>
      </c>
      <c r="I1467">
        <v>-1</v>
      </c>
      <c r="J1467" t="s">
        <v>487</v>
      </c>
      <c r="K1467" s="17">
        <f t="shared" si="114"/>
        <v>-38227.593565145842</v>
      </c>
      <c r="L1467" t="s">
        <v>537</v>
      </c>
    </row>
    <row r="1468" spans="2:12" x14ac:dyDescent="0.2">
      <c r="B1468" s="55"/>
      <c r="C1468" t="s">
        <v>298</v>
      </c>
      <c r="D1468" s="88">
        <v>1.2700000000000001E-3</v>
      </c>
      <c r="E1468" t="s">
        <v>394</v>
      </c>
      <c r="F1468">
        <v>1.2999999999999999E-4</v>
      </c>
      <c r="G1468">
        <v>3.0599999999999998E-3</v>
      </c>
      <c r="H1468">
        <f>PSI_OC!$A$7</f>
        <v>10</v>
      </c>
      <c r="I1468">
        <v>-1</v>
      </c>
      <c r="J1468" t="s">
        <v>478</v>
      </c>
      <c r="K1468" s="17">
        <f t="shared" si="114"/>
        <v>-38715.27392225252</v>
      </c>
      <c r="L1468" t="s">
        <v>537</v>
      </c>
    </row>
    <row r="1469" spans="2:12" x14ac:dyDescent="0.2">
      <c r="B1469" s="55"/>
      <c r="C1469" t="s">
        <v>299</v>
      </c>
      <c r="D1469" s="88">
        <v>1.2999999999999999E-4</v>
      </c>
      <c r="E1469" t="s">
        <v>404</v>
      </c>
      <c r="F1469">
        <v>1.2999999999999999E-4</v>
      </c>
      <c r="G1469">
        <v>0.30602000000000001</v>
      </c>
      <c r="H1469">
        <f>PSI_OC!$A$7</f>
        <v>10</v>
      </c>
      <c r="I1469">
        <v>-1</v>
      </c>
      <c r="J1469" t="s">
        <v>488</v>
      </c>
      <c r="K1469" s="17">
        <f t="shared" si="114"/>
        <v>-3755862.1145654614</v>
      </c>
      <c r="L1469" t="s">
        <v>537</v>
      </c>
    </row>
    <row r="1470" spans="2:12" x14ac:dyDescent="0.2">
      <c r="B1470" s="55"/>
      <c r="C1470" t="s">
        <v>300</v>
      </c>
      <c r="D1470" s="88">
        <v>0.12681999999999999</v>
      </c>
      <c r="E1470" t="s">
        <v>405</v>
      </c>
      <c r="F1470">
        <v>0.12681999999999999</v>
      </c>
      <c r="G1470">
        <v>3.0599999999999998E-3</v>
      </c>
      <c r="H1470">
        <f>PSI_OC!$A$7</f>
        <v>10</v>
      </c>
      <c r="I1470">
        <v>-1</v>
      </c>
      <c r="J1470" t="s">
        <v>489</v>
      </c>
      <c r="K1470" s="17">
        <f t="shared" si="114"/>
        <v>-699168.07108771184</v>
      </c>
      <c r="L1470" t="s">
        <v>537</v>
      </c>
    </row>
    <row r="1471" spans="2:12" x14ac:dyDescent="0.2">
      <c r="B1471" s="55"/>
      <c r="C1471" t="s">
        <v>301</v>
      </c>
      <c r="D1471" s="88">
        <v>1.2700000000000001E-3</v>
      </c>
      <c r="E1471" t="s">
        <v>406</v>
      </c>
      <c r="F1471">
        <v>1.2700000000000001E-3</v>
      </c>
      <c r="G1471">
        <v>0.30602000000000001</v>
      </c>
      <c r="H1471">
        <f>PSI_OC!$A$6</f>
        <v>100</v>
      </c>
      <c r="I1471">
        <v>-1</v>
      </c>
      <c r="J1471" t="s">
        <v>490</v>
      </c>
      <c r="K1471" s="17">
        <f t="shared" si="114"/>
        <v>-37618094.83295241</v>
      </c>
      <c r="L1471" t="s">
        <v>537</v>
      </c>
    </row>
    <row r="1472" spans="2:12" x14ac:dyDescent="0.2">
      <c r="B1472" s="55"/>
      <c r="C1472" t="s">
        <v>302</v>
      </c>
      <c r="D1472" s="88">
        <v>1.2700000000000001E-3</v>
      </c>
      <c r="E1472" t="s">
        <v>407</v>
      </c>
      <c r="F1472">
        <v>1.2700000000000001E-3</v>
      </c>
      <c r="G1472">
        <v>3.0599999999999998E-3</v>
      </c>
      <c r="H1472">
        <f>PSI_OC!$A$6</f>
        <v>100</v>
      </c>
      <c r="I1472">
        <v>-1</v>
      </c>
      <c r="J1472" t="s">
        <v>491</v>
      </c>
      <c r="K1472" s="17">
        <f t="shared" si="114"/>
        <v>-441749.62294925033</v>
      </c>
      <c r="L1472" t="s">
        <v>537</v>
      </c>
    </row>
    <row r="1473" spans="1:15" x14ac:dyDescent="0.2">
      <c r="B1473" s="55"/>
      <c r="C1473" t="s">
        <v>303</v>
      </c>
      <c r="D1473" s="88">
        <v>1.2700000000000001E-3</v>
      </c>
      <c r="E1473" t="s">
        <v>408</v>
      </c>
      <c r="F1473">
        <v>1.2700000000000001E-3</v>
      </c>
      <c r="G1473">
        <v>3.0599999999999998E-3</v>
      </c>
      <c r="H1473">
        <f>PSI_OC!$A$7</f>
        <v>10</v>
      </c>
      <c r="I1473">
        <v>-1</v>
      </c>
      <c r="J1473" t="s">
        <v>492</v>
      </c>
      <c r="K1473" s="17">
        <f t="shared" ref="K1473:K1482" si="115">((SUM(B$1377,B$1380)*F1473)+(SUM(B$1378:B$1379,B$1384)*D1473)+(SUM(B$1381:B$1383,B$1385:B$1386)*G1473))*H1473*I1473</f>
        <v>-44174.962294925033</v>
      </c>
      <c r="L1473" t="s">
        <v>537</v>
      </c>
    </row>
    <row r="1474" spans="1:15" x14ac:dyDescent="0.2">
      <c r="B1474" s="55"/>
      <c r="C1474" t="s">
        <v>304</v>
      </c>
      <c r="D1474" s="88">
        <v>1.26824</v>
      </c>
      <c r="E1474" t="s">
        <v>409</v>
      </c>
      <c r="F1474">
        <v>1.26824</v>
      </c>
      <c r="G1474">
        <v>3.0602</v>
      </c>
      <c r="H1474">
        <f>PSI_OC!$A$6</f>
        <v>100</v>
      </c>
      <c r="I1474">
        <v>-1</v>
      </c>
      <c r="J1474" t="s">
        <v>493</v>
      </c>
      <c r="K1474" s="17">
        <f t="shared" si="115"/>
        <v>-441682346.0048483</v>
      </c>
      <c r="L1474" t="s">
        <v>537</v>
      </c>
    </row>
    <row r="1475" spans="1:15" x14ac:dyDescent="0.2">
      <c r="B1475" s="55"/>
      <c r="C1475" t="s">
        <v>305</v>
      </c>
      <c r="D1475" s="88">
        <v>1.2700000000000001E-3</v>
      </c>
      <c r="E1475" t="s">
        <v>410</v>
      </c>
      <c r="F1475">
        <v>1.2700000000000001E-3</v>
      </c>
      <c r="G1475">
        <v>3.0599999999999998E-3</v>
      </c>
      <c r="H1475">
        <f>PSI_OC!$A$7</f>
        <v>10</v>
      </c>
      <c r="I1475">
        <v>-1</v>
      </c>
      <c r="J1475" t="s">
        <v>494</v>
      </c>
      <c r="K1475" s="17">
        <f t="shared" si="115"/>
        <v>-44174.962294925033</v>
      </c>
      <c r="L1475" t="s">
        <v>537</v>
      </c>
    </row>
    <row r="1476" spans="1:15" x14ac:dyDescent="0.2">
      <c r="B1476" s="55"/>
      <c r="C1476" t="s">
        <v>306</v>
      </c>
      <c r="D1476" s="88">
        <v>1.2700000000000001E-3</v>
      </c>
      <c r="E1476" t="s">
        <v>411</v>
      </c>
      <c r="F1476">
        <v>1.2700000000000001E-3</v>
      </c>
      <c r="G1476">
        <v>3.0599999999999998E-3</v>
      </c>
      <c r="H1476">
        <f>PSI_OC!$A$8</f>
        <v>1</v>
      </c>
      <c r="I1476">
        <v>-1</v>
      </c>
      <c r="J1476" t="s">
        <v>495</v>
      </c>
      <c r="K1476" s="17">
        <f t="shared" si="115"/>
        <v>-4417.4962294925035</v>
      </c>
      <c r="L1476" t="s">
        <v>537</v>
      </c>
    </row>
    <row r="1477" spans="1:15" x14ac:dyDescent="0.2">
      <c r="B1477" s="55"/>
      <c r="C1477" t="s">
        <v>307</v>
      </c>
      <c r="D1477" s="88">
        <v>1.2700000000000001E-3</v>
      </c>
      <c r="E1477" t="s">
        <v>411</v>
      </c>
      <c r="F1477">
        <v>1.2700000000000001E-3</v>
      </c>
      <c r="G1477">
        <v>3.0599999999999998E-3</v>
      </c>
      <c r="H1477">
        <f>PSI_OC!$A$8</f>
        <v>1</v>
      </c>
      <c r="I1477">
        <v>-1</v>
      </c>
      <c r="J1477" t="s">
        <v>495</v>
      </c>
      <c r="K1477" s="17">
        <f t="shared" si="115"/>
        <v>-4417.4962294925035</v>
      </c>
      <c r="L1477" t="s">
        <v>537</v>
      </c>
    </row>
    <row r="1478" spans="1:15" x14ac:dyDescent="0.2">
      <c r="B1478" s="55"/>
      <c r="C1478" t="s">
        <v>337</v>
      </c>
      <c r="D1478" s="88">
        <v>0.12681999999999999</v>
      </c>
      <c r="E1478" t="s">
        <v>412</v>
      </c>
      <c r="F1478">
        <v>0.12681999999999999</v>
      </c>
      <c r="G1478">
        <v>3.0599999999999998E-3</v>
      </c>
      <c r="H1478">
        <v>0</v>
      </c>
      <c r="I1478">
        <v>0</v>
      </c>
      <c r="J1478" t="s">
        <v>496</v>
      </c>
      <c r="K1478" s="17">
        <f t="shared" si="115"/>
        <v>0</v>
      </c>
      <c r="L1478" t="s">
        <v>537</v>
      </c>
    </row>
    <row r="1479" spans="1:15" x14ac:dyDescent="0.2">
      <c r="B1479" s="55"/>
      <c r="C1479" t="s">
        <v>308</v>
      </c>
      <c r="D1479" s="88">
        <v>1.2700000000000001E-3</v>
      </c>
      <c r="E1479" t="s">
        <v>413</v>
      </c>
      <c r="F1479">
        <v>1.2700000000000001E-3</v>
      </c>
      <c r="G1479">
        <v>3.0599999999999998E-3</v>
      </c>
      <c r="H1479">
        <f>PSI_OC!$A$7</f>
        <v>10</v>
      </c>
      <c r="I1479">
        <v>-1</v>
      </c>
      <c r="J1479" t="s">
        <v>497</v>
      </c>
      <c r="K1479" s="17">
        <f t="shared" si="115"/>
        <v>-44174.962294925033</v>
      </c>
      <c r="L1479" t="s">
        <v>537</v>
      </c>
    </row>
    <row r="1480" spans="1:15" x14ac:dyDescent="0.2">
      <c r="B1480" s="55"/>
      <c r="C1480" t="s">
        <v>309</v>
      </c>
      <c r="D1480" s="88">
        <v>1.2700000000000001E-3</v>
      </c>
      <c r="E1480" t="s">
        <v>413</v>
      </c>
      <c r="F1480">
        <v>1.2700000000000001E-3</v>
      </c>
      <c r="G1480">
        <v>3.0599999999999998E-3</v>
      </c>
      <c r="H1480">
        <f>PSI_OC!$A$7</f>
        <v>10</v>
      </c>
      <c r="I1480">
        <v>-1</v>
      </c>
      <c r="J1480" t="s">
        <v>497</v>
      </c>
      <c r="K1480" s="17">
        <f t="shared" si="115"/>
        <v>-44174.962294925033</v>
      </c>
      <c r="L1480" t="s">
        <v>537</v>
      </c>
    </row>
    <row r="1481" spans="1:15" x14ac:dyDescent="0.2">
      <c r="B1481" s="55"/>
      <c r="C1481" t="s">
        <v>310</v>
      </c>
      <c r="D1481" s="88">
        <v>1.2700000000000001E-3</v>
      </c>
      <c r="E1481" t="s">
        <v>413</v>
      </c>
      <c r="F1481">
        <v>1.2700000000000001E-3</v>
      </c>
      <c r="G1481">
        <v>3.0599999999999998E-3</v>
      </c>
      <c r="H1481">
        <v>0</v>
      </c>
      <c r="I1481">
        <v>0</v>
      </c>
      <c r="J1481" t="s">
        <v>497</v>
      </c>
      <c r="K1481" s="17">
        <f t="shared" si="115"/>
        <v>0</v>
      </c>
      <c r="L1481" t="s">
        <v>537</v>
      </c>
    </row>
    <row r="1482" spans="1:15" x14ac:dyDescent="0.2">
      <c r="B1482" s="55"/>
      <c r="C1482" t="s">
        <v>311</v>
      </c>
      <c r="D1482" s="88">
        <v>1.2700000000000001E-3</v>
      </c>
      <c r="E1482" t="s">
        <v>414</v>
      </c>
      <c r="F1482">
        <v>1.2700000000000001E-3</v>
      </c>
      <c r="G1482">
        <v>3.1E-4</v>
      </c>
      <c r="H1482">
        <f>PSI_OC!$A$7</f>
        <v>10</v>
      </c>
      <c r="I1482">
        <v>-1</v>
      </c>
      <c r="J1482" t="s">
        <v>498</v>
      </c>
      <c r="K1482" s="17">
        <f t="shared" si="115"/>
        <v>-10429.600092816283</v>
      </c>
      <c r="L1482" t="s">
        <v>537</v>
      </c>
    </row>
    <row r="1483" spans="1:15" x14ac:dyDescent="0.2">
      <c r="B1483" s="55"/>
      <c r="C1483" s="55"/>
      <c r="D1483" s="55"/>
      <c r="E1483" s="55"/>
    </row>
    <row r="1484" spans="1:15" x14ac:dyDescent="0.2">
      <c r="B1484" s="55"/>
      <c r="C1484" s="55"/>
      <c r="D1484" s="55"/>
      <c r="E1484" s="55"/>
    </row>
    <row r="1485" spans="1:15" ht="22" customHeight="1" x14ac:dyDescent="0.2">
      <c r="A1485" s="417" t="s">
        <v>73</v>
      </c>
      <c r="B1485" s="418"/>
      <c r="C1485" s="418"/>
      <c r="D1485" s="418"/>
      <c r="E1485" s="418"/>
      <c r="F1485" s="418"/>
      <c r="G1485" s="418"/>
      <c r="H1485" s="418"/>
      <c r="I1485" s="418"/>
      <c r="J1485" s="418"/>
      <c r="K1485" s="418"/>
      <c r="L1485" s="418"/>
      <c r="M1485" s="418"/>
      <c r="N1485" s="418"/>
      <c r="O1485" s="418"/>
    </row>
    <row r="1486" spans="1:15" ht="15" customHeight="1" x14ac:dyDescent="0.2">
      <c r="A1486" s="419"/>
      <c r="B1486" s="420"/>
      <c r="C1486" s="420"/>
      <c r="D1486" s="420"/>
      <c r="E1486" s="420"/>
      <c r="F1486" s="420"/>
      <c r="G1486" s="420"/>
      <c r="H1486" s="420"/>
      <c r="I1486" s="420"/>
      <c r="J1486" s="420"/>
      <c r="K1486" s="420"/>
      <c r="L1486" s="420"/>
      <c r="M1486" s="420"/>
      <c r="N1486" s="420"/>
      <c r="O1486" s="420"/>
    </row>
    <row r="1487" spans="1:15" ht="16" customHeight="1" x14ac:dyDescent="0.2">
      <c r="A1487" s="358" t="s">
        <v>8</v>
      </c>
      <c r="B1487" s="363" t="s">
        <v>1022</v>
      </c>
      <c r="C1487" s="364" t="s">
        <v>503</v>
      </c>
      <c r="D1487" s="364"/>
      <c r="E1487" s="364"/>
      <c r="F1487" s="79" t="s">
        <v>512</v>
      </c>
      <c r="G1487" s="78" t="s">
        <v>507</v>
      </c>
      <c r="H1487" s="79" t="s">
        <v>511</v>
      </c>
      <c r="I1487" s="328" t="s">
        <v>421</v>
      </c>
      <c r="J1487" s="329"/>
      <c r="K1487" s="330"/>
      <c r="L1487" s="381" t="s">
        <v>28</v>
      </c>
      <c r="M1487" s="381"/>
      <c r="N1487" s="376" t="s">
        <v>420</v>
      </c>
      <c r="O1487" s="376"/>
    </row>
    <row r="1488" spans="1:15" x14ac:dyDescent="0.2">
      <c r="A1488" s="358"/>
      <c r="B1488" s="363"/>
      <c r="C1488" s="61" t="s">
        <v>502</v>
      </c>
      <c r="D1488" s="61"/>
      <c r="E1488" s="61"/>
      <c r="F1488" s="87" t="s">
        <v>509</v>
      </c>
      <c r="G1488" s="89" t="s">
        <v>506</v>
      </c>
      <c r="H1488" s="87" t="s">
        <v>510</v>
      </c>
      <c r="I1488" s="331"/>
      <c r="J1488" s="332"/>
      <c r="K1488" s="333"/>
      <c r="L1488" s="381"/>
      <c r="M1488" s="381"/>
      <c r="N1488" s="376"/>
      <c r="O1488" s="376"/>
    </row>
    <row r="1489" spans="1:15" x14ac:dyDescent="0.2">
      <c r="A1489" s="358"/>
      <c r="B1489" s="363"/>
      <c r="C1489" s="6" t="s">
        <v>317</v>
      </c>
      <c r="D1489" s="58" t="s">
        <v>319</v>
      </c>
      <c r="E1489" s="58" t="s">
        <v>5</v>
      </c>
      <c r="F1489" s="58" t="s">
        <v>319</v>
      </c>
      <c r="G1489" s="58" t="s">
        <v>319</v>
      </c>
      <c r="H1489" s="58" t="s">
        <v>319</v>
      </c>
      <c r="I1489" s="64" t="s">
        <v>0</v>
      </c>
      <c r="J1489" s="64" t="s">
        <v>499</v>
      </c>
      <c r="K1489" s="64" t="s">
        <v>5</v>
      </c>
      <c r="L1489" s="64" t="s">
        <v>0</v>
      </c>
      <c r="M1489" s="58" t="s">
        <v>5</v>
      </c>
      <c r="N1489" s="64" t="s">
        <v>0</v>
      </c>
      <c r="O1489" s="58" t="s">
        <v>5</v>
      </c>
    </row>
    <row r="1490" spans="1:15" ht="16" x14ac:dyDescent="0.2">
      <c r="A1490" s="81" t="s">
        <v>100</v>
      </c>
      <c r="B1490" s="82">
        <v>128111.62560546938</v>
      </c>
      <c r="C1490" t="s">
        <v>225</v>
      </c>
      <c r="D1490" s="88">
        <v>1.2999999999999999E-4</v>
      </c>
      <c r="E1490" t="s">
        <v>338</v>
      </c>
      <c r="F1490">
        <v>1.2999999999999999E-4</v>
      </c>
      <c r="G1490">
        <v>3.1E-4</v>
      </c>
      <c r="H1490">
        <v>1.2999999999999999E-4</v>
      </c>
      <c r="I1490">
        <f>$A$6</f>
        <v>100</v>
      </c>
      <c r="J1490">
        <v>-1</v>
      </c>
      <c r="K1490" t="s">
        <v>422</v>
      </c>
      <c r="L1490" s="17">
        <f t="shared" ref="L1490:L1521" si="116">((B$1490*F1490)+(SUM(B$1491,B$1495)*D1490)+(SUM(B$1492,B$1494,B$1496)*G1490)+(SUM(B$1493)*H1490))*I1490*J1490</f>
        <v>-65519.612570970559</v>
      </c>
      <c r="M1490" t="s">
        <v>537</v>
      </c>
      <c r="N1490" s="69">
        <f>SUM(L1490:L1595)</f>
        <v>-2680734086.8572388</v>
      </c>
      <c r="O1490" t="s">
        <v>537</v>
      </c>
    </row>
    <row r="1491" spans="1:15" ht="16" x14ac:dyDescent="0.2">
      <c r="A1491" s="51" t="s">
        <v>57</v>
      </c>
      <c r="B1491" s="82">
        <v>104139.7419701155</v>
      </c>
      <c r="C1491" t="s">
        <v>226</v>
      </c>
      <c r="D1491" s="88">
        <v>1.2999999999999999E-4</v>
      </c>
      <c r="E1491" t="s">
        <v>339</v>
      </c>
      <c r="F1491">
        <v>1.2999999999999999E-4</v>
      </c>
      <c r="G1491">
        <v>3.1E-4</v>
      </c>
      <c r="H1491">
        <v>1.2999999999999999E-4</v>
      </c>
      <c r="I1491">
        <f>$A$7</f>
        <v>10</v>
      </c>
      <c r="J1491">
        <v>-1</v>
      </c>
      <c r="K1491" t="s">
        <v>423</v>
      </c>
      <c r="L1491" s="17">
        <f t="shared" si="116"/>
        <v>-6551.9612570970557</v>
      </c>
      <c r="M1491" t="s">
        <v>537</v>
      </c>
    </row>
    <row r="1492" spans="1:15" ht="16" x14ac:dyDescent="0.2">
      <c r="A1492" s="51" t="s">
        <v>66</v>
      </c>
      <c r="B1492" s="82">
        <v>1019997.5078634584</v>
      </c>
      <c r="C1492" t="s">
        <v>227</v>
      </c>
      <c r="D1492" s="88">
        <v>1.2700000000000001E-3</v>
      </c>
      <c r="E1492" t="s">
        <v>340</v>
      </c>
      <c r="F1492">
        <v>1.2700000000000001E-3</v>
      </c>
      <c r="G1492">
        <v>3.0599999999999998E-3</v>
      </c>
      <c r="H1492">
        <v>1.2700000000000001E-3</v>
      </c>
      <c r="I1492">
        <f>$A$7</f>
        <v>10</v>
      </c>
      <c r="J1492">
        <v>-1</v>
      </c>
      <c r="K1492" t="s">
        <v>424</v>
      </c>
      <c r="L1492" s="17">
        <f t="shared" si="116"/>
        <v>-64629.390490158054</v>
      </c>
      <c r="M1492" t="s">
        <v>537</v>
      </c>
    </row>
    <row r="1493" spans="1:15" ht="16" x14ac:dyDescent="0.2">
      <c r="A1493" s="51" t="s">
        <v>58</v>
      </c>
      <c r="B1493" s="82">
        <v>2399.006746810102</v>
      </c>
      <c r="C1493" t="s">
        <v>228</v>
      </c>
      <c r="D1493" s="88">
        <v>0.12681999999999999</v>
      </c>
      <c r="E1493" t="s">
        <v>341</v>
      </c>
      <c r="F1493">
        <v>0.12681999999999999</v>
      </c>
      <c r="G1493">
        <v>3.0599999999999998E-3</v>
      </c>
      <c r="H1493">
        <v>0.12681999999999999</v>
      </c>
      <c r="I1493">
        <f>$A$7</f>
        <v>10</v>
      </c>
      <c r="J1493">
        <v>-1</v>
      </c>
      <c r="K1493" t="s">
        <v>425</v>
      </c>
      <c r="L1493" s="17">
        <f t="shared" si="116"/>
        <v>-489980.38149540493</v>
      </c>
      <c r="M1493" t="s">
        <v>537</v>
      </c>
    </row>
    <row r="1494" spans="1:15" ht="16" x14ac:dyDescent="0.2">
      <c r="A1494" s="51" t="s">
        <v>59</v>
      </c>
      <c r="B1494" s="82">
        <v>2842.2689287693888</v>
      </c>
      <c r="C1494" t="s">
        <v>229</v>
      </c>
      <c r="D1494" s="88">
        <v>1.268E-2</v>
      </c>
      <c r="E1494" t="s">
        <v>342</v>
      </c>
      <c r="F1494">
        <v>1.268E-2</v>
      </c>
      <c r="G1494">
        <v>3.0599999999999998E-3</v>
      </c>
      <c r="H1494">
        <v>1.268E-2</v>
      </c>
      <c r="I1494">
        <f>$A$6</f>
        <v>100</v>
      </c>
      <c r="J1494">
        <v>-1</v>
      </c>
      <c r="K1494" t="s">
        <v>426</v>
      </c>
      <c r="L1494" s="17">
        <f t="shared" si="116"/>
        <v>-1032853.4275913351</v>
      </c>
      <c r="M1494" t="s">
        <v>537</v>
      </c>
    </row>
    <row r="1495" spans="1:15" ht="16" x14ac:dyDescent="0.2">
      <c r="A1495" s="51" t="s">
        <v>60</v>
      </c>
      <c r="B1495" s="82">
        <v>104139.7419701155</v>
      </c>
      <c r="C1495" t="s">
        <v>230</v>
      </c>
      <c r="D1495" s="88">
        <v>0.12681999999999999</v>
      </c>
      <c r="E1495" t="s">
        <v>343</v>
      </c>
      <c r="F1495">
        <v>0.12681999999999999</v>
      </c>
      <c r="G1495">
        <v>3.0602</v>
      </c>
      <c r="H1495">
        <v>0.12681999999999999</v>
      </c>
      <c r="I1495">
        <f>$A$6</f>
        <v>100</v>
      </c>
      <c r="J1495">
        <v>-1</v>
      </c>
      <c r="K1495" t="s">
        <v>427</v>
      </c>
      <c r="L1495" s="17">
        <f t="shared" si="116"/>
        <v>-607603525.63954961</v>
      </c>
      <c r="M1495" t="s">
        <v>537</v>
      </c>
    </row>
    <row r="1496" spans="1:15" ht="16" x14ac:dyDescent="0.2">
      <c r="A1496" s="81" t="s">
        <v>148</v>
      </c>
      <c r="B1496" s="82">
        <v>948622.83801964088</v>
      </c>
      <c r="C1496" t="s">
        <v>231</v>
      </c>
      <c r="D1496" s="88">
        <v>0.12681999999999999</v>
      </c>
      <c r="E1496" t="s">
        <v>344</v>
      </c>
      <c r="F1496">
        <v>1.26824</v>
      </c>
      <c r="G1496">
        <v>3.0599999999999998E-3</v>
      </c>
      <c r="H1496">
        <v>1.2700000000000001E-3</v>
      </c>
      <c r="I1496">
        <f>$A$7</f>
        <v>10</v>
      </c>
      <c r="J1496">
        <v>-1</v>
      </c>
      <c r="K1496" t="s">
        <v>428</v>
      </c>
      <c r="L1496" s="17">
        <f t="shared" si="116"/>
        <v>-1949260.1455107341</v>
      </c>
      <c r="M1496" t="s">
        <v>537</v>
      </c>
    </row>
    <row r="1497" spans="1:15" x14ac:dyDescent="0.2">
      <c r="A1497" s="1" t="s">
        <v>17</v>
      </c>
      <c r="B1497" s="96">
        <v>2310252.7311043791</v>
      </c>
      <c r="C1497" t="s">
        <v>232</v>
      </c>
      <c r="D1497" s="88">
        <v>1.2999999999999999E-4</v>
      </c>
      <c r="E1497" t="s">
        <v>345</v>
      </c>
      <c r="F1497">
        <v>1.2999999999999999E-4</v>
      </c>
      <c r="G1497">
        <v>3.1E-4</v>
      </c>
      <c r="H1497">
        <v>1.2999999999999999E-4</v>
      </c>
      <c r="I1497">
        <f>$A$7</f>
        <v>10</v>
      </c>
      <c r="J1497">
        <v>-1</v>
      </c>
      <c r="K1497" t="s">
        <v>429</v>
      </c>
      <c r="L1497" s="17">
        <f t="shared" si="116"/>
        <v>-6551.9612570970557</v>
      </c>
      <c r="M1497" t="s">
        <v>537</v>
      </c>
    </row>
    <row r="1498" spans="1:15" x14ac:dyDescent="0.2">
      <c r="B1498" s="55"/>
      <c r="C1498" t="s">
        <v>233</v>
      </c>
      <c r="D1498" s="88">
        <v>1.2999999999999999E-4</v>
      </c>
      <c r="E1498" t="s">
        <v>345</v>
      </c>
      <c r="F1498">
        <v>1.2999999999999999E-4</v>
      </c>
      <c r="G1498">
        <v>3.1E-4</v>
      </c>
      <c r="H1498">
        <v>1.2999999999999999E-4</v>
      </c>
      <c r="I1498">
        <f>$A$7</f>
        <v>10</v>
      </c>
      <c r="J1498">
        <v>-1</v>
      </c>
      <c r="K1498" t="s">
        <v>429</v>
      </c>
      <c r="L1498" s="17">
        <f t="shared" si="116"/>
        <v>-6551.9612570970557</v>
      </c>
      <c r="M1498" t="s">
        <v>537</v>
      </c>
    </row>
    <row r="1499" spans="1:15" ht="16" x14ac:dyDescent="0.2">
      <c r="A1499" s="66" t="s">
        <v>8</v>
      </c>
      <c r="B1499" s="76" t="s">
        <v>418</v>
      </c>
      <c r="C1499" t="s">
        <v>320</v>
      </c>
      <c r="D1499" s="88">
        <v>0</v>
      </c>
      <c r="E1499" t="s">
        <v>344</v>
      </c>
      <c r="F1499">
        <v>0</v>
      </c>
      <c r="G1499">
        <v>0.30602000000000001</v>
      </c>
      <c r="H1499">
        <v>0</v>
      </c>
      <c r="I1499">
        <f>$A$6</f>
        <v>100</v>
      </c>
      <c r="J1499">
        <v>-1</v>
      </c>
      <c r="K1499" t="s">
        <v>428</v>
      </c>
      <c r="L1499" s="17">
        <f t="shared" si="116"/>
        <v>-60330698.9384728</v>
      </c>
      <c r="M1499" t="s">
        <v>537</v>
      </c>
    </row>
    <row r="1500" spans="1:15" ht="16" x14ac:dyDescent="0.2">
      <c r="A1500" s="81" t="s">
        <v>100</v>
      </c>
      <c r="B1500" s="87" t="s">
        <v>509</v>
      </c>
      <c r="C1500" t="s">
        <v>321</v>
      </c>
      <c r="D1500" s="88">
        <v>0</v>
      </c>
      <c r="E1500" t="s">
        <v>344</v>
      </c>
      <c r="F1500">
        <v>0</v>
      </c>
      <c r="G1500">
        <v>0.30602000000000001</v>
      </c>
      <c r="H1500">
        <v>0</v>
      </c>
      <c r="I1500">
        <f>$A$6</f>
        <v>100</v>
      </c>
      <c r="J1500">
        <v>-1</v>
      </c>
      <c r="K1500" t="s">
        <v>428</v>
      </c>
      <c r="L1500" s="17">
        <f t="shared" si="116"/>
        <v>-60330698.9384728</v>
      </c>
      <c r="M1500" t="s">
        <v>537</v>
      </c>
    </row>
    <row r="1501" spans="1:15" ht="16" x14ac:dyDescent="0.2">
      <c r="A1501" s="51" t="s">
        <v>57</v>
      </c>
      <c r="B1501" s="61" t="s">
        <v>502</v>
      </c>
      <c r="C1501" t="s">
        <v>234</v>
      </c>
      <c r="D1501" s="88">
        <v>0</v>
      </c>
      <c r="E1501" t="s">
        <v>344</v>
      </c>
      <c r="F1501">
        <v>0</v>
      </c>
      <c r="G1501">
        <v>0.30602000000000001</v>
      </c>
      <c r="H1501">
        <v>0</v>
      </c>
      <c r="I1501">
        <v>0</v>
      </c>
      <c r="J1501">
        <v>0</v>
      </c>
      <c r="K1501" t="s">
        <v>428</v>
      </c>
      <c r="L1501" s="17">
        <f t="shared" si="116"/>
        <v>0</v>
      </c>
      <c r="M1501" t="s">
        <v>537</v>
      </c>
    </row>
    <row r="1502" spans="1:15" ht="16" x14ac:dyDescent="0.2">
      <c r="A1502" s="51" t="s">
        <v>66</v>
      </c>
      <c r="B1502" s="89" t="s">
        <v>506</v>
      </c>
      <c r="C1502" t="s">
        <v>235</v>
      </c>
      <c r="D1502" s="88">
        <v>0.12681999999999999</v>
      </c>
      <c r="E1502" t="s">
        <v>346</v>
      </c>
      <c r="F1502">
        <v>0.12681999999999999</v>
      </c>
      <c r="G1502">
        <v>0.30602000000000001</v>
      </c>
      <c r="H1502">
        <v>0.12681999999999999</v>
      </c>
      <c r="I1502">
        <f>$A$8</f>
        <v>1</v>
      </c>
      <c r="J1502">
        <v>1</v>
      </c>
      <c r="K1502" t="s">
        <v>430</v>
      </c>
      <c r="L1502" s="17">
        <f t="shared" si="116"/>
        <v>646272.35193294426</v>
      </c>
      <c r="M1502" t="s">
        <v>537</v>
      </c>
    </row>
    <row r="1503" spans="1:15" ht="16" x14ac:dyDescent="0.2">
      <c r="A1503" s="51" t="s">
        <v>58</v>
      </c>
      <c r="B1503" s="87" t="s">
        <v>510</v>
      </c>
      <c r="C1503" t="s">
        <v>236</v>
      </c>
      <c r="D1503" s="88">
        <v>1.2999999999999999E-4</v>
      </c>
      <c r="E1503" t="s">
        <v>347</v>
      </c>
      <c r="F1503">
        <v>1.2999999999999999E-4</v>
      </c>
      <c r="G1503">
        <v>3.0602</v>
      </c>
      <c r="H1503">
        <v>1.2999999999999999E-4</v>
      </c>
      <c r="I1503">
        <f>$A$7</f>
        <v>10</v>
      </c>
      <c r="J1503">
        <v>-1</v>
      </c>
      <c r="K1503" t="s">
        <v>431</v>
      </c>
      <c r="L1503" s="17">
        <f t="shared" si="116"/>
        <v>-60331139.365623973</v>
      </c>
      <c r="M1503" t="s">
        <v>537</v>
      </c>
    </row>
    <row r="1504" spans="1:15" ht="16" x14ac:dyDescent="0.2">
      <c r="A1504" s="51" t="s">
        <v>59</v>
      </c>
      <c r="B1504" s="89" t="s">
        <v>506</v>
      </c>
      <c r="C1504" t="s">
        <v>237</v>
      </c>
      <c r="D1504" s="88">
        <v>0.12681999999999999</v>
      </c>
      <c r="E1504" t="s">
        <v>348</v>
      </c>
      <c r="F1504">
        <v>0.12681999999999999</v>
      </c>
      <c r="G1504">
        <v>0.30602000000000001</v>
      </c>
      <c r="H1504">
        <v>0.12681999999999999</v>
      </c>
      <c r="I1504">
        <f>$A$6</f>
        <v>100</v>
      </c>
      <c r="J1504">
        <v>-1</v>
      </c>
      <c r="K1504" t="s">
        <v>432</v>
      </c>
      <c r="L1504" s="17">
        <f t="shared" si="116"/>
        <v>-64627235.193294428</v>
      </c>
      <c r="M1504" t="s">
        <v>537</v>
      </c>
    </row>
    <row r="1505" spans="1:13" ht="16" x14ac:dyDescent="0.2">
      <c r="A1505" s="51" t="s">
        <v>60</v>
      </c>
      <c r="B1505" s="61" t="s">
        <v>502</v>
      </c>
      <c r="C1505" t="s">
        <v>238</v>
      </c>
      <c r="D1505" s="88">
        <v>0</v>
      </c>
      <c r="E1505" t="s">
        <v>349</v>
      </c>
      <c r="F1505">
        <v>0</v>
      </c>
      <c r="G1505">
        <v>0</v>
      </c>
      <c r="H1505">
        <v>0</v>
      </c>
      <c r="I1505">
        <f>$A$7</f>
        <v>10</v>
      </c>
      <c r="J1505">
        <v>-1</v>
      </c>
      <c r="K1505" t="s">
        <v>433</v>
      </c>
      <c r="L1505" s="17">
        <f t="shared" si="116"/>
        <v>0</v>
      </c>
      <c r="M1505" t="s">
        <v>537</v>
      </c>
    </row>
    <row r="1506" spans="1:13" ht="16" x14ac:dyDescent="0.2">
      <c r="A1506" s="81" t="s">
        <v>148</v>
      </c>
      <c r="B1506" s="89" t="s">
        <v>506</v>
      </c>
      <c r="C1506" t="s">
        <v>239</v>
      </c>
      <c r="D1506" s="88">
        <v>1.2700000000000001E-3</v>
      </c>
      <c r="E1506" t="s">
        <v>348</v>
      </c>
      <c r="F1506">
        <v>1.2700000000000001E-3</v>
      </c>
      <c r="G1506">
        <v>3.0599999999999998E-3</v>
      </c>
      <c r="H1506">
        <v>1.2700000000000001E-3</v>
      </c>
      <c r="I1506">
        <f>$A$6</f>
        <v>100</v>
      </c>
      <c r="J1506">
        <v>-1</v>
      </c>
      <c r="K1506" t="s">
        <v>432</v>
      </c>
      <c r="L1506" s="17">
        <f t="shared" si="116"/>
        <v>-646293.90490158054</v>
      </c>
      <c r="M1506" t="s">
        <v>537</v>
      </c>
    </row>
    <row r="1507" spans="1:13" x14ac:dyDescent="0.2">
      <c r="B1507" s="55"/>
      <c r="C1507" t="s">
        <v>240</v>
      </c>
      <c r="D1507" s="88">
        <v>0</v>
      </c>
      <c r="E1507" t="s">
        <v>348</v>
      </c>
      <c r="F1507">
        <v>0</v>
      </c>
      <c r="G1507">
        <v>0</v>
      </c>
      <c r="H1507">
        <v>0</v>
      </c>
      <c r="I1507">
        <f>$A$6</f>
        <v>100</v>
      </c>
      <c r="J1507">
        <v>-1</v>
      </c>
      <c r="K1507" t="s">
        <v>432</v>
      </c>
      <c r="L1507" s="17">
        <f t="shared" si="116"/>
        <v>0</v>
      </c>
      <c r="M1507" t="s">
        <v>537</v>
      </c>
    </row>
    <row r="1508" spans="1:13" x14ac:dyDescent="0.2">
      <c r="B1508" s="55"/>
      <c r="C1508" t="s">
        <v>241</v>
      </c>
      <c r="D1508" s="88">
        <v>0</v>
      </c>
      <c r="E1508" t="s">
        <v>350</v>
      </c>
      <c r="F1508">
        <v>0</v>
      </c>
      <c r="G1508">
        <v>0</v>
      </c>
      <c r="H1508">
        <v>0</v>
      </c>
      <c r="I1508">
        <f>$A$6</f>
        <v>100</v>
      </c>
      <c r="J1508">
        <v>-1</v>
      </c>
      <c r="K1508" t="s">
        <v>434</v>
      </c>
      <c r="L1508" s="17">
        <f t="shared" si="116"/>
        <v>0</v>
      </c>
      <c r="M1508" t="s">
        <v>537</v>
      </c>
    </row>
    <row r="1509" spans="1:13" x14ac:dyDescent="0.2">
      <c r="B1509" s="55"/>
      <c r="C1509" t="s">
        <v>242</v>
      </c>
      <c r="D1509" s="88">
        <v>0</v>
      </c>
      <c r="E1509" t="s">
        <v>351</v>
      </c>
      <c r="F1509">
        <v>0</v>
      </c>
      <c r="G1509">
        <v>0</v>
      </c>
      <c r="H1509">
        <v>0</v>
      </c>
      <c r="I1509">
        <f>$A$8</f>
        <v>1</v>
      </c>
      <c r="J1509">
        <v>1</v>
      </c>
      <c r="K1509" t="s">
        <v>435</v>
      </c>
      <c r="L1509" s="17">
        <f t="shared" si="116"/>
        <v>0</v>
      </c>
      <c r="M1509" t="s">
        <v>537</v>
      </c>
    </row>
    <row r="1510" spans="1:13" x14ac:dyDescent="0.2">
      <c r="B1510" s="55"/>
      <c r="C1510" t="s">
        <v>243</v>
      </c>
      <c r="D1510" s="88">
        <v>0.12681999999999999</v>
      </c>
      <c r="E1510" t="s">
        <v>352</v>
      </c>
      <c r="F1510">
        <v>1.26824</v>
      </c>
      <c r="G1510">
        <v>3.0599999999999998E-3</v>
      </c>
      <c r="H1510">
        <v>1.26824</v>
      </c>
      <c r="I1510">
        <f>$A$6</f>
        <v>100</v>
      </c>
      <c r="J1510">
        <v>-1</v>
      </c>
      <c r="K1510" t="s">
        <v>436</v>
      </c>
      <c r="L1510" s="17">
        <f t="shared" si="116"/>
        <v>-19796548.412907939</v>
      </c>
      <c r="M1510" t="s">
        <v>537</v>
      </c>
    </row>
    <row r="1511" spans="1:13" x14ac:dyDescent="0.2">
      <c r="B1511" s="55"/>
      <c r="C1511" t="s">
        <v>244</v>
      </c>
      <c r="D1511" s="88">
        <v>1.2700000000000001E-3</v>
      </c>
      <c r="E1511" t="s">
        <v>353</v>
      </c>
      <c r="F1511">
        <v>1.2700000000000001E-3</v>
      </c>
      <c r="G1511">
        <v>3.0599999999999998E-3</v>
      </c>
      <c r="H1511">
        <v>1.2700000000000001E-3</v>
      </c>
      <c r="I1511">
        <v>0</v>
      </c>
      <c r="J1511">
        <v>0</v>
      </c>
      <c r="K1511" t="s">
        <v>437</v>
      </c>
      <c r="L1511" s="17">
        <f t="shared" si="116"/>
        <v>0</v>
      </c>
      <c r="M1511" t="s">
        <v>537</v>
      </c>
    </row>
    <row r="1512" spans="1:13" x14ac:dyDescent="0.2">
      <c r="B1512" s="55"/>
      <c r="C1512" t="s">
        <v>245</v>
      </c>
      <c r="D1512" s="88">
        <v>1.2700000000000001E-3</v>
      </c>
      <c r="E1512" t="s">
        <v>351</v>
      </c>
      <c r="F1512">
        <v>1.2999999999999999E-4</v>
      </c>
      <c r="G1512">
        <v>0.30602000000000001</v>
      </c>
      <c r="H1512">
        <v>1.2999999999999999E-4</v>
      </c>
      <c r="I1512">
        <f t="shared" ref="I1512:I1517" si="117">$A$7</f>
        <v>10</v>
      </c>
      <c r="J1512">
        <v>-1</v>
      </c>
      <c r="K1512" t="s">
        <v>435</v>
      </c>
      <c r="L1512" s="17">
        <f t="shared" si="116"/>
        <v>-6035884.7071153782</v>
      </c>
      <c r="M1512" t="s">
        <v>537</v>
      </c>
    </row>
    <row r="1513" spans="1:13" x14ac:dyDescent="0.2">
      <c r="B1513" s="55"/>
      <c r="C1513" t="s">
        <v>246</v>
      </c>
      <c r="D1513" s="88">
        <v>1.268E-2</v>
      </c>
      <c r="E1513" t="s">
        <v>354</v>
      </c>
      <c r="F1513">
        <v>1.268E-2</v>
      </c>
      <c r="G1513">
        <v>3.0599999999999999E-2</v>
      </c>
      <c r="H1513">
        <v>1.268E-2</v>
      </c>
      <c r="I1513">
        <f t="shared" si="117"/>
        <v>10</v>
      </c>
      <c r="J1513">
        <v>-1</v>
      </c>
      <c r="K1513" t="s">
        <v>438</v>
      </c>
      <c r="L1513" s="17">
        <f t="shared" si="116"/>
        <v>-646226.14687832212</v>
      </c>
      <c r="M1513" t="s">
        <v>537</v>
      </c>
    </row>
    <row r="1514" spans="1:13" x14ac:dyDescent="0.2">
      <c r="B1514" s="55"/>
      <c r="C1514" t="s">
        <v>247</v>
      </c>
      <c r="D1514" s="88">
        <v>1.26824</v>
      </c>
      <c r="E1514" t="s">
        <v>354</v>
      </c>
      <c r="F1514">
        <v>1.26824</v>
      </c>
      <c r="G1514">
        <v>3.1E-4</v>
      </c>
      <c r="H1514">
        <v>1.26824</v>
      </c>
      <c r="I1514">
        <f t="shared" si="117"/>
        <v>10</v>
      </c>
      <c r="J1514">
        <v>-1</v>
      </c>
      <c r="K1514" t="s">
        <v>438</v>
      </c>
      <c r="L1514" s="17">
        <f t="shared" si="116"/>
        <v>-4302783.3049740512</v>
      </c>
      <c r="M1514" t="s">
        <v>537</v>
      </c>
    </row>
    <row r="1515" spans="1:13" x14ac:dyDescent="0.2">
      <c r="B1515" s="55"/>
      <c r="C1515" t="s">
        <v>248</v>
      </c>
      <c r="D1515" s="88">
        <v>1.26824</v>
      </c>
      <c r="E1515" t="s">
        <v>350</v>
      </c>
      <c r="F1515">
        <v>1.26824</v>
      </c>
      <c r="G1515">
        <v>0.30602000000000001</v>
      </c>
      <c r="H1515">
        <v>1.26824</v>
      </c>
      <c r="I1515">
        <f t="shared" si="117"/>
        <v>10</v>
      </c>
      <c r="J1515">
        <v>-1</v>
      </c>
      <c r="K1515" t="s">
        <v>434</v>
      </c>
      <c r="L1515" s="17">
        <f t="shared" si="116"/>
        <v>-10329741.664715415</v>
      </c>
      <c r="M1515" t="s">
        <v>537</v>
      </c>
    </row>
    <row r="1516" spans="1:13" x14ac:dyDescent="0.2">
      <c r="B1516" s="55"/>
      <c r="C1516" t="s">
        <v>322</v>
      </c>
      <c r="D1516" s="88">
        <v>1.26824</v>
      </c>
      <c r="E1516" t="s">
        <v>355</v>
      </c>
      <c r="F1516">
        <v>1.26824</v>
      </c>
      <c r="G1516">
        <v>3.0599999999999999E-2</v>
      </c>
      <c r="H1516">
        <v>1.26824</v>
      </c>
      <c r="I1516">
        <f t="shared" si="117"/>
        <v>10</v>
      </c>
      <c r="J1516">
        <v>-1</v>
      </c>
      <c r="K1516" t="s">
        <v>439</v>
      </c>
      <c r="L1516" s="17">
        <f t="shared" si="116"/>
        <v>-4899939.3310005665</v>
      </c>
      <c r="M1516" t="s">
        <v>537</v>
      </c>
    </row>
    <row r="1517" spans="1:13" x14ac:dyDescent="0.2">
      <c r="B1517" s="55"/>
      <c r="C1517" t="s">
        <v>249</v>
      </c>
      <c r="D1517" s="88">
        <v>0.12681999999999999</v>
      </c>
      <c r="E1517" t="s">
        <v>356</v>
      </c>
      <c r="F1517">
        <v>0.12681999999999999</v>
      </c>
      <c r="G1517">
        <v>3.1E-4</v>
      </c>
      <c r="H1517">
        <v>0.12681999999999999</v>
      </c>
      <c r="I1517">
        <f t="shared" si="117"/>
        <v>10</v>
      </c>
      <c r="J1517">
        <v>-1</v>
      </c>
      <c r="K1517" t="s">
        <v>440</v>
      </c>
      <c r="L1517" s="17">
        <f t="shared" si="116"/>
        <v>-435765.15958807862</v>
      </c>
      <c r="M1517" t="s">
        <v>537</v>
      </c>
    </row>
    <row r="1518" spans="1:13" x14ac:dyDescent="0.2">
      <c r="B1518" s="55"/>
      <c r="C1518" t="s">
        <v>323</v>
      </c>
      <c r="D1518" s="88">
        <v>1.2700000000000001E-3</v>
      </c>
      <c r="E1518" t="s">
        <v>357</v>
      </c>
      <c r="F1518">
        <v>1.2700000000000001E-3</v>
      </c>
      <c r="G1518">
        <v>3.0599999999999998E-3</v>
      </c>
      <c r="H1518">
        <v>1.2700000000000001E-3</v>
      </c>
      <c r="I1518">
        <f>$A$6</f>
        <v>100</v>
      </c>
      <c r="J1518">
        <v>-1</v>
      </c>
      <c r="K1518" t="s">
        <v>441</v>
      </c>
      <c r="L1518" s="17">
        <f t="shared" si="116"/>
        <v>-646293.90490158054</v>
      </c>
      <c r="M1518" t="s">
        <v>537</v>
      </c>
    </row>
    <row r="1519" spans="1:13" x14ac:dyDescent="0.2">
      <c r="B1519" s="55"/>
      <c r="C1519" t="s">
        <v>324</v>
      </c>
      <c r="D1519" s="88">
        <v>1.2700000000000001E-3</v>
      </c>
      <c r="E1519" t="s">
        <v>357</v>
      </c>
      <c r="F1519">
        <v>1.2700000000000001E-3</v>
      </c>
      <c r="G1519">
        <v>3.0599999999999998E-3</v>
      </c>
      <c r="H1519">
        <v>1.2700000000000001E-3</v>
      </c>
      <c r="I1519">
        <f>$A$6</f>
        <v>100</v>
      </c>
      <c r="J1519">
        <v>-1</v>
      </c>
      <c r="K1519" t="s">
        <v>441</v>
      </c>
      <c r="L1519" s="17">
        <f t="shared" si="116"/>
        <v>-646293.90490158054</v>
      </c>
      <c r="M1519" t="s">
        <v>537</v>
      </c>
    </row>
    <row r="1520" spans="1:13" x14ac:dyDescent="0.2">
      <c r="B1520" s="55"/>
      <c r="C1520" t="s">
        <v>250</v>
      </c>
      <c r="D1520" s="88">
        <v>1.2700000000000001E-3</v>
      </c>
      <c r="E1520" t="s">
        <v>358</v>
      </c>
      <c r="F1520">
        <v>1.2700000000000001E-3</v>
      </c>
      <c r="G1520">
        <v>0.30602000000000001</v>
      </c>
      <c r="H1520">
        <v>1.2700000000000001E-3</v>
      </c>
      <c r="I1520">
        <f>$A$7</f>
        <v>10</v>
      </c>
      <c r="J1520">
        <v>1</v>
      </c>
      <c r="K1520" t="s">
        <v>442</v>
      </c>
      <c r="L1520" s="17">
        <f t="shared" si="116"/>
        <v>6037372.5283241943</v>
      </c>
      <c r="M1520" t="s">
        <v>537</v>
      </c>
    </row>
    <row r="1521" spans="2:13" x14ac:dyDescent="0.2">
      <c r="B1521" s="55"/>
      <c r="C1521" t="s">
        <v>251</v>
      </c>
      <c r="D1521" s="88">
        <v>0</v>
      </c>
      <c r="E1521" t="s">
        <v>359</v>
      </c>
      <c r="F1521">
        <v>0</v>
      </c>
      <c r="G1521">
        <v>3.1E-4</v>
      </c>
      <c r="H1521">
        <v>0</v>
      </c>
      <c r="I1521">
        <f>$A$6</f>
        <v>100</v>
      </c>
      <c r="J1521">
        <v>-1</v>
      </c>
      <c r="K1521" t="s">
        <v>443</v>
      </c>
      <c r="L1521" s="17">
        <f t="shared" si="116"/>
        <v>-61115.341059167928</v>
      </c>
      <c r="M1521" t="s">
        <v>537</v>
      </c>
    </row>
    <row r="1522" spans="2:13" x14ac:dyDescent="0.2">
      <c r="B1522" s="55"/>
      <c r="C1522" t="s">
        <v>252</v>
      </c>
      <c r="D1522" s="88">
        <v>0.12681999999999999</v>
      </c>
      <c r="E1522" t="s">
        <v>360</v>
      </c>
      <c r="F1522">
        <v>0.12681999999999999</v>
      </c>
      <c r="G1522">
        <v>3.0602</v>
      </c>
      <c r="H1522">
        <v>0.12681999999999999</v>
      </c>
      <c r="I1522">
        <f>$A$7</f>
        <v>10</v>
      </c>
      <c r="J1522">
        <v>-1</v>
      </c>
      <c r="K1522" t="s">
        <v>444</v>
      </c>
      <c r="L1522" s="17">
        <f t="shared" ref="L1522:L1553" si="118">((B$1490*F1522)+(SUM(B$1491,B$1495)*D1522)+(SUM(B$1492,B$1494,B$1496)*G1522)+(SUM(B$1493)*H1522))*I1522*J1522</f>
        <v>-60760352.563954964</v>
      </c>
      <c r="M1522" t="s">
        <v>537</v>
      </c>
    </row>
    <row r="1523" spans="2:13" x14ac:dyDescent="0.2">
      <c r="B1523" s="55"/>
      <c r="C1523" t="s">
        <v>253</v>
      </c>
      <c r="D1523" s="88">
        <v>1.268E-2</v>
      </c>
      <c r="E1523" t="s">
        <v>361</v>
      </c>
      <c r="F1523">
        <v>1.268E-2</v>
      </c>
      <c r="G1523">
        <v>0.30602000000000001</v>
      </c>
      <c r="H1523">
        <v>1.268E-2</v>
      </c>
      <c r="I1523">
        <f>$A$7</f>
        <v>10</v>
      </c>
      <c r="J1523">
        <v>-1</v>
      </c>
      <c r="K1523" t="s">
        <v>445</v>
      </c>
      <c r="L1523" s="17">
        <f t="shared" si="118"/>
        <v>-6076028.48059317</v>
      </c>
      <c r="M1523" t="s">
        <v>537</v>
      </c>
    </row>
    <row r="1524" spans="2:13" x14ac:dyDescent="0.2">
      <c r="B1524" s="55"/>
      <c r="C1524" t="s">
        <v>325</v>
      </c>
      <c r="D1524" s="88">
        <v>1.2700000000000001E-3</v>
      </c>
      <c r="E1524" t="s">
        <v>362</v>
      </c>
      <c r="F1524">
        <v>1.2700000000000001E-3</v>
      </c>
      <c r="G1524">
        <v>3.1E-4</v>
      </c>
      <c r="H1524">
        <v>1.2700000000000001E-3</v>
      </c>
      <c r="I1524">
        <f>$A$6</f>
        <v>100</v>
      </c>
      <c r="J1524">
        <v>-1</v>
      </c>
      <c r="K1524" t="s">
        <v>446</v>
      </c>
      <c r="L1524" s="17">
        <f t="shared" si="118"/>
        <v>-104141.68582831675</v>
      </c>
      <c r="M1524" t="s">
        <v>537</v>
      </c>
    </row>
    <row r="1525" spans="2:13" x14ac:dyDescent="0.2">
      <c r="B1525" s="55"/>
      <c r="C1525" t="s">
        <v>254</v>
      </c>
      <c r="D1525" s="88">
        <v>1.2700000000000001E-3</v>
      </c>
      <c r="E1525" t="s">
        <v>363</v>
      </c>
      <c r="F1525">
        <v>1.2700000000000001E-3</v>
      </c>
      <c r="G1525">
        <v>3.0599999999999998E-3</v>
      </c>
      <c r="H1525">
        <v>1.2700000000000001E-3</v>
      </c>
      <c r="I1525">
        <f>$A$7</f>
        <v>10</v>
      </c>
      <c r="J1525">
        <v>-1</v>
      </c>
      <c r="K1525" t="s">
        <v>447</v>
      </c>
      <c r="L1525" s="17">
        <f t="shared" si="118"/>
        <v>-64629.390490158054</v>
      </c>
      <c r="M1525" t="s">
        <v>537</v>
      </c>
    </row>
    <row r="1526" spans="2:13" x14ac:dyDescent="0.2">
      <c r="B1526" s="55"/>
      <c r="C1526" t="s">
        <v>255</v>
      </c>
      <c r="D1526" s="88">
        <v>0</v>
      </c>
      <c r="E1526" t="s">
        <v>364</v>
      </c>
      <c r="F1526">
        <v>0</v>
      </c>
      <c r="G1526">
        <v>0</v>
      </c>
      <c r="H1526">
        <v>0</v>
      </c>
      <c r="I1526">
        <f>$A$7</f>
        <v>10</v>
      </c>
      <c r="J1526">
        <v>-1</v>
      </c>
      <c r="K1526" t="s">
        <v>448</v>
      </c>
      <c r="L1526" s="17">
        <f t="shared" si="118"/>
        <v>0</v>
      </c>
      <c r="M1526" t="s">
        <v>537</v>
      </c>
    </row>
    <row r="1527" spans="2:13" x14ac:dyDescent="0.2">
      <c r="B1527" s="55"/>
      <c r="C1527" t="s">
        <v>256</v>
      </c>
      <c r="D1527" s="88">
        <v>1.2700000000000001E-3</v>
      </c>
      <c r="E1527" t="s">
        <v>365</v>
      </c>
      <c r="F1527">
        <v>1.2700000000000001E-3</v>
      </c>
      <c r="G1527">
        <v>0.30602000000000001</v>
      </c>
      <c r="H1527">
        <v>1.2700000000000001E-3</v>
      </c>
      <c r="I1527">
        <f>$A$7</f>
        <v>10</v>
      </c>
      <c r="J1527">
        <v>-1</v>
      </c>
      <c r="K1527" t="s">
        <v>449</v>
      </c>
      <c r="L1527" s="17">
        <f t="shared" si="118"/>
        <v>-6037372.5283241943</v>
      </c>
      <c r="M1527" t="s">
        <v>537</v>
      </c>
    </row>
    <row r="1528" spans="2:13" x14ac:dyDescent="0.2">
      <c r="B1528" s="55"/>
      <c r="C1528" t="s">
        <v>257</v>
      </c>
      <c r="D1528" s="88">
        <v>1.26824</v>
      </c>
      <c r="E1528" t="s">
        <v>366</v>
      </c>
      <c r="F1528">
        <v>1.26824</v>
      </c>
      <c r="G1528">
        <v>3.0599999999999998E-3</v>
      </c>
      <c r="H1528">
        <v>1.26824</v>
      </c>
      <c r="I1528">
        <f>$A$6</f>
        <v>100</v>
      </c>
      <c r="J1528">
        <v>-1</v>
      </c>
      <c r="K1528" t="s">
        <v>450</v>
      </c>
      <c r="L1528" s="17">
        <f t="shared" si="118"/>
        <v>-43569985.268813781</v>
      </c>
      <c r="M1528" t="s">
        <v>537</v>
      </c>
    </row>
    <row r="1529" spans="2:13" x14ac:dyDescent="0.2">
      <c r="B1529" s="55"/>
      <c r="C1529" t="s">
        <v>258</v>
      </c>
      <c r="D1529" s="88">
        <v>0.12681999999999999</v>
      </c>
      <c r="E1529" t="s">
        <v>367</v>
      </c>
      <c r="F1529">
        <v>0.12681999999999999</v>
      </c>
      <c r="G1529">
        <v>3.0599999999999998E-3</v>
      </c>
      <c r="H1529">
        <v>0.12681999999999999</v>
      </c>
      <c r="I1529">
        <f>$A$6</f>
        <v>100</v>
      </c>
      <c r="J1529">
        <v>-1</v>
      </c>
      <c r="K1529" t="s">
        <v>451</v>
      </c>
      <c r="L1529" s="17">
        <f t="shared" si="118"/>
        <v>-4899803.8149540499</v>
      </c>
      <c r="M1529" t="s">
        <v>537</v>
      </c>
    </row>
    <row r="1530" spans="2:13" x14ac:dyDescent="0.2">
      <c r="B1530" s="55"/>
      <c r="C1530" t="s">
        <v>326</v>
      </c>
      <c r="D1530" s="88">
        <v>1.2700000000000001E-3</v>
      </c>
      <c r="E1530" t="s">
        <v>365</v>
      </c>
      <c r="F1530">
        <v>1.2700000000000001E-3</v>
      </c>
      <c r="G1530">
        <v>3.0599999999999998E-3</v>
      </c>
      <c r="H1530">
        <v>1.2700000000000001E-3</v>
      </c>
      <c r="I1530">
        <v>0</v>
      </c>
      <c r="J1530">
        <v>0</v>
      </c>
      <c r="K1530" t="s">
        <v>449</v>
      </c>
      <c r="L1530" s="17">
        <f t="shared" si="118"/>
        <v>0</v>
      </c>
      <c r="M1530" t="s">
        <v>537</v>
      </c>
    </row>
    <row r="1531" spans="2:13" x14ac:dyDescent="0.2">
      <c r="B1531" s="55"/>
      <c r="C1531" t="s">
        <v>259</v>
      </c>
      <c r="D1531" s="88">
        <v>1.268E-2</v>
      </c>
      <c r="E1531" t="s">
        <v>368</v>
      </c>
      <c r="F1531">
        <v>1.268E-2</v>
      </c>
      <c r="G1531">
        <v>3.0599999999999998E-3</v>
      </c>
      <c r="H1531">
        <v>1.268E-2</v>
      </c>
      <c r="I1531">
        <f>$A$6</f>
        <v>100</v>
      </c>
      <c r="J1531">
        <v>-1</v>
      </c>
      <c r="K1531" t="s">
        <v>452</v>
      </c>
      <c r="L1531" s="17">
        <f t="shared" si="118"/>
        <v>-1032853.4275913351</v>
      </c>
      <c r="M1531" t="s">
        <v>537</v>
      </c>
    </row>
    <row r="1532" spans="2:13" x14ac:dyDescent="0.2">
      <c r="B1532" s="55"/>
      <c r="C1532" t="s">
        <v>260</v>
      </c>
      <c r="D1532" s="88">
        <v>0</v>
      </c>
      <c r="E1532" t="s">
        <v>368</v>
      </c>
      <c r="F1532">
        <v>0</v>
      </c>
      <c r="G1532">
        <v>3.0599999999999998E-3</v>
      </c>
      <c r="H1532">
        <v>0</v>
      </c>
      <c r="I1532">
        <v>0</v>
      </c>
      <c r="J1532">
        <v>0</v>
      </c>
      <c r="K1532" t="s">
        <v>452</v>
      </c>
      <c r="L1532" s="17">
        <f t="shared" si="118"/>
        <v>0</v>
      </c>
      <c r="M1532" t="s">
        <v>537</v>
      </c>
    </row>
    <row r="1533" spans="2:13" x14ac:dyDescent="0.2">
      <c r="B1533" s="55"/>
      <c r="C1533" t="s">
        <v>327</v>
      </c>
      <c r="D1533" s="88">
        <v>1.2999999999999999E-4</v>
      </c>
      <c r="E1533" t="s">
        <v>368</v>
      </c>
      <c r="F1533">
        <v>1.2999999999999999E-4</v>
      </c>
      <c r="G1533">
        <v>0.30602000000000001</v>
      </c>
      <c r="H1533">
        <v>1.2999999999999999E-4</v>
      </c>
      <c r="I1533">
        <f>$A$6</f>
        <v>100</v>
      </c>
      <c r="J1533">
        <v>-1</v>
      </c>
      <c r="K1533" t="s">
        <v>452</v>
      </c>
      <c r="L1533" s="17">
        <f t="shared" si="118"/>
        <v>-60335103.209984608</v>
      </c>
      <c r="M1533" t="s">
        <v>537</v>
      </c>
    </row>
    <row r="1534" spans="2:13" x14ac:dyDescent="0.2">
      <c r="B1534" s="55"/>
      <c r="C1534" t="s">
        <v>328</v>
      </c>
      <c r="D1534" s="88">
        <v>1.2999999999999999E-4</v>
      </c>
      <c r="E1534" t="s">
        <v>368</v>
      </c>
      <c r="F1534">
        <v>1.2999999999999999E-4</v>
      </c>
      <c r="G1534">
        <v>0.30602000000000001</v>
      </c>
      <c r="H1534">
        <v>1.2999999999999999E-4</v>
      </c>
      <c r="I1534">
        <v>0</v>
      </c>
      <c r="J1534">
        <v>0</v>
      </c>
      <c r="K1534" t="s">
        <v>452</v>
      </c>
      <c r="L1534" s="17">
        <f t="shared" si="118"/>
        <v>0</v>
      </c>
      <c r="M1534" t="s">
        <v>537</v>
      </c>
    </row>
    <row r="1535" spans="2:13" x14ac:dyDescent="0.2">
      <c r="B1535" s="55"/>
      <c r="C1535" t="s">
        <v>261</v>
      </c>
      <c r="D1535" s="88">
        <v>0.12681999999999999</v>
      </c>
      <c r="E1535" t="s">
        <v>369</v>
      </c>
      <c r="F1535">
        <v>0.12681999999999999</v>
      </c>
      <c r="G1535">
        <v>3.1E-4</v>
      </c>
      <c r="H1535">
        <v>0.12681999999999999</v>
      </c>
      <c r="I1535">
        <f>$A$6</f>
        <v>100</v>
      </c>
      <c r="J1535">
        <v>-1</v>
      </c>
      <c r="K1535" t="s">
        <v>453</v>
      </c>
      <c r="L1535" s="17">
        <f t="shared" si="118"/>
        <v>-4357651.595880786</v>
      </c>
      <c r="M1535" t="s">
        <v>537</v>
      </c>
    </row>
    <row r="1536" spans="2:13" x14ac:dyDescent="0.2">
      <c r="B1536" s="55"/>
      <c r="C1536" t="s">
        <v>263</v>
      </c>
      <c r="D1536" s="88">
        <v>1.2999999999999999E-4</v>
      </c>
      <c r="E1536" t="s">
        <v>370</v>
      </c>
      <c r="F1536">
        <v>1.2999999999999999E-4</v>
      </c>
      <c r="G1536">
        <v>3.1E-4</v>
      </c>
      <c r="H1536">
        <v>1.2999999999999999E-4</v>
      </c>
      <c r="I1536">
        <f>$A$6</f>
        <v>100</v>
      </c>
      <c r="J1536">
        <v>-1</v>
      </c>
      <c r="K1536" t="s">
        <v>454</v>
      </c>
      <c r="L1536" s="17">
        <f t="shared" si="118"/>
        <v>-65519.612570970559</v>
      </c>
      <c r="M1536" t="s">
        <v>537</v>
      </c>
    </row>
    <row r="1537" spans="2:13" x14ac:dyDescent="0.2">
      <c r="B1537" s="55"/>
      <c r="C1537" t="s">
        <v>262</v>
      </c>
      <c r="D1537" s="88">
        <v>1.2999999999999999E-4</v>
      </c>
      <c r="E1537" t="s">
        <v>370</v>
      </c>
      <c r="F1537">
        <v>1.2999999999999999E-4</v>
      </c>
      <c r="G1537">
        <v>3.0599999999999998E-3</v>
      </c>
      <c r="H1537">
        <v>1.2999999999999999E-4</v>
      </c>
      <c r="I1537">
        <f>$A$6</f>
        <v>100</v>
      </c>
      <c r="J1537">
        <v>-1</v>
      </c>
      <c r="K1537" t="s">
        <v>454</v>
      </c>
      <c r="L1537" s="17">
        <f t="shared" si="118"/>
        <v>-607671.83164423436</v>
      </c>
      <c r="M1537" t="s">
        <v>537</v>
      </c>
    </row>
    <row r="1538" spans="2:13" x14ac:dyDescent="0.2">
      <c r="B1538" s="55"/>
      <c r="C1538" t="s">
        <v>264</v>
      </c>
      <c r="D1538" s="88">
        <v>1.2700000000000001E-3</v>
      </c>
      <c r="E1538" t="s">
        <v>371</v>
      </c>
      <c r="F1538">
        <v>1.2700000000000001E-3</v>
      </c>
      <c r="G1538">
        <v>3.0599999999999999E-2</v>
      </c>
      <c r="H1538">
        <v>1.2700000000000001E-3</v>
      </c>
      <c r="I1538">
        <f>$A$7</f>
        <v>10</v>
      </c>
      <c r="J1538">
        <v>-1</v>
      </c>
      <c r="K1538" t="s">
        <v>455</v>
      </c>
      <c r="L1538" s="17">
        <f t="shared" si="118"/>
        <v>-607570.19460934657</v>
      </c>
      <c r="M1538" t="s">
        <v>537</v>
      </c>
    </row>
    <row r="1539" spans="2:13" x14ac:dyDescent="0.2">
      <c r="B1539" s="55"/>
      <c r="C1539" t="s">
        <v>265</v>
      </c>
      <c r="D1539" s="88">
        <v>1.2700000000000001E-3</v>
      </c>
      <c r="E1539" t="s">
        <v>371</v>
      </c>
      <c r="F1539">
        <v>1.2700000000000001E-3</v>
      </c>
      <c r="G1539">
        <v>3.0599999999999998E-3</v>
      </c>
      <c r="H1539">
        <v>1.2700000000000001E-3</v>
      </c>
      <c r="I1539">
        <f>$A$7</f>
        <v>10</v>
      </c>
      <c r="J1539">
        <v>-1</v>
      </c>
      <c r="K1539" t="s">
        <v>455</v>
      </c>
      <c r="L1539" s="17">
        <f t="shared" si="118"/>
        <v>-64629.390490158054</v>
      </c>
      <c r="M1539" t="s">
        <v>537</v>
      </c>
    </row>
    <row r="1540" spans="2:13" x14ac:dyDescent="0.2">
      <c r="B1540" s="55"/>
      <c r="C1540" t="s">
        <v>266</v>
      </c>
      <c r="D1540" s="88">
        <v>1.2700000000000001E-3</v>
      </c>
      <c r="E1540" t="s">
        <v>371</v>
      </c>
      <c r="F1540">
        <v>1.2700000000000001E-3</v>
      </c>
      <c r="G1540">
        <v>3.0599999999999999E-2</v>
      </c>
      <c r="H1540">
        <v>1.2700000000000001E-3</v>
      </c>
      <c r="I1540">
        <v>0</v>
      </c>
      <c r="J1540">
        <v>0</v>
      </c>
      <c r="K1540" t="s">
        <v>455</v>
      </c>
      <c r="L1540" s="17">
        <f t="shared" si="118"/>
        <v>0</v>
      </c>
      <c r="M1540" t="s">
        <v>537</v>
      </c>
    </row>
    <row r="1541" spans="2:13" x14ac:dyDescent="0.2">
      <c r="B1541" s="55"/>
      <c r="C1541" t="s">
        <v>267</v>
      </c>
      <c r="D1541" s="88">
        <v>1.2999999999999999E-4</v>
      </c>
      <c r="E1541" t="s">
        <v>372</v>
      </c>
      <c r="F1541">
        <v>1.2999999999999999E-4</v>
      </c>
      <c r="G1541">
        <v>3.0599999999999998E-3</v>
      </c>
      <c r="H1541">
        <v>1.2999999999999999E-4</v>
      </c>
      <c r="I1541">
        <v>0</v>
      </c>
      <c r="J1541">
        <v>0</v>
      </c>
      <c r="K1541" t="s">
        <v>456</v>
      </c>
      <c r="L1541" s="17">
        <f t="shared" si="118"/>
        <v>0</v>
      </c>
      <c r="M1541" t="s">
        <v>537</v>
      </c>
    </row>
    <row r="1542" spans="2:13" x14ac:dyDescent="0.2">
      <c r="B1542" s="55"/>
      <c r="C1542" t="s">
        <v>329</v>
      </c>
      <c r="D1542" s="88">
        <v>0.12681999999999999</v>
      </c>
      <c r="E1542" s="75" t="s">
        <v>373</v>
      </c>
      <c r="F1542">
        <v>0.12681999999999999</v>
      </c>
      <c r="G1542">
        <v>0.30602000000000001</v>
      </c>
      <c r="H1542">
        <v>0.12681999999999999</v>
      </c>
      <c r="I1542">
        <f>$A$7</f>
        <v>10</v>
      </c>
      <c r="J1542">
        <v>-1</v>
      </c>
      <c r="K1542" t="s">
        <v>457</v>
      </c>
      <c r="L1542" s="17">
        <f t="shared" si="118"/>
        <v>-6462723.5193294426</v>
      </c>
      <c r="M1542" t="s">
        <v>537</v>
      </c>
    </row>
    <row r="1543" spans="2:13" x14ac:dyDescent="0.2">
      <c r="B1543" s="55"/>
      <c r="C1543" t="s">
        <v>314</v>
      </c>
      <c r="D1543" s="88">
        <v>1.2700000000000001E-3</v>
      </c>
      <c r="E1543" s="75" t="s">
        <v>374</v>
      </c>
      <c r="F1543">
        <v>1.2700000000000001E-3</v>
      </c>
      <c r="G1543">
        <v>3.0599999999999998E-3</v>
      </c>
      <c r="H1543">
        <v>1.2700000000000001E-3</v>
      </c>
      <c r="I1543">
        <f>$A$7</f>
        <v>10</v>
      </c>
      <c r="J1543">
        <v>-1</v>
      </c>
      <c r="K1543" t="s">
        <v>458</v>
      </c>
      <c r="L1543" s="17">
        <f t="shared" si="118"/>
        <v>-64629.390490158054</v>
      </c>
      <c r="M1543" t="s">
        <v>537</v>
      </c>
    </row>
    <row r="1544" spans="2:13" x14ac:dyDescent="0.2">
      <c r="B1544" s="55"/>
      <c r="C1544" t="s">
        <v>268</v>
      </c>
      <c r="D1544" s="88">
        <v>1.2700000000000001E-3</v>
      </c>
      <c r="E1544" s="75" t="s">
        <v>374</v>
      </c>
      <c r="F1544">
        <v>1.2700000000000001E-3</v>
      </c>
      <c r="G1544">
        <v>3.0599999999999998E-3</v>
      </c>
      <c r="H1544">
        <v>1.2700000000000001E-3</v>
      </c>
      <c r="I1544">
        <f>$A$7</f>
        <v>10</v>
      </c>
      <c r="J1544">
        <v>-1</v>
      </c>
      <c r="K1544" t="s">
        <v>458</v>
      </c>
      <c r="L1544" s="17">
        <f t="shared" si="118"/>
        <v>-64629.390490158054</v>
      </c>
      <c r="M1544" t="s">
        <v>537</v>
      </c>
    </row>
    <row r="1545" spans="2:13" x14ac:dyDescent="0.2">
      <c r="B1545" s="55"/>
      <c r="C1545" t="s">
        <v>269</v>
      </c>
      <c r="D1545" s="88">
        <v>1.2700000000000001E-3</v>
      </c>
      <c r="E1545" s="75" t="s">
        <v>374</v>
      </c>
      <c r="F1545">
        <v>1.2700000000000001E-3</v>
      </c>
      <c r="G1545">
        <v>3.0599999999999998E-3</v>
      </c>
      <c r="H1545">
        <v>1.2700000000000001E-3</v>
      </c>
      <c r="I1545">
        <v>0</v>
      </c>
      <c r="J1545">
        <v>0</v>
      </c>
      <c r="K1545" t="s">
        <v>458</v>
      </c>
      <c r="L1545" s="17">
        <f t="shared" si="118"/>
        <v>0</v>
      </c>
      <c r="M1545" t="s">
        <v>537</v>
      </c>
    </row>
    <row r="1546" spans="2:13" x14ac:dyDescent="0.2">
      <c r="B1546" s="55"/>
      <c r="C1546" t="s">
        <v>270</v>
      </c>
      <c r="D1546" s="88">
        <v>1.2700000000000001E-3</v>
      </c>
      <c r="E1546" s="75" t="s">
        <v>375</v>
      </c>
      <c r="F1546">
        <v>1.2700000000000001E-3</v>
      </c>
      <c r="G1546">
        <v>0</v>
      </c>
      <c r="H1546">
        <v>1.2700000000000001E-3</v>
      </c>
      <c r="I1546">
        <f>$A$6</f>
        <v>100</v>
      </c>
      <c r="J1546">
        <v>-1</v>
      </c>
      <c r="K1546" t="s">
        <v>459</v>
      </c>
      <c r="L1546" s="17">
        <f t="shared" si="118"/>
        <v>-43026.344769148833</v>
      </c>
      <c r="M1546" t="s">
        <v>537</v>
      </c>
    </row>
    <row r="1547" spans="2:13" x14ac:dyDescent="0.2">
      <c r="B1547" s="55"/>
      <c r="C1547" t="s">
        <v>271</v>
      </c>
      <c r="D1547" s="88">
        <v>0.12681999999999999</v>
      </c>
      <c r="E1547" s="75" t="s">
        <v>376</v>
      </c>
      <c r="F1547">
        <v>0.12681999999999999</v>
      </c>
      <c r="G1547">
        <v>3.0602</v>
      </c>
      <c r="H1547">
        <v>0.12681999999999999</v>
      </c>
      <c r="I1547">
        <v>0</v>
      </c>
      <c r="J1547">
        <v>0</v>
      </c>
      <c r="K1547" t="s">
        <v>460</v>
      </c>
      <c r="L1547" s="17">
        <f t="shared" si="118"/>
        <v>0</v>
      </c>
      <c r="M1547" t="s">
        <v>537</v>
      </c>
    </row>
    <row r="1548" spans="2:13" x14ac:dyDescent="0.2">
      <c r="B1548" s="55"/>
      <c r="C1548" t="s">
        <v>272</v>
      </c>
      <c r="D1548" s="88">
        <v>1.26824</v>
      </c>
      <c r="E1548" t="s">
        <v>377</v>
      </c>
      <c r="F1548">
        <v>1.26824</v>
      </c>
      <c r="G1548">
        <v>3.0599999999999998E-3</v>
      </c>
      <c r="H1548">
        <v>1.26824</v>
      </c>
      <c r="I1548">
        <v>0</v>
      </c>
      <c r="J1548">
        <v>0</v>
      </c>
      <c r="K1548" t="s">
        <v>461</v>
      </c>
      <c r="L1548" s="17">
        <f t="shared" si="118"/>
        <v>0</v>
      </c>
      <c r="M1548" t="s">
        <v>537</v>
      </c>
    </row>
    <row r="1549" spans="2:13" x14ac:dyDescent="0.2">
      <c r="B1549" s="55"/>
      <c r="C1549" t="s">
        <v>273</v>
      </c>
      <c r="D1549" s="88">
        <v>1.2999999999999999E-4</v>
      </c>
      <c r="E1549" t="s">
        <v>378</v>
      </c>
      <c r="F1549">
        <v>1.2999999999999999E-4</v>
      </c>
      <c r="G1549">
        <v>3.0602</v>
      </c>
      <c r="H1549">
        <v>1.2999999999999999E-4</v>
      </c>
      <c r="I1549">
        <f>$A$7</f>
        <v>10</v>
      </c>
      <c r="J1549">
        <v>-1</v>
      </c>
      <c r="K1549" t="s">
        <v>462</v>
      </c>
      <c r="L1549" s="17">
        <f t="shared" si="118"/>
        <v>-60331139.365623973</v>
      </c>
      <c r="M1549" t="s">
        <v>537</v>
      </c>
    </row>
    <row r="1550" spans="2:13" x14ac:dyDescent="0.2">
      <c r="B1550" s="55"/>
      <c r="C1550" t="s">
        <v>274</v>
      </c>
      <c r="D1550" s="88">
        <v>1.2999999999999999E-4</v>
      </c>
      <c r="E1550" t="s">
        <v>379</v>
      </c>
      <c r="F1550">
        <v>1.2999999999999999E-4</v>
      </c>
      <c r="G1550">
        <v>3.1E-4</v>
      </c>
      <c r="H1550">
        <v>1.2999999999999999E-4</v>
      </c>
      <c r="I1550">
        <v>0</v>
      </c>
      <c r="J1550">
        <v>0</v>
      </c>
      <c r="K1550" t="s">
        <v>463</v>
      </c>
      <c r="L1550" s="17">
        <f t="shared" si="118"/>
        <v>0</v>
      </c>
      <c r="M1550" t="s">
        <v>537</v>
      </c>
    </row>
    <row r="1551" spans="2:13" x14ac:dyDescent="0.2">
      <c r="B1551" s="55"/>
      <c r="C1551" t="s">
        <v>275</v>
      </c>
      <c r="D1551" s="88">
        <v>1.26824</v>
      </c>
      <c r="E1551" t="s">
        <v>377</v>
      </c>
      <c r="F1551">
        <v>1.26824</v>
      </c>
      <c r="G1551">
        <v>3.0599999999999998E-3</v>
      </c>
      <c r="H1551">
        <v>1.26824</v>
      </c>
      <c r="I1551">
        <f>$A$6</f>
        <v>100</v>
      </c>
      <c r="J1551">
        <v>-1</v>
      </c>
      <c r="K1551" t="s">
        <v>461</v>
      </c>
      <c r="L1551" s="17">
        <f t="shared" si="118"/>
        <v>-43569985.268813781</v>
      </c>
      <c r="M1551" t="s">
        <v>537</v>
      </c>
    </row>
    <row r="1552" spans="2:13" x14ac:dyDescent="0.2">
      <c r="B1552" s="55"/>
      <c r="C1552" t="s">
        <v>276</v>
      </c>
      <c r="D1552" s="88">
        <v>1.26824</v>
      </c>
      <c r="E1552" t="s">
        <v>377</v>
      </c>
      <c r="F1552">
        <v>1.26824</v>
      </c>
      <c r="G1552">
        <v>3.0599999999999998E-3</v>
      </c>
      <c r="H1552">
        <v>1.26824</v>
      </c>
      <c r="I1552">
        <f>$A$6</f>
        <v>100</v>
      </c>
      <c r="J1552">
        <v>-1</v>
      </c>
      <c r="K1552" t="s">
        <v>461</v>
      </c>
      <c r="L1552" s="17">
        <f t="shared" si="118"/>
        <v>-43569985.268813781</v>
      </c>
      <c r="M1552" t="s">
        <v>537</v>
      </c>
    </row>
    <row r="1553" spans="2:13" x14ac:dyDescent="0.2">
      <c r="B1553" s="55"/>
      <c r="C1553" t="s">
        <v>277</v>
      </c>
      <c r="D1553" s="88">
        <v>1.2700000000000001E-3</v>
      </c>
      <c r="E1553" t="s">
        <v>380</v>
      </c>
      <c r="F1553">
        <v>1.2700000000000001E-3</v>
      </c>
      <c r="G1553">
        <v>3.1E-4</v>
      </c>
      <c r="H1553">
        <v>1.2700000000000001E-3</v>
      </c>
      <c r="I1553">
        <f>$A$6</f>
        <v>100</v>
      </c>
      <c r="J1553">
        <v>-1</v>
      </c>
      <c r="K1553" t="s">
        <v>464</v>
      </c>
      <c r="L1553" s="17">
        <f t="shared" si="118"/>
        <v>-104141.68582831675</v>
      </c>
      <c r="M1553" t="s">
        <v>537</v>
      </c>
    </row>
    <row r="1554" spans="2:13" x14ac:dyDescent="0.2">
      <c r="B1554" s="55"/>
      <c r="C1554" t="s">
        <v>278</v>
      </c>
      <c r="D1554" s="88">
        <v>1.26824</v>
      </c>
      <c r="E1554" t="s">
        <v>381</v>
      </c>
      <c r="F1554">
        <v>1.26824</v>
      </c>
      <c r="G1554">
        <v>3.0602</v>
      </c>
      <c r="H1554">
        <v>1.26824</v>
      </c>
      <c r="I1554">
        <f>$A$6</f>
        <v>100</v>
      </c>
      <c r="J1554">
        <v>-1</v>
      </c>
      <c r="K1554" t="s">
        <v>465</v>
      </c>
      <c r="L1554" s="17">
        <f t="shared" ref="L1554:L1585" si="119">((B$1490*F1554)+(SUM(B$1491,B$1495)*D1554)+(SUM(B$1492,B$1494,B$1496)*G1554)+(SUM(B$1493)*H1554))*I1554*J1554</f>
        <v>-646273707.0934093</v>
      </c>
      <c r="M1554" t="s">
        <v>537</v>
      </c>
    </row>
    <row r="1555" spans="2:13" x14ac:dyDescent="0.2">
      <c r="B1555" s="55"/>
      <c r="C1555" t="s">
        <v>330</v>
      </c>
      <c r="D1555" s="88">
        <v>1.2999999999999999E-4</v>
      </c>
      <c r="E1555" t="s">
        <v>382</v>
      </c>
      <c r="F1555">
        <v>1.2999999999999999E-4</v>
      </c>
      <c r="G1555">
        <v>3.1E-4</v>
      </c>
      <c r="H1555">
        <v>1.2999999999999999E-4</v>
      </c>
      <c r="I1555">
        <f>$A$7</f>
        <v>10</v>
      </c>
      <c r="J1555">
        <v>-1</v>
      </c>
      <c r="K1555" t="s">
        <v>466</v>
      </c>
      <c r="L1555" s="17">
        <f t="shared" si="119"/>
        <v>-6551.9612570970557</v>
      </c>
      <c r="M1555" t="s">
        <v>537</v>
      </c>
    </row>
    <row r="1556" spans="2:13" x14ac:dyDescent="0.2">
      <c r="B1556" s="55"/>
      <c r="C1556" t="s">
        <v>279</v>
      </c>
      <c r="D1556" s="88">
        <v>1.2999999999999999E-4</v>
      </c>
      <c r="E1556" t="s">
        <v>382</v>
      </c>
      <c r="F1556">
        <v>1.2999999999999999E-4</v>
      </c>
      <c r="G1556">
        <v>3.1E-4</v>
      </c>
      <c r="H1556">
        <v>1.2999999999999999E-4</v>
      </c>
      <c r="I1556">
        <f>$A$7</f>
        <v>10</v>
      </c>
      <c r="J1556">
        <v>-1</v>
      </c>
      <c r="K1556" t="s">
        <v>466</v>
      </c>
      <c r="L1556" s="17">
        <f t="shared" si="119"/>
        <v>-6551.9612570970557</v>
      </c>
      <c r="M1556" t="s">
        <v>537</v>
      </c>
    </row>
    <row r="1557" spans="2:13" x14ac:dyDescent="0.2">
      <c r="B1557" s="55"/>
      <c r="C1557" t="s">
        <v>280</v>
      </c>
      <c r="D1557" s="88">
        <v>1.2999999999999999E-4</v>
      </c>
      <c r="E1557" t="s">
        <v>382</v>
      </c>
      <c r="F1557">
        <v>1.2999999999999999E-4</v>
      </c>
      <c r="G1557">
        <v>3.0599999999999998E-3</v>
      </c>
      <c r="H1557">
        <v>1.2999999999999999E-4</v>
      </c>
      <c r="I1557">
        <v>0</v>
      </c>
      <c r="J1557">
        <v>0</v>
      </c>
      <c r="K1557" t="s">
        <v>466</v>
      </c>
      <c r="L1557" s="17">
        <f t="shared" si="119"/>
        <v>0</v>
      </c>
      <c r="M1557" t="s">
        <v>537</v>
      </c>
    </row>
    <row r="1558" spans="2:13" x14ac:dyDescent="0.2">
      <c r="B1558" s="55"/>
      <c r="C1558" t="s">
        <v>331</v>
      </c>
      <c r="D1558" s="88">
        <v>1.2700000000000001E-3</v>
      </c>
      <c r="E1558" t="s">
        <v>383</v>
      </c>
      <c r="F1558">
        <v>1.2700000000000001E-3</v>
      </c>
      <c r="G1558">
        <v>3.0599999999999998E-3</v>
      </c>
      <c r="H1558">
        <v>1.2700000000000001E-3</v>
      </c>
      <c r="I1558">
        <v>0</v>
      </c>
      <c r="J1558">
        <v>0</v>
      </c>
      <c r="K1558" t="s">
        <v>467</v>
      </c>
      <c r="L1558" s="17">
        <f t="shared" si="119"/>
        <v>0</v>
      </c>
      <c r="M1558" t="s">
        <v>537</v>
      </c>
    </row>
    <row r="1559" spans="2:13" x14ac:dyDescent="0.2">
      <c r="B1559" s="55"/>
      <c r="C1559" t="s">
        <v>281</v>
      </c>
      <c r="D1559" s="88">
        <v>1.2999999999999999E-4</v>
      </c>
      <c r="E1559" t="s">
        <v>384</v>
      </c>
      <c r="F1559">
        <v>1.2999999999999999E-4</v>
      </c>
      <c r="G1559">
        <v>3.1E-4</v>
      </c>
      <c r="H1559">
        <v>1.2999999999999999E-4</v>
      </c>
      <c r="I1559">
        <f>$A$7</f>
        <v>10</v>
      </c>
      <c r="J1559">
        <v>-1</v>
      </c>
      <c r="K1559" t="s">
        <v>468</v>
      </c>
      <c r="L1559" s="17">
        <f t="shared" si="119"/>
        <v>-6551.9612570970557</v>
      </c>
      <c r="M1559" t="s">
        <v>537</v>
      </c>
    </row>
    <row r="1560" spans="2:13" x14ac:dyDescent="0.2">
      <c r="B1560" s="55"/>
      <c r="C1560" t="s">
        <v>282</v>
      </c>
      <c r="D1560" s="88">
        <v>0.12681999999999999</v>
      </c>
      <c r="E1560" t="s">
        <v>385</v>
      </c>
      <c r="F1560">
        <v>0.12681999999999999</v>
      </c>
      <c r="G1560">
        <v>0.30602000000000001</v>
      </c>
      <c r="H1560">
        <v>0.12681999999999999</v>
      </c>
      <c r="I1560">
        <v>0</v>
      </c>
      <c r="J1560">
        <v>0</v>
      </c>
      <c r="K1560" t="s">
        <v>469</v>
      </c>
      <c r="L1560" s="17">
        <f t="shared" si="119"/>
        <v>0</v>
      </c>
      <c r="M1560" t="s">
        <v>537</v>
      </c>
    </row>
    <row r="1561" spans="2:13" x14ac:dyDescent="0.2">
      <c r="B1561" s="55"/>
      <c r="C1561" t="s">
        <v>332</v>
      </c>
      <c r="D1561" s="88">
        <v>1.268E-2</v>
      </c>
      <c r="E1561" t="s">
        <v>386</v>
      </c>
      <c r="F1561">
        <v>1.268E-2</v>
      </c>
      <c r="G1561">
        <v>3.0599999999999998E-3</v>
      </c>
      <c r="H1561">
        <v>1.268E-2</v>
      </c>
      <c r="I1561">
        <v>0</v>
      </c>
      <c r="J1561">
        <v>0</v>
      </c>
      <c r="K1561" t="s">
        <v>470</v>
      </c>
      <c r="L1561" s="17">
        <f t="shared" si="119"/>
        <v>0</v>
      </c>
      <c r="M1561" t="s">
        <v>537</v>
      </c>
    </row>
    <row r="1562" spans="2:13" x14ac:dyDescent="0.2">
      <c r="B1562" s="55"/>
      <c r="C1562" t="s">
        <v>283</v>
      </c>
      <c r="D1562" s="88">
        <v>1.2700000000000001E-3</v>
      </c>
      <c r="E1562" t="s">
        <v>387</v>
      </c>
      <c r="F1562">
        <v>1.2700000000000001E-3</v>
      </c>
      <c r="G1562">
        <v>3.0599999999999998E-3</v>
      </c>
      <c r="H1562">
        <v>1.2700000000000001E-3</v>
      </c>
      <c r="I1562">
        <f>$A$7</f>
        <v>10</v>
      </c>
      <c r="J1562">
        <v>-1</v>
      </c>
      <c r="K1562" t="s">
        <v>471</v>
      </c>
      <c r="L1562" s="17">
        <f t="shared" si="119"/>
        <v>-64629.390490158054</v>
      </c>
      <c r="M1562" t="s">
        <v>537</v>
      </c>
    </row>
    <row r="1563" spans="2:13" x14ac:dyDescent="0.2">
      <c r="B1563" s="55"/>
      <c r="C1563" t="s">
        <v>284</v>
      </c>
      <c r="D1563" s="88">
        <v>1.2999999999999999E-4</v>
      </c>
      <c r="E1563" t="s">
        <v>388</v>
      </c>
      <c r="F1563">
        <v>1.2999999999999999E-4</v>
      </c>
      <c r="G1563">
        <v>3.0602</v>
      </c>
      <c r="H1563">
        <v>1.2999999999999999E-4</v>
      </c>
      <c r="I1563">
        <f>$A$7</f>
        <v>10</v>
      </c>
      <c r="J1563">
        <v>-1</v>
      </c>
      <c r="K1563" t="s">
        <v>472</v>
      </c>
      <c r="L1563" s="17">
        <f t="shared" si="119"/>
        <v>-60331139.365623973</v>
      </c>
      <c r="M1563" t="s">
        <v>537</v>
      </c>
    </row>
    <row r="1564" spans="2:13" x14ac:dyDescent="0.2">
      <c r="B1564" s="55"/>
      <c r="C1564" t="s">
        <v>285</v>
      </c>
      <c r="D1564" s="88">
        <v>1.2700000000000001E-3</v>
      </c>
      <c r="E1564" t="s">
        <v>389</v>
      </c>
      <c r="F1564">
        <v>1.2700000000000001E-3</v>
      </c>
      <c r="G1564">
        <v>3.0599999999999998E-3</v>
      </c>
      <c r="H1564">
        <v>1.2700000000000001E-3</v>
      </c>
      <c r="I1564">
        <f>$A$7</f>
        <v>10</v>
      </c>
      <c r="J1564">
        <v>-1</v>
      </c>
      <c r="K1564" t="s">
        <v>473</v>
      </c>
      <c r="L1564" s="17">
        <f t="shared" si="119"/>
        <v>-64629.390490158054</v>
      </c>
      <c r="M1564" t="s">
        <v>537</v>
      </c>
    </row>
    <row r="1565" spans="2:13" x14ac:dyDescent="0.2">
      <c r="B1565" s="55"/>
      <c r="C1565" t="s">
        <v>286</v>
      </c>
      <c r="D1565" s="88">
        <v>1.268E-2</v>
      </c>
      <c r="E1565" t="s">
        <v>390</v>
      </c>
      <c r="F1565">
        <v>1.268E-2</v>
      </c>
      <c r="G1565">
        <v>3.0599999999999998E-3</v>
      </c>
      <c r="H1565">
        <v>1.268E-2</v>
      </c>
      <c r="I1565">
        <f>$A$6</f>
        <v>100</v>
      </c>
      <c r="J1565">
        <v>-1</v>
      </c>
      <c r="K1565" t="s">
        <v>474</v>
      </c>
      <c r="L1565" s="17">
        <f t="shared" si="119"/>
        <v>-1032853.4275913351</v>
      </c>
      <c r="M1565" t="s">
        <v>537</v>
      </c>
    </row>
    <row r="1566" spans="2:13" x14ac:dyDescent="0.2">
      <c r="B1566" s="55"/>
      <c r="C1566" t="s">
        <v>287</v>
      </c>
      <c r="D1566" s="88">
        <v>1.2700000000000001E-3</v>
      </c>
      <c r="E1566" t="s">
        <v>391</v>
      </c>
      <c r="F1566">
        <v>1.2700000000000001E-3</v>
      </c>
      <c r="G1566">
        <v>3.0599999999999998E-3</v>
      </c>
      <c r="H1566">
        <v>1.2700000000000001E-3</v>
      </c>
      <c r="I1566">
        <f>$A$6</f>
        <v>100</v>
      </c>
      <c r="J1566">
        <v>-1</v>
      </c>
      <c r="K1566" t="s">
        <v>475</v>
      </c>
      <c r="L1566" s="17">
        <f t="shared" si="119"/>
        <v>-646293.90490158054</v>
      </c>
      <c r="M1566" t="s">
        <v>537</v>
      </c>
    </row>
    <row r="1567" spans="2:13" x14ac:dyDescent="0.2">
      <c r="B1567" s="55"/>
      <c r="C1567" t="s">
        <v>288</v>
      </c>
      <c r="D1567" s="88">
        <v>1.2700000000000001E-3</v>
      </c>
      <c r="E1567" t="s">
        <v>392</v>
      </c>
      <c r="F1567">
        <v>1.2700000000000001E-3</v>
      </c>
      <c r="G1567">
        <v>3.0599999999999998E-3</v>
      </c>
      <c r="H1567">
        <v>1.2700000000000001E-3</v>
      </c>
      <c r="I1567">
        <f>$A$6</f>
        <v>100</v>
      </c>
      <c r="J1567">
        <v>-1</v>
      </c>
      <c r="K1567" t="s">
        <v>476</v>
      </c>
      <c r="L1567" s="17">
        <f t="shared" si="119"/>
        <v>-646293.90490158054</v>
      </c>
      <c r="M1567" t="s">
        <v>537</v>
      </c>
    </row>
    <row r="1568" spans="2:13" x14ac:dyDescent="0.2">
      <c r="B1568" s="55"/>
      <c r="C1568" t="s">
        <v>333</v>
      </c>
      <c r="D1568" s="88">
        <v>1.2700000000000001E-3</v>
      </c>
      <c r="E1568" t="s">
        <v>340</v>
      </c>
      <c r="F1568">
        <v>1.2700000000000001E-3</v>
      </c>
      <c r="G1568">
        <v>3.0599999999999998E-3</v>
      </c>
      <c r="H1568">
        <v>1.2700000000000001E-3</v>
      </c>
      <c r="I1568">
        <f>$A$7</f>
        <v>10</v>
      </c>
      <c r="J1568">
        <v>-1</v>
      </c>
      <c r="K1568" t="s">
        <v>424</v>
      </c>
      <c r="L1568" s="17">
        <f t="shared" si="119"/>
        <v>-64629.390490158054</v>
      </c>
      <c r="M1568" t="s">
        <v>537</v>
      </c>
    </row>
    <row r="1569" spans="2:13" x14ac:dyDescent="0.2">
      <c r="B1569" s="55"/>
      <c r="C1569" t="s">
        <v>334</v>
      </c>
      <c r="D1569" s="88">
        <v>1.268E-2</v>
      </c>
      <c r="E1569" t="s">
        <v>393</v>
      </c>
      <c r="F1569">
        <v>1.268E-2</v>
      </c>
      <c r="G1569">
        <v>3.0599999999999999E-2</v>
      </c>
      <c r="H1569">
        <v>1.268E-2</v>
      </c>
      <c r="I1569">
        <v>0</v>
      </c>
      <c r="J1569">
        <v>0</v>
      </c>
      <c r="K1569" t="s">
        <v>477</v>
      </c>
      <c r="L1569" s="17">
        <f t="shared" si="119"/>
        <v>0</v>
      </c>
      <c r="M1569" t="s">
        <v>537</v>
      </c>
    </row>
    <row r="1570" spans="2:13" x14ac:dyDescent="0.2">
      <c r="B1570" s="55"/>
      <c r="C1570" t="s">
        <v>335</v>
      </c>
      <c r="D1570" s="88">
        <v>1.2700000000000001E-3</v>
      </c>
      <c r="E1570" t="s">
        <v>394</v>
      </c>
      <c r="F1570">
        <v>1.2700000000000001E-3</v>
      </c>
      <c r="G1570">
        <v>3.0599999999999998E-3</v>
      </c>
      <c r="H1570">
        <v>1.2700000000000001E-3</v>
      </c>
      <c r="I1570">
        <f>$A$7</f>
        <v>10</v>
      </c>
      <c r="J1570">
        <v>-1</v>
      </c>
      <c r="K1570" t="s">
        <v>478</v>
      </c>
      <c r="L1570" s="17">
        <f t="shared" si="119"/>
        <v>-64629.390490158054</v>
      </c>
      <c r="M1570" t="s">
        <v>537</v>
      </c>
    </row>
    <row r="1571" spans="2:13" x14ac:dyDescent="0.2">
      <c r="B1571" s="55"/>
      <c r="C1571" t="s">
        <v>289</v>
      </c>
      <c r="D1571" s="88">
        <v>1.2700000000000001E-3</v>
      </c>
      <c r="E1571" t="s">
        <v>395</v>
      </c>
      <c r="F1571">
        <v>1.2700000000000001E-3</v>
      </c>
      <c r="G1571">
        <v>0.30602000000000001</v>
      </c>
      <c r="H1571">
        <v>1.2700000000000001E-3</v>
      </c>
      <c r="I1571">
        <f>$A$7</f>
        <v>10</v>
      </c>
      <c r="J1571">
        <v>-1</v>
      </c>
      <c r="K1571" t="s">
        <v>479</v>
      </c>
      <c r="L1571" s="17">
        <f t="shared" si="119"/>
        <v>-6037372.5283241943</v>
      </c>
      <c r="M1571" t="s">
        <v>537</v>
      </c>
    </row>
    <row r="1572" spans="2:13" x14ac:dyDescent="0.2">
      <c r="B1572" s="55"/>
      <c r="C1572" t="s">
        <v>290</v>
      </c>
      <c r="D1572" s="88">
        <v>1.2999999999999999E-4</v>
      </c>
      <c r="E1572" t="s">
        <v>396</v>
      </c>
      <c r="F1572">
        <v>1.2999999999999999E-4</v>
      </c>
      <c r="G1572">
        <v>3.1E-4</v>
      </c>
      <c r="H1572">
        <v>1.2999999999999999E-4</v>
      </c>
      <c r="I1572">
        <f>$A$7</f>
        <v>10</v>
      </c>
      <c r="J1572">
        <v>-1</v>
      </c>
      <c r="K1572" t="s">
        <v>480</v>
      </c>
      <c r="L1572" s="17">
        <f t="shared" si="119"/>
        <v>-6551.9612570970557</v>
      </c>
      <c r="M1572" t="s">
        <v>537</v>
      </c>
    </row>
    <row r="1573" spans="2:13" x14ac:dyDescent="0.2">
      <c r="B1573" s="55"/>
      <c r="C1573" t="s">
        <v>291</v>
      </c>
      <c r="D1573" s="88">
        <v>1.2999999999999999E-4</v>
      </c>
      <c r="E1573" t="s">
        <v>397</v>
      </c>
      <c r="F1573">
        <v>1.2999999999999999E-4</v>
      </c>
      <c r="G1573">
        <v>3.1E-4</v>
      </c>
      <c r="H1573">
        <v>1.2999999999999999E-4</v>
      </c>
      <c r="I1573">
        <f>$A$8</f>
        <v>1</v>
      </c>
      <c r="J1573">
        <v>-1</v>
      </c>
      <c r="K1573" t="s">
        <v>481</v>
      </c>
      <c r="L1573" s="17">
        <f t="shared" si="119"/>
        <v>-655.1961257097056</v>
      </c>
      <c r="M1573" t="s">
        <v>537</v>
      </c>
    </row>
    <row r="1574" spans="2:13" x14ac:dyDescent="0.2">
      <c r="B1574" s="55"/>
      <c r="C1574" t="s">
        <v>292</v>
      </c>
      <c r="D1574" s="88">
        <v>1.268E-2</v>
      </c>
      <c r="E1574" t="s">
        <v>360</v>
      </c>
      <c r="F1574">
        <v>1.268E-2</v>
      </c>
      <c r="G1574">
        <v>3.0599999999999998E-3</v>
      </c>
      <c r="H1574">
        <v>1.268E-2</v>
      </c>
      <c r="I1574">
        <f>$A$6</f>
        <v>100</v>
      </c>
      <c r="J1574">
        <v>-1</v>
      </c>
      <c r="K1574" t="s">
        <v>444</v>
      </c>
      <c r="L1574" s="17">
        <f t="shared" si="119"/>
        <v>-1032853.4275913351</v>
      </c>
      <c r="M1574" t="s">
        <v>537</v>
      </c>
    </row>
    <row r="1575" spans="2:13" x14ac:dyDescent="0.2">
      <c r="B1575" s="55"/>
      <c r="C1575" t="s">
        <v>293</v>
      </c>
      <c r="D1575" s="88">
        <v>1.26824</v>
      </c>
      <c r="E1575" t="s">
        <v>398</v>
      </c>
      <c r="F1575">
        <v>1.26824</v>
      </c>
      <c r="G1575">
        <v>3.0599999999999998E-3</v>
      </c>
      <c r="H1575">
        <v>1.26824</v>
      </c>
      <c r="I1575">
        <f>$A$7</f>
        <v>10</v>
      </c>
      <c r="J1575">
        <v>-1</v>
      </c>
      <c r="K1575" t="s">
        <v>482</v>
      </c>
      <c r="L1575" s="17">
        <f t="shared" si="119"/>
        <v>-4356998.5268813781</v>
      </c>
      <c r="M1575" t="s">
        <v>537</v>
      </c>
    </row>
    <row r="1576" spans="2:13" x14ac:dyDescent="0.2">
      <c r="B1576" s="55"/>
      <c r="C1576" t="s">
        <v>294</v>
      </c>
      <c r="D1576" s="88">
        <v>1.2999999999999999E-4</v>
      </c>
      <c r="E1576" t="s">
        <v>399</v>
      </c>
      <c r="F1576">
        <v>1.2999999999999999E-4</v>
      </c>
      <c r="G1576">
        <v>3.1E-4</v>
      </c>
      <c r="H1576">
        <v>1.2999999999999999E-4</v>
      </c>
      <c r="I1576">
        <f>$A$8</f>
        <v>1</v>
      </c>
      <c r="J1576">
        <v>-1</v>
      </c>
      <c r="K1576" t="s">
        <v>483</v>
      </c>
      <c r="L1576" s="17">
        <f t="shared" si="119"/>
        <v>-655.1961257097056</v>
      </c>
      <c r="M1576" t="s">
        <v>537</v>
      </c>
    </row>
    <row r="1577" spans="2:13" x14ac:dyDescent="0.2">
      <c r="B1577" s="55"/>
      <c r="C1577" t="s">
        <v>336</v>
      </c>
      <c r="D1577" s="88">
        <v>1.2700000000000001E-3</v>
      </c>
      <c r="E1577" t="s">
        <v>400</v>
      </c>
      <c r="F1577">
        <v>1.2700000000000001E-3</v>
      </c>
      <c r="G1577">
        <v>0</v>
      </c>
      <c r="H1577">
        <v>1.2700000000000001E-3</v>
      </c>
      <c r="I1577">
        <f>$A$6</f>
        <v>100</v>
      </c>
      <c r="J1577">
        <v>-1</v>
      </c>
      <c r="K1577" t="s">
        <v>484</v>
      </c>
      <c r="L1577" s="17">
        <f t="shared" si="119"/>
        <v>-43026.344769148833</v>
      </c>
      <c r="M1577" t="s">
        <v>537</v>
      </c>
    </row>
    <row r="1578" spans="2:13" x14ac:dyDescent="0.2">
      <c r="B1578" s="55"/>
      <c r="C1578" t="s">
        <v>295</v>
      </c>
      <c r="D1578" s="88">
        <v>1.2999999999999999E-4</v>
      </c>
      <c r="E1578" t="s">
        <v>401</v>
      </c>
      <c r="F1578">
        <v>1.2999999999999999E-4</v>
      </c>
      <c r="G1578">
        <v>3.1E-4</v>
      </c>
      <c r="H1578">
        <v>1.2999999999999999E-4</v>
      </c>
      <c r="I1578">
        <f>$A$6</f>
        <v>100</v>
      </c>
      <c r="J1578">
        <v>-1</v>
      </c>
      <c r="K1578" t="s">
        <v>485</v>
      </c>
      <c r="L1578" s="17">
        <f t="shared" si="119"/>
        <v>-65519.612570970559</v>
      </c>
      <c r="M1578" t="s">
        <v>537</v>
      </c>
    </row>
    <row r="1579" spans="2:13" x14ac:dyDescent="0.2">
      <c r="B1579" s="55"/>
      <c r="C1579" t="s">
        <v>296</v>
      </c>
      <c r="D1579" s="88">
        <v>1.26824</v>
      </c>
      <c r="E1579" t="s">
        <v>402</v>
      </c>
      <c r="F1579">
        <v>1.26824</v>
      </c>
      <c r="G1579">
        <v>3.0599999999999998E-3</v>
      </c>
      <c r="H1579">
        <v>1.26824</v>
      </c>
      <c r="I1579">
        <f>$A$7</f>
        <v>10</v>
      </c>
      <c r="J1579">
        <v>-1</v>
      </c>
      <c r="K1579" t="s">
        <v>486</v>
      </c>
      <c r="L1579" s="17">
        <f t="shared" si="119"/>
        <v>-4356998.5268813781</v>
      </c>
      <c r="M1579" t="s">
        <v>537</v>
      </c>
    </row>
    <row r="1580" spans="2:13" x14ac:dyDescent="0.2">
      <c r="B1580" s="55"/>
      <c r="C1580" t="s">
        <v>297</v>
      </c>
      <c r="D1580" s="88">
        <v>1.2999999999999999E-4</v>
      </c>
      <c r="E1580" t="s">
        <v>403</v>
      </c>
      <c r="F1580">
        <v>1.2999999999999999E-4</v>
      </c>
      <c r="G1580">
        <v>3.0599999999999998E-3</v>
      </c>
      <c r="H1580">
        <v>1.2999999999999999E-4</v>
      </c>
      <c r="I1580">
        <f>$A$7</f>
        <v>10</v>
      </c>
      <c r="J1580">
        <v>-1</v>
      </c>
      <c r="K1580" t="s">
        <v>487</v>
      </c>
      <c r="L1580" s="17">
        <f t="shared" si="119"/>
        <v>-60767.183164423441</v>
      </c>
      <c r="M1580" t="s">
        <v>537</v>
      </c>
    </row>
    <row r="1581" spans="2:13" x14ac:dyDescent="0.2">
      <c r="B1581" s="55"/>
      <c r="C1581" t="s">
        <v>298</v>
      </c>
      <c r="D1581" s="88">
        <v>1.2700000000000001E-3</v>
      </c>
      <c r="E1581" t="s">
        <v>394</v>
      </c>
      <c r="F1581">
        <v>1.2999999999999999E-4</v>
      </c>
      <c r="G1581">
        <v>3.0599999999999998E-3</v>
      </c>
      <c r="H1581">
        <v>1.2999999999999999E-4</v>
      </c>
      <c r="I1581">
        <f>$A$7</f>
        <v>10</v>
      </c>
      <c r="J1581">
        <v>-1</v>
      </c>
      <c r="K1581" t="s">
        <v>478</v>
      </c>
      <c r="L1581" s="17">
        <f t="shared" si="119"/>
        <v>-63141.569281342076</v>
      </c>
      <c r="M1581" t="s">
        <v>537</v>
      </c>
    </row>
    <row r="1582" spans="2:13" x14ac:dyDescent="0.2">
      <c r="B1582" s="55"/>
      <c r="C1582" t="s">
        <v>299</v>
      </c>
      <c r="D1582" s="88">
        <v>1.2999999999999999E-4</v>
      </c>
      <c r="E1582" t="s">
        <v>404</v>
      </c>
      <c r="F1582">
        <v>1.2999999999999999E-4</v>
      </c>
      <c r="G1582">
        <v>0.30602000000000001</v>
      </c>
      <c r="H1582">
        <v>1.2999999999999999E-4</v>
      </c>
      <c r="I1582">
        <f>$A$7</f>
        <v>10</v>
      </c>
      <c r="J1582">
        <v>-1</v>
      </c>
      <c r="K1582" t="s">
        <v>488</v>
      </c>
      <c r="L1582" s="17">
        <f t="shared" si="119"/>
        <v>-6033510.3209984601</v>
      </c>
      <c r="M1582" t="s">
        <v>537</v>
      </c>
    </row>
    <row r="1583" spans="2:13" x14ac:dyDescent="0.2">
      <c r="B1583" s="55"/>
      <c r="C1583" t="s">
        <v>300</v>
      </c>
      <c r="D1583" s="88">
        <v>0.12681999999999999</v>
      </c>
      <c r="E1583" t="s">
        <v>405</v>
      </c>
      <c r="F1583">
        <v>0.12681999999999999</v>
      </c>
      <c r="G1583">
        <v>3.0599999999999998E-3</v>
      </c>
      <c r="H1583">
        <v>0.12681999999999999</v>
      </c>
      <c r="I1583">
        <f>$A$7</f>
        <v>10</v>
      </c>
      <c r="J1583">
        <v>-1</v>
      </c>
      <c r="K1583" t="s">
        <v>489</v>
      </c>
      <c r="L1583" s="17">
        <f t="shared" si="119"/>
        <v>-489980.38149540493</v>
      </c>
      <c r="M1583" t="s">
        <v>537</v>
      </c>
    </row>
    <row r="1584" spans="2:13" x14ac:dyDescent="0.2">
      <c r="B1584" s="55"/>
      <c r="C1584" t="s">
        <v>301</v>
      </c>
      <c r="D1584" s="88">
        <v>1.2700000000000001E-3</v>
      </c>
      <c r="E1584" t="s">
        <v>406</v>
      </c>
      <c r="F1584">
        <v>1.2700000000000001E-3</v>
      </c>
      <c r="G1584">
        <v>0.30602000000000001</v>
      </c>
      <c r="H1584">
        <v>1.2700000000000001E-3</v>
      </c>
      <c r="I1584">
        <f>$A$6</f>
        <v>100</v>
      </c>
      <c r="J1584">
        <v>-1</v>
      </c>
      <c r="K1584" t="s">
        <v>490</v>
      </c>
      <c r="L1584" s="17">
        <f t="shared" si="119"/>
        <v>-60373725.28324195</v>
      </c>
      <c r="M1584" t="s">
        <v>537</v>
      </c>
    </row>
    <row r="1585" spans="1:15" x14ac:dyDescent="0.2">
      <c r="B1585" s="55"/>
      <c r="C1585" t="s">
        <v>302</v>
      </c>
      <c r="D1585" s="88">
        <v>1.2700000000000001E-3</v>
      </c>
      <c r="E1585" t="s">
        <v>407</v>
      </c>
      <c r="F1585">
        <v>1.2700000000000001E-3</v>
      </c>
      <c r="G1585">
        <v>3.0599999999999998E-3</v>
      </c>
      <c r="H1585">
        <v>1.2700000000000001E-3</v>
      </c>
      <c r="I1585">
        <f>$A$6</f>
        <v>100</v>
      </c>
      <c r="J1585">
        <v>-1</v>
      </c>
      <c r="K1585" t="s">
        <v>491</v>
      </c>
      <c r="L1585" s="17">
        <f t="shared" si="119"/>
        <v>-646293.90490158054</v>
      </c>
      <c r="M1585" t="s">
        <v>537</v>
      </c>
    </row>
    <row r="1586" spans="1:15" x14ac:dyDescent="0.2">
      <c r="B1586" s="55"/>
      <c r="C1586" t="s">
        <v>303</v>
      </c>
      <c r="D1586" s="88">
        <v>1.2700000000000001E-3</v>
      </c>
      <c r="E1586" t="s">
        <v>408</v>
      </c>
      <c r="F1586">
        <v>1.2700000000000001E-3</v>
      </c>
      <c r="G1586">
        <v>3.0599999999999998E-3</v>
      </c>
      <c r="H1586">
        <v>1.2700000000000001E-3</v>
      </c>
      <c r="I1586">
        <f>$A$7</f>
        <v>10</v>
      </c>
      <c r="J1586">
        <v>-1</v>
      </c>
      <c r="K1586" t="s">
        <v>492</v>
      </c>
      <c r="L1586" s="17">
        <f t="shared" ref="L1586:L1595" si="120">((B$1490*F1586)+(SUM(B$1491,B$1495)*D1586)+(SUM(B$1492,B$1494,B$1496)*G1586)+(SUM(B$1493)*H1586))*I1586*J1586</f>
        <v>-64629.390490158054</v>
      </c>
      <c r="M1586" t="s">
        <v>537</v>
      </c>
    </row>
    <row r="1587" spans="1:15" x14ac:dyDescent="0.2">
      <c r="B1587" s="55"/>
      <c r="C1587" t="s">
        <v>304</v>
      </c>
      <c r="D1587" s="88">
        <v>1.26824</v>
      </c>
      <c r="E1587" t="s">
        <v>409</v>
      </c>
      <c r="F1587">
        <v>1.26824</v>
      </c>
      <c r="G1587">
        <v>3.0602</v>
      </c>
      <c r="H1587">
        <v>1.26824</v>
      </c>
      <c r="I1587">
        <f>$A$6</f>
        <v>100</v>
      </c>
      <c r="J1587">
        <v>-1</v>
      </c>
      <c r="K1587" t="s">
        <v>493</v>
      </c>
      <c r="L1587" s="17">
        <f t="shared" si="120"/>
        <v>-646273707.0934093</v>
      </c>
      <c r="M1587" t="s">
        <v>537</v>
      </c>
    </row>
    <row r="1588" spans="1:15" x14ac:dyDescent="0.2">
      <c r="B1588" s="55"/>
      <c r="C1588" t="s">
        <v>305</v>
      </c>
      <c r="D1588" s="88">
        <v>1.2700000000000001E-3</v>
      </c>
      <c r="E1588" t="s">
        <v>410</v>
      </c>
      <c r="F1588">
        <v>1.2700000000000001E-3</v>
      </c>
      <c r="G1588">
        <v>3.0599999999999998E-3</v>
      </c>
      <c r="H1588">
        <v>1.2700000000000001E-3</v>
      </c>
      <c r="I1588">
        <f>$A$7</f>
        <v>10</v>
      </c>
      <c r="J1588">
        <v>-1</v>
      </c>
      <c r="K1588" t="s">
        <v>494</v>
      </c>
      <c r="L1588" s="17">
        <f t="shared" si="120"/>
        <v>-64629.390490158054</v>
      </c>
      <c r="M1588" t="s">
        <v>537</v>
      </c>
    </row>
    <row r="1589" spans="1:15" x14ac:dyDescent="0.2">
      <c r="B1589" s="55"/>
      <c r="C1589" t="s">
        <v>306</v>
      </c>
      <c r="D1589" s="88">
        <v>1.2700000000000001E-3</v>
      </c>
      <c r="E1589" t="s">
        <v>411</v>
      </c>
      <c r="F1589">
        <v>1.2700000000000001E-3</v>
      </c>
      <c r="G1589">
        <v>3.0599999999999998E-3</v>
      </c>
      <c r="H1589">
        <v>1.2700000000000001E-3</v>
      </c>
      <c r="I1589">
        <f>$A$8</f>
        <v>1</v>
      </c>
      <c r="J1589">
        <v>-1</v>
      </c>
      <c r="K1589" t="s">
        <v>495</v>
      </c>
      <c r="L1589" s="17">
        <f t="shared" si="120"/>
        <v>-6462.9390490158057</v>
      </c>
      <c r="M1589" t="s">
        <v>537</v>
      </c>
    </row>
    <row r="1590" spans="1:15" x14ac:dyDescent="0.2">
      <c r="B1590" s="55"/>
      <c r="C1590" t="s">
        <v>307</v>
      </c>
      <c r="D1590" s="88">
        <v>1.2700000000000001E-3</v>
      </c>
      <c r="E1590" t="s">
        <v>411</v>
      </c>
      <c r="F1590">
        <v>1.2700000000000001E-3</v>
      </c>
      <c r="G1590">
        <v>3.0599999999999998E-3</v>
      </c>
      <c r="H1590">
        <v>1.2700000000000001E-3</v>
      </c>
      <c r="I1590">
        <f>$A$8</f>
        <v>1</v>
      </c>
      <c r="J1590">
        <v>-1</v>
      </c>
      <c r="K1590" t="s">
        <v>495</v>
      </c>
      <c r="L1590" s="17">
        <f t="shared" si="120"/>
        <v>-6462.9390490158057</v>
      </c>
      <c r="M1590" t="s">
        <v>537</v>
      </c>
    </row>
    <row r="1591" spans="1:15" x14ac:dyDescent="0.2">
      <c r="B1591" s="55"/>
      <c r="C1591" t="s">
        <v>337</v>
      </c>
      <c r="D1591" s="88">
        <v>0.12681999999999999</v>
      </c>
      <c r="E1591" t="s">
        <v>412</v>
      </c>
      <c r="F1591">
        <v>0.12681999999999999</v>
      </c>
      <c r="G1591">
        <v>3.0599999999999998E-3</v>
      </c>
      <c r="H1591">
        <v>0.12681999999999999</v>
      </c>
      <c r="I1591">
        <v>0</v>
      </c>
      <c r="J1591">
        <v>0</v>
      </c>
      <c r="K1591" t="s">
        <v>496</v>
      </c>
      <c r="L1591" s="17">
        <f t="shared" si="120"/>
        <v>0</v>
      </c>
      <c r="M1591" t="s">
        <v>537</v>
      </c>
    </row>
    <row r="1592" spans="1:15" x14ac:dyDescent="0.2">
      <c r="B1592" s="55"/>
      <c r="C1592" t="s">
        <v>308</v>
      </c>
      <c r="D1592" s="88">
        <v>1.2700000000000001E-3</v>
      </c>
      <c r="E1592" t="s">
        <v>413</v>
      </c>
      <c r="F1592">
        <v>1.2700000000000001E-3</v>
      </c>
      <c r="G1592">
        <v>3.0599999999999998E-3</v>
      </c>
      <c r="H1592">
        <v>1.2700000000000001E-3</v>
      </c>
      <c r="I1592">
        <f>$A$7</f>
        <v>10</v>
      </c>
      <c r="J1592">
        <v>-1</v>
      </c>
      <c r="K1592" t="s">
        <v>497</v>
      </c>
      <c r="L1592" s="17">
        <f t="shared" si="120"/>
        <v>-64629.390490158054</v>
      </c>
      <c r="M1592" t="s">
        <v>537</v>
      </c>
    </row>
    <row r="1593" spans="1:15" x14ac:dyDescent="0.2">
      <c r="B1593" s="55"/>
      <c r="C1593" t="s">
        <v>309</v>
      </c>
      <c r="D1593" s="88">
        <v>1.2700000000000001E-3</v>
      </c>
      <c r="E1593" t="s">
        <v>413</v>
      </c>
      <c r="F1593">
        <v>1.2700000000000001E-3</v>
      </c>
      <c r="G1593">
        <v>3.0599999999999998E-3</v>
      </c>
      <c r="H1593">
        <v>1.2700000000000001E-3</v>
      </c>
      <c r="I1593">
        <f>$A$7</f>
        <v>10</v>
      </c>
      <c r="J1593">
        <v>-1</v>
      </c>
      <c r="K1593" t="s">
        <v>497</v>
      </c>
      <c r="L1593" s="17">
        <f t="shared" si="120"/>
        <v>-64629.390490158054</v>
      </c>
      <c r="M1593" t="s">
        <v>537</v>
      </c>
    </row>
    <row r="1594" spans="1:15" x14ac:dyDescent="0.2">
      <c r="B1594" s="55"/>
      <c r="C1594" t="s">
        <v>310</v>
      </c>
      <c r="D1594" s="88">
        <v>1.2700000000000001E-3</v>
      </c>
      <c r="E1594" t="s">
        <v>413</v>
      </c>
      <c r="F1594">
        <v>1.2700000000000001E-3</v>
      </c>
      <c r="G1594">
        <v>3.0599999999999998E-3</v>
      </c>
      <c r="H1594">
        <v>1.2700000000000001E-3</v>
      </c>
      <c r="I1594">
        <v>0</v>
      </c>
      <c r="J1594">
        <v>0</v>
      </c>
      <c r="K1594" t="s">
        <v>497</v>
      </c>
      <c r="L1594" s="17">
        <f t="shared" si="120"/>
        <v>0</v>
      </c>
      <c r="M1594" t="s">
        <v>537</v>
      </c>
    </row>
    <row r="1595" spans="1:15" x14ac:dyDescent="0.2">
      <c r="B1595" s="55"/>
      <c r="C1595" t="s">
        <v>311</v>
      </c>
      <c r="D1595" s="88">
        <v>1.2700000000000001E-3</v>
      </c>
      <c r="E1595" t="s">
        <v>414</v>
      </c>
      <c r="F1595">
        <v>1.2700000000000001E-3</v>
      </c>
      <c r="G1595">
        <v>3.1E-4</v>
      </c>
      <c r="H1595">
        <v>1.2700000000000001E-3</v>
      </c>
      <c r="I1595">
        <f>$A$7</f>
        <v>10</v>
      </c>
      <c r="J1595">
        <v>-1</v>
      </c>
      <c r="K1595" t="s">
        <v>498</v>
      </c>
      <c r="L1595" s="17">
        <f t="shared" si="120"/>
        <v>-10414.168582831677</v>
      </c>
      <c r="M1595" t="s">
        <v>537</v>
      </c>
    </row>
    <row r="1596" spans="1:15" x14ac:dyDescent="0.2">
      <c r="B1596" s="55"/>
      <c r="C1596" s="55"/>
      <c r="D1596" s="55"/>
      <c r="E1596" s="55"/>
    </row>
    <row r="1597" spans="1:15" x14ac:dyDescent="0.2">
      <c r="B1597" s="55"/>
      <c r="C1597" s="55"/>
      <c r="D1597" s="55"/>
      <c r="E1597" s="55"/>
    </row>
    <row r="1598" spans="1:15" ht="22" customHeight="1" x14ac:dyDescent="0.2">
      <c r="A1598" s="421" t="s">
        <v>74</v>
      </c>
      <c r="B1598" s="422"/>
      <c r="C1598" s="422"/>
      <c r="D1598" s="422"/>
      <c r="E1598" s="422"/>
      <c r="F1598" s="422"/>
      <c r="G1598" s="422"/>
      <c r="H1598" s="422"/>
      <c r="I1598" s="422"/>
      <c r="J1598" s="422"/>
      <c r="K1598" s="422"/>
      <c r="L1598" s="422"/>
      <c r="M1598" s="422"/>
      <c r="N1598" s="422"/>
      <c r="O1598" s="422"/>
    </row>
    <row r="1599" spans="1:15" ht="15" customHeight="1" x14ac:dyDescent="0.2">
      <c r="A1599" s="423"/>
      <c r="B1599" s="424"/>
      <c r="C1599" s="424"/>
      <c r="D1599" s="424"/>
      <c r="E1599" s="424"/>
      <c r="F1599" s="424"/>
      <c r="G1599" s="424"/>
      <c r="H1599" s="424"/>
      <c r="I1599" s="424"/>
      <c r="J1599" s="424"/>
      <c r="K1599" s="424"/>
      <c r="L1599" s="424"/>
      <c r="M1599" s="424"/>
      <c r="N1599" s="424"/>
      <c r="O1599" s="424"/>
    </row>
    <row r="1600" spans="1:15" ht="15" customHeight="1" x14ac:dyDescent="0.2">
      <c r="A1600" s="358" t="s">
        <v>8</v>
      </c>
      <c r="B1600" s="363" t="s">
        <v>1022</v>
      </c>
      <c r="C1600" s="364" t="s">
        <v>503</v>
      </c>
      <c r="D1600" s="364"/>
      <c r="E1600" s="364"/>
      <c r="F1600" s="79" t="s">
        <v>512</v>
      </c>
      <c r="G1600" s="78" t="s">
        <v>507</v>
      </c>
      <c r="H1600" s="79" t="s">
        <v>511</v>
      </c>
      <c r="I1600" s="328" t="s">
        <v>421</v>
      </c>
      <c r="J1600" s="329"/>
      <c r="K1600" s="330"/>
      <c r="L1600" s="381" t="s">
        <v>28</v>
      </c>
      <c r="M1600" s="381"/>
      <c r="N1600" s="376" t="s">
        <v>420</v>
      </c>
      <c r="O1600" s="376"/>
    </row>
    <row r="1601" spans="1:15" x14ac:dyDescent="0.2">
      <c r="A1601" s="358"/>
      <c r="B1601" s="363"/>
      <c r="C1601" s="61" t="s">
        <v>502</v>
      </c>
      <c r="D1601" s="61"/>
      <c r="E1601" s="61"/>
      <c r="F1601" s="87" t="s">
        <v>509</v>
      </c>
      <c r="G1601" s="89" t="s">
        <v>506</v>
      </c>
      <c r="H1601" s="87" t="s">
        <v>510</v>
      </c>
      <c r="I1601" s="331"/>
      <c r="J1601" s="332"/>
      <c r="K1601" s="333"/>
      <c r="L1601" s="381"/>
      <c r="M1601" s="381"/>
      <c r="N1601" s="376"/>
      <c r="O1601" s="376"/>
    </row>
    <row r="1602" spans="1:15" x14ac:dyDescent="0.2">
      <c r="A1602" s="358"/>
      <c r="B1602" s="363"/>
      <c r="C1602" s="6" t="s">
        <v>317</v>
      </c>
      <c r="D1602" s="58" t="s">
        <v>319</v>
      </c>
      <c r="E1602" s="58" t="s">
        <v>5</v>
      </c>
      <c r="F1602" s="58" t="s">
        <v>319</v>
      </c>
      <c r="G1602" s="58" t="s">
        <v>319</v>
      </c>
      <c r="H1602" s="58" t="s">
        <v>319</v>
      </c>
      <c r="I1602" s="64" t="s">
        <v>0</v>
      </c>
      <c r="J1602" s="64" t="s">
        <v>499</v>
      </c>
      <c r="K1602" s="64" t="s">
        <v>5</v>
      </c>
      <c r="L1602" s="64" t="s">
        <v>0</v>
      </c>
      <c r="M1602" s="58" t="s">
        <v>5</v>
      </c>
      <c r="N1602" s="64" t="s">
        <v>0</v>
      </c>
      <c r="O1602" s="58" t="s">
        <v>5</v>
      </c>
    </row>
    <row r="1603" spans="1:15" ht="16" x14ac:dyDescent="0.2">
      <c r="A1603" s="81" t="s">
        <v>100</v>
      </c>
      <c r="B1603" s="82">
        <v>128111.62560546938</v>
      </c>
      <c r="C1603" t="s">
        <v>225</v>
      </c>
      <c r="D1603" s="88">
        <v>1.2999999999999999E-4</v>
      </c>
      <c r="E1603" t="s">
        <v>338</v>
      </c>
      <c r="F1603">
        <v>1.2999999999999999E-4</v>
      </c>
      <c r="G1603">
        <v>3.1E-4</v>
      </c>
      <c r="H1603">
        <v>1.2999999999999999E-4</v>
      </c>
      <c r="I1603">
        <f>$A$6</f>
        <v>100</v>
      </c>
      <c r="J1603">
        <v>-1</v>
      </c>
      <c r="K1603" t="s">
        <v>422</v>
      </c>
      <c r="L1603" s="17">
        <f t="shared" ref="L1603:L1634" si="121">((B$1603*F1603)+(B$1604*D1603)+(SUM(B$1605,B$1608:B$1611)*G1603)+(SUM(B$1606:B$1607)*H1603))*I1603*J1603</f>
        <v>-171449.96133235341</v>
      </c>
      <c r="M1603" t="s">
        <v>537</v>
      </c>
      <c r="N1603" s="69">
        <f>SUM(L1603:L1708)</f>
        <v>-6791215059.2804804</v>
      </c>
      <c r="O1603" t="s">
        <v>537</v>
      </c>
    </row>
    <row r="1604" spans="1:15" ht="16" x14ac:dyDescent="0.2">
      <c r="A1604" s="81" t="s">
        <v>67</v>
      </c>
      <c r="B1604" s="82">
        <v>858.35344956816652</v>
      </c>
      <c r="C1604" t="s">
        <v>226</v>
      </c>
      <c r="D1604" s="88">
        <v>1.2999999999999999E-4</v>
      </c>
      <c r="E1604" t="s">
        <v>339</v>
      </c>
      <c r="F1604">
        <v>1.2999999999999999E-4</v>
      </c>
      <c r="G1604">
        <v>3.1E-4</v>
      </c>
      <c r="H1604">
        <v>1.2999999999999999E-4</v>
      </c>
      <c r="I1604">
        <f>$A$7</f>
        <v>10</v>
      </c>
      <c r="J1604">
        <v>-1</v>
      </c>
      <c r="K1604" t="s">
        <v>423</v>
      </c>
      <c r="L1604" s="17">
        <f t="shared" si="121"/>
        <v>-17144.996133235341</v>
      </c>
      <c r="M1604" t="s">
        <v>537</v>
      </c>
    </row>
    <row r="1605" spans="1:15" ht="16" x14ac:dyDescent="0.2">
      <c r="A1605" s="81" t="s">
        <v>66</v>
      </c>
      <c r="B1605" s="82">
        <v>2892937.0287377969</v>
      </c>
      <c r="C1605" t="s">
        <v>227</v>
      </c>
      <c r="D1605" s="88">
        <v>1.2700000000000001E-3</v>
      </c>
      <c r="E1605" t="s">
        <v>340</v>
      </c>
      <c r="F1605">
        <v>1.2700000000000001E-3</v>
      </c>
      <c r="G1605">
        <v>3.0599999999999998E-3</v>
      </c>
      <c r="H1605">
        <v>1.2700000000000001E-3</v>
      </c>
      <c r="I1605">
        <f>$A$7</f>
        <v>10</v>
      </c>
      <c r="J1605">
        <v>-1</v>
      </c>
      <c r="K1605" t="s">
        <v>424</v>
      </c>
      <c r="L1605" s="17">
        <f t="shared" si="121"/>
        <v>-169219.41988762849</v>
      </c>
      <c r="M1605" t="s">
        <v>537</v>
      </c>
    </row>
    <row r="1606" spans="1:15" ht="16" x14ac:dyDescent="0.2">
      <c r="A1606" s="51" t="s">
        <v>58</v>
      </c>
      <c r="B1606" s="82">
        <v>2399.006746810102</v>
      </c>
      <c r="C1606" t="s">
        <v>228</v>
      </c>
      <c r="D1606" s="88">
        <v>0.12681999999999999</v>
      </c>
      <c r="E1606" t="s">
        <v>341</v>
      </c>
      <c r="F1606">
        <v>0.12681999999999999</v>
      </c>
      <c r="G1606">
        <v>3.0599999999999998E-3</v>
      </c>
      <c r="H1606">
        <v>0.12681999999999999</v>
      </c>
      <c r="I1606">
        <f>$A$7</f>
        <v>10</v>
      </c>
      <c r="J1606">
        <v>-1</v>
      </c>
      <c r="K1606" t="s">
        <v>425</v>
      </c>
      <c r="L1606" s="17">
        <f t="shared" si="121"/>
        <v>-342784.71703608992</v>
      </c>
      <c r="M1606" t="s">
        <v>537</v>
      </c>
    </row>
    <row r="1607" spans="1:15" ht="16" x14ac:dyDescent="0.2">
      <c r="A1607" s="81" t="s">
        <v>68</v>
      </c>
      <c r="B1607" s="82">
        <v>6874.9784741073236</v>
      </c>
      <c r="C1607" t="s">
        <v>229</v>
      </c>
      <c r="D1607" s="88">
        <v>1.268E-2</v>
      </c>
      <c r="E1607" t="s">
        <v>342</v>
      </c>
      <c r="F1607">
        <v>1.268E-2</v>
      </c>
      <c r="G1607">
        <v>3.0599999999999998E-3</v>
      </c>
      <c r="H1607">
        <v>1.268E-2</v>
      </c>
      <c r="I1607">
        <f>$A$6</f>
        <v>100</v>
      </c>
      <c r="J1607">
        <v>-1</v>
      </c>
      <c r="K1607" t="s">
        <v>426</v>
      </c>
      <c r="L1607" s="17">
        <f t="shared" si="121"/>
        <v>-1849930.5621151496</v>
      </c>
      <c r="M1607" t="s">
        <v>537</v>
      </c>
    </row>
    <row r="1608" spans="1:15" ht="16" x14ac:dyDescent="0.2">
      <c r="A1608" s="81" t="s">
        <v>61</v>
      </c>
      <c r="B1608" s="82">
        <v>1590078.2088389057</v>
      </c>
      <c r="C1608" t="s">
        <v>230</v>
      </c>
      <c r="D1608" s="88">
        <v>0.12681999999999999</v>
      </c>
      <c r="E1608" t="s">
        <v>343</v>
      </c>
      <c r="F1608">
        <v>0.12681999999999999</v>
      </c>
      <c r="G1608">
        <v>3.0602</v>
      </c>
      <c r="H1608">
        <v>0.12681999999999999</v>
      </c>
      <c r="I1608">
        <f>$A$6</f>
        <v>100</v>
      </c>
      <c r="J1608">
        <v>-1</v>
      </c>
      <c r="K1608" t="s">
        <v>427</v>
      </c>
      <c r="L1608" s="17">
        <f t="shared" si="121"/>
        <v>-1676499878.7809584</v>
      </c>
      <c r="M1608" t="s">
        <v>537</v>
      </c>
    </row>
    <row r="1609" spans="1:15" ht="16" x14ac:dyDescent="0.2">
      <c r="A1609" s="81" t="s">
        <v>62</v>
      </c>
      <c r="B1609" s="82">
        <v>35948.239440140882</v>
      </c>
      <c r="C1609" t="s">
        <v>231</v>
      </c>
      <c r="D1609" s="88">
        <v>0.12681999999999999</v>
      </c>
      <c r="E1609" t="s">
        <v>344</v>
      </c>
      <c r="F1609">
        <v>1.26824</v>
      </c>
      <c r="G1609">
        <v>3.0599999999999998E-3</v>
      </c>
      <c r="H1609">
        <v>1.2700000000000001E-3</v>
      </c>
      <c r="I1609">
        <f>$A$7</f>
        <v>10</v>
      </c>
      <c r="J1609">
        <v>-1</v>
      </c>
      <c r="K1609" t="s">
        <v>428</v>
      </c>
      <c r="L1609" s="17">
        <f t="shared" si="121"/>
        <v>-1793432.9455771768</v>
      </c>
      <c r="M1609" t="s">
        <v>537</v>
      </c>
    </row>
    <row r="1610" spans="1:15" ht="16" x14ac:dyDescent="0.2">
      <c r="A1610" s="81" t="s">
        <v>63</v>
      </c>
      <c r="B1610" s="82">
        <v>5084.3235688706727</v>
      </c>
      <c r="C1610" t="s">
        <v>232</v>
      </c>
      <c r="D1610" s="88">
        <v>1.2999999999999999E-4</v>
      </c>
      <c r="E1610" t="s">
        <v>345</v>
      </c>
      <c r="F1610">
        <v>1.2999999999999999E-4</v>
      </c>
      <c r="G1610">
        <v>3.1E-4</v>
      </c>
      <c r="H1610">
        <v>1.2999999999999999E-4</v>
      </c>
      <c r="I1610">
        <f>$A$7</f>
        <v>10</v>
      </c>
      <c r="J1610">
        <v>-1</v>
      </c>
      <c r="K1610" t="s">
        <v>429</v>
      </c>
      <c r="L1610" s="17">
        <f t="shared" si="121"/>
        <v>-17144.996133235341</v>
      </c>
      <c r="M1610" t="s">
        <v>537</v>
      </c>
    </row>
    <row r="1611" spans="1:15" ht="16" x14ac:dyDescent="0.2">
      <c r="A1611" s="81" t="s">
        <v>148</v>
      </c>
      <c r="B1611" s="82">
        <v>948622.83801964088</v>
      </c>
      <c r="C1611" t="s">
        <v>233</v>
      </c>
      <c r="D1611" s="88">
        <v>1.2999999999999999E-4</v>
      </c>
      <c r="E1611" t="s">
        <v>345</v>
      </c>
      <c r="F1611">
        <v>1.2999999999999999E-4</v>
      </c>
      <c r="G1611">
        <v>3.1E-4</v>
      </c>
      <c r="H1611">
        <v>1.2999999999999999E-4</v>
      </c>
      <c r="I1611">
        <f>$A$7</f>
        <v>10</v>
      </c>
      <c r="J1611">
        <v>-1</v>
      </c>
      <c r="K1611" t="s">
        <v>429</v>
      </c>
      <c r="L1611" s="17">
        <f t="shared" si="121"/>
        <v>-17144.996133235341</v>
      </c>
      <c r="M1611" t="s">
        <v>537</v>
      </c>
    </row>
    <row r="1612" spans="1:15" x14ac:dyDescent="0.2">
      <c r="A1612" s="1" t="s">
        <v>17</v>
      </c>
      <c r="B1612" s="96">
        <v>5610914.6028813096</v>
      </c>
      <c r="C1612" t="s">
        <v>320</v>
      </c>
      <c r="D1612" s="88">
        <v>0</v>
      </c>
      <c r="E1612" t="s">
        <v>344</v>
      </c>
      <c r="F1612">
        <v>0</v>
      </c>
      <c r="G1612">
        <v>0.30602000000000001</v>
      </c>
      <c r="H1612">
        <v>0</v>
      </c>
      <c r="I1612">
        <f>$A$6</f>
        <v>100</v>
      </c>
      <c r="J1612">
        <v>-1</v>
      </c>
      <c r="K1612" t="s">
        <v>428</v>
      </c>
      <c r="L1612" s="17">
        <f t="shared" si="121"/>
        <v>-167474666.88260111</v>
      </c>
      <c r="M1612" t="s">
        <v>537</v>
      </c>
    </row>
    <row r="1613" spans="1:15" x14ac:dyDescent="0.2">
      <c r="B1613" s="55"/>
      <c r="C1613" t="s">
        <v>321</v>
      </c>
      <c r="D1613" s="88">
        <v>0</v>
      </c>
      <c r="E1613" t="s">
        <v>344</v>
      </c>
      <c r="F1613">
        <v>0</v>
      </c>
      <c r="G1613">
        <v>0.30602000000000001</v>
      </c>
      <c r="H1613">
        <v>0</v>
      </c>
      <c r="I1613">
        <f>$A$6</f>
        <v>100</v>
      </c>
      <c r="J1613">
        <v>-1</v>
      </c>
      <c r="K1613" t="s">
        <v>428</v>
      </c>
      <c r="L1613" s="17">
        <f t="shared" si="121"/>
        <v>-167474666.88260111</v>
      </c>
      <c r="M1613" t="s">
        <v>537</v>
      </c>
    </row>
    <row r="1614" spans="1:15" ht="16" x14ac:dyDescent="0.2">
      <c r="A1614" s="66" t="s">
        <v>8</v>
      </c>
      <c r="B1614" s="76" t="s">
        <v>418</v>
      </c>
      <c r="C1614" t="s">
        <v>234</v>
      </c>
      <c r="D1614" s="88">
        <v>0</v>
      </c>
      <c r="E1614" t="s">
        <v>344</v>
      </c>
      <c r="F1614">
        <v>0</v>
      </c>
      <c r="G1614">
        <v>0.30602000000000001</v>
      </c>
      <c r="H1614">
        <v>0</v>
      </c>
      <c r="I1614">
        <v>0</v>
      </c>
      <c r="J1614">
        <v>0</v>
      </c>
      <c r="K1614" t="s">
        <v>428</v>
      </c>
      <c r="L1614" s="17">
        <f t="shared" si="121"/>
        <v>0</v>
      </c>
      <c r="M1614" t="s">
        <v>537</v>
      </c>
    </row>
    <row r="1615" spans="1:15" ht="16" x14ac:dyDescent="0.2">
      <c r="A1615" s="81" t="s">
        <v>100</v>
      </c>
      <c r="B1615" s="89" t="s">
        <v>509</v>
      </c>
      <c r="C1615" t="s">
        <v>235</v>
      </c>
      <c r="D1615" s="88">
        <v>0.12681999999999999</v>
      </c>
      <c r="E1615" t="s">
        <v>346</v>
      </c>
      <c r="F1615">
        <v>0.12681999999999999</v>
      </c>
      <c r="G1615">
        <v>0.30602000000000001</v>
      </c>
      <c r="H1615">
        <v>0.12681999999999999</v>
      </c>
      <c r="I1615">
        <f>$A$8</f>
        <v>1</v>
      </c>
      <c r="J1615">
        <v>1</v>
      </c>
      <c r="K1615" t="s">
        <v>430</v>
      </c>
      <c r="L1615" s="17">
        <f t="shared" si="121"/>
        <v>1692278.7683754875</v>
      </c>
      <c r="M1615" t="s">
        <v>537</v>
      </c>
    </row>
    <row r="1616" spans="1:15" ht="16" x14ac:dyDescent="0.2">
      <c r="A1616" s="81" t="s">
        <v>67</v>
      </c>
      <c r="B1616" s="61" t="s">
        <v>502</v>
      </c>
      <c r="C1616" t="s">
        <v>236</v>
      </c>
      <c r="D1616" s="88">
        <v>1.2999999999999999E-4</v>
      </c>
      <c r="E1616" t="s">
        <v>347</v>
      </c>
      <c r="F1616">
        <v>1.2999999999999999E-4</v>
      </c>
      <c r="G1616">
        <v>3.0602</v>
      </c>
      <c r="H1616">
        <v>1.2999999999999999E-4</v>
      </c>
      <c r="I1616">
        <f>$A$7</f>
        <v>10</v>
      </c>
      <c r="J1616">
        <v>-1</v>
      </c>
      <c r="K1616" t="s">
        <v>431</v>
      </c>
      <c r="L1616" s="17">
        <f t="shared" si="121"/>
        <v>-167474846.59975463</v>
      </c>
      <c r="M1616" t="s">
        <v>537</v>
      </c>
    </row>
    <row r="1617" spans="1:13" ht="16" x14ac:dyDescent="0.2">
      <c r="A1617" s="81" t="s">
        <v>66</v>
      </c>
      <c r="B1617" s="89" t="s">
        <v>506</v>
      </c>
      <c r="C1617" t="s">
        <v>237</v>
      </c>
      <c r="D1617" s="88">
        <v>0.12681999999999999</v>
      </c>
      <c r="E1617" t="s">
        <v>348</v>
      </c>
      <c r="F1617">
        <v>0.12681999999999999</v>
      </c>
      <c r="G1617">
        <v>0.30602000000000001</v>
      </c>
      <c r="H1617">
        <v>0.12681999999999999</v>
      </c>
      <c r="I1617">
        <f>$A$6</f>
        <v>100</v>
      </c>
      <c r="J1617">
        <v>-1</v>
      </c>
      <c r="K1617" t="s">
        <v>432</v>
      </c>
      <c r="L1617" s="17">
        <f t="shared" si="121"/>
        <v>-169227876.83754876</v>
      </c>
      <c r="M1617" t="s">
        <v>537</v>
      </c>
    </row>
    <row r="1618" spans="1:13" ht="16" x14ac:dyDescent="0.2">
      <c r="A1618" s="51" t="s">
        <v>58</v>
      </c>
      <c r="B1618" s="89" t="s">
        <v>510</v>
      </c>
      <c r="C1618" t="s">
        <v>238</v>
      </c>
      <c r="D1618" s="88">
        <v>0</v>
      </c>
      <c r="E1618" t="s">
        <v>349</v>
      </c>
      <c r="F1618">
        <v>0</v>
      </c>
      <c r="G1618">
        <v>0</v>
      </c>
      <c r="H1618">
        <v>0</v>
      </c>
      <c r="I1618">
        <f>$A$7</f>
        <v>10</v>
      </c>
      <c r="J1618">
        <v>-1</v>
      </c>
      <c r="K1618" t="s">
        <v>433</v>
      </c>
      <c r="L1618" s="17">
        <f t="shared" si="121"/>
        <v>0</v>
      </c>
      <c r="M1618" t="s">
        <v>537</v>
      </c>
    </row>
    <row r="1619" spans="1:13" ht="16" x14ac:dyDescent="0.2">
      <c r="A1619" s="81" t="s">
        <v>68</v>
      </c>
      <c r="B1619" s="89" t="s">
        <v>510</v>
      </c>
      <c r="C1619" t="s">
        <v>239</v>
      </c>
      <c r="D1619" s="88">
        <v>1.2700000000000001E-3</v>
      </c>
      <c r="E1619" t="s">
        <v>348</v>
      </c>
      <c r="F1619">
        <v>1.2700000000000001E-3</v>
      </c>
      <c r="G1619">
        <v>3.0599999999999998E-3</v>
      </c>
      <c r="H1619">
        <v>1.2700000000000001E-3</v>
      </c>
      <c r="I1619">
        <f>$A$6</f>
        <v>100</v>
      </c>
      <c r="J1619">
        <v>-1</v>
      </c>
      <c r="K1619" t="s">
        <v>432</v>
      </c>
      <c r="L1619" s="17">
        <f t="shared" si="121"/>
        <v>-1692194.198876285</v>
      </c>
      <c r="M1619" t="s">
        <v>537</v>
      </c>
    </row>
    <row r="1620" spans="1:13" ht="16" x14ac:dyDescent="0.2">
      <c r="A1620" s="81" t="s">
        <v>61</v>
      </c>
      <c r="B1620" s="89" t="s">
        <v>506</v>
      </c>
      <c r="C1620" t="s">
        <v>240</v>
      </c>
      <c r="D1620" s="88">
        <v>0</v>
      </c>
      <c r="E1620" t="s">
        <v>348</v>
      </c>
      <c r="F1620">
        <v>0</v>
      </c>
      <c r="G1620">
        <v>0</v>
      </c>
      <c r="H1620">
        <v>0</v>
      </c>
      <c r="I1620">
        <f>$A$6</f>
        <v>100</v>
      </c>
      <c r="J1620">
        <v>-1</v>
      </c>
      <c r="K1620" t="s">
        <v>432</v>
      </c>
      <c r="L1620" s="17">
        <f t="shared" si="121"/>
        <v>0</v>
      </c>
      <c r="M1620" t="s">
        <v>537</v>
      </c>
    </row>
    <row r="1621" spans="1:13" ht="16" x14ac:dyDescent="0.2">
      <c r="A1621" s="81" t="s">
        <v>62</v>
      </c>
      <c r="B1621" s="89" t="s">
        <v>506</v>
      </c>
      <c r="C1621" t="s">
        <v>241</v>
      </c>
      <c r="D1621" s="88">
        <v>0</v>
      </c>
      <c r="E1621" t="s">
        <v>350</v>
      </c>
      <c r="F1621">
        <v>0</v>
      </c>
      <c r="G1621">
        <v>0</v>
      </c>
      <c r="H1621">
        <v>0</v>
      </c>
      <c r="I1621">
        <f>$A$6</f>
        <v>100</v>
      </c>
      <c r="J1621">
        <v>-1</v>
      </c>
      <c r="K1621" t="s">
        <v>434</v>
      </c>
      <c r="L1621" s="17">
        <f t="shared" si="121"/>
        <v>0</v>
      </c>
      <c r="M1621" t="s">
        <v>537</v>
      </c>
    </row>
    <row r="1622" spans="1:13" ht="16" x14ac:dyDescent="0.2">
      <c r="A1622" s="81" t="s">
        <v>63</v>
      </c>
      <c r="B1622" s="89" t="s">
        <v>506</v>
      </c>
      <c r="C1622" t="s">
        <v>242</v>
      </c>
      <c r="D1622" s="88">
        <v>0</v>
      </c>
      <c r="E1622" t="s">
        <v>351</v>
      </c>
      <c r="F1622">
        <v>0</v>
      </c>
      <c r="G1622">
        <v>0</v>
      </c>
      <c r="H1622">
        <v>0</v>
      </c>
      <c r="I1622">
        <f>$A$8</f>
        <v>1</v>
      </c>
      <c r="J1622">
        <v>1</v>
      </c>
      <c r="K1622" t="s">
        <v>435</v>
      </c>
      <c r="L1622" s="17">
        <f t="shared" si="121"/>
        <v>0</v>
      </c>
      <c r="M1622" t="s">
        <v>537</v>
      </c>
    </row>
    <row r="1623" spans="1:13" ht="16" x14ac:dyDescent="0.2">
      <c r="A1623" s="81" t="s">
        <v>148</v>
      </c>
      <c r="B1623" s="89" t="s">
        <v>506</v>
      </c>
      <c r="C1623" t="s">
        <v>243</v>
      </c>
      <c r="D1623" s="88">
        <v>0.12681999999999999</v>
      </c>
      <c r="E1623" t="s">
        <v>352</v>
      </c>
      <c r="F1623">
        <v>1.26824</v>
      </c>
      <c r="G1623">
        <v>3.0599999999999998E-3</v>
      </c>
      <c r="H1623">
        <v>1.26824</v>
      </c>
      <c r="I1623">
        <f>$A$6</f>
        <v>100</v>
      </c>
      <c r="J1623">
        <v>-1</v>
      </c>
      <c r="K1623" t="s">
        <v>436</v>
      </c>
      <c r="L1623" s="17">
        <f t="shared" si="121"/>
        <v>-19109315.561306342</v>
      </c>
      <c r="M1623" t="s">
        <v>537</v>
      </c>
    </row>
    <row r="1624" spans="1:13" x14ac:dyDescent="0.2">
      <c r="B1624" s="55"/>
      <c r="C1624" t="s">
        <v>244</v>
      </c>
      <c r="D1624" s="88">
        <v>1.2700000000000001E-3</v>
      </c>
      <c r="E1624" t="s">
        <v>353</v>
      </c>
      <c r="F1624">
        <v>1.2700000000000001E-3</v>
      </c>
      <c r="G1624">
        <v>3.0599999999999998E-3</v>
      </c>
      <c r="H1624">
        <v>1.2700000000000001E-3</v>
      </c>
      <c r="I1624">
        <v>0</v>
      </c>
      <c r="J1624">
        <v>0</v>
      </c>
      <c r="K1624" t="s">
        <v>437</v>
      </c>
      <c r="L1624" s="17">
        <f t="shared" si="121"/>
        <v>0</v>
      </c>
      <c r="M1624" t="s">
        <v>537</v>
      </c>
    </row>
    <row r="1625" spans="1:13" x14ac:dyDescent="0.2">
      <c r="B1625" s="55"/>
      <c r="C1625" t="s">
        <v>245</v>
      </c>
      <c r="D1625" s="88">
        <v>1.2700000000000001E-3</v>
      </c>
      <c r="E1625" t="s">
        <v>351</v>
      </c>
      <c r="F1625">
        <v>1.2999999999999999E-4</v>
      </c>
      <c r="G1625">
        <v>0.30602000000000001</v>
      </c>
      <c r="H1625">
        <v>1.2999999999999999E-4</v>
      </c>
      <c r="I1625">
        <f t="shared" ref="I1625:I1630" si="122">$A$7</f>
        <v>10</v>
      </c>
      <c r="J1625">
        <v>-1</v>
      </c>
      <c r="K1625" t="s">
        <v>435</v>
      </c>
      <c r="L1625" s="17">
        <f t="shared" si="121"/>
        <v>-16747656.190642994</v>
      </c>
      <c r="M1625" t="s">
        <v>537</v>
      </c>
    </row>
    <row r="1626" spans="1:13" x14ac:dyDescent="0.2">
      <c r="B1626" s="55"/>
      <c r="C1626" t="s">
        <v>246</v>
      </c>
      <c r="D1626" s="88">
        <v>1.268E-2</v>
      </c>
      <c r="E1626" t="s">
        <v>354</v>
      </c>
      <c r="F1626">
        <v>1.268E-2</v>
      </c>
      <c r="G1626">
        <v>3.0599999999999999E-2</v>
      </c>
      <c r="H1626">
        <v>1.268E-2</v>
      </c>
      <c r="I1626">
        <f t="shared" si="122"/>
        <v>10</v>
      </c>
      <c r="J1626">
        <v>-1</v>
      </c>
      <c r="K1626" t="s">
        <v>438</v>
      </c>
      <c r="L1626" s="17">
        <f t="shared" si="121"/>
        <v>-1692166.5500834296</v>
      </c>
      <c r="M1626" t="s">
        <v>537</v>
      </c>
    </row>
    <row r="1627" spans="1:13" x14ac:dyDescent="0.2">
      <c r="B1627" s="55"/>
      <c r="C1627" t="s">
        <v>247</v>
      </c>
      <c r="D1627" s="88">
        <v>1.26824</v>
      </c>
      <c r="E1627" t="s">
        <v>354</v>
      </c>
      <c r="F1627">
        <v>1.26824</v>
      </c>
      <c r="G1627">
        <v>3.1E-4</v>
      </c>
      <c r="H1627">
        <v>1.26824</v>
      </c>
      <c r="I1627">
        <f t="shared" si="122"/>
        <v>10</v>
      </c>
      <c r="J1627">
        <v>-1</v>
      </c>
      <c r="K1627" t="s">
        <v>438</v>
      </c>
      <c r="L1627" s="17">
        <f t="shared" si="121"/>
        <v>-1770230.5315130481</v>
      </c>
      <c r="M1627" t="s">
        <v>537</v>
      </c>
    </row>
    <row r="1628" spans="1:13" x14ac:dyDescent="0.2">
      <c r="B1628" s="55"/>
      <c r="C1628" t="s">
        <v>248</v>
      </c>
      <c r="D1628" s="88">
        <v>1.26824</v>
      </c>
      <c r="E1628" t="s">
        <v>350</v>
      </c>
      <c r="F1628">
        <v>1.26824</v>
      </c>
      <c r="G1628">
        <v>0.30602000000000001</v>
      </c>
      <c r="H1628">
        <v>1.26824</v>
      </c>
      <c r="I1628">
        <f t="shared" si="122"/>
        <v>10</v>
      </c>
      <c r="J1628">
        <v>-1</v>
      </c>
      <c r="K1628" t="s">
        <v>434</v>
      </c>
      <c r="L1628" s="17">
        <f t="shared" si="121"/>
        <v>-18500731.940793481</v>
      </c>
      <c r="M1628" t="s">
        <v>537</v>
      </c>
    </row>
    <row r="1629" spans="1:13" x14ac:dyDescent="0.2">
      <c r="B1629" s="55"/>
      <c r="C1629" t="s">
        <v>322</v>
      </c>
      <c r="D1629" s="88">
        <v>1.26824</v>
      </c>
      <c r="E1629" t="s">
        <v>355</v>
      </c>
      <c r="F1629">
        <v>1.26824</v>
      </c>
      <c r="G1629">
        <v>3.0599999999999999E-2</v>
      </c>
      <c r="H1629">
        <v>1.26824</v>
      </c>
      <c r="I1629">
        <f t="shared" si="122"/>
        <v>10</v>
      </c>
      <c r="J1629">
        <v>-1</v>
      </c>
      <c r="K1629" t="s">
        <v>439</v>
      </c>
      <c r="L1629" s="17">
        <f t="shared" si="121"/>
        <v>-3427902.4679466104</v>
      </c>
      <c r="M1629" t="s">
        <v>537</v>
      </c>
    </row>
    <row r="1630" spans="1:13" x14ac:dyDescent="0.2">
      <c r="B1630" s="55"/>
      <c r="C1630" t="s">
        <v>249</v>
      </c>
      <c r="D1630" s="88">
        <v>0.12681999999999999</v>
      </c>
      <c r="E1630" t="s">
        <v>356</v>
      </c>
      <c r="F1630">
        <v>0.12681999999999999</v>
      </c>
      <c r="G1630">
        <v>3.1E-4</v>
      </c>
      <c r="H1630">
        <v>0.12681999999999999</v>
      </c>
      <c r="I1630">
        <f t="shared" si="122"/>
        <v>10</v>
      </c>
      <c r="J1630">
        <v>-1</v>
      </c>
      <c r="K1630" t="s">
        <v>440</v>
      </c>
      <c r="L1630" s="17">
        <f t="shared" si="121"/>
        <v>-192286.27447444265</v>
      </c>
      <c r="M1630" t="s">
        <v>537</v>
      </c>
    </row>
    <row r="1631" spans="1:13" x14ac:dyDescent="0.2">
      <c r="B1631" s="55"/>
      <c r="C1631" t="s">
        <v>323</v>
      </c>
      <c r="D1631" s="88">
        <v>1.2700000000000001E-3</v>
      </c>
      <c r="E1631" t="s">
        <v>357</v>
      </c>
      <c r="F1631">
        <v>1.2700000000000001E-3</v>
      </c>
      <c r="G1631">
        <v>3.0599999999999998E-3</v>
      </c>
      <c r="H1631">
        <v>1.2700000000000001E-3</v>
      </c>
      <c r="I1631">
        <f>$A$6</f>
        <v>100</v>
      </c>
      <c r="J1631">
        <v>-1</v>
      </c>
      <c r="K1631" t="s">
        <v>441</v>
      </c>
      <c r="L1631" s="17">
        <f t="shared" si="121"/>
        <v>-1692194.198876285</v>
      </c>
      <c r="M1631" t="s">
        <v>537</v>
      </c>
    </row>
    <row r="1632" spans="1:13" x14ac:dyDescent="0.2">
      <c r="B1632" s="55"/>
      <c r="C1632" t="s">
        <v>324</v>
      </c>
      <c r="D1632" s="88">
        <v>1.2700000000000001E-3</v>
      </c>
      <c r="E1632" t="s">
        <v>357</v>
      </c>
      <c r="F1632">
        <v>1.2700000000000001E-3</v>
      </c>
      <c r="G1632">
        <v>3.0599999999999998E-3</v>
      </c>
      <c r="H1632">
        <v>1.2700000000000001E-3</v>
      </c>
      <c r="I1632">
        <f>$A$6</f>
        <v>100</v>
      </c>
      <c r="J1632">
        <v>-1</v>
      </c>
      <c r="K1632" t="s">
        <v>441</v>
      </c>
      <c r="L1632" s="17">
        <f t="shared" si="121"/>
        <v>-1692194.198876285</v>
      </c>
      <c r="M1632" t="s">
        <v>537</v>
      </c>
    </row>
    <row r="1633" spans="2:13" x14ac:dyDescent="0.2">
      <c r="B1633" s="55"/>
      <c r="C1633" t="s">
        <v>250</v>
      </c>
      <c r="D1633" s="88">
        <v>1.2700000000000001E-3</v>
      </c>
      <c r="E1633" t="s">
        <v>358</v>
      </c>
      <c r="F1633">
        <v>1.2700000000000001E-3</v>
      </c>
      <c r="G1633">
        <v>0.30602000000000001</v>
      </c>
      <c r="H1633">
        <v>1.2700000000000001E-3</v>
      </c>
      <c r="I1633">
        <f>$A$7</f>
        <v>10</v>
      </c>
      <c r="J1633">
        <v>1</v>
      </c>
      <c r="K1633" t="s">
        <v>442</v>
      </c>
      <c r="L1633" s="17">
        <f t="shared" si="121"/>
        <v>16749222.386606414</v>
      </c>
      <c r="M1633" t="s">
        <v>537</v>
      </c>
    </row>
    <row r="1634" spans="2:13" x14ac:dyDescent="0.2">
      <c r="B1634" s="55"/>
      <c r="C1634" t="s">
        <v>251</v>
      </c>
      <c r="D1634" s="88">
        <v>0</v>
      </c>
      <c r="E1634" t="s">
        <v>359</v>
      </c>
      <c r="F1634">
        <v>0</v>
      </c>
      <c r="G1634">
        <v>3.1E-4</v>
      </c>
      <c r="H1634">
        <v>0</v>
      </c>
      <c r="I1634">
        <f>$A$6</f>
        <v>100</v>
      </c>
      <c r="J1634">
        <v>-1</v>
      </c>
      <c r="K1634" t="s">
        <v>443</v>
      </c>
      <c r="L1634" s="17">
        <f t="shared" si="121"/>
        <v>-169652.78979676601</v>
      </c>
      <c r="M1634" t="s">
        <v>537</v>
      </c>
    </row>
    <row r="1635" spans="2:13" x14ac:dyDescent="0.2">
      <c r="B1635" s="55"/>
      <c r="C1635" t="s">
        <v>252</v>
      </c>
      <c r="D1635" s="88">
        <v>0.12681999999999999</v>
      </c>
      <c r="E1635" t="s">
        <v>360</v>
      </c>
      <c r="F1635">
        <v>0.12681999999999999</v>
      </c>
      <c r="G1635">
        <v>3.0602</v>
      </c>
      <c r="H1635">
        <v>0.12681999999999999</v>
      </c>
      <c r="I1635">
        <f>$A$7</f>
        <v>10</v>
      </c>
      <c r="J1635">
        <v>-1</v>
      </c>
      <c r="K1635" t="s">
        <v>444</v>
      </c>
      <c r="L1635" s="17">
        <f t="shared" ref="L1635:L1666" si="123">((B$1603*F1635)+(B$1604*D1635)+(SUM(B$1605,B$1608:B$1611)*G1635)+(SUM(B$1606:B$1607)*H1635))*I1635*J1635</f>
        <v>-167649987.87809584</v>
      </c>
      <c r="M1635" t="s">
        <v>537</v>
      </c>
    </row>
    <row r="1636" spans="2:13" x14ac:dyDescent="0.2">
      <c r="B1636" s="55"/>
      <c r="C1636" t="s">
        <v>253</v>
      </c>
      <c r="D1636" s="88">
        <v>1.268E-2</v>
      </c>
      <c r="E1636" t="s">
        <v>361</v>
      </c>
      <c r="F1636">
        <v>1.268E-2</v>
      </c>
      <c r="G1636">
        <v>0.30602000000000001</v>
      </c>
      <c r="H1636">
        <v>1.268E-2</v>
      </c>
      <c r="I1636">
        <f>$A$7</f>
        <v>10</v>
      </c>
      <c r="J1636">
        <v>-1</v>
      </c>
      <c r="K1636" t="s">
        <v>445</v>
      </c>
      <c r="L1636" s="17">
        <f t="shared" si="123"/>
        <v>-16764996.022930302</v>
      </c>
      <c r="M1636" t="s">
        <v>537</v>
      </c>
    </row>
    <row r="1637" spans="2:13" x14ac:dyDescent="0.2">
      <c r="B1637" s="55"/>
      <c r="C1637" t="s">
        <v>325</v>
      </c>
      <c r="D1637" s="88">
        <v>1.2700000000000001E-3</v>
      </c>
      <c r="E1637" t="s">
        <v>362</v>
      </c>
      <c r="F1637">
        <v>1.2700000000000001E-3</v>
      </c>
      <c r="G1637">
        <v>3.1E-4</v>
      </c>
      <c r="H1637">
        <v>1.2700000000000001E-3</v>
      </c>
      <c r="I1637">
        <f>$A$6</f>
        <v>100</v>
      </c>
      <c r="J1637">
        <v>-1</v>
      </c>
      <c r="K1637" t="s">
        <v>446</v>
      </c>
      <c r="L1637" s="17">
        <f t="shared" si="123"/>
        <v>-187209.7732598123</v>
      </c>
      <c r="M1637" t="s">
        <v>537</v>
      </c>
    </row>
    <row r="1638" spans="2:13" x14ac:dyDescent="0.2">
      <c r="B1638" s="55"/>
      <c r="C1638" t="s">
        <v>254</v>
      </c>
      <c r="D1638" s="88">
        <v>1.2700000000000001E-3</v>
      </c>
      <c r="E1638" t="s">
        <v>363</v>
      </c>
      <c r="F1638">
        <v>1.2700000000000001E-3</v>
      </c>
      <c r="G1638">
        <v>3.0599999999999998E-3</v>
      </c>
      <c r="H1638">
        <v>1.2700000000000001E-3</v>
      </c>
      <c r="I1638">
        <f>$A$7</f>
        <v>10</v>
      </c>
      <c r="J1638">
        <v>-1</v>
      </c>
      <c r="K1638" t="s">
        <v>447</v>
      </c>
      <c r="L1638" s="17">
        <f t="shared" si="123"/>
        <v>-169219.41988762849</v>
      </c>
      <c r="M1638" t="s">
        <v>537</v>
      </c>
    </row>
    <row r="1639" spans="2:13" x14ac:dyDescent="0.2">
      <c r="B1639" s="55"/>
      <c r="C1639" t="s">
        <v>255</v>
      </c>
      <c r="D1639" s="88">
        <v>0</v>
      </c>
      <c r="E1639" t="s">
        <v>364</v>
      </c>
      <c r="F1639">
        <v>0</v>
      </c>
      <c r="G1639">
        <v>0</v>
      </c>
      <c r="H1639">
        <v>0</v>
      </c>
      <c r="I1639">
        <f>$A$7</f>
        <v>10</v>
      </c>
      <c r="J1639">
        <v>-1</v>
      </c>
      <c r="K1639" t="s">
        <v>448</v>
      </c>
      <c r="L1639" s="17">
        <f t="shared" si="123"/>
        <v>0</v>
      </c>
      <c r="M1639" t="s">
        <v>537</v>
      </c>
    </row>
    <row r="1640" spans="2:13" x14ac:dyDescent="0.2">
      <c r="B1640" s="55"/>
      <c r="C1640" t="s">
        <v>256</v>
      </c>
      <c r="D1640" s="88">
        <v>1.2700000000000001E-3</v>
      </c>
      <c r="E1640" t="s">
        <v>365</v>
      </c>
      <c r="F1640">
        <v>1.2700000000000001E-3</v>
      </c>
      <c r="G1640">
        <v>0.30602000000000001</v>
      </c>
      <c r="H1640">
        <v>1.2700000000000001E-3</v>
      </c>
      <c r="I1640">
        <f>$A$7</f>
        <v>10</v>
      </c>
      <c r="J1640">
        <v>-1</v>
      </c>
      <c r="K1640" t="s">
        <v>449</v>
      </c>
      <c r="L1640" s="17">
        <f t="shared" si="123"/>
        <v>-16749222.386606414</v>
      </c>
      <c r="M1640" t="s">
        <v>537</v>
      </c>
    </row>
    <row r="1641" spans="2:13" x14ac:dyDescent="0.2">
      <c r="B1641" s="55"/>
      <c r="C1641" t="s">
        <v>257</v>
      </c>
      <c r="D1641" s="88">
        <v>1.26824</v>
      </c>
      <c r="E1641" t="s">
        <v>366</v>
      </c>
      <c r="F1641">
        <v>1.26824</v>
      </c>
      <c r="G1641">
        <v>3.0599999999999998E-3</v>
      </c>
      <c r="H1641">
        <v>1.26824</v>
      </c>
      <c r="I1641">
        <f>$A$6</f>
        <v>100</v>
      </c>
      <c r="J1641">
        <v>-1</v>
      </c>
      <c r="K1641" t="s">
        <v>450</v>
      </c>
      <c r="L1641" s="17">
        <f t="shared" si="123"/>
        <v>-19207289.740746953</v>
      </c>
      <c r="M1641" t="s">
        <v>537</v>
      </c>
    </row>
    <row r="1642" spans="2:13" x14ac:dyDescent="0.2">
      <c r="B1642" s="55"/>
      <c r="C1642" t="s">
        <v>258</v>
      </c>
      <c r="D1642" s="88">
        <v>0.12681999999999999</v>
      </c>
      <c r="E1642" t="s">
        <v>367</v>
      </c>
      <c r="F1642">
        <v>0.12681999999999999</v>
      </c>
      <c r="G1642">
        <v>3.0599999999999998E-3</v>
      </c>
      <c r="H1642">
        <v>0.12681999999999999</v>
      </c>
      <c r="I1642">
        <f>$A$6</f>
        <v>100</v>
      </c>
      <c r="J1642">
        <v>-1</v>
      </c>
      <c r="K1642" t="s">
        <v>451</v>
      </c>
      <c r="L1642" s="17">
        <f t="shared" si="123"/>
        <v>-3427847.1703608995</v>
      </c>
      <c r="M1642" t="s">
        <v>537</v>
      </c>
    </row>
    <row r="1643" spans="2:13" x14ac:dyDescent="0.2">
      <c r="B1643" s="55"/>
      <c r="C1643" t="s">
        <v>326</v>
      </c>
      <c r="D1643" s="88">
        <v>1.2700000000000001E-3</v>
      </c>
      <c r="E1643" t="s">
        <v>365</v>
      </c>
      <c r="F1643">
        <v>1.2700000000000001E-3</v>
      </c>
      <c r="G1643">
        <v>3.0599999999999998E-3</v>
      </c>
      <c r="H1643">
        <v>1.2700000000000001E-3</v>
      </c>
      <c r="I1643">
        <v>0</v>
      </c>
      <c r="J1643">
        <v>0</v>
      </c>
      <c r="K1643" t="s">
        <v>449</v>
      </c>
      <c r="L1643" s="17">
        <f t="shared" si="123"/>
        <v>0</v>
      </c>
      <c r="M1643" t="s">
        <v>537</v>
      </c>
    </row>
    <row r="1644" spans="2:13" x14ac:dyDescent="0.2">
      <c r="B1644" s="55"/>
      <c r="C1644" t="s">
        <v>259</v>
      </c>
      <c r="D1644" s="88">
        <v>1.268E-2</v>
      </c>
      <c r="E1644" t="s">
        <v>368</v>
      </c>
      <c r="F1644">
        <v>1.268E-2</v>
      </c>
      <c r="G1644">
        <v>3.0599999999999998E-3</v>
      </c>
      <c r="H1644">
        <v>1.268E-2</v>
      </c>
      <c r="I1644">
        <f>$A$6</f>
        <v>100</v>
      </c>
      <c r="J1644">
        <v>-1</v>
      </c>
      <c r="K1644" t="s">
        <v>452</v>
      </c>
      <c r="L1644" s="17">
        <f t="shared" si="123"/>
        <v>-1849930.5621151496</v>
      </c>
      <c r="M1644" t="s">
        <v>537</v>
      </c>
    </row>
    <row r="1645" spans="2:13" x14ac:dyDescent="0.2">
      <c r="B1645" s="55"/>
      <c r="C1645" t="s">
        <v>260</v>
      </c>
      <c r="D1645" s="88">
        <v>0</v>
      </c>
      <c r="E1645" t="s">
        <v>368</v>
      </c>
      <c r="F1645">
        <v>0</v>
      </c>
      <c r="G1645">
        <v>3.0599999999999998E-3</v>
      </c>
      <c r="H1645">
        <v>0</v>
      </c>
      <c r="I1645">
        <v>0</v>
      </c>
      <c r="J1645">
        <v>0</v>
      </c>
      <c r="K1645" t="s">
        <v>452</v>
      </c>
      <c r="L1645" s="17">
        <f t="shared" si="123"/>
        <v>0</v>
      </c>
      <c r="M1645" t="s">
        <v>537</v>
      </c>
    </row>
    <row r="1646" spans="2:13" x14ac:dyDescent="0.2">
      <c r="B1646" s="55"/>
      <c r="C1646" t="s">
        <v>327</v>
      </c>
      <c r="D1646" s="88">
        <v>1.2999999999999999E-4</v>
      </c>
      <c r="E1646" t="s">
        <v>368</v>
      </c>
      <c r="F1646">
        <v>1.2999999999999999E-4</v>
      </c>
      <c r="G1646">
        <v>0.30602000000000001</v>
      </c>
      <c r="H1646">
        <v>1.2999999999999999E-4</v>
      </c>
      <c r="I1646">
        <f>$A$6</f>
        <v>100</v>
      </c>
      <c r="J1646">
        <v>-1</v>
      </c>
      <c r="K1646" t="s">
        <v>452</v>
      </c>
      <c r="L1646" s="17">
        <f t="shared" si="123"/>
        <v>-167476464.05413669</v>
      </c>
      <c r="M1646" t="s">
        <v>537</v>
      </c>
    </row>
    <row r="1647" spans="2:13" x14ac:dyDescent="0.2">
      <c r="B1647" s="55"/>
      <c r="C1647" t="s">
        <v>328</v>
      </c>
      <c r="D1647" s="88">
        <v>1.2999999999999999E-4</v>
      </c>
      <c r="E1647" t="s">
        <v>368</v>
      </c>
      <c r="F1647">
        <v>1.2999999999999999E-4</v>
      </c>
      <c r="G1647">
        <v>0.30602000000000001</v>
      </c>
      <c r="H1647">
        <v>1.2999999999999999E-4</v>
      </c>
      <c r="I1647">
        <v>0</v>
      </c>
      <c r="J1647">
        <v>0</v>
      </c>
      <c r="K1647" t="s">
        <v>452</v>
      </c>
      <c r="L1647" s="17">
        <f t="shared" si="123"/>
        <v>0</v>
      </c>
      <c r="M1647" t="s">
        <v>537</v>
      </c>
    </row>
    <row r="1648" spans="2:13" x14ac:dyDescent="0.2">
      <c r="B1648" s="55"/>
      <c r="C1648" t="s">
        <v>261</v>
      </c>
      <c r="D1648" s="88">
        <v>0.12681999999999999</v>
      </c>
      <c r="E1648" t="s">
        <v>369</v>
      </c>
      <c r="F1648">
        <v>0.12681999999999999</v>
      </c>
      <c r="G1648">
        <v>3.1E-4</v>
      </c>
      <c r="H1648">
        <v>0.12681999999999999</v>
      </c>
      <c r="I1648">
        <f>$A$6</f>
        <v>100</v>
      </c>
      <c r="J1648">
        <v>-1</v>
      </c>
      <c r="K1648" t="s">
        <v>453</v>
      </c>
      <c r="L1648" s="17">
        <f t="shared" si="123"/>
        <v>-1922862.7447444266</v>
      </c>
      <c r="M1648" t="s">
        <v>537</v>
      </c>
    </row>
    <row r="1649" spans="2:13" x14ac:dyDescent="0.2">
      <c r="B1649" s="55"/>
      <c r="C1649" t="s">
        <v>263</v>
      </c>
      <c r="D1649" s="88">
        <v>1.2999999999999999E-4</v>
      </c>
      <c r="E1649" t="s">
        <v>370</v>
      </c>
      <c r="F1649">
        <v>1.2999999999999999E-4</v>
      </c>
      <c r="G1649">
        <v>3.1E-4</v>
      </c>
      <c r="H1649">
        <v>1.2999999999999999E-4</v>
      </c>
      <c r="I1649">
        <f>$A$6</f>
        <v>100</v>
      </c>
      <c r="J1649">
        <v>-1</v>
      </c>
      <c r="K1649" t="s">
        <v>454</v>
      </c>
      <c r="L1649" s="17">
        <f t="shared" si="123"/>
        <v>-171449.96133235341</v>
      </c>
      <c r="M1649" t="s">
        <v>537</v>
      </c>
    </row>
    <row r="1650" spans="2:13" x14ac:dyDescent="0.2">
      <c r="B1650" s="55"/>
      <c r="C1650" t="s">
        <v>262</v>
      </c>
      <c r="D1650" s="88">
        <v>1.2999999999999999E-4</v>
      </c>
      <c r="E1650" t="s">
        <v>370</v>
      </c>
      <c r="F1650">
        <v>1.2999999999999999E-4</v>
      </c>
      <c r="G1650">
        <v>3.0599999999999998E-3</v>
      </c>
      <c r="H1650">
        <v>1.2999999999999999E-4</v>
      </c>
      <c r="I1650">
        <f>$A$6</f>
        <v>100</v>
      </c>
      <c r="J1650">
        <v>-1</v>
      </c>
      <c r="K1650" t="s">
        <v>454</v>
      </c>
      <c r="L1650" s="17">
        <f t="shared" si="123"/>
        <v>-1676434.386948826</v>
      </c>
      <c r="M1650" t="s">
        <v>537</v>
      </c>
    </row>
    <row r="1651" spans="2:13" x14ac:dyDescent="0.2">
      <c r="B1651" s="55"/>
      <c r="C1651" t="s">
        <v>264</v>
      </c>
      <c r="D1651" s="88">
        <v>1.2700000000000001E-3</v>
      </c>
      <c r="E1651" t="s">
        <v>371</v>
      </c>
      <c r="F1651">
        <v>1.2700000000000001E-3</v>
      </c>
      <c r="G1651">
        <v>3.0599999999999999E-2</v>
      </c>
      <c r="H1651">
        <v>1.2700000000000001E-3</v>
      </c>
      <c r="I1651">
        <f>$A$7</f>
        <v>10</v>
      </c>
      <c r="J1651">
        <v>-1</v>
      </c>
      <c r="K1651" t="s">
        <v>455</v>
      </c>
      <c r="L1651" s="17">
        <f t="shared" si="123"/>
        <v>-1676392.9137595436</v>
      </c>
      <c r="M1651" t="s">
        <v>537</v>
      </c>
    </row>
    <row r="1652" spans="2:13" x14ac:dyDescent="0.2">
      <c r="B1652" s="55"/>
      <c r="C1652" t="s">
        <v>265</v>
      </c>
      <c r="D1652" s="88">
        <v>1.2700000000000001E-3</v>
      </c>
      <c r="E1652" t="s">
        <v>371</v>
      </c>
      <c r="F1652">
        <v>1.2700000000000001E-3</v>
      </c>
      <c r="G1652">
        <v>3.0599999999999998E-3</v>
      </c>
      <c r="H1652">
        <v>1.2700000000000001E-3</v>
      </c>
      <c r="I1652">
        <f>$A$7</f>
        <v>10</v>
      </c>
      <c r="J1652">
        <v>-1</v>
      </c>
      <c r="K1652" t="s">
        <v>455</v>
      </c>
      <c r="L1652" s="17">
        <f t="shared" si="123"/>
        <v>-169219.41988762849</v>
      </c>
      <c r="M1652" t="s">
        <v>537</v>
      </c>
    </row>
    <row r="1653" spans="2:13" x14ac:dyDescent="0.2">
      <c r="B1653" s="55"/>
      <c r="C1653" t="s">
        <v>266</v>
      </c>
      <c r="D1653" s="88">
        <v>1.2700000000000001E-3</v>
      </c>
      <c r="E1653" t="s">
        <v>371</v>
      </c>
      <c r="F1653">
        <v>1.2700000000000001E-3</v>
      </c>
      <c r="G1653">
        <v>3.0599999999999999E-2</v>
      </c>
      <c r="H1653">
        <v>1.2700000000000001E-3</v>
      </c>
      <c r="I1653">
        <v>0</v>
      </c>
      <c r="J1653">
        <v>0</v>
      </c>
      <c r="K1653" t="s">
        <v>455</v>
      </c>
      <c r="L1653" s="17">
        <f t="shared" si="123"/>
        <v>0</v>
      </c>
      <c r="M1653" t="s">
        <v>537</v>
      </c>
    </row>
    <row r="1654" spans="2:13" x14ac:dyDescent="0.2">
      <c r="B1654" s="55"/>
      <c r="C1654" t="s">
        <v>267</v>
      </c>
      <c r="D1654" s="88">
        <v>1.2999999999999999E-4</v>
      </c>
      <c r="E1654" t="s">
        <v>372</v>
      </c>
      <c r="F1654">
        <v>1.2999999999999999E-4</v>
      </c>
      <c r="G1654">
        <v>3.0599999999999998E-3</v>
      </c>
      <c r="H1654">
        <v>1.2999999999999999E-4</v>
      </c>
      <c r="I1654">
        <v>0</v>
      </c>
      <c r="J1654">
        <v>0</v>
      </c>
      <c r="K1654" t="s">
        <v>456</v>
      </c>
      <c r="L1654" s="17">
        <f t="shared" si="123"/>
        <v>0</v>
      </c>
      <c r="M1654" t="s">
        <v>537</v>
      </c>
    </row>
    <row r="1655" spans="2:13" x14ac:dyDescent="0.2">
      <c r="B1655" s="55"/>
      <c r="C1655" t="s">
        <v>329</v>
      </c>
      <c r="D1655" s="88">
        <v>0.12681999999999999</v>
      </c>
      <c r="E1655" s="75" t="s">
        <v>373</v>
      </c>
      <c r="F1655">
        <v>0.12681999999999999</v>
      </c>
      <c r="G1655">
        <v>0.30602000000000001</v>
      </c>
      <c r="H1655">
        <v>0.12681999999999999</v>
      </c>
      <c r="I1655">
        <f>$A$7</f>
        <v>10</v>
      </c>
      <c r="J1655">
        <v>-1</v>
      </c>
      <c r="K1655" t="s">
        <v>457</v>
      </c>
      <c r="L1655" s="17">
        <f t="shared" si="123"/>
        <v>-16922787.683754876</v>
      </c>
      <c r="M1655" t="s">
        <v>537</v>
      </c>
    </row>
    <row r="1656" spans="2:13" x14ac:dyDescent="0.2">
      <c r="B1656" s="55"/>
      <c r="C1656" t="s">
        <v>314</v>
      </c>
      <c r="D1656" s="88">
        <v>1.2700000000000001E-3</v>
      </c>
      <c r="E1656" s="75" t="s">
        <v>374</v>
      </c>
      <c r="F1656">
        <v>1.2700000000000001E-3</v>
      </c>
      <c r="G1656">
        <v>3.0599999999999998E-3</v>
      </c>
      <c r="H1656">
        <v>1.2700000000000001E-3</v>
      </c>
      <c r="I1656">
        <f>$A$7</f>
        <v>10</v>
      </c>
      <c r="J1656">
        <v>-1</v>
      </c>
      <c r="K1656" t="s">
        <v>458</v>
      </c>
      <c r="L1656" s="17">
        <f t="shared" si="123"/>
        <v>-169219.41988762849</v>
      </c>
      <c r="M1656" t="s">
        <v>537</v>
      </c>
    </row>
    <row r="1657" spans="2:13" x14ac:dyDescent="0.2">
      <c r="B1657" s="55"/>
      <c r="C1657" t="s">
        <v>268</v>
      </c>
      <c r="D1657" s="88">
        <v>1.2700000000000001E-3</v>
      </c>
      <c r="E1657" s="75" t="s">
        <v>374</v>
      </c>
      <c r="F1657">
        <v>1.2700000000000001E-3</v>
      </c>
      <c r="G1657">
        <v>3.0599999999999998E-3</v>
      </c>
      <c r="H1657">
        <v>1.2700000000000001E-3</v>
      </c>
      <c r="I1657">
        <f>$A$7</f>
        <v>10</v>
      </c>
      <c r="J1657">
        <v>-1</v>
      </c>
      <c r="K1657" t="s">
        <v>458</v>
      </c>
      <c r="L1657" s="17">
        <f t="shared" si="123"/>
        <v>-169219.41988762849</v>
      </c>
      <c r="M1657" t="s">
        <v>537</v>
      </c>
    </row>
    <row r="1658" spans="2:13" x14ac:dyDescent="0.2">
      <c r="B1658" s="55"/>
      <c r="C1658" t="s">
        <v>269</v>
      </c>
      <c r="D1658" s="88">
        <v>1.2700000000000001E-3</v>
      </c>
      <c r="E1658" s="75" t="s">
        <v>374</v>
      </c>
      <c r="F1658">
        <v>1.2700000000000001E-3</v>
      </c>
      <c r="G1658">
        <v>3.0599999999999998E-3</v>
      </c>
      <c r="H1658">
        <v>1.2700000000000001E-3</v>
      </c>
      <c r="I1658">
        <v>0</v>
      </c>
      <c r="J1658">
        <v>0</v>
      </c>
      <c r="K1658" t="s">
        <v>458</v>
      </c>
      <c r="L1658" s="17">
        <f t="shared" si="123"/>
        <v>0</v>
      </c>
      <c r="M1658" t="s">
        <v>537</v>
      </c>
    </row>
    <row r="1659" spans="2:13" x14ac:dyDescent="0.2">
      <c r="B1659" s="55"/>
      <c r="C1659" t="s">
        <v>270</v>
      </c>
      <c r="D1659" s="88">
        <v>1.2700000000000001E-3</v>
      </c>
      <c r="E1659" s="75" t="s">
        <v>375</v>
      </c>
      <c r="F1659">
        <v>1.2700000000000001E-3</v>
      </c>
      <c r="G1659">
        <v>0</v>
      </c>
      <c r="H1659">
        <v>1.2700000000000001E-3</v>
      </c>
      <c r="I1659">
        <f>$A$6</f>
        <v>100</v>
      </c>
      <c r="J1659">
        <v>-1</v>
      </c>
      <c r="K1659" t="s">
        <v>459</v>
      </c>
      <c r="L1659" s="17">
        <f t="shared" si="123"/>
        <v>-17556.983463046283</v>
      </c>
      <c r="M1659" t="s">
        <v>537</v>
      </c>
    </row>
    <row r="1660" spans="2:13" x14ac:dyDescent="0.2">
      <c r="B1660" s="55"/>
      <c r="C1660" t="s">
        <v>271</v>
      </c>
      <c r="D1660" s="88">
        <v>0.12681999999999999</v>
      </c>
      <c r="E1660" s="75" t="s">
        <v>376</v>
      </c>
      <c r="F1660">
        <v>0.12681999999999999</v>
      </c>
      <c r="G1660">
        <v>3.0602</v>
      </c>
      <c r="H1660">
        <v>0.12681999999999999</v>
      </c>
      <c r="I1660">
        <v>0</v>
      </c>
      <c r="J1660">
        <v>0</v>
      </c>
      <c r="K1660" t="s">
        <v>460</v>
      </c>
      <c r="L1660" s="17">
        <f t="shared" si="123"/>
        <v>0</v>
      </c>
      <c r="M1660" t="s">
        <v>537</v>
      </c>
    </row>
    <row r="1661" spans="2:13" x14ac:dyDescent="0.2">
      <c r="B1661" s="55"/>
      <c r="C1661" t="s">
        <v>272</v>
      </c>
      <c r="D1661" s="88">
        <v>1.26824</v>
      </c>
      <c r="E1661" t="s">
        <v>377</v>
      </c>
      <c r="F1661">
        <v>1.26824</v>
      </c>
      <c r="G1661">
        <v>3.0599999999999998E-3</v>
      </c>
      <c r="H1661">
        <v>1.26824</v>
      </c>
      <c r="I1661">
        <v>0</v>
      </c>
      <c r="J1661">
        <v>0</v>
      </c>
      <c r="K1661" t="s">
        <v>461</v>
      </c>
      <c r="L1661" s="17">
        <f t="shared" si="123"/>
        <v>0</v>
      </c>
      <c r="M1661" t="s">
        <v>537</v>
      </c>
    </row>
    <row r="1662" spans="2:13" x14ac:dyDescent="0.2">
      <c r="B1662" s="55"/>
      <c r="C1662" t="s">
        <v>273</v>
      </c>
      <c r="D1662" s="88">
        <v>1.2999999999999999E-4</v>
      </c>
      <c r="E1662" t="s">
        <v>378</v>
      </c>
      <c r="F1662">
        <v>1.2999999999999999E-4</v>
      </c>
      <c r="G1662">
        <v>3.0602</v>
      </c>
      <c r="H1662">
        <v>1.2999999999999999E-4</v>
      </c>
      <c r="I1662">
        <f>$A$7</f>
        <v>10</v>
      </c>
      <c r="J1662">
        <v>-1</v>
      </c>
      <c r="K1662" t="s">
        <v>462</v>
      </c>
      <c r="L1662" s="17">
        <f t="shared" si="123"/>
        <v>-167474846.59975463</v>
      </c>
      <c r="M1662" t="s">
        <v>537</v>
      </c>
    </row>
    <row r="1663" spans="2:13" x14ac:dyDescent="0.2">
      <c r="B1663" s="55"/>
      <c r="C1663" t="s">
        <v>274</v>
      </c>
      <c r="D1663" s="88">
        <v>1.2999999999999999E-4</v>
      </c>
      <c r="E1663" t="s">
        <v>379</v>
      </c>
      <c r="F1663">
        <v>1.2999999999999999E-4</v>
      </c>
      <c r="G1663">
        <v>3.1E-4</v>
      </c>
      <c r="H1663">
        <v>1.2999999999999999E-4</v>
      </c>
      <c r="I1663">
        <v>0</v>
      </c>
      <c r="J1663">
        <v>0</v>
      </c>
      <c r="K1663" t="s">
        <v>463</v>
      </c>
      <c r="L1663" s="17">
        <f t="shared" si="123"/>
        <v>0</v>
      </c>
      <c r="M1663" t="s">
        <v>537</v>
      </c>
    </row>
    <row r="1664" spans="2:13" x14ac:dyDescent="0.2">
      <c r="B1664" s="55"/>
      <c r="C1664" t="s">
        <v>275</v>
      </c>
      <c r="D1664" s="88">
        <v>1.26824</v>
      </c>
      <c r="E1664" t="s">
        <v>377</v>
      </c>
      <c r="F1664">
        <v>1.26824</v>
      </c>
      <c r="G1664">
        <v>3.0599999999999998E-3</v>
      </c>
      <c r="H1664">
        <v>1.26824</v>
      </c>
      <c r="I1664">
        <f>$A$6</f>
        <v>100</v>
      </c>
      <c r="J1664">
        <v>-1</v>
      </c>
      <c r="K1664" t="s">
        <v>461</v>
      </c>
      <c r="L1664" s="17">
        <f t="shared" si="123"/>
        <v>-19207289.740746953</v>
      </c>
      <c r="M1664" t="s">
        <v>537</v>
      </c>
    </row>
    <row r="1665" spans="2:13" x14ac:dyDescent="0.2">
      <c r="B1665" s="55"/>
      <c r="C1665" t="s">
        <v>276</v>
      </c>
      <c r="D1665" s="88">
        <v>1.26824</v>
      </c>
      <c r="E1665" t="s">
        <v>377</v>
      </c>
      <c r="F1665">
        <v>1.26824</v>
      </c>
      <c r="G1665">
        <v>3.0599999999999998E-3</v>
      </c>
      <c r="H1665">
        <v>1.26824</v>
      </c>
      <c r="I1665">
        <f>$A$6</f>
        <v>100</v>
      </c>
      <c r="J1665">
        <v>-1</v>
      </c>
      <c r="K1665" t="s">
        <v>461</v>
      </c>
      <c r="L1665" s="17">
        <f t="shared" si="123"/>
        <v>-19207289.740746953</v>
      </c>
      <c r="M1665" t="s">
        <v>537</v>
      </c>
    </row>
    <row r="1666" spans="2:13" x14ac:dyDescent="0.2">
      <c r="B1666" s="55"/>
      <c r="C1666" t="s">
        <v>277</v>
      </c>
      <c r="D1666" s="88">
        <v>1.2700000000000001E-3</v>
      </c>
      <c r="E1666" t="s">
        <v>380</v>
      </c>
      <c r="F1666">
        <v>1.2700000000000001E-3</v>
      </c>
      <c r="G1666">
        <v>3.1E-4</v>
      </c>
      <c r="H1666">
        <v>1.2700000000000001E-3</v>
      </c>
      <c r="I1666">
        <f>$A$6</f>
        <v>100</v>
      </c>
      <c r="J1666">
        <v>-1</v>
      </c>
      <c r="K1666" t="s">
        <v>464</v>
      </c>
      <c r="L1666" s="17">
        <f t="shared" si="123"/>
        <v>-187209.7732598123</v>
      </c>
      <c r="M1666" t="s">
        <v>537</v>
      </c>
    </row>
    <row r="1667" spans="2:13" x14ac:dyDescent="0.2">
      <c r="B1667" s="55"/>
      <c r="C1667" t="s">
        <v>278</v>
      </c>
      <c r="D1667" s="88">
        <v>1.26824</v>
      </c>
      <c r="E1667" t="s">
        <v>381</v>
      </c>
      <c r="F1667">
        <v>1.26824</v>
      </c>
      <c r="G1667">
        <v>3.0602</v>
      </c>
      <c r="H1667">
        <v>1.26824</v>
      </c>
      <c r="I1667">
        <f>$A$6</f>
        <v>100</v>
      </c>
      <c r="J1667">
        <v>-1</v>
      </c>
      <c r="K1667" t="s">
        <v>465</v>
      </c>
      <c r="L1667" s="17">
        <f t="shared" ref="L1667:L1698" si="124">((B$1603*F1667)+(B$1604*D1667)+(SUM(B$1605,B$1608:B$1611)*G1667)+(SUM(B$1606:B$1607)*H1667))*I1667*J1667</f>
        <v>-1692279321.3513446</v>
      </c>
      <c r="M1667" t="s">
        <v>537</v>
      </c>
    </row>
    <row r="1668" spans="2:13" x14ac:dyDescent="0.2">
      <c r="B1668" s="55"/>
      <c r="C1668" t="s">
        <v>330</v>
      </c>
      <c r="D1668" s="88">
        <v>1.2999999999999999E-4</v>
      </c>
      <c r="E1668" t="s">
        <v>382</v>
      </c>
      <c r="F1668">
        <v>1.2999999999999999E-4</v>
      </c>
      <c r="G1668">
        <v>3.1E-4</v>
      </c>
      <c r="H1668">
        <v>1.2999999999999999E-4</v>
      </c>
      <c r="I1668">
        <f>$A$7</f>
        <v>10</v>
      </c>
      <c r="J1668">
        <v>-1</v>
      </c>
      <c r="K1668" t="s">
        <v>466</v>
      </c>
      <c r="L1668" s="17">
        <f t="shared" si="124"/>
        <v>-17144.996133235341</v>
      </c>
      <c r="M1668" t="s">
        <v>537</v>
      </c>
    </row>
    <row r="1669" spans="2:13" x14ac:dyDescent="0.2">
      <c r="B1669" s="55"/>
      <c r="C1669" t="s">
        <v>279</v>
      </c>
      <c r="D1669" s="88">
        <v>1.2999999999999999E-4</v>
      </c>
      <c r="E1669" t="s">
        <v>382</v>
      </c>
      <c r="F1669">
        <v>1.2999999999999999E-4</v>
      </c>
      <c r="G1669">
        <v>3.1E-4</v>
      </c>
      <c r="H1669">
        <v>1.2999999999999999E-4</v>
      </c>
      <c r="I1669">
        <f>$A$7</f>
        <v>10</v>
      </c>
      <c r="J1669">
        <v>-1</v>
      </c>
      <c r="K1669" t="s">
        <v>466</v>
      </c>
      <c r="L1669" s="17">
        <f t="shared" si="124"/>
        <v>-17144.996133235341</v>
      </c>
      <c r="M1669" t="s">
        <v>537</v>
      </c>
    </row>
    <row r="1670" spans="2:13" x14ac:dyDescent="0.2">
      <c r="B1670" s="55"/>
      <c r="C1670" t="s">
        <v>280</v>
      </c>
      <c r="D1670" s="88">
        <v>1.2999999999999999E-4</v>
      </c>
      <c r="E1670" t="s">
        <v>382</v>
      </c>
      <c r="F1670">
        <v>1.2999999999999999E-4</v>
      </c>
      <c r="G1670">
        <v>3.0599999999999998E-3</v>
      </c>
      <c r="H1670">
        <v>1.2999999999999999E-4</v>
      </c>
      <c r="I1670">
        <v>0</v>
      </c>
      <c r="J1670">
        <v>0</v>
      </c>
      <c r="K1670" t="s">
        <v>466</v>
      </c>
      <c r="L1670" s="17">
        <f t="shared" si="124"/>
        <v>0</v>
      </c>
      <c r="M1670" t="s">
        <v>537</v>
      </c>
    </row>
    <row r="1671" spans="2:13" x14ac:dyDescent="0.2">
      <c r="B1671" s="55"/>
      <c r="C1671" t="s">
        <v>331</v>
      </c>
      <c r="D1671" s="88">
        <v>1.2700000000000001E-3</v>
      </c>
      <c r="E1671" t="s">
        <v>383</v>
      </c>
      <c r="F1671">
        <v>1.2700000000000001E-3</v>
      </c>
      <c r="G1671">
        <v>3.0599999999999998E-3</v>
      </c>
      <c r="H1671">
        <v>1.2700000000000001E-3</v>
      </c>
      <c r="I1671">
        <v>0</v>
      </c>
      <c r="J1671">
        <v>0</v>
      </c>
      <c r="K1671" t="s">
        <v>467</v>
      </c>
      <c r="L1671" s="17">
        <f t="shared" si="124"/>
        <v>0</v>
      </c>
      <c r="M1671" t="s">
        <v>537</v>
      </c>
    </row>
    <row r="1672" spans="2:13" x14ac:dyDescent="0.2">
      <c r="B1672" s="55"/>
      <c r="C1672" t="s">
        <v>281</v>
      </c>
      <c r="D1672" s="88">
        <v>1.2999999999999999E-4</v>
      </c>
      <c r="E1672" t="s">
        <v>384</v>
      </c>
      <c r="F1672">
        <v>1.2999999999999999E-4</v>
      </c>
      <c r="G1672">
        <v>3.1E-4</v>
      </c>
      <c r="H1672">
        <v>1.2999999999999999E-4</v>
      </c>
      <c r="I1672">
        <f>$A$7</f>
        <v>10</v>
      </c>
      <c r="J1672">
        <v>-1</v>
      </c>
      <c r="K1672" t="s">
        <v>468</v>
      </c>
      <c r="L1672" s="17">
        <f t="shared" si="124"/>
        <v>-17144.996133235341</v>
      </c>
      <c r="M1672" t="s">
        <v>537</v>
      </c>
    </row>
    <row r="1673" spans="2:13" x14ac:dyDescent="0.2">
      <c r="B1673" s="55"/>
      <c r="C1673" t="s">
        <v>282</v>
      </c>
      <c r="D1673" s="88">
        <v>0.12681999999999999</v>
      </c>
      <c r="E1673" t="s">
        <v>385</v>
      </c>
      <c r="F1673">
        <v>0.12681999999999999</v>
      </c>
      <c r="G1673">
        <v>0.30602000000000001</v>
      </c>
      <c r="H1673">
        <v>0.12681999999999999</v>
      </c>
      <c r="I1673">
        <v>0</v>
      </c>
      <c r="J1673">
        <v>0</v>
      </c>
      <c r="K1673" t="s">
        <v>469</v>
      </c>
      <c r="L1673" s="17">
        <f t="shared" si="124"/>
        <v>0</v>
      </c>
      <c r="M1673" t="s">
        <v>537</v>
      </c>
    </row>
    <row r="1674" spans="2:13" x14ac:dyDescent="0.2">
      <c r="B1674" s="55"/>
      <c r="C1674" t="s">
        <v>332</v>
      </c>
      <c r="D1674" s="88">
        <v>1.268E-2</v>
      </c>
      <c r="E1674" t="s">
        <v>386</v>
      </c>
      <c r="F1674">
        <v>1.268E-2</v>
      </c>
      <c r="G1674">
        <v>3.0599999999999998E-3</v>
      </c>
      <c r="H1674">
        <v>1.268E-2</v>
      </c>
      <c r="I1674">
        <v>0</v>
      </c>
      <c r="J1674">
        <v>0</v>
      </c>
      <c r="K1674" t="s">
        <v>470</v>
      </c>
      <c r="L1674" s="17">
        <f t="shared" si="124"/>
        <v>0</v>
      </c>
      <c r="M1674" t="s">
        <v>537</v>
      </c>
    </row>
    <row r="1675" spans="2:13" x14ac:dyDescent="0.2">
      <c r="B1675" s="55"/>
      <c r="C1675" t="s">
        <v>283</v>
      </c>
      <c r="D1675" s="88">
        <v>1.2700000000000001E-3</v>
      </c>
      <c r="E1675" t="s">
        <v>387</v>
      </c>
      <c r="F1675">
        <v>1.2700000000000001E-3</v>
      </c>
      <c r="G1675">
        <v>3.0599999999999998E-3</v>
      </c>
      <c r="H1675">
        <v>1.2700000000000001E-3</v>
      </c>
      <c r="I1675">
        <f>$A$7</f>
        <v>10</v>
      </c>
      <c r="J1675">
        <v>-1</v>
      </c>
      <c r="K1675" t="s">
        <v>471</v>
      </c>
      <c r="L1675" s="17">
        <f t="shared" si="124"/>
        <v>-169219.41988762849</v>
      </c>
      <c r="M1675" t="s">
        <v>537</v>
      </c>
    </row>
    <row r="1676" spans="2:13" x14ac:dyDescent="0.2">
      <c r="B1676" s="55"/>
      <c r="C1676" t="s">
        <v>284</v>
      </c>
      <c r="D1676" s="88">
        <v>1.2999999999999999E-4</v>
      </c>
      <c r="E1676" t="s">
        <v>388</v>
      </c>
      <c r="F1676">
        <v>1.2999999999999999E-4</v>
      </c>
      <c r="G1676">
        <v>3.0602</v>
      </c>
      <c r="H1676">
        <v>1.2999999999999999E-4</v>
      </c>
      <c r="I1676">
        <f>$A$7</f>
        <v>10</v>
      </c>
      <c r="J1676">
        <v>-1</v>
      </c>
      <c r="K1676" t="s">
        <v>472</v>
      </c>
      <c r="L1676" s="17">
        <f t="shared" si="124"/>
        <v>-167474846.59975463</v>
      </c>
      <c r="M1676" t="s">
        <v>537</v>
      </c>
    </row>
    <row r="1677" spans="2:13" x14ac:dyDescent="0.2">
      <c r="B1677" s="55"/>
      <c r="C1677" t="s">
        <v>285</v>
      </c>
      <c r="D1677" s="88">
        <v>1.2700000000000001E-3</v>
      </c>
      <c r="E1677" t="s">
        <v>389</v>
      </c>
      <c r="F1677">
        <v>1.2700000000000001E-3</v>
      </c>
      <c r="G1677">
        <v>3.0599999999999998E-3</v>
      </c>
      <c r="H1677">
        <v>1.2700000000000001E-3</v>
      </c>
      <c r="I1677">
        <f>$A$7</f>
        <v>10</v>
      </c>
      <c r="J1677">
        <v>-1</v>
      </c>
      <c r="K1677" t="s">
        <v>473</v>
      </c>
      <c r="L1677" s="17">
        <f t="shared" si="124"/>
        <v>-169219.41988762849</v>
      </c>
      <c r="M1677" t="s">
        <v>537</v>
      </c>
    </row>
    <row r="1678" spans="2:13" x14ac:dyDescent="0.2">
      <c r="B1678" s="55"/>
      <c r="C1678" t="s">
        <v>286</v>
      </c>
      <c r="D1678" s="88">
        <v>1.268E-2</v>
      </c>
      <c r="E1678" t="s">
        <v>390</v>
      </c>
      <c r="F1678">
        <v>1.268E-2</v>
      </c>
      <c r="G1678">
        <v>3.0599999999999998E-3</v>
      </c>
      <c r="H1678">
        <v>1.268E-2</v>
      </c>
      <c r="I1678">
        <f>$A$6</f>
        <v>100</v>
      </c>
      <c r="J1678">
        <v>-1</v>
      </c>
      <c r="K1678" t="s">
        <v>474</v>
      </c>
      <c r="L1678" s="17">
        <f t="shared" si="124"/>
        <v>-1849930.5621151496</v>
      </c>
      <c r="M1678" t="s">
        <v>537</v>
      </c>
    </row>
    <row r="1679" spans="2:13" x14ac:dyDescent="0.2">
      <c r="B1679" s="55"/>
      <c r="C1679" t="s">
        <v>287</v>
      </c>
      <c r="D1679" s="88">
        <v>1.2700000000000001E-3</v>
      </c>
      <c r="E1679" t="s">
        <v>391</v>
      </c>
      <c r="F1679">
        <v>1.2700000000000001E-3</v>
      </c>
      <c r="G1679">
        <v>3.0599999999999998E-3</v>
      </c>
      <c r="H1679">
        <v>1.2700000000000001E-3</v>
      </c>
      <c r="I1679">
        <f>$A$6</f>
        <v>100</v>
      </c>
      <c r="J1679">
        <v>-1</v>
      </c>
      <c r="K1679" t="s">
        <v>475</v>
      </c>
      <c r="L1679" s="17">
        <f t="shared" si="124"/>
        <v>-1692194.198876285</v>
      </c>
      <c r="M1679" t="s">
        <v>537</v>
      </c>
    </row>
    <row r="1680" spans="2:13" x14ac:dyDescent="0.2">
      <c r="B1680" s="55"/>
      <c r="C1680" t="s">
        <v>288</v>
      </c>
      <c r="D1680" s="88">
        <v>1.2700000000000001E-3</v>
      </c>
      <c r="E1680" t="s">
        <v>392</v>
      </c>
      <c r="F1680">
        <v>1.2700000000000001E-3</v>
      </c>
      <c r="G1680">
        <v>3.0599999999999998E-3</v>
      </c>
      <c r="H1680">
        <v>1.2700000000000001E-3</v>
      </c>
      <c r="I1680">
        <f>$A$6</f>
        <v>100</v>
      </c>
      <c r="J1680">
        <v>-1</v>
      </c>
      <c r="K1680" t="s">
        <v>476</v>
      </c>
      <c r="L1680" s="17">
        <f t="shared" si="124"/>
        <v>-1692194.198876285</v>
      </c>
      <c r="M1680" t="s">
        <v>537</v>
      </c>
    </row>
    <row r="1681" spans="1:13" x14ac:dyDescent="0.2">
      <c r="B1681" s="55"/>
      <c r="C1681" t="s">
        <v>333</v>
      </c>
      <c r="D1681" s="88">
        <v>1.2700000000000001E-3</v>
      </c>
      <c r="E1681" t="s">
        <v>340</v>
      </c>
      <c r="F1681">
        <v>1.2700000000000001E-3</v>
      </c>
      <c r="G1681">
        <v>3.0599999999999998E-3</v>
      </c>
      <c r="H1681">
        <v>1.2700000000000001E-3</v>
      </c>
      <c r="I1681">
        <f>$A$7</f>
        <v>10</v>
      </c>
      <c r="J1681">
        <v>-1</v>
      </c>
      <c r="K1681" t="s">
        <v>424</v>
      </c>
      <c r="L1681" s="17">
        <f t="shared" si="124"/>
        <v>-169219.41988762849</v>
      </c>
      <c r="M1681" t="s">
        <v>537</v>
      </c>
    </row>
    <row r="1682" spans="1:13" x14ac:dyDescent="0.2">
      <c r="B1682" s="55"/>
      <c r="C1682" t="s">
        <v>334</v>
      </c>
      <c r="D1682" s="88">
        <v>1.268E-2</v>
      </c>
      <c r="E1682" t="s">
        <v>393</v>
      </c>
      <c r="F1682">
        <v>1.268E-2</v>
      </c>
      <c r="G1682">
        <v>3.0599999999999999E-2</v>
      </c>
      <c r="H1682">
        <v>1.268E-2</v>
      </c>
      <c r="I1682">
        <v>0</v>
      </c>
      <c r="J1682">
        <v>0</v>
      </c>
      <c r="K1682" t="s">
        <v>477</v>
      </c>
      <c r="L1682" s="17">
        <f t="shared" si="124"/>
        <v>0</v>
      </c>
      <c r="M1682" t="s">
        <v>537</v>
      </c>
    </row>
    <row r="1683" spans="1:13" x14ac:dyDescent="0.2">
      <c r="B1683" s="55"/>
      <c r="C1683" t="s">
        <v>335</v>
      </c>
      <c r="D1683" s="88">
        <v>1.2700000000000001E-3</v>
      </c>
      <c r="E1683" t="s">
        <v>394</v>
      </c>
      <c r="F1683">
        <v>1.2700000000000001E-3</v>
      </c>
      <c r="G1683">
        <v>3.0599999999999998E-3</v>
      </c>
      <c r="H1683">
        <v>1.2700000000000001E-3</v>
      </c>
      <c r="I1683">
        <f>$A$7</f>
        <v>10</v>
      </c>
      <c r="J1683">
        <v>-1</v>
      </c>
      <c r="K1683" t="s">
        <v>478</v>
      </c>
      <c r="L1683" s="17">
        <f t="shared" si="124"/>
        <v>-169219.41988762849</v>
      </c>
      <c r="M1683" t="s">
        <v>537</v>
      </c>
    </row>
    <row r="1684" spans="1:13" x14ac:dyDescent="0.2">
      <c r="B1684" s="55"/>
      <c r="C1684" t="s">
        <v>289</v>
      </c>
      <c r="D1684" s="88">
        <v>1.2700000000000001E-3</v>
      </c>
      <c r="E1684" t="s">
        <v>395</v>
      </c>
      <c r="F1684">
        <v>1.2700000000000001E-3</v>
      </c>
      <c r="G1684">
        <v>0.30602000000000001</v>
      </c>
      <c r="H1684">
        <v>1.2700000000000001E-3</v>
      </c>
      <c r="I1684">
        <f>$A$7</f>
        <v>10</v>
      </c>
      <c r="J1684">
        <v>-1</v>
      </c>
      <c r="K1684" t="s">
        <v>479</v>
      </c>
      <c r="L1684" s="17">
        <f t="shared" si="124"/>
        <v>-16749222.386606414</v>
      </c>
      <c r="M1684" t="s">
        <v>537</v>
      </c>
    </row>
    <row r="1685" spans="1:13" x14ac:dyDescent="0.2">
      <c r="B1685" s="55"/>
      <c r="C1685" t="s">
        <v>290</v>
      </c>
      <c r="D1685" s="88">
        <v>1.2999999999999999E-4</v>
      </c>
      <c r="E1685" t="s">
        <v>396</v>
      </c>
      <c r="F1685">
        <v>1.2999999999999999E-4</v>
      </c>
      <c r="G1685">
        <v>3.1E-4</v>
      </c>
      <c r="H1685">
        <v>1.2999999999999999E-4</v>
      </c>
      <c r="I1685">
        <f>$A$7</f>
        <v>10</v>
      </c>
      <c r="J1685">
        <v>-1</v>
      </c>
      <c r="K1685" t="s">
        <v>480</v>
      </c>
      <c r="L1685" s="17">
        <f t="shared" si="124"/>
        <v>-17144.996133235341</v>
      </c>
      <c r="M1685" t="s">
        <v>537</v>
      </c>
    </row>
    <row r="1686" spans="1:13" x14ac:dyDescent="0.2">
      <c r="B1686" s="55"/>
      <c r="C1686" t="s">
        <v>291</v>
      </c>
      <c r="D1686" s="88">
        <v>1.2999999999999999E-4</v>
      </c>
      <c r="E1686" t="s">
        <v>397</v>
      </c>
      <c r="F1686">
        <v>1.2999999999999999E-4</v>
      </c>
      <c r="G1686">
        <v>3.1E-4</v>
      </c>
      <c r="H1686">
        <v>1.2999999999999999E-4</v>
      </c>
      <c r="I1686">
        <f>$A$8</f>
        <v>1</v>
      </c>
      <c r="J1686">
        <v>-1</v>
      </c>
      <c r="K1686" t="s">
        <v>481</v>
      </c>
      <c r="L1686" s="17">
        <f t="shared" si="124"/>
        <v>-1714.4996133235343</v>
      </c>
      <c r="M1686" t="s">
        <v>537</v>
      </c>
    </row>
    <row r="1687" spans="1:13" x14ac:dyDescent="0.2">
      <c r="B1687" s="55"/>
      <c r="C1687" t="s">
        <v>292</v>
      </c>
      <c r="D1687" s="88">
        <v>1.268E-2</v>
      </c>
      <c r="E1687" t="s">
        <v>360</v>
      </c>
      <c r="F1687">
        <v>1.268E-2</v>
      </c>
      <c r="G1687">
        <v>3.0599999999999998E-3</v>
      </c>
      <c r="H1687">
        <v>1.268E-2</v>
      </c>
      <c r="I1687">
        <f>$A$6</f>
        <v>100</v>
      </c>
      <c r="J1687">
        <v>-1</v>
      </c>
      <c r="K1687" t="s">
        <v>444</v>
      </c>
      <c r="L1687" s="17">
        <f t="shared" si="124"/>
        <v>-1849930.5621151496</v>
      </c>
      <c r="M1687" t="s">
        <v>537</v>
      </c>
    </row>
    <row r="1688" spans="1:13" x14ac:dyDescent="0.2">
      <c r="B1688" s="55"/>
      <c r="C1688" t="s">
        <v>293</v>
      </c>
      <c r="D1688" s="88">
        <v>1.26824</v>
      </c>
      <c r="E1688" t="s">
        <v>398</v>
      </c>
      <c r="F1688">
        <v>1.26824</v>
      </c>
      <c r="G1688">
        <v>3.0599999999999998E-3</v>
      </c>
      <c r="H1688">
        <v>1.26824</v>
      </c>
      <c r="I1688">
        <f>$A$7</f>
        <v>10</v>
      </c>
      <c r="J1688">
        <v>-1</v>
      </c>
      <c r="K1688" t="s">
        <v>482</v>
      </c>
      <c r="L1688" s="17">
        <f t="shared" si="124"/>
        <v>-1920728.9740746953</v>
      </c>
      <c r="M1688" t="s">
        <v>537</v>
      </c>
    </row>
    <row r="1689" spans="1:13" x14ac:dyDescent="0.2">
      <c r="B1689" s="55"/>
      <c r="C1689" t="s">
        <v>294</v>
      </c>
      <c r="D1689" s="88">
        <v>1.2999999999999999E-4</v>
      </c>
      <c r="E1689" t="s">
        <v>399</v>
      </c>
      <c r="F1689">
        <v>1.2999999999999999E-4</v>
      </c>
      <c r="G1689">
        <v>3.1E-4</v>
      </c>
      <c r="H1689">
        <v>1.2999999999999999E-4</v>
      </c>
      <c r="I1689">
        <f>$A$8</f>
        <v>1</v>
      </c>
      <c r="J1689">
        <v>-1</v>
      </c>
      <c r="K1689" t="s">
        <v>483</v>
      </c>
      <c r="L1689" s="17">
        <f t="shared" si="124"/>
        <v>-1714.4996133235343</v>
      </c>
      <c r="M1689" t="s">
        <v>537</v>
      </c>
    </row>
    <row r="1690" spans="1:13" x14ac:dyDescent="0.2">
      <c r="B1690" s="55"/>
      <c r="C1690" t="s">
        <v>336</v>
      </c>
      <c r="D1690" s="88">
        <v>1.2700000000000001E-3</v>
      </c>
      <c r="E1690" t="s">
        <v>400</v>
      </c>
      <c r="F1690">
        <v>1.2700000000000001E-3</v>
      </c>
      <c r="G1690">
        <v>0</v>
      </c>
      <c r="H1690">
        <v>1.2700000000000001E-3</v>
      </c>
      <c r="I1690">
        <f>$A$6</f>
        <v>100</v>
      </c>
      <c r="J1690">
        <v>-1</v>
      </c>
      <c r="K1690" t="s">
        <v>484</v>
      </c>
      <c r="L1690" s="17">
        <f t="shared" si="124"/>
        <v>-17556.983463046283</v>
      </c>
      <c r="M1690" t="s">
        <v>537</v>
      </c>
    </row>
    <row r="1691" spans="1:13" x14ac:dyDescent="0.2">
      <c r="B1691" s="55"/>
      <c r="C1691" t="s">
        <v>295</v>
      </c>
      <c r="D1691" s="88">
        <v>1.2999999999999999E-4</v>
      </c>
      <c r="E1691" t="s">
        <v>401</v>
      </c>
      <c r="F1691">
        <v>1.2999999999999999E-4</v>
      </c>
      <c r="G1691">
        <v>3.1E-4</v>
      </c>
      <c r="H1691">
        <v>1.2999999999999999E-4</v>
      </c>
      <c r="I1691">
        <f>$A$6</f>
        <v>100</v>
      </c>
      <c r="J1691">
        <v>-1</v>
      </c>
      <c r="K1691" t="s">
        <v>485</v>
      </c>
      <c r="L1691" s="17">
        <f t="shared" si="124"/>
        <v>-171449.96133235341</v>
      </c>
      <c r="M1691" t="s">
        <v>537</v>
      </c>
    </row>
    <row r="1692" spans="1:13" x14ac:dyDescent="0.2">
      <c r="A1692" s="38"/>
      <c r="B1692" s="55"/>
      <c r="C1692" t="s">
        <v>296</v>
      </c>
      <c r="D1692" s="88">
        <v>1.26824</v>
      </c>
      <c r="E1692" t="s">
        <v>402</v>
      </c>
      <c r="F1692">
        <v>1.26824</v>
      </c>
      <c r="G1692">
        <v>3.0599999999999998E-3</v>
      </c>
      <c r="H1692">
        <v>1.26824</v>
      </c>
      <c r="I1692">
        <f>$A$7</f>
        <v>10</v>
      </c>
      <c r="J1692">
        <v>-1</v>
      </c>
      <c r="K1692" t="s">
        <v>486</v>
      </c>
      <c r="L1692" s="17">
        <f t="shared" si="124"/>
        <v>-1920728.9740746953</v>
      </c>
      <c r="M1692" t="s">
        <v>537</v>
      </c>
    </row>
    <row r="1693" spans="1:13" x14ac:dyDescent="0.2">
      <c r="C1693" t="s">
        <v>297</v>
      </c>
      <c r="D1693" s="88">
        <v>1.2999999999999999E-4</v>
      </c>
      <c r="E1693" t="s">
        <v>403</v>
      </c>
      <c r="F1693">
        <v>1.2999999999999999E-4</v>
      </c>
      <c r="G1693">
        <v>3.0599999999999998E-3</v>
      </c>
      <c r="H1693">
        <v>1.2999999999999999E-4</v>
      </c>
      <c r="I1693">
        <f>$A$7</f>
        <v>10</v>
      </c>
      <c r="J1693">
        <v>-1</v>
      </c>
      <c r="K1693" t="s">
        <v>487</v>
      </c>
      <c r="L1693" s="17">
        <f t="shared" si="124"/>
        <v>-167643.43869488261</v>
      </c>
      <c r="M1693" t="s">
        <v>537</v>
      </c>
    </row>
    <row r="1694" spans="1:13" x14ac:dyDescent="0.2">
      <c r="C1694" t="s">
        <v>298</v>
      </c>
      <c r="D1694" s="88">
        <v>1.2700000000000001E-3</v>
      </c>
      <c r="E1694" t="s">
        <v>394</v>
      </c>
      <c r="F1694">
        <v>1.2999999999999999E-4</v>
      </c>
      <c r="G1694">
        <v>3.0599999999999998E-3</v>
      </c>
      <c r="H1694">
        <v>1.2999999999999999E-4</v>
      </c>
      <c r="I1694">
        <f>$A$7</f>
        <v>10</v>
      </c>
      <c r="J1694">
        <v>-1</v>
      </c>
      <c r="K1694" t="s">
        <v>478</v>
      </c>
      <c r="L1694" s="17">
        <f t="shared" si="124"/>
        <v>-167653.22392420768</v>
      </c>
      <c r="M1694" t="s">
        <v>537</v>
      </c>
    </row>
    <row r="1695" spans="1:13" x14ac:dyDescent="0.2">
      <c r="C1695" t="s">
        <v>299</v>
      </c>
      <c r="D1695" s="88">
        <v>1.2999999999999999E-4</v>
      </c>
      <c r="E1695" t="s">
        <v>404</v>
      </c>
      <c r="F1695">
        <v>1.2999999999999999E-4</v>
      </c>
      <c r="G1695">
        <v>0.30602000000000001</v>
      </c>
      <c r="H1695">
        <v>1.2999999999999999E-4</v>
      </c>
      <c r="I1695">
        <f>$A$7</f>
        <v>10</v>
      </c>
      <c r="J1695">
        <v>-1</v>
      </c>
      <c r="K1695" t="s">
        <v>488</v>
      </c>
      <c r="L1695" s="17">
        <f t="shared" si="124"/>
        <v>-16747646.40541367</v>
      </c>
      <c r="M1695" t="s">
        <v>537</v>
      </c>
    </row>
    <row r="1696" spans="1:13" x14ac:dyDescent="0.2">
      <c r="C1696" t="s">
        <v>300</v>
      </c>
      <c r="D1696" s="88">
        <v>0.12681999999999999</v>
      </c>
      <c r="E1696" t="s">
        <v>405</v>
      </c>
      <c r="F1696">
        <v>0.12681999999999999</v>
      </c>
      <c r="G1696">
        <v>3.0599999999999998E-3</v>
      </c>
      <c r="H1696">
        <v>0.12681999999999999</v>
      </c>
      <c r="I1696">
        <f>$A$7</f>
        <v>10</v>
      </c>
      <c r="J1696">
        <v>-1</v>
      </c>
      <c r="K1696" t="s">
        <v>489</v>
      </c>
      <c r="L1696" s="17">
        <f t="shared" si="124"/>
        <v>-342784.71703608992</v>
      </c>
      <c r="M1696" t="s">
        <v>537</v>
      </c>
    </row>
    <row r="1697" spans="1:15" x14ac:dyDescent="0.2">
      <c r="C1697" t="s">
        <v>301</v>
      </c>
      <c r="D1697" s="88">
        <v>1.2700000000000001E-3</v>
      </c>
      <c r="E1697" t="s">
        <v>406</v>
      </c>
      <c r="F1697">
        <v>1.2700000000000001E-3</v>
      </c>
      <c r="G1697">
        <v>0.30602000000000001</v>
      </c>
      <c r="H1697">
        <v>1.2700000000000001E-3</v>
      </c>
      <c r="I1697">
        <f>$A$6</f>
        <v>100</v>
      </c>
      <c r="J1697">
        <v>-1</v>
      </c>
      <c r="K1697" t="s">
        <v>490</v>
      </c>
      <c r="L1697" s="17">
        <f t="shared" si="124"/>
        <v>-167492223.86606416</v>
      </c>
      <c r="M1697" t="s">
        <v>537</v>
      </c>
    </row>
    <row r="1698" spans="1:15" x14ac:dyDescent="0.2">
      <c r="C1698" t="s">
        <v>302</v>
      </c>
      <c r="D1698" s="88">
        <v>1.2700000000000001E-3</v>
      </c>
      <c r="E1698" t="s">
        <v>407</v>
      </c>
      <c r="F1698">
        <v>1.2700000000000001E-3</v>
      </c>
      <c r="G1698">
        <v>3.0599999999999998E-3</v>
      </c>
      <c r="H1698">
        <v>1.2700000000000001E-3</v>
      </c>
      <c r="I1698">
        <f>$A$6</f>
        <v>100</v>
      </c>
      <c r="J1698">
        <v>-1</v>
      </c>
      <c r="K1698" t="s">
        <v>491</v>
      </c>
      <c r="L1698" s="17">
        <f t="shared" si="124"/>
        <v>-1692194.198876285</v>
      </c>
      <c r="M1698" t="s">
        <v>537</v>
      </c>
    </row>
    <row r="1699" spans="1:15" x14ac:dyDescent="0.2">
      <c r="C1699" t="s">
        <v>303</v>
      </c>
      <c r="D1699" s="88">
        <v>1.2700000000000001E-3</v>
      </c>
      <c r="E1699" t="s">
        <v>408</v>
      </c>
      <c r="F1699">
        <v>1.2700000000000001E-3</v>
      </c>
      <c r="G1699">
        <v>3.0599999999999998E-3</v>
      </c>
      <c r="H1699">
        <v>1.2700000000000001E-3</v>
      </c>
      <c r="I1699">
        <f>$A$7</f>
        <v>10</v>
      </c>
      <c r="J1699">
        <v>-1</v>
      </c>
      <c r="K1699" t="s">
        <v>492</v>
      </c>
      <c r="L1699" s="17">
        <f t="shared" ref="L1699:L1708" si="125">((B$1603*F1699)+(B$1604*D1699)+(SUM(B$1605,B$1608:B$1611)*G1699)+(SUM(B$1606:B$1607)*H1699))*I1699*J1699</f>
        <v>-169219.41988762849</v>
      </c>
      <c r="M1699" t="s">
        <v>537</v>
      </c>
    </row>
    <row r="1700" spans="1:15" x14ac:dyDescent="0.2">
      <c r="C1700" t="s">
        <v>304</v>
      </c>
      <c r="D1700" s="88">
        <v>1.26824</v>
      </c>
      <c r="E1700" t="s">
        <v>409</v>
      </c>
      <c r="F1700">
        <v>1.26824</v>
      </c>
      <c r="G1700">
        <v>3.0602</v>
      </c>
      <c r="H1700">
        <v>1.26824</v>
      </c>
      <c r="I1700">
        <f>$A$6</f>
        <v>100</v>
      </c>
      <c r="J1700">
        <v>-1</v>
      </c>
      <c r="K1700" t="s">
        <v>493</v>
      </c>
      <c r="L1700" s="17">
        <f t="shared" si="125"/>
        <v>-1692279321.3513446</v>
      </c>
      <c r="M1700" t="s">
        <v>537</v>
      </c>
    </row>
    <row r="1701" spans="1:15" x14ac:dyDescent="0.2">
      <c r="C1701" t="s">
        <v>305</v>
      </c>
      <c r="D1701" s="88">
        <v>1.2700000000000001E-3</v>
      </c>
      <c r="E1701" t="s">
        <v>410</v>
      </c>
      <c r="F1701">
        <v>1.2700000000000001E-3</v>
      </c>
      <c r="G1701">
        <v>3.0599999999999998E-3</v>
      </c>
      <c r="H1701">
        <v>1.2700000000000001E-3</v>
      </c>
      <c r="I1701">
        <f>$A$7</f>
        <v>10</v>
      </c>
      <c r="J1701">
        <v>-1</v>
      </c>
      <c r="K1701" t="s">
        <v>494</v>
      </c>
      <c r="L1701" s="17">
        <f t="shared" si="125"/>
        <v>-169219.41988762849</v>
      </c>
      <c r="M1701" t="s">
        <v>537</v>
      </c>
    </row>
    <row r="1702" spans="1:15" x14ac:dyDescent="0.2">
      <c r="C1702" t="s">
        <v>306</v>
      </c>
      <c r="D1702" s="88">
        <v>1.2700000000000001E-3</v>
      </c>
      <c r="E1702" t="s">
        <v>411</v>
      </c>
      <c r="F1702">
        <v>1.2700000000000001E-3</v>
      </c>
      <c r="G1702">
        <v>3.0599999999999998E-3</v>
      </c>
      <c r="H1702">
        <v>1.2700000000000001E-3</v>
      </c>
      <c r="I1702">
        <f>$A$8</f>
        <v>1</v>
      </c>
      <c r="J1702">
        <v>-1</v>
      </c>
      <c r="K1702" t="s">
        <v>495</v>
      </c>
      <c r="L1702" s="17">
        <f t="shared" si="125"/>
        <v>-16921.94198876285</v>
      </c>
      <c r="M1702" t="s">
        <v>537</v>
      </c>
    </row>
    <row r="1703" spans="1:15" x14ac:dyDescent="0.2">
      <c r="C1703" t="s">
        <v>307</v>
      </c>
      <c r="D1703" s="88">
        <v>1.2700000000000001E-3</v>
      </c>
      <c r="E1703" t="s">
        <v>411</v>
      </c>
      <c r="F1703">
        <v>1.2700000000000001E-3</v>
      </c>
      <c r="G1703">
        <v>3.0599999999999998E-3</v>
      </c>
      <c r="H1703">
        <v>1.2700000000000001E-3</v>
      </c>
      <c r="I1703">
        <f>$A$8</f>
        <v>1</v>
      </c>
      <c r="J1703">
        <v>-1</v>
      </c>
      <c r="K1703" t="s">
        <v>495</v>
      </c>
      <c r="L1703" s="17">
        <f t="shared" si="125"/>
        <v>-16921.94198876285</v>
      </c>
      <c r="M1703" t="s">
        <v>537</v>
      </c>
    </row>
    <row r="1704" spans="1:15" x14ac:dyDescent="0.2">
      <c r="C1704" t="s">
        <v>337</v>
      </c>
      <c r="D1704" s="88">
        <v>0.12681999999999999</v>
      </c>
      <c r="E1704" t="s">
        <v>412</v>
      </c>
      <c r="F1704">
        <v>0.12681999999999999</v>
      </c>
      <c r="G1704">
        <v>3.0599999999999998E-3</v>
      </c>
      <c r="H1704">
        <v>0.12681999999999999</v>
      </c>
      <c r="I1704">
        <v>0</v>
      </c>
      <c r="J1704">
        <v>0</v>
      </c>
      <c r="K1704" t="s">
        <v>496</v>
      </c>
      <c r="L1704" s="17">
        <f t="shared" si="125"/>
        <v>0</v>
      </c>
      <c r="M1704" t="s">
        <v>537</v>
      </c>
    </row>
    <row r="1705" spans="1:15" x14ac:dyDescent="0.2">
      <c r="C1705" t="s">
        <v>308</v>
      </c>
      <c r="D1705" s="88">
        <v>1.2700000000000001E-3</v>
      </c>
      <c r="E1705" t="s">
        <v>413</v>
      </c>
      <c r="F1705">
        <v>1.2700000000000001E-3</v>
      </c>
      <c r="G1705">
        <v>3.0599999999999998E-3</v>
      </c>
      <c r="H1705">
        <v>1.2700000000000001E-3</v>
      </c>
      <c r="I1705">
        <f>$A$7</f>
        <v>10</v>
      </c>
      <c r="J1705">
        <v>-1</v>
      </c>
      <c r="K1705" t="s">
        <v>497</v>
      </c>
      <c r="L1705" s="17">
        <f t="shared" si="125"/>
        <v>-169219.41988762849</v>
      </c>
      <c r="M1705" t="s">
        <v>537</v>
      </c>
    </row>
    <row r="1706" spans="1:15" x14ac:dyDescent="0.2">
      <c r="C1706" t="s">
        <v>309</v>
      </c>
      <c r="D1706" s="88">
        <v>1.2700000000000001E-3</v>
      </c>
      <c r="E1706" t="s">
        <v>413</v>
      </c>
      <c r="F1706">
        <v>1.2700000000000001E-3</v>
      </c>
      <c r="G1706">
        <v>3.0599999999999998E-3</v>
      </c>
      <c r="H1706">
        <v>1.2700000000000001E-3</v>
      </c>
      <c r="I1706">
        <f>$A$7</f>
        <v>10</v>
      </c>
      <c r="J1706">
        <v>-1</v>
      </c>
      <c r="K1706" t="s">
        <v>497</v>
      </c>
      <c r="L1706" s="17">
        <f t="shared" si="125"/>
        <v>-169219.41988762849</v>
      </c>
      <c r="M1706" t="s">
        <v>537</v>
      </c>
    </row>
    <row r="1707" spans="1:15" x14ac:dyDescent="0.2">
      <c r="C1707" t="s">
        <v>310</v>
      </c>
      <c r="D1707" s="88">
        <v>1.2700000000000001E-3</v>
      </c>
      <c r="E1707" t="s">
        <v>413</v>
      </c>
      <c r="F1707">
        <v>1.2700000000000001E-3</v>
      </c>
      <c r="G1707">
        <v>3.0599999999999998E-3</v>
      </c>
      <c r="H1707">
        <v>1.2700000000000001E-3</v>
      </c>
      <c r="I1707">
        <v>0</v>
      </c>
      <c r="J1707">
        <v>0</v>
      </c>
      <c r="K1707" t="s">
        <v>497</v>
      </c>
      <c r="L1707" s="17">
        <f t="shared" si="125"/>
        <v>0</v>
      </c>
      <c r="M1707" t="s">
        <v>537</v>
      </c>
    </row>
    <row r="1708" spans="1:15" x14ac:dyDescent="0.2">
      <c r="C1708" t="s">
        <v>311</v>
      </c>
      <c r="D1708" s="88">
        <v>1.2700000000000001E-3</v>
      </c>
      <c r="E1708" t="s">
        <v>414</v>
      </c>
      <c r="F1708">
        <v>1.2700000000000001E-3</v>
      </c>
      <c r="G1708">
        <v>3.1E-4</v>
      </c>
      <c r="H1708">
        <v>1.2700000000000001E-3</v>
      </c>
      <c r="I1708">
        <f>$A$7</f>
        <v>10</v>
      </c>
      <c r="J1708">
        <v>-1</v>
      </c>
      <c r="K1708" t="s">
        <v>498</v>
      </c>
      <c r="L1708" s="17">
        <f t="shared" si="125"/>
        <v>-18720.977325981228</v>
      </c>
      <c r="M1708" t="s">
        <v>537</v>
      </c>
    </row>
    <row r="1711" spans="1:15" ht="22" customHeight="1" x14ac:dyDescent="0.2">
      <c r="A1711" s="413" t="s">
        <v>54</v>
      </c>
      <c r="B1711" s="414"/>
      <c r="C1711" s="414"/>
      <c r="D1711" s="414"/>
      <c r="E1711" s="414"/>
      <c r="F1711" s="414"/>
      <c r="G1711" s="414"/>
      <c r="H1711" s="414"/>
      <c r="I1711" s="414"/>
      <c r="J1711" s="414"/>
      <c r="K1711" s="414"/>
      <c r="L1711" s="414"/>
      <c r="M1711" s="414"/>
      <c r="N1711" s="414"/>
      <c r="O1711" s="414"/>
    </row>
    <row r="1712" spans="1:15" ht="15" customHeight="1" x14ac:dyDescent="0.2">
      <c r="A1712" s="415"/>
      <c r="B1712" s="416"/>
      <c r="C1712" s="416"/>
      <c r="D1712" s="416"/>
      <c r="E1712" s="416"/>
      <c r="F1712" s="416"/>
      <c r="G1712" s="416"/>
      <c r="H1712" s="416"/>
      <c r="I1712" s="416"/>
      <c r="J1712" s="416"/>
      <c r="K1712" s="416"/>
      <c r="L1712" s="416"/>
      <c r="M1712" s="416"/>
      <c r="N1712" s="416"/>
      <c r="O1712" s="416"/>
    </row>
    <row r="1713" spans="1:15" ht="15" customHeight="1" x14ac:dyDescent="0.2">
      <c r="A1713" s="358" t="s">
        <v>8</v>
      </c>
      <c r="B1713" s="363" t="s">
        <v>1022</v>
      </c>
      <c r="C1713" s="364" t="s">
        <v>503</v>
      </c>
      <c r="D1713" s="364"/>
      <c r="E1713" s="364"/>
      <c r="F1713" s="79" t="s">
        <v>512</v>
      </c>
      <c r="G1713" s="78" t="s">
        <v>507</v>
      </c>
      <c r="H1713" s="79" t="s">
        <v>511</v>
      </c>
      <c r="I1713" s="328" t="s">
        <v>421</v>
      </c>
      <c r="J1713" s="329"/>
      <c r="K1713" s="330"/>
      <c r="L1713" s="381" t="s">
        <v>28</v>
      </c>
      <c r="M1713" s="381"/>
      <c r="N1713" s="376" t="s">
        <v>420</v>
      </c>
      <c r="O1713" s="376"/>
    </row>
    <row r="1714" spans="1:15" x14ac:dyDescent="0.2">
      <c r="A1714" s="358"/>
      <c r="B1714" s="363"/>
      <c r="C1714" s="61" t="s">
        <v>502</v>
      </c>
      <c r="D1714" s="61"/>
      <c r="E1714" s="61"/>
      <c r="F1714" s="87" t="s">
        <v>509</v>
      </c>
      <c r="G1714" s="89" t="s">
        <v>506</v>
      </c>
      <c r="H1714" s="87" t="s">
        <v>510</v>
      </c>
      <c r="I1714" s="331"/>
      <c r="J1714" s="332"/>
      <c r="K1714" s="333"/>
      <c r="L1714" s="381"/>
      <c r="M1714" s="381"/>
      <c r="N1714" s="376"/>
      <c r="O1714" s="376"/>
    </row>
    <row r="1715" spans="1:15" x14ac:dyDescent="0.2">
      <c r="A1715" s="358"/>
      <c r="B1715" s="363"/>
      <c r="C1715" s="6" t="s">
        <v>317</v>
      </c>
      <c r="D1715" s="58" t="s">
        <v>319</v>
      </c>
      <c r="E1715" s="58" t="s">
        <v>5</v>
      </c>
      <c r="F1715" s="58" t="s">
        <v>319</v>
      </c>
      <c r="G1715" s="58" t="s">
        <v>319</v>
      </c>
      <c r="H1715" s="58" t="s">
        <v>319</v>
      </c>
      <c r="I1715" s="64" t="s">
        <v>0</v>
      </c>
      <c r="J1715" s="64" t="s">
        <v>499</v>
      </c>
      <c r="K1715" s="64" t="s">
        <v>5</v>
      </c>
      <c r="L1715" s="64" t="s">
        <v>0</v>
      </c>
      <c r="M1715" s="58" t="s">
        <v>5</v>
      </c>
      <c r="N1715" s="64" t="s">
        <v>0</v>
      </c>
      <c r="O1715" s="58" t="s">
        <v>5</v>
      </c>
    </row>
    <row r="1716" spans="1:15" ht="16" x14ac:dyDescent="0.2">
      <c r="A1716" s="81" t="s">
        <v>100</v>
      </c>
      <c r="B1716" s="82">
        <v>85407.750403646234</v>
      </c>
      <c r="C1716" t="s">
        <v>225</v>
      </c>
      <c r="D1716" s="88">
        <v>1.2999999999999999E-4</v>
      </c>
      <c r="E1716" t="s">
        <v>338</v>
      </c>
      <c r="F1716">
        <v>1.2999999999999999E-4</v>
      </c>
      <c r="G1716">
        <v>3.1E-4</v>
      </c>
      <c r="H1716">
        <v>1.2999999999999999E-4</v>
      </c>
      <c r="I1716">
        <f>$A$6</f>
        <v>100</v>
      </c>
      <c r="J1716">
        <v>-1</v>
      </c>
      <c r="K1716" t="s">
        <v>422</v>
      </c>
      <c r="L1716" s="17">
        <f t="shared" ref="L1716:L1747" si="126">((B$1716*F1716)+(B$1717*G1716)+(B$1718*D1716)+(SUM(B$1719:B$1720)*H1716))*I1716*J1716</f>
        <v>-2532.0864582269487</v>
      </c>
      <c r="M1716" t="s">
        <v>537</v>
      </c>
      <c r="N1716" s="69">
        <f>SUM(L1716:L1821)</f>
        <v>-150619874.86297861</v>
      </c>
      <c r="O1716" t="s">
        <v>537</v>
      </c>
    </row>
    <row r="1717" spans="1:15" ht="16" x14ac:dyDescent="0.2">
      <c r="A1717" s="51" t="s">
        <v>56</v>
      </c>
      <c r="B1717" s="82">
        <v>25910.657704496032</v>
      </c>
      <c r="C1717" t="s">
        <v>226</v>
      </c>
      <c r="D1717" s="88">
        <v>1.2999999999999999E-4</v>
      </c>
      <c r="E1717" t="s">
        <v>339</v>
      </c>
      <c r="F1717">
        <v>1.2999999999999999E-4</v>
      </c>
      <c r="G1717">
        <v>3.1E-4</v>
      </c>
      <c r="H1717">
        <v>1.2999999999999999E-4</v>
      </c>
      <c r="I1717">
        <f>$A$7</f>
        <v>10</v>
      </c>
      <c r="J1717">
        <v>-1</v>
      </c>
      <c r="K1717" t="s">
        <v>423</v>
      </c>
      <c r="L1717" s="17">
        <f t="shared" si="126"/>
        <v>-253.20864582269485</v>
      </c>
      <c r="M1717" t="s">
        <v>537</v>
      </c>
    </row>
    <row r="1718" spans="1:15" x14ac:dyDescent="0.2">
      <c r="A1718" s="1" t="s">
        <v>57</v>
      </c>
      <c r="B1718" s="82">
        <v>1453.2653432070279</v>
      </c>
      <c r="C1718" t="s">
        <v>227</v>
      </c>
      <c r="D1718" s="88">
        <v>1.2700000000000001E-3</v>
      </c>
      <c r="E1718" t="s">
        <v>340</v>
      </c>
      <c r="F1718">
        <v>1.2700000000000001E-3</v>
      </c>
      <c r="G1718">
        <v>3.0599999999999998E-3</v>
      </c>
      <c r="H1718">
        <v>1.2700000000000001E-3</v>
      </c>
      <c r="I1718">
        <f>$A$7</f>
        <v>10</v>
      </c>
      <c r="J1718">
        <v>-1</v>
      </c>
      <c r="K1718" t="s">
        <v>424</v>
      </c>
      <c r="L1718" s="17">
        <f t="shared" si="126"/>
        <v>-2481.8255166208219</v>
      </c>
      <c r="M1718" t="s">
        <v>537</v>
      </c>
    </row>
    <row r="1719" spans="1:15" ht="16" customHeight="1" x14ac:dyDescent="0.2">
      <c r="A1719" s="51" t="s">
        <v>52</v>
      </c>
      <c r="B1719" s="82">
        <v>25229.601129113802</v>
      </c>
      <c r="C1719" t="s">
        <v>228</v>
      </c>
      <c r="D1719" s="88">
        <v>0.12681999999999999</v>
      </c>
      <c r="E1719" t="s">
        <v>341</v>
      </c>
      <c r="F1719">
        <v>0.12681999999999999</v>
      </c>
      <c r="G1719">
        <v>3.0599999999999998E-3</v>
      </c>
      <c r="H1719">
        <v>0.12681999999999999</v>
      </c>
      <c r="I1719">
        <f>$A$7</f>
        <v>10</v>
      </c>
      <c r="J1719">
        <v>-1</v>
      </c>
      <c r="K1719" t="s">
        <v>425</v>
      </c>
      <c r="L1719" s="17">
        <f t="shared" si="126"/>
        <v>-169449.42514093593</v>
      </c>
      <c r="M1719" t="s">
        <v>537</v>
      </c>
    </row>
    <row r="1720" spans="1:15" ht="15" customHeight="1" x14ac:dyDescent="0.2">
      <c r="A1720" s="51" t="s">
        <v>14</v>
      </c>
      <c r="B1720" s="82">
        <v>20898.311538461541</v>
      </c>
      <c r="C1720" t="s">
        <v>229</v>
      </c>
      <c r="D1720" s="88">
        <v>1.268E-2</v>
      </c>
      <c r="E1720" t="s">
        <v>342</v>
      </c>
      <c r="F1720">
        <v>1.268E-2</v>
      </c>
      <c r="G1720">
        <v>3.0599999999999998E-3</v>
      </c>
      <c r="H1720">
        <v>1.268E-2</v>
      </c>
      <c r="I1720">
        <f>$A$6</f>
        <v>100</v>
      </c>
      <c r="J1720">
        <v>-1</v>
      </c>
      <c r="K1720" t="s">
        <v>426</v>
      </c>
      <c r="L1720" s="17">
        <f t="shared" si="126"/>
        <v>-176558.62248707123</v>
      </c>
      <c r="M1720" t="s">
        <v>537</v>
      </c>
    </row>
    <row r="1721" spans="1:15" x14ac:dyDescent="0.2">
      <c r="A1721" s="1" t="s">
        <v>17</v>
      </c>
      <c r="B1721" s="96">
        <v>158899.58611892464</v>
      </c>
      <c r="C1721" t="s">
        <v>230</v>
      </c>
      <c r="D1721" s="88">
        <v>0.12681999999999999</v>
      </c>
      <c r="E1721" t="s">
        <v>343</v>
      </c>
      <c r="F1721">
        <v>0.12681999999999999</v>
      </c>
      <c r="G1721">
        <v>3.0602</v>
      </c>
      <c r="H1721">
        <v>0.12681999999999999</v>
      </c>
      <c r="I1721">
        <f>$A$6</f>
        <v>100</v>
      </c>
      <c r="J1721">
        <v>-1</v>
      </c>
      <c r="K1721" t="s">
        <v>427</v>
      </c>
      <c r="L1721" s="17">
        <f t="shared" si="126"/>
        <v>-9615745.0608816594</v>
      </c>
      <c r="M1721" t="s">
        <v>537</v>
      </c>
    </row>
    <row r="1722" spans="1:15" x14ac:dyDescent="0.2">
      <c r="C1722" t="s">
        <v>231</v>
      </c>
      <c r="D1722" s="88">
        <v>0.12681999999999999</v>
      </c>
      <c r="E1722" t="s">
        <v>344</v>
      </c>
      <c r="F1722">
        <v>1.26824</v>
      </c>
      <c r="G1722">
        <v>3.0599999999999998E-3</v>
      </c>
      <c r="H1722">
        <v>1.2700000000000001E-3</v>
      </c>
      <c r="I1722">
        <f>$A$7</f>
        <v>10</v>
      </c>
      <c r="J1722">
        <v>-1</v>
      </c>
      <c r="K1722" t="s">
        <v>428</v>
      </c>
      <c r="L1722" s="17">
        <f t="shared" si="126"/>
        <v>-1086396.9754440938</v>
      </c>
      <c r="M1722" t="s">
        <v>537</v>
      </c>
    </row>
    <row r="1723" spans="1:15" ht="16" x14ac:dyDescent="0.2">
      <c r="A1723" s="66" t="s">
        <v>8</v>
      </c>
      <c r="B1723" s="76" t="s">
        <v>418</v>
      </c>
      <c r="C1723" t="s">
        <v>232</v>
      </c>
      <c r="D1723" s="88">
        <v>1.2999999999999999E-4</v>
      </c>
      <c r="E1723" t="s">
        <v>345</v>
      </c>
      <c r="F1723">
        <v>1.2999999999999999E-4</v>
      </c>
      <c r="G1723">
        <v>3.1E-4</v>
      </c>
      <c r="H1723">
        <v>1.2999999999999999E-4</v>
      </c>
      <c r="I1723">
        <f>$A$7</f>
        <v>10</v>
      </c>
      <c r="J1723">
        <v>-1</v>
      </c>
      <c r="K1723" t="s">
        <v>429</v>
      </c>
      <c r="L1723" s="17">
        <f t="shared" si="126"/>
        <v>-253.20864582269485</v>
      </c>
      <c r="M1723" t="s">
        <v>537</v>
      </c>
    </row>
    <row r="1724" spans="1:15" ht="16" x14ac:dyDescent="0.2">
      <c r="A1724" s="81" t="s">
        <v>100</v>
      </c>
      <c r="B1724" s="89" t="s">
        <v>509</v>
      </c>
      <c r="C1724" t="s">
        <v>233</v>
      </c>
      <c r="D1724" s="88">
        <v>1.2999999999999999E-4</v>
      </c>
      <c r="E1724" t="s">
        <v>345</v>
      </c>
      <c r="F1724">
        <v>1.2999999999999999E-4</v>
      </c>
      <c r="G1724">
        <v>3.1E-4</v>
      </c>
      <c r="H1724">
        <v>1.2999999999999999E-4</v>
      </c>
      <c r="I1724">
        <f>$A$7</f>
        <v>10</v>
      </c>
      <c r="J1724">
        <v>-1</v>
      </c>
      <c r="K1724" t="s">
        <v>429</v>
      </c>
      <c r="L1724" s="17">
        <f t="shared" si="126"/>
        <v>-253.20864582269485</v>
      </c>
      <c r="M1724" t="s">
        <v>537</v>
      </c>
    </row>
    <row r="1725" spans="1:15" ht="16" x14ac:dyDescent="0.2">
      <c r="A1725" s="51" t="s">
        <v>56</v>
      </c>
      <c r="B1725" s="89" t="s">
        <v>506</v>
      </c>
      <c r="C1725" t="s">
        <v>320</v>
      </c>
      <c r="D1725" s="88">
        <v>0</v>
      </c>
      <c r="E1725" t="s">
        <v>344</v>
      </c>
      <c r="F1725">
        <v>0</v>
      </c>
      <c r="G1725">
        <v>0.30602000000000001</v>
      </c>
      <c r="H1725">
        <v>0</v>
      </c>
      <c r="I1725">
        <f>$A$6</f>
        <v>100</v>
      </c>
      <c r="J1725">
        <v>-1</v>
      </c>
      <c r="K1725" t="s">
        <v>428</v>
      </c>
      <c r="L1725" s="17">
        <f t="shared" si="126"/>
        <v>-792917.94707298756</v>
      </c>
      <c r="M1725" t="s">
        <v>537</v>
      </c>
    </row>
    <row r="1726" spans="1:15" x14ac:dyDescent="0.2">
      <c r="A1726" s="1" t="s">
        <v>57</v>
      </c>
      <c r="B1726" s="61" t="s">
        <v>502</v>
      </c>
      <c r="C1726" t="s">
        <v>321</v>
      </c>
      <c r="D1726" s="88">
        <v>0</v>
      </c>
      <c r="E1726" t="s">
        <v>344</v>
      </c>
      <c r="F1726">
        <v>0</v>
      </c>
      <c r="G1726">
        <v>0.30602000000000001</v>
      </c>
      <c r="H1726">
        <v>0</v>
      </c>
      <c r="I1726">
        <f>$A$6</f>
        <v>100</v>
      </c>
      <c r="J1726">
        <v>-1</v>
      </c>
      <c r="K1726" t="s">
        <v>428</v>
      </c>
      <c r="L1726" s="17">
        <f t="shared" si="126"/>
        <v>-792917.94707298756</v>
      </c>
      <c r="M1726" t="s">
        <v>537</v>
      </c>
    </row>
    <row r="1727" spans="1:15" ht="16" x14ac:dyDescent="0.2">
      <c r="A1727" s="51" t="s">
        <v>52</v>
      </c>
      <c r="B1727" s="89" t="s">
        <v>510</v>
      </c>
      <c r="C1727" t="s">
        <v>234</v>
      </c>
      <c r="D1727" s="88">
        <v>0</v>
      </c>
      <c r="E1727" t="s">
        <v>344</v>
      </c>
      <c r="F1727">
        <v>0</v>
      </c>
      <c r="G1727">
        <v>0.30602000000000001</v>
      </c>
      <c r="H1727">
        <v>0</v>
      </c>
      <c r="I1727">
        <v>0</v>
      </c>
      <c r="J1727">
        <v>0</v>
      </c>
      <c r="K1727" t="s">
        <v>428</v>
      </c>
      <c r="L1727" s="17">
        <f t="shared" si="126"/>
        <v>0</v>
      </c>
      <c r="M1727" t="s">
        <v>537</v>
      </c>
    </row>
    <row r="1728" spans="1:15" ht="16" x14ac:dyDescent="0.2">
      <c r="A1728" s="51" t="s">
        <v>14</v>
      </c>
      <c r="B1728" s="89" t="s">
        <v>510</v>
      </c>
      <c r="C1728" t="s">
        <v>235</v>
      </c>
      <c r="D1728" s="88">
        <v>0.12681999999999999</v>
      </c>
      <c r="E1728" t="s">
        <v>346</v>
      </c>
      <c r="F1728">
        <v>0.12681999999999999</v>
      </c>
      <c r="G1728">
        <v>0.30602000000000001</v>
      </c>
      <c r="H1728">
        <v>0.12681999999999999</v>
      </c>
      <c r="I1728">
        <f>$A$8</f>
        <v>1</v>
      </c>
      <c r="J1728">
        <v>1</v>
      </c>
      <c r="K1728" t="s">
        <v>430</v>
      </c>
      <c r="L1728" s="17">
        <f t="shared" si="126"/>
        <v>24794.835372247711</v>
      </c>
      <c r="M1728" t="s">
        <v>537</v>
      </c>
    </row>
    <row r="1729" spans="3:13" x14ac:dyDescent="0.2">
      <c r="C1729" t="s">
        <v>236</v>
      </c>
      <c r="D1729" s="88">
        <v>1.2999999999999999E-4</v>
      </c>
      <c r="E1729" t="s">
        <v>347</v>
      </c>
      <c r="F1729">
        <v>1.2999999999999999E-4</v>
      </c>
      <c r="G1729">
        <v>3.0602</v>
      </c>
      <c r="H1729">
        <v>1.2999999999999999E-4</v>
      </c>
      <c r="I1729">
        <f>$A$7</f>
        <v>10</v>
      </c>
      <c r="J1729">
        <v>-1</v>
      </c>
      <c r="K1729" t="s">
        <v>431</v>
      </c>
      <c r="L1729" s="17">
        <f t="shared" si="126"/>
        <v>-793090.83267992642</v>
      </c>
      <c r="M1729" t="s">
        <v>537</v>
      </c>
    </row>
    <row r="1730" spans="3:13" x14ac:dyDescent="0.2">
      <c r="C1730" t="s">
        <v>237</v>
      </c>
      <c r="D1730" s="88">
        <v>0.12681999999999999</v>
      </c>
      <c r="E1730" t="s">
        <v>348</v>
      </c>
      <c r="F1730">
        <v>0.12681999999999999</v>
      </c>
      <c r="G1730">
        <v>0.30602000000000001</v>
      </c>
      <c r="H1730">
        <v>0.12681999999999999</v>
      </c>
      <c r="I1730">
        <f>$A$6</f>
        <v>100</v>
      </c>
      <c r="J1730">
        <v>-1</v>
      </c>
      <c r="K1730" t="s">
        <v>432</v>
      </c>
      <c r="L1730" s="17">
        <f t="shared" si="126"/>
        <v>-2479483.537224771</v>
      </c>
      <c r="M1730" t="s">
        <v>537</v>
      </c>
    </row>
    <row r="1731" spans="3:13" x14ac:dyDescent="0.2">
      <c r="C1731" t="s">
        <v>238</v>
      </c>
      <c r="D1731" s="88">
        <v>0</v>
      </c>
      <c r="E1731" t="s">
        <v>349</v>
      </c>
      <c r="F1731">
        <v>0</v>
      </c>
      <c r="G1731">
        <v>0</v>
      </c>
      <c r="H1731">
        <v>0</v>
      </c>
      <c r="I1731">
        <f>$A$7</f>
        <v>10</v>
      </c>
      <c r="J1731">
        <v>-1</v>
      </c>
      <c r="K1731" t="s">
        <v>433</v>
      </c>
      <c r="L1731" s="17">
        <f t="shared" si="126"/>
        <v>0</v>
      </c>
      <c r="M1731" t="s">
        <v>537</v>
      </c>
    </row>
    <row r="1732" spans="3:13" x14ac:dyDescent="0.2">
      <c r="C1732" t="s">
        <v>239</v>
      </c>
      <c r="D1732" s="88">
        <v>1.2700000000000001E-3</v>
      </c>
      <c r="E1732" t="s">
        <v>348</v>
      </c>
      <c r="F1732">
        <v>1.2700000000000001E-3</v>
      </c>
      <c r="G1732">
        <v>3.0599999999999998E-3</v>
      </c>
      <c r="H1732">
        <v>1.2700000000000001E-3</v>
      </c>
      <c r="I1732">
        <f>$A$6</f>
        <v>100</v>
      </c>
      <c r="J1732">
        <v>-1</v>
      </c>
      <c r="K1732" t="s">
        <v>432</v>
      </c>
      <c r="L1732" s="17">
        <f t="shared" si="126"/>
        <v>-24818.255166208219</v>
      </c>
      <c r="M1732" t="s">
        <v>537</v>
      </c>
    </row>
    <row r="1733" spans="3:13" x14ac:dyDescent="0.2">
      <c r="C1733" t="s">
        <v>240</v>
      </c>
      <c r="D1733" s="88">
        <v>0</v>
      </c>
      <c r="E1733" t="s">
        <v>348</v>
      </c>
      <c r="F1733">
        <v>0</v>
      </c>
      <c r="G1733">
        <v>0</v>
      </c>
      <c r="H1733">
        <v>0</v>
      </c>
      <c r="I1733">
        <f>$A$6</f>
        <v>100</v>
      </c>
      <c r="J1733">
        <v>-1</v>
      </c>
      <c r="K1733" t="s">
        <v>432</v>
      </c>
      <c r="L1733" s="17">
        <f t="shared" si="126"/>
        <v>0</v>
      </c>
      <c r="M1733" t="s">
        <v>537</v>
      </c>
    </row>
    <row r="1734" spans="3:13" x14ac:dyDescent="0.2">
      <c r="C1734" t="s">
        <v>241</v>
      </c>
      <c r="D1734" s="88">
        <v>0</v>
      </c>
      <c r="E1734" t="s">
        <v>350</v>
      </c>
      <c r="F1734">
        <v>0</v>
      </c>
      <c r="G1734">
        <v>0</v>
      </c>
      <c r="H1734">
        <v>0</v>
      </c>
      <c r="I1734">
        <f>$A$6</f>
        <v>100</v>
      </c>
      <c r="J1734">
        <v>-1</v>
      </c>
      <c r="K1734" t="s">
        <v>434</v>
      </c>
      <c r="L1734" s="17">
        <f t="shared" si="126"/>
        <v>0</v>
      </c>
      <c r="M1734" t="s">
        <v>537</v>
      </c>
    </row>
    <row r="1735" spans="3:13" x14ac:dyDescent="0.2">
      <c r="C1735" t="s">
        <v>242</v>
      </c>
      <c r="D1735" s="88">
        <v>0</v>
      </c>
      <c r="E1735" t="s">
        <v>351</v>
      </c>
      <c r="F1735">
        <v>0</v>
      </c>
      <c r="G1735">
        <v>0</v>
      </c>
      <c r="H1735">
        <v>0</v>
      </c>
      <c r="I1735">
        <f>$A$8</f>
        <v>1</v>
      </c>
      <c r="J1735">
        <v>1</v>
      </c>
      <c r="K1735" t="s">
        <v>435</v>
      </c>
      <c r="L1735" s="17">
        <f t="shared" si="126"/>
        <v>0</v>
      </c>
      <c r="M1735" t="s">
        <v>537</v>
      </c>
    </row>
    <row r="1736" spans="3:13" x14ac:dyDescent="0.2">
      <c r="C1736" t="s">
        <v>243</v>
      </c>
      <c r="D1736" s="88">
        <v>0.12681999999999999</v>
      </c>
      <c r="E1736" t="s">
        <v>352</v>
      </c>
      <c r="F1736">
        <v>1.26824</v>
      </c>
      <c r="G1736">
        <v>3.0599999999999998E-3</v>
      </c>
      <c r="H1736">
        <v>1.26824</v>
      </c>
      <c r="I1736">
        <f>$A$6</f>
        <v>100</v>
      </c>
      <c r="J1736">
        <v>-1</v>
      </c>
      <c r="K1736" t="s">
        <v>436</v>
      </c>
      <c r="L1736" s="17">
        <f t="shared" si="126"/>
        <v>-16708237.905684734</v>
      </c>
      <c r="M1736" t="s">
        <v>537</v>
      </c>
    </row>
    <row r="1737" spans="3:13" x14ac:dyDescent="0.2">
      <c r="C1737" t="s">
        <v>244</v>
      </c>
      <c r="D1737" s="88">
        <v>1.2700000000000001E-3</v>
      </c>
      <c r="E1737" t="s">
        <v>353</v>
      </c>
      <c r="F1737">
        <v>1.2700000000000001E-3</v>
      </c>
      <c r="G1737">
        <v>3.0599999999999998E-3</v>
      </c>
      <c r="H1737">
        <v>1.2700000000000001E-3</v>
      </c>
      <c r="I1737">
        <v>0</v>
      </c>
      <c r="J1737">
        <v>0</v>
      </c>
      <c r="K1737" t="s">
        <v>437</v>
      </c>
      <c r="L1737" s="17">
        <f t="shared" si="126"/>
        <v>0</v>
      </c>
      <c r="M1737" t="s">
        <v>537</v>
      </c>
    </row>
    <row r="1738" spans="3:13" x14ac:dyDescent="0.2">
      <c r="C1738" t="s">
        <v>245</v>
      </c>
      <c r="D1738" s="88">
        <v>1.2700000000000001E-3</v>
      </c>
      <c r="E1738" t="s">
        <v>351</v>
      </c>
      <c r="F1738">
        <v>1.2999999999999999E-4</v>
      </c>
      <c r="G1738">
        <v>0.30602000000000001</v>
      </c>
      <c r="H1738">
        <v>1.2999999999999999E-4</v>
      </c>
      <c r="I1738">
        <f t="shared" ref="I1738:I1743" si="127">$A$7</f>
        <v>10</v>
      </c>
      <c r="J1738">
        <v>-1</v>
      </c>
      <c r="K1738" t="s">
        <v>435</v>
      </c>
      <c r="L1738" s="17">
        <f t="shared" si="126"/>
        <v>-79481.247539150078</v>
      </c>
      <c r="M1738" t="s">
        <v>537</v>
      </c>
    </row>
    <row r="1739" spans="3:13" x14ac:dyDescent="0.2">
      <c r="C1739" t="s">
        <v>246</v>
      </c>
      <c r="D1739" s="88">
        <v>1.268E-2</v>
      </c>
      <c r="E1739" t="s">
        <v>354</v>
      </c>
      <c r="F1739">
        <v>1.268E-2</v>
      </c>
      <c r="G1739">
        <v>3.0599999999999999E-2</v>
      </c>
      <c r="H1739">
        <v>1.268E-2</v>
      </c>
      <c r="I1739">
        <f t="shared" si="127"/>
        <v>10</v>
      </c>
      <c r="J1739">
        <v>-1</v>
      </c>
      <c r="K1739" t="s">
        <v>438</v>
      </c>
      <c r="L1739" s="17">
        <f t="shared" si="126"/>
        <v>-24791.657380525328</v>
      </c>
      <c r="M1739" t="s">
        <v>537</v>
      </c>
    </row>
    <row r="1740" spans="3:13" x14ac:dyDescent="0.2">
      <c r="C1740" t="s">
        <v>247</v>
      </c>
      <c r="D1740" s="88">
        <v>1.26824</v>
      </c>
      <c r="E1740" t="s">
        <v>354</v>
      </c>
      <c r="F1740">
        <v>1.26824</v>
      </c>
      <c r="G1740">
        <v>3.1E-4</v>
      </c>
      <c r="H1740">
        <v>1.26824</v>
      </c>
      <c r="I1740">
        <f t="shared" si="127"/>
        <v>10</v>
      </c>
      <c r="J1740">
        <v>-1</v>
      </c>
      <c r="K1740" t="s">
        <v>438</v>
      </c>
      <c r="L1740" s="17">
        <f t="shared" si="126"/>
        <v>-1686699.1087620333</v>
      </c>
      <c r="M1740" t="s">
        <v>537</v>
      </c>
    </row>
    <row r="1741" spans="3:13" x14ac:dyDescent="0.2">
      <c r="C1741" t="s">
        <v>248</v>
      </c>
      <c r="D1741" s="88">
        <v>1.26824</v>
      </c>
      <c r="E1741" t="s">
        <v>350</v>
      </c>
      <c r="F1741">
        <v>1.26824</v>
      </c>
      <c r="G1741">
        <v>0.30602000000000001</v>
      </c>
      <c r="H1741">
        <v>1.26824</v>
      </c>
      <c r="I1741">
        <f t="shared" si="127"/>
        <v>10</v>
      </c>
      <c r="J1741">
        <v>-1</v>
      </c>
      <c r="K1741" t="s">
        <v>434</v>
      </c>
      <c r="L1741" s="17">
        <f t="shared" si="126"/>
        <v>-1765910.5804304481</v>
      </c>
      <c r="M1741" t="s">
        <v>537</v>
      </c>
    </row>
    <row r="1742" spans="3:13" x14ac:dyDescent="0.2">
      <c r="C1742" t="s">
        <v>322</v>
      </c>
      <c r="D1742" s="88">
        <v>1.26824</v>
      </c>
      <c r="E1742" t="s">
        <v>355</v>
      </c>
      <c r="F1742">
        <v>1.26824</v>
      </c>
      <c r="G1742">
        <v>3.0599999999999999E-2</v>
      </c>
      <c r="H1742">
        <v>1.26824</v>
      </c>
      <c r="I1742">
        <f t="shared" si="127"/>
        <v>10</v>
      </c>
      <c r="J1742">
        <v>-1</v>
      </c>
      <c r="K1742" t="s">
        <v>439</v>
      </c>
      <c r="L1742" s="17">
        <f t="shared" si="126"/>
        <v>-1694547.4469807253</v>
      </c>
      <c r="M1742" t="s">
        <v>537</v>
      </c>
    </row>
    <row r="1743" spans="3:13" x14ac:dyDescent="0.2">
      <c r="C1743" t="s">
        <v>249</v>
      </c>
      <c r="D1743" s="88">
        <v>0.12681999999999999</v>
      </c>
      <c r="E1743" t="s">
        <v>356</v>
      </c>
      <c r="F1743">
        <v>0.12681999999999999</v>
      </c>
      <c r="G1743">
        <v>3.1E-4</v>
      </c>
      <c r="H1743">
        <v>0.12681999999999999</v>
      </c>
      <c r="I1743">
        <f t="shared" si="127"/>
        <v>10</v>
      </c>
      <c r="J1743">
        <v>-1</v>
      </c>
      <c r="K1743" t="s">
        <v>440</v>
      </c>
      <c r="L1743" s="17">
        <f t="shared" si="126"/>
        <v>-168736.8820540623</v>
      </c>
      <c r="M1743" t="s">
        <v>537</v>
      </c>
    </row>
    <row r="1744" spans="3:13" x14ac:dyDescent="0.2">
      <c r="C1744" t="s">
        <v>323</v>
      </c>
      <c r="D1744" s="88">
        <v>1.2700000000000001E-3</v>
      </c>
      <c r="E1744" t="s">
        <v>357</v>
      </c>
      <c r="F1744">
        <v>1.2700000000000001E-3</v>
      </c>
      <c r="G1744">
        <v>3.0599999999999998E-3</v>
      </c>
      <c r="H1744">
        <v>1.2700000000000001E-3</v>
      </c>
      <c r="I1744">
        <f>$A$6</f>
        <v>100</v>
      </c>
      <c r="J1744">
        <v>-1</v>
      </c>
      <c r="K1744" t="s">
        <v>441</v>
      </c>
      <c r="L1744" s="17">
        <f t="shared" si="126"/>
        <v>-24818.255166208219</v>
      </c>
      <c r="M1744" t="s">
        <v>537</v>
      </c>
    </row>
    <row r="1745" spans="3:13" x14ac:dyDescent="0.2">
      <c r="C1745" t="s">
        <v>324</v>
      </c>
      <c r="D1745" s="88">
        <v>1.2700000000000001E-3</v>
      </c>
      <c r="E1745" t="s">
        <v>357</v>
      </c>
      <c r="F1745">
        <v>1.2700000000000001E-3</v>
      </c>
      <c r="G1745">
        <v>3.0599999999999998E-3</v>
      </c>
      <c r="H1745">
        <v>1.2700000000000001E-3</v>
      </c>
      <c r="I1745">
        <f>$A$6</f>
        <v>100</v>
      </c>
      <c r="J1745">
        <v>-1</v>
      </c>
      <c r="K1745" t="s">
        <v>441</v>
      </c>
      <c r="L1745" s="17">
        <f t="shared" si="126"/>
        <v>-24818.255166208219</v>
      </c>
      <c r="M1745" t="s">
        <v>537</v>
      </c>
    </row>
    <row r="1746" spans="3:13" x14ac:dyDescent="0.2">
      <c r="C1746" t="s">
        <v>250</v>
      </c>
      <c r="D1746" s="88">
        <v>1.2700000000000001E-3</v>
      </c>
      <c r="E1746" t="s">
        <v>358</v>
      </c>
      <c r="F1746">
        <v>1.2700000000000001E-3</v>
      </c>
      <c r="G1746">
        <v>0.30602000000000001</v>
      </c>
      <c r="H1746">
        <v>1.2700000000000001E-3</v>
      </c>
      <c r="I1746">
        <f>$A$7</f>
        <v>10</v>
      </c>
      <c r="J1746">
        <v>1</v>
      </c>
      <c r="K1746" t="s">
        <v>442</v>
      </c>
      <c r="L1746" s="17">
        <f t="shared" si="126"/>
        <v>80980.754098161997</v>
      </c>
      <c r="M1746" t="s">
        <v>537</v>
      </c>
    </row>
    <row r="1747" spans="3:13" x14ac:dyDescent="0.2">
      <c r="C1747" t="s">
        <v>251</v>
      </c>
      <c r="D1747" s="88">
        <v>0</v>
      </c>
      <c r="E1747" t="s">
        <v>359</v>
      </c>
      <c r="F1747">
        <v>0</v>
      </c>
      <c r="G1747">
        <v>3.1E-4</v>
      </c>
      <c r="H1747">
        <v>0</v>
      </c>
      <c r="I1747">
        <f>$A$6</f>
        <v>100</v>
      </c>
      <c r="J1747">
        <v>-1</v>
      </c>
      <c r="K1747" t="s">
        <v>443</v>
      </c>
      <c r="L1747" s="17">
        <f t="shared" si="126"/>
        <v>-803.23038883937693</v>
      </c>
      <c r="M1747" t="s">
        <v>537</v>
      </c>
    </row>
    <row r="1748" spans="3:13" x14ac:dyDescent="0.2">
      <c r="C1748" t="s">
        <v>252</v>
      </c>
      <c r="D1748" s="88">
        <v>0.12681999999999999</v>
      </c>
      <c r="E1748" t="s">
        <v>360</v>
      </c>
      <c r="F1748">
        <v>0.12681999999999999</v>
      </c>
      <c r="G1748">
        <v>3.0602</v>
      </c>
      <c r="H1748">
        <v>0.12681999999999999</v>
      </c>
      <c r="I1748">
        <f>$A$7</f>
        <v>10</v>
      </c>
      <c r="J1748">
        <v>-1</v>
      </c>
      <c r="K1748" t="s">
        <v>444</v>
      </c>
      <c r="L1748" s="17">
        <f t="shared" ref="L1748:L1779" si="128">((B$1716*F1748)+(B$1717*G1748)+(B$1718*D1748)+(SUM(B$1719:B$1720)*H1748))*I1748*J1748</f>
        <v>-961574.50608816592</v>
      </c>
      <c r="M1748" t="s">
        <v>537</v>
      </c>
    </row>
    <row r="1749" spans="3:13" x14ac:dyDescent="0.2">
      <c r="C1749" t="s">
        <v>253</v>
      </c>
      <c r="D1749" s="88">
        <v>1.268E-2</v>
      </c>
      <c r="E1749" t="s">
        <v>361</v>
      </c>
      <c r="F1749">
        <v>1.268E-2</v>
      </c>
      <c r="G1749">
        <v>0.30602000000000001</v>
      </c>
      <c r="H1749">
        <v>1.268E-2</v>
      </c>
      <c r="I1749">
        <f>$A$7</f>
        <v>10</v>
      </c>
      <c r="J1749">
        <v>-1</v>
      </c>
      <c r="K1749" t="s">
        <v>445</v>
      </c>
      <c r="L1749" s="17">
        <f t="shared" si="128"/>
        <v>-96154.790830248312</v>
      </c>
      <c r="M1749" t="s">
        <v>537</v>
      </c>
    </row>
    <row r="1750" spans="3:13" x14ac:dyDescent="0.2">
      <c r="C1750" t="s">
        <v>325</v>
      </c>
      <c r="D1750" s="88">
        <v>1.2700000000000001E-3</v>
      </c>
      <c r="E1750" t="s">
        <v>362</v>
      </c>
      <c r="F1750">
        <v>1.2700000000000001E-3</v>
      </c>
      <c r="G1750">
        <v>3.1E-4</v>
      </c>
      <c r="H1750">
        <v>1.2700000000000001E-3</v>
      </c>
      <c r="I1750">
        <f>$A$6</f>
        <v>100</v>
      </c>
      <c r="J1750">
        <v>-1</v>
      </c>
      <c r="K1750" t="s">
        <v>446</v>
      </c>
      <c r="L1750" s="17">
        <f t="shared" si="128"/>
        <v>-17692.824297471809</v>
      </c>
      <c r="M1750" t="s">
        <v>537</v>
      </c>
    </row>
    <row r="1751" spans="3:13" x14ac:dyDescent="0.2">
      <c r="C1751" t="s">
        <v>254</v>
      </c>
      <c r="D1751" s="88">
        <v>1.2700000000000001E-3</v>
      </c>
      <c r="E1751" t="s">
        <v>363</v>
      </c>
      <c r="F1751">
        <v>1.2700000000000001E-3</v>
      </c>
      <c r="G1751">
        <v>3.0599999999999998E-3</v>
      </c>
      <c r="H1751">
        <v>1.2700000000000001E-3</v>
      </c>
      <c r="I1751">
        <f>$A$7</f>
        <v>10</v>
      </c>
      <c r="J1751">
        <v>-1</v>
      </c>
      <c r="K1751" t="s">
        <v>447</v>
      </c>
      <c r="L1751" s="17">
        <f t="shared" si="128"/>
        <v>-2481.8255166208219</v>
      </c>
      <c r="M1751" t="s">
        <v>537</v>
      </c>
    </row>
    <row r="1752" spans="3:13" x14ac:dyDescent="0.2">
      <c r="C1752" t="s">
        <v>255</v>
      </c>
      <c r="D1752" s="88">
        <v>0</v>
      </c>
      <c r="E1752" t="s">
        <v>364</v>
      </c>
      <c r="F1752">
        <v>0</v>
      </c>
      <c r="G1752">
        <v>0</v>
      </c>
      <c r="H1752">
        <v>0</v>
      </c>
      <c r="I1752">
        <f>$A$7</f>
        <v>10</v>
      </c>
      <c r="J1752">
        <v>-1</v>
      </c>
      <c r="K1752" t="s">
        <v>448</v>
      </c>
      <c r="L1752" s="17">
        <f t="shared" si="128"/>
        <v>0</v>
      </c>
      <c r="M1752" t="s">
        <v>537</v>
      </c>
    </row>
    <row r="1753" spans="3:13" x14ac:dyDescent="0.2">
      <c r="C1753" t="s">
        <v>256</v>
      </c>
      <c r="D1753" s="88">
        <v>1.2700000000000001E-3</v>
      </c>
      <c r="E1753" t="s">
        <v>365</v>
      </c>
      <c r="F1753">
        <v>1.2700000000000001E-3</v>
      </c>
      <c r="G1753">
        <v>0.30602000000000001</v>
      </c>
      <c r="H1753">
        <v>1.2700000000000001E-3</v>
      </c>
      <c r="I1753">
        <f>$A$7</f>
        <v>10</v>
      </c>
      <c r="J1753">
        <v>-1</v>
      </c>
      <c r="K1753" t="s">
        <v>449</v>
      </c>
      <c r="L1753" s="17">
        <f t="shared" si="128"/>
        <v>-80980.754098161997</v>
      </c>
      <c r="M1753" t="s">
        <v>537</v>
      </c>
    </row>
    <row r="1754" spans="3:13" x14ac:dyDescent="0.2">
      <c r="C1754" t="s">
        <v>257</v>
      </c>
      <c r="D1754" s="88">
        <v>1.26824</v>
      </c>
      <c r="E1754" t="s">
        <v>366</v>
      </c>
      <c r="F1754">
        <v>1.26824</v>
      </c>
      <c r="G1754">
        <v>3.0599999999999998E-3</v>
      </c>
      <c r="H1754">
        <v>1.26824</v>
      </c>
      <c r="I1754">
        <f>$A$6</f>
        <v>100</v>
      </c>
      <c r="J1754">
        <v>-1</v>
      </c>
      <c r="K1754" t="s">
        <v>450</v>
      </c>
      <c r="L1754" s="17">
        <f t="shared" si="128"/>
        <v>-16874116.51848907</v>
      </c>
      <c r="M1754" t="s">
        <v>537</v>
      </c>
    </row>
    <row r="1755" spans="3:13" x14ac:dyDescent="0.2">
      <c r="C1755" t="s">
        <v>258</v>
      </c>
      <c r="D1755" s="88">
        <v>0.12681999999999999</v>
      </c>
      <c r="E1755" t="s">
        <v>367</v>
      </c>
      <c r="F1755">
        <v>0.12681999999999999</v>
      </c>
      <c r="G1755">
        <v>3.0599999999999998E-3</v>
      </c>
      <c r="H1755">
        <v>0.12681999999999999</v>
      </c>
      <c r="I1755">
        <f>$A$6</f>
        <v>100</v>
      </c>
      <c r="J1755">
        <v>-1</v>
      </c>
      <c r="K1755" t="s">
        <v>451</v>
      </c>
      <c r="L1755" s="17">
        <f t="shared" si="128"/>
        <v>-1694494.2514093593</v>
      </c>
      <c r="M1755" t="s">
        <v>537</v>
      </c>
    </row>
    <row r="1756" spans="3:13" x14ac:dyDescent="0.2">
      <c r="C1756" t="s">
        <v>326</v>
      </c>
      <c r="D1756" s="88">
        <v>1.2700000000000001E-3</v>
      </c>
      <c r="E1756" t="s">
        <v>365</v>
      </c>
      <c r="F1756">
        <v>1.2700000000000001E-3</v>
      </c>
      <c r="G1756">
        <v>3.0599999999999998E-3</v>
      </c>
      <c r="H1756">
        <v>1.2700000000000001E-3</v>
      </c>
      <c r="I1756">
        <v>0</v>
      </c>
      <c r="J1756">
        <v>0</v>
      </c>
      <c r="K1756" t="s">
        <v>449</v>
      </c>
      <c r="L1756" s="17">
        <f t="shared" si="128"/>
        <v>0</v>
      </c>
      <c r="M1756" t="s">
        <v>537</v>
      </c>
    </row>
    <row r="1757" spans="3:13" x14ac:dyDescent="0.2">
      <c r="C1757" t="s">
        <v>259</v>
      </c>
      <c r="D1757" s="88">
        <v>1.268E-2</v>
      </c>
      <c r="E1757" t="s">
        <v>368</v>
      </c>
      <c r="F1757">
        <v>1.268E-2</v>
      </c>
      <c r="G1757">
        <v>3.0599999999999998E-3</v>
      </c>
      <c r="H1757">
        <v>1.268E-2</v>
      </c>
      <c r="I1757">
        <f>$A$6</f>
        <v>100</v>
      </c>
      <c r="J1757">
        <v>-1</v>
      </c>
      <c r="K1757" t="s">
        <v>452</v>
      </c>
      <c r="L1757" s="17">
        <f t="shared" si="128"/>
        <v>-176558.62248707123</v>
      </c>
      <c r="M1757" t="s">
        <v>537</v>
      </c>
    </row>
    <row r="1758" spans="3:13" x14ac:dyDescent="0.2">
      <c r="C1758" t="s">
        <v>260</v>
      </c>
      <c r="D1758" s="88">
        <v>0</v>
      </c>
      <c r="E1758" t="s">
        <v>368</v>
      </c>
      <c r="F1758">
        <v>0</v>
      </c>
      <c r="G1758">
        <v>3.0599999999999998E-3</v>
      </c>
      <c r="H1758">
        <v>0</v>
      </c>
      <c r="I1758">
        <v>0</v>
      </c>
      <c r="J1758">
        <v>0</v>
      </c>
      <c r="K1758" t="s">
        <v>452</v>
      </c>
      <c r="L1758" s="17">
        <f t="shared" si="128"/>
        <v>0</v>
      </c>
      <c r="M1758" t="s">
        <v>537</v>
      </c>
    </row>
    <row r="1759" spans="3:13" x14ac:dyDescent="0.2">
      <c r="C1759" t="s">
        <v>327</v>
      </c>
      <c r="D1759" s="88">
        <v>1.2999999999999999E-4</v>
      </c>
      <c r="E1759" t="s">
        <v>368</v>
      </c>
      <c r="F1759">
        <v>1.2999999999999999E-4</v>
      </c>
      <c r="G1759">
        <v>0.30602000000000001</v>
      </c>
      <c r="H1759">
        <v>1.2999999999999999E-4</v>
      </c>
      <c r="I1759">
        <f>$A$6</f>
        <v>100</v>
      </c>
      <c r="J1759">
        <v>-1</v>
      </c>
      <c r="K1759" t="s">
        <v>452</v>
      </c>
      <c r="L1759" s="17">
        <f t="shared" si="128"/>
        <v>-794646.8031423752</v>
      </c>
      <c r="M1759" t="s">
        <v>537</v>
      </c>
    </row>
    <row r="1760" spans="3:13" x14ac:dyDescent="0.2">
      <c r="C1760" t="s">
        <v>328</v>
      </c>
      <c r="D1760" s="88">
        <v>1.2999999999999999E-4</v>
      </c>
      <c r="E1760" t="s">
        <v>368</v>
      </c>
      <c r="F1760">
        <v>1.2999999999999999E-4</v>
      </c>
      <c r="G1760">
        <v>0.30602000000000001</v>
      </c>
      <c r="H1760">
        <v>1.2999999999999999E-4</v>
      </c>
      <c r="I1760">
        <v>0</v>
      </c>
      <c r="J1760">
        <v>0</v>
      </c>
      <c r="K1760" t="s">
        <v>452</v>
      </c>
      <c r="L1760" s="17">
        <f t="shared" si="128"/>
        <v>0</v>
      </c>
      <c r="M1760" t="s">
        <v>537</v>
      </c>
    </row>
    <row r="1761" spans="1:13" x14ac:dyDescent="0.2">
      <c r="C1761" t="s">
        <v>261</v>
      </c>
      <c r="D1761" s="88">
        <v>0.12681999999999999</v>
      </c>
      <c r="E1761" t="s">
        <v>369</v>
      </c>
      <c r="F1761">
        <v>0.12681999999999999</v>
      </c>
      <c r="G1761">
        <v>3.1E-4</v>
      </c>
      <c r="H1761">
        <v>0.12681999999999999</v>
      </c>
      <c r="I1761">
        <f>$A$6</f>
        <v>100</v>
      </c>
      <c r="J1761">
        <v>-1</v>
      </c>
      <c r="K1761" t="s">
        <v>453</v>
      </c>
      <c r="L1761" s="17">
        <f t="shared" si="128"/>
        <v>-1687368.820540623</v>
      </c>
      <c r="M1761" t="s">
        <v>537</v>
      </c>
    </row>
    <row r="1762" spans="1:13" x14ac:dyDescent="0.2">
      <c r="C1762" t="s">
        <v>263</v>
      </c>
      <c r="D1762" s="88">
        <v>1.2999999999999999E-4</v>
      </c>
      <c r="E1762" t="s">
        <v>370</v>
      </c>
      <c r="F1762">
        <v>1.2999999999999999E-4</v>
      </c>
      <c r="G1762">
        <v>3.1E-4</v>
      </c>
      <c r="H1762">
        <v>1.2999999999999999E-4</v>
      </c>
      <c r="I1762">
        <f>$A$6</f>
        <v>100</v>
      </c>
      <c r="J1762">
        <v>-1</v>
      </c>
      <c r="K1762" t="s">
        <v>454</v>
      </c>
      <c r="L1762" s="17">
        <f t="shared" si="128"/>
        <v>-2532.0864582269487</v>
      </c>
      <c r="M1762" t="s">
        <v>537</v>
      </c>
    </row>
    <row r="1763" spans="1:13" x14ac:dyDescent="0.2">
      <c r="C1763" t="s">
        <v>262</v>
      </c>
      <c r="D1763" s="88">
        <v>1.2999999999999999E-4</v>
      </c>
      <c r="E1763" t="s">
        <v>370</v>
      </c>
      <c r="F1763">
        <v>1.2999999999999999E-4</v>
      </c>
      <c r="G1763">
        <v>3.0599999999999998E-3</v>
      </c>
      <c r="H1763">
        <v>1.2999999999999999E-4</v>
      </c>
      <c r="I1763">
        <f>$A$6</f>
        <v>100</v>
      </c>
      <c r="J1763">
        <v>-1</v>
      </c>
      <c r="K1763" t="s">
        <v>454</v>
      </c>
      <c r="L1763" s="17">
        <f t="shared" si="128"/>
        <v>-9657.5173269633578</v>
      </c>
      <c r="M1763" t="s">
        <v>537</v>
      </c>
    </row>
    <row r="1764" spans="1:13" x14ac:dyDescent="0.2">
      <c r="C1764" t="s">
        <v>264</v>
      </c>
      <c r="D1764" s="88">
        <v>1.2700000000000001E-3</v>
      </c>
      <c r="E1764" t="s">
        <v>371</v>
      </c>
      <c r="F1764">
        <v>1.2700000000000001E-3</v>
      </c>
      <c r="G1764">
        <v>3.0599999999999999E-2</v>
      </c>
      <c r="H1764">
        <v>1.2700000000000001E-3</v>
      </c>
      <c r="I1764">
        <f>$A$7</f>
        <v>10</v>
      </c>
      <c r="J1764">
        <v>-1</v>
      </c>
      <c r="K1764" t="s">
        <v>455</v>
      </c>
      <c r="L1764" s="17">
        <f t="shared" si="128"/>
        <v>-9617.6206484390277</v>
      </c>
      <c r="M1764" t="s">
        <v>537</v>
      </c>
    </row>
    <row r="1765" spans="1:13" x14ac:dyDescent="0.2">
      <c r="A1765" s="38"/>
      <c r="B1765" s="55"/>
      <c r="C1765" t="s">
        <v>265</v>
      </c>
      <c r="D1765" s="88">
        <v>1.2700000000000001E-3</v>
      </c>
      <c r="E1765" t="s">
        <v>371</v>
      </c>
      <c r="F1765">
        <v>1.2700000000000001E-3</v>
      </c>
      <c r="G1765">
        <v>3.0599999999999998E-3</v>
      </c>
      <c r="H1765">
        <v>1.2700000000000001E-3</v>
      </c>
      <c r="I1765">
        <f>$A$7</f>
        <v>10</v>
      </c>
      <c r="J1765">
        <v>-1</v>
      </c>
      <c r="K1765" t="s">
        <v>455</v>
      </c>
      <c r="L1765" s="17">
        <f t="shared" si="128"/>
        <v>-2481.8255166208219</v>
      </c>
      <c r="M1765" t="s">
        <v>537</v>
      </c>
    </row>
    <row r="1766" spans="1:13" x14ac:dyDescent="0.2">
      <c r="C1766" t="s">
        <v>266</v>
      </c>
      <c r="D1766" s="88">
        <v>1.2700000000000001E-3</v>
      </c>
      <c r="E1766" t="s">
        <v>371</v>
      </c>
      <c r="F1766">
        <v>1.2700000000000001E-3</v>
      </c>
      <c r="G1766">
        <v>3.0599999999999999E-2</v>
      </c>
      <c r="H1766">
        <v>1.2700000000000001E-3</v>
      </c>
      <c r="I1766">
        <v>0</v>
      </c>
      <c r="J1766">
        <v>0</v>
      </c>
      <c r="K1766" t="s">
        <v>455</v>
      </c>
      <c r="L1766" s="17">
        <f t="shared" si="128"/>
        <v>0</v>
      </c>
      <c r="M1766" t="s">
        <v>537</v>
      </c>
    </row>
    <row r="1767" spans="1:13" x14ac:dyDescent="0.2">
      <c r="C1767" t="s">
        <v>267</v>
      </c>
      <c r="D1767" s="88">
        <v>1.2999999999999999E-4</v>
      </c>
      <c r="E1767" t="s">
        <v>372</v>
      </c>
      <c r="F1767">
        <v>1.2999999999999999E-4</v>
      </c>
      <c r="G1767">
        <v>3.0599999999999998E-3</v>
      </c>
      <c r="H1767">
        <v>1.2999999999999999E-4</v>
      </c>
      <c r="I1767">
        <v>0</v>
      </c>
      <c r="J1767">
        <v>0</v>
      </c>
      <c r="K1767" t="s">
        <v>456</v>
      </c>
      <c r="L1767" s="17">
        <f t="shared" si="128"/>
        <v>0</v>
      </c>
      <c r="M1767" t="s">
        <v>537</v>
      </c>
    </row>
    <row r="1768" spans="1:13" x14ac:dyDescent="0.2">
      <c r="C1768" t="s">
        <v>329</v>
      </c>
      <c r="D1768" s="88">
        <v>0.12681999999999999</v>
      </c>
      <c r="E1768" s="75" t="s">
        <v>373</v>
      </c>
      <c r="F1768">
        <v>0.12681999999999999</v>
      </c>
      <c r="G1768">
        <v>0.30602000000000001</v>
      </c>
      <c r="H1768">
        <v>0.12681999999999999</v>
      </c>
      <c r="I1768">
        <f>$A$7</f>
        <v>10</v>
      </c>
      <c r="J1768">
        <v>-1</v>
      </c>
      <c r="K1768" t="s">
        <v>457</v>
      </c>
      <c r="L1768" s="17">
        <f t="shared" si="128"/>
        <v>-247948.3537224771</v>
      </c>
      <c r="M1768" t="s">
        <v>537</v>
      </c>
    </row>
    <row r="1769" spans="1:13" x14ac:dyDescent="0.2">
      <c r="C1769" t="s">
        <v>314</v>
      </c>
      <c r="D1769" s="88">
        <v>1.2700000000000001E-3</v>
      </c>
      <c r="E1769" s="75" t="s">
        <v>374</v>
      </c>
      <c r="F1769">
        <v>1.2700000000000001E-3</v>
      </c>
      <c r="G1769">
        <v>3.0599999999999998E-3</v>
      </c>
      <c r="H1769">
        <v>1.2700000000000001E-3</v>
      </c>
      <c r="I1769">
        <f>$A$7</f>
        <v>10</v>
      </c>
      <c r="J1769">
        <v>-1</v>
      </c>
      <c r="K1769" t="s">
        <v>458</v>
      </c>
      <c r="L1769" s="17">
        <f t="shared" si="128"/>
        <v>-2481.8255166208219</v>
      </c>
      <c r="M1769" t="s">
        <v>537</v>
      </c>
    </row>
    <row r="1770" spans="1:13" x14ac:dyDescent="0.2">
      <c r="C1770" t="s">
        <v>268</v>
      </c>
      <c r="D1770" s="88">
        <v>1.2700000000000001E-3</v>
      </c>
      <c r="E1770" s="75" t="s">
        <v>374</v>
      </c>
      <c r="F1770">
        <v>1.2700000000000001E-3</v>
      </c>
      <c r="G1770">
        <v>3.0599999999999998E-3</v>
      </c>
      <c r="H1770">
        <v>1.2700000000000001E-3</v>
      </c>
      <c r="I1770">
        <f>$A$7</f>
        <v>10</v>
      </c>
      <c r="J1770">
        <v>-1</v>
      </c>
      <c r="K1770" t="s">
        <v>458</v>
      </c>
      <c r="L1770" s="17">
        <f t="shared" si="128"/>
        <v>-2481.8255166208219</v>
      </c>
      <c r="M1770" t="s">
        <v>537</v>
      </c>
    </row>
    <row r="1771" spans="1:13" x14ac:dyDescent="0.2">
      <c r="C1771" t="s">
        <v>269</v>
      </c>
      <c r="D1771" s="88">
        <v>1.2700000000000001E-3</v>
      </c>
      <c r="E1771" s="75" t="s">
        <v>374</v>
      </c>
      <c r="F1771">
        <v>1.2700000000000001E-3</v>
      </c>
      <c r="G1771">
        <v>3.0599999999999998E-3</v>
      </c>
      <c r="H1771">
        <v>1.2700000000000001E-3</v>
      </c>
      <c r="I1771">
        <v>0</v>
      </c>
      <c r="J1771">
        <v>0</v>
      </c>
      <c r="K1771" t="s">
        <v>458</v>
      </c>
      <c r="L1771" s="17">
        <f t="shared" si="128"/>
        <v>0</v>
      </c>
      <c r="M1771" t="s">
        <v>537</v>
      </c>
    </row>
    <row r="1772" spans="1:13" x14ac:dyDescent="0.2">
      <c r="C1772" t="s">
        <v>270</v>
      </c>
      <c r="D1772" s="88">
        <v>1.2700000000000001E-3</v>
      </c>
      <c r="E1772" s="75" t="s">
        <v>375</v>
      </c>
      <c r="F1772">
        <v>1.2700000000000001E-3</v>
      </c>
      <c r="G1772">
        <v>0</v>
      </c>
      <c r="H1772">
        <v>1.2700000000000001E-3</v>
      </c>
      <c r="I1772">
        <f>$A$6</f>
        <v>100</v>
      </c>
      <c r="J1772">
        <v>-1</v>
      </c>
      <c r="K1772" t="s">
        <v>459</v>
      </c>
      <c r="L1772" s="17">
        <f t="shared" si="128"/>
        <v>-16889.593908632436</v>
      </c>
      <c r="M1772" t="s">
        <v>537</v>
      </c>
    </row>
    <row r="1773" spans="1:13" x14ac:dyDescent="0.2">
      <c r="C1773" t="s">
        <v>271</v>
      </c>
      <c r="D1773" s="88">
        <v>0.12681999999999999</v>
      </c>
      <c r="E1773" s="75" t="s">
        <v>376</v>
      </c>
      <c r="F1773">
        <v>0.12681999999999999</v>
      </c>
      <c r="G1773">
        <v>3.0602</v>
      </c>
      <c r="H1773">
        <v>0.12681999999999999</v>
      </c>
      <c r="I1773">
        <v>0</v>
      </c>
      <c r="J1773">
        <v>0</v>
      </c>
      <c r="K1773" t="s">
        <v>460</v>
      </c>
      <c r="L1773" s="17">
        <f t="shared" si="128"/>
        <v>0</v>
      </c>
      <c r="M1773" t="s">
        <v>537</v>
      </c>
    </row>
    <row r="1774" spans="1:13" x14ac:dyDescent="0.2">
      <c r="C1774" t="s">
        <v>272</v>
      </c>
      <c r="D1774" s="88">
        <v>1.26824</v>
      </c>
      <c r="E1774" t="s">
        <v>377</v>
      </c>
      <c r="F1774">
        <v>1.26824</v>
      </c>
      <c r="G1774">
        <v>3.0599999999999998E-3</v>
      </c>
      <c r="H1774">
        <v>1.26824</v>
      </c>
      <c r="I1774">
        <v>0</v>
      </c>
      <c r="J1774">
        <v>0</v>
      </c>
      <c r="K1774" t="s">
        <v>461</v>
      </c>
      <c r="L1774" s="17">
        <f t="shared" si="128"/>
        <v>0</v>
      </c>
      <c r="M1774" t="s">
        <v>537</v>
      </c>
    </row>
    <row r="1775" spans="1:13" ht="16" customHeight="1" x14ac:dyDescent="0.2">
      <c r="C1775" t="s">
        <v>273</v>
      </c>
      <c r="D1775" s="88">
        <v>1.2999999999999999E-4</v>
      </c>
      <c r="E1775" t="s">
        <v>378</v>
      </c>
      <c r="F1775">
        <v>1.2999999999999999E-4</v>
      </c>
      <c r="G1775">
        <v>3.0602</v>
      </c>
      <c r="H1775">
        <v>1.2999999999999999E-4</v>
      </c>
      <c r="I1775">
        <f>$A$7</f>
        <v>10</v>
      </c>
      <c r="J1775">
        <v>-1</v>
      </c>
      <c r="K1775" t="s">
        <v>462</v>
      </c>
      <c r="L1775" s="17">
        <f t="shared" si="128"/>
        <v>-793090.83267992642</v>
      </c>
      <c r="M1775" t="s">
        <v>537</v>
      </c>
    </row>
    <row r="1776" spans="1:13" ht="16" customHeight="1" x14ac:dyDescent="0.2">
      <c r="C1776" t="s">
        <v>274</v>
      </c>
      <c r="D1776" s="88">
        <v>1.2999999999999999E-4</v>
      </c>
      <c r="E1776" t="s">
        <v>379</v>
      </c>
      <c r="F1776">
        <v>1.2999999999999999E-4</v>
      </c>
      <c r="G1776">
        <v>3.1E-4</v>
      </c>
      <c r="H1776">
        <v>1.2999999999999999E-4</v>
      </c>
      <c r="I1776">
        <v>0</v>
      </c>
      <c r="J1776">
        <v>0</v>
      </c>
      <c r="K1776" t="s">
        <v>463</v>
      </c>
      <c r="L1776" s="17">
        <f t="shared" si="128"/>
        <v>0</v>
      </c>
      <c r="M1776" t="s">
        <v>537</v>
      </c>
    </row>
    <row r="1777" spans="3:13" ht="16" customHeight="1" x14ac:dyDescent="0.2">
      <c r="C1777" t="s">
        <v>275</v>
      </c>
      <c r="D1777" s="88">
        <v>1.26824</v>
      </c>
      <c r="E1777" t="s">
        <v>377</v>
      </c>
      <c r="F1777">
        <v>1.26824</v>
      </c>
      <c r="G1777">
        <v>3.0599999999999998E-3</v>
      </c>
      <c r="H1777">
        <v>1.26824</v>
      </c>
      <c r="I1777">
        <f>$A$6</f>
        <v>100</v>
      </c>
      <c r="J1777">
        <v>-1</v>
      </c>
      <c r="K1777" t="s">
        <v>461</v>
      </c>
      <c r="L1777" s="17">
        <f t="shared" si="128"/>
        <v>-16874116.51848907</v>
      </c>
      <c r="M1777" t="s">
        <v>537</v>
      </c>
    </row>
    <row r="1778" spans="3:13" ht="16" customHeight="1" x14ac:dyDescent="0.2">
      <c r="C1778" t="s">
        <v>276</v>
      </c>
      <c r="D1778" s="88">
        <v>1.26824</v>
      </c>
      <c r="E1778" t="s">
        <v>377</v>
      </c>
      <c r="F1778">
        <v>1.26824</v>
      </c>
      <c r="G1778">
        <v>3.0599999999999998E-3</v>
      </c>
      <c r="H1778">
        <v>1.26824</v>
      </c>
      <c r="I1778">
        <f>$A$6</f>
        <v>100</v>
      </c>
      <c r="J1778">
        <v>-1</v>
      </c>
      <c r="K1778" t="s">
        <v>461</v>
      </c>
      <c r="L1778" s="17">
        <f t="shared" si="128"/>
        <v>-16874116.51848907</v>
      </c>
      <c r="M1778" t="s">
        <v>537</v>
      </c>
    </row>
    <row r="1779" spans="3:13" ht="16" customHeight="1" x14ac:dyDescent="0.2">
      <c r="C1779" t="s">
        <v>277</v>
      </c>
      <c r="D1779" s="88">
        <v>1.2700000000000001E-3</v>
      </c>
      <c r="E1779" t="s">
        <v>380</v>
      </c>
      <c r="F1779">
        <v>1.2700000000000001E-3</v>
      </c>
      <c r="G1779">
        <v>3.1E-4</v>
      </c>
      <c r="H1779">
        <v>1.2700000000000001E-3</v>
      </c>
      <c r="I1779">
        <f>$A$6</f>
        <v>100</v>
      </c>
      <c r="J1779">
        <v>-1</v>
      </c>
      <c r="K1779" t="s">
        <v>464</v>
      </c>
      <c r="L1779" s="17">
        <f t="shared" si="128"/>
        <v>-17692.824297471809</v>
      </c>
      <c r="M1779" t="s">
        <v>537</v>
      </c>
    </row>
    <row r="1780" spans="3:13" ht="16" customHeight="1" x14ac:dyDescent="0.2">
      <c r="C1780" t="s">
        <v>278</v>
      </c>
      <c r="D1780" s="88">
        <v>1.26824</v>
      </c>
      <c r="E1780" t="s">
        <v>381</v>
      </c>
      <c r="F1780">
        <v>1.26824</v>
      </c>
      <c r="G1780">
        <v>3.0602</v>
      </c>
      <c r="H1780">
        <v>1.26824</v>
      </c>
      <c r="I1780">
        <f>$A$6</f>
        <v>100</v>
      </c>
      <c r="J1780">
        <v>-1</v>
      </c>
      <c r="K1780" t="s">
        <v>465</v>
      </c>
      <c r="L1780" s="17">
        <f t="shared" ref="L1780:L1811" si="129">((B$1716*F1780)+(B$1717*G1780)+(B$1718*D1780)+(SUM(B$1719:B$1720)*H1780))*I1780*J1780</f>
        <v>-24795367.32796137</v>
      </c>
      <c r="M1780" t="s">
        <v>537</v>
      </c>
    </row>
    <row r="1781" spans="3:13" ht="16" customHeight="1" x14ac:dyDescent="0.2">
      <c r="C1781" t="s">
        <v>330</v>
      </c>
      <c r="D1781" s="88">
        <v>1.2999999999999999E-4</v>
      </c>
      <c r="E1781" t="s">
        <v>382</v>
      </c>
      <c r="F1781">
        <v>1.2999999999999999E-4</v>
      </c>
      <c r="G1781">
        <v>3.1E-4</v>
      </c>
      <c r="H1781">
        <v>1.2999999999999999E-4</v>
      </c>
      <c r="I1781">
        <f>$A$7</f>
        <v>10</v>
      </c>
      <c r="J1781">
        <v>-1</v>
      </c>
      <c r="K1781" t="s">
        <v>466</v>
      </c>
      <c r="L1781" s="17">
        <f t="shared" si="129"/>
        <v>-253.20864582269485</v>
      </c>
      <c r="M1781" t="s">
        <v>537</v>
      </c>
    </row>
    <row r="1782" spans="3:13" ht="16" customHeight="1" x14ac:dyDescent="0.2">
      <c r="C1782" t="s">
        <v>279</v>
      </c>
      <c r="D1782" s="88">
        <v>1.2999999999999999E-4</v>
      </c>
      <c r="E1782" t="s">
        <v>382</v>
      </c>
      <c r="F1782">
        <v>1.2999999999999999E-4</v>
      </c>
      <c r="G1782">
        <v>3.1E-4</v>
      </c>
      <c r="H1782">
        <v>1.2999999999999999E-4</v>
      </c>
      <c r="I1782">
        <f>$A$7</f>
        <v>10</v>
      </c>
      <c r="J1782">
        <v>-1</v>
      </c>
      <c r="K1782" t="s">
        <v>466</v>
      </c>
      <c r="L1782" s="17">
        <f t="shared" si="129"/>
        <v>-253.20864582269485</v>
      </c>
      <c r="M1782" t="s">
        <v>537</v>
      </c>
    </row>
    <row r="1783" spans="3:13" ht="16" customHeight="1" x14ac:dyDescent="0.2">
      <c r="C1783" t="s">
        <v>280</v>
      </c>
      <c r="D1783" s="88">
        <v>1.2999999999999999E-4</v>
      </c>
      <c r="E1783" t="s">
        <v>382</v>
      </c>
      <c r="F1783">
        <v>1.2999999999999999E-4</v>
      </c>
      <c r="G1783">
        <v>3.0599999999999998E-3</v>
      </c>
      <c r="H1783">
        <v>1.2999999999999999E-4</v>
      </c>
      <c r="I1783">
        <v>0</v>
      </c>
      <c r="J1783">
        <v>0</v>
      </c>
      <c r="K1783" t="s">
        <v>466</v>
      </c>
      <c r="L1783" s="17">
        <f t="shared" si="129"/>
        <v>0</v>
      </c>
      <c r="M1783" t="s">
        <v>537</v>
      </c>
    </row>
    <row r="1784" spans="3:13" ht="16" customHeight="1" x14ac:dyDescent="0.2">
      <c r="C1784" t="s">
        <v>331</v>
      </c>
      <c r="D1784" s="88">
        <v>1.2700000000000001E-3</v>
      </c>
      <c r="E1784" t="s">
        <v>383</v>
      </c>
      <c r="F1784">
        <v>1.2700000000000001E-3</v>
      </c>
      <c r="G1784">
        <v>3.0599999999999998E-3</v>
      </c>
      <c r="H1784">
        <v>1.2700000000000001E-3</v>
      </c>
      <c r="I1784">
        <v>0</v>
      </c>
      <c r="J1784">
        <v>0</v>
      </c>
      <c r="K1784" t="s">
        <v>467</v>
      </c>
      <c r="L1784" s="17">
        <f t="shared" si="129"/>
        <v>0</v>
      </c>
      <c r="M1784" t="s">
        <v>537</v>
      </c>
    </row>
    <row r="1785" spans="3:13" ht="16" customHeight="1" x14ac:dyDescent="0.2">
      <c r="C1785" t="s">
        <v>281</v>
      </c>
      <c r="D1785" s="88">
        <v>1.2999999999999999E-4</v>
      </c>
      <c r="E1785" t="s">
        <v>384</v>
      </c>
      <c r="F1785">
        <v>1.2999999999999999E-4</v>
      </c>
      <c r="G1785">
        <v>3.1E-4</v>
      </c>
      <c r="H1785">
        <v>1.2999999999999999E-4</v>
      </c>
      <c r="I1785">
        <f>$A$7</f>
        <v>10</v>
      </c>
      <c r="J1785">
        <v>-1</v>
      </c>
      <c r="K1785" t="s">
        <v>468</v>
      </c>
      <c r="L1785" s="17">
        <f t="shared" si="129"/>
        <v>-253.20864582269485</v>
      </c>
      <c r="M1785" t="s">
        <v>537</v>
      </c>
    </row>
    <row r="1786" spans="3:13" ht="16" customHeight="1" x14ac:dyDescent="0.2">
      <c r="C1786" t="s">
        <v>282</v>
      </c>
      <c r="D1786" s="88">
        <v>0.12681999999999999</v>
      </c>
      <c r="E1786" t="s">
        <v>385</v>
      </c>
      <c r="F1786">
        <v>0.12681999999999999</v>
      </c>
      <c r="G1786">
        <v>0.30602000000000001</v>
      </c>
      <c r="H1786">
        <v>0.12681999999999999</v>
      </c>
      <c r="I1786">
        <v>0</v>
      </c>
      <c r="J1786">
        <v>0</v>
      </c>
      <c r="K1786" t="s">
        <v>469</v>
      </c>
      <c r="L1786" s="17">
        <f t="shared" si="129"/>
        <v>0</v>
      </c>
      <c r="M1786" t="s">
        <v>537</v>
      </c>
    </row>
    <row r="1787" spans="3:13" ht="16" customHeight="1" x14ac:dyDescent="0.2">
      <c r="C1787" t="s">
        <v>332</v>
      </c>
      <c r="D1787" s="88">
        <v>1.268E-2</v>
      </c>
      <c r="E1787" t="s">
        <v>386</v>
      </c>
      <c r="F1787">
        <v>1.268E-2</v>
      </c>
      <c r="G1787">
        <v>3.0599999999999998E-3</v>
      </c>
      <c r="H1787">
        <v>1.268E-2</v>
      </c>
      <c r="I1787">
        <v>0</v>
      </c>
      <c r="J1787">
        <v>0</v>
      </c>
      <c r="K1787" t="s">
        <v>470</v>
      </c>
      <c r="L1787" s="17">
        <f t="shared" si="129"/>
        <v>0</v>
      </c>
      <c r="M1787" t="s">
        <v>537</v>
      </c>
    </row>
    <row r="1788" spans="3:13" ht="16" customHeight="1" x14ac:dyDescent="0.2">
      <c r="C1788" t="s">
        <v>283</v>
      </c>
      <c r="D1788" s="88">
        <v>1.2700000000000001E-3</v>
      </c>
      <c r="E1788" t="s">
        <v>387</v>
      </c>
      <c r="F1788">
        <v>1.2700000000000001E-3</v>
      </c>
      <c r="G1788">
        <v>3.0599999999999998E-3</v>
      </c>
      <c r="H1788">
        <v>1.2700000000000001E-3</v>
      </c>
      <c r="I1788">
        <f>$A$7</f>
        <v>10</v>
      </c>
      <c r="J1788">
        <v>-1</v>
      </c>
      <c r="K1788" t="s">
        <v>471</v>
      </c>
      <c r="L1788" s="17">
        <f t="shared" si="129"/>
        <v>-2481.8255166208219</v>
      </c>
      <c r="M1788" t="s">
        <v>537</v>
      </c>
    </row>
    <row r="1789" spans="3:13" ht="16" customHeight="1" x14ac:dyDescent="0.2">
      <c r="C1789" t="s">
        <v>284</v>
      </c>
      <c r="D1789" s="88">
        <v>1.2999999999999999E-4</v>
      </c>
      <c r="E1789" t="s">
        <v>388</v>
      </c>
      <c r="F1789">
        <v>1.2999999999999999E-4</v>
      </c>
      <c r="G1789">
        <v>3.0602</v>
      </c>
      <c r="H1789">
        <v>1.2999999999999999E-4</v>
      </c>
      <c r="I1789">
        <f>$A$7</f>
        <v>10</v>
      </c>
      <c r="J1789">
        <v>-1</v>
      </c>
      <c r="K1789" t="s">
        <v>472</v>
      </c>
      <c r="L1789" s="17">
        <f t="shared" si="129"/>
        <v>-793090.83267992642</v>
      </c>
      <c r="M1789" t="s">
        <v>537</v>
      </c>
    </row>
    <row r="1790" spans="3:13" ht="16" customHeight="1" x14ac:dyDescent="0.2">
      <c r="C1790" t="s">
        <v>285</v>
      </c>
      <c r="D1790" s="88">
        <v>1.2700000000000001E-3</v>
      </c>
      <c r="E1790" t="s">
        <v>389</v>
      </c>
      <c r="F1790">
        <v>1.2700000000000001E-3</v>
      </c>
      <c r="G1790">
        <v>3.0599999999999998E-3</v>
      </c>
      <c r="H1790">
        <v>1.2700000000000001E-3</v>
      </c>
      <c r="I1790">
        <f>$A$7</f>
        <v>10</v>
      </c>
      <c r="J1790">
        <v>-1</v>
      </c>
      <c r="K1790" t="s">
        <v>473</v>
      </c>
      <c r="L1790" s="17">
        <f t="shared" si="129"/>
        <v>-2481.8255166208219</v>
      </c>
      <c r="M1790" t="s">
        <v>537</v>
      </c>
    </row>
    <row r="1791" spans="3:13" ht="16" customHeight="1" x14ac:dyDescent="0.2">
      <c r="C1791" t="s">
        <v>286</v>
      </c>
      <c r="D1791" s="88">
        <v>1.268E-2</v>
      </c>
      <c r="E1791" t="s">
        <v>390</v>
      </c>
      <c r="F1791">
        <v>1.268E-2</v>
      </c>
      <c r="G1791">
        <v>3.0599999999999998E-3</v>
      </c>
      <c r="H1791">
        <v>1.268E-2</v>
      </c>
      <c r="I1791">
        <f>$A$6</f>
        <v>100</v>
      </c>
      <c r="J1791">
        <v>-1</v>
      </c>
      <c r="K1791" t="s">
        <v>474</v>
      </c>
      <c r="L1791" s="17">
        <f t="shared" si="129"/>
        <v>-176558.62248707123</v>
      </c>
      <c r="M1791" t="s">
        <v>537</v>
      </c>
    </row>
    <row r="1792" spans="3:13" ht="16" customHeight="1" x14ac:dyDescent="0.2">
      <c r="C1792" t="s">
        <v>287</v>
      </c>
      <c r="D1792" s="88">
        <v>1.2700000000000001E-3</v>
      </c>
      <c r="E1792" t="s">
        <v>391</v>
      </c>
      <c r="F1792">
        <v>1.2700000000000001E-3</v>
      </c>
      <c r="G1792">
        <v>3.0599999999999998E-3</v>
      </c>
      <c r="H1792">
        <v>1.2700000000000001E-3</v>
      </c>
      <c r="I1792">
        <f>$A$6</f>
        <v>100</v>
      </c>
      <c r="J1792">
        <v>-1</v>
      </c>
      <c r="K1792" t="s">
        <v>475</v>
      </c>
      <c r="L1792" s="17">
        <f t="shared" si="129"/>
        <v>-24818.255166208219</v>
      </c>
      <c r="M1792" t="s">
        <v>537</v>
      </c>
    </row>
    <row r="1793" spans="3:13" ht="16" customHeight="1" x14ac:dyDescent="0.2">
      <c r="C1793" t="s">
        <v>288</v>
      </c>
      <c r="D1793" s="88">
        <v>1.2700000000000001E-3</v>
      </c>
      <c r="E1793" t="s">
        <v>392</v>
      </c>
      <c r="F1793">
        <v>1.2700000000000001E-3</v>
      </c>
      <c r="G1793">
        <v>3.0599999999999998E-3</v>
      </c>
      <c r="H1793">
        <v>1.2700000000000001E-3</v>
      </c>
      <c r="I1793">
        <f>$A$6</f>
        <v>100</v>
      </c>
      <c r="J1793">
        <v>-1</v>
      </c>
      <c r="K1793" t="s">
        <v>476</v>
      </c>
      <c r="L1793" s="17">
        <f t="shared" si="129"/>
        <v>-24818.255166208219</v>
      </c>
      <c r="M1793" t="s">
        <v>537</v>
      </c>
    </row>
    <row r="1794" spans="3:13" ht="16" customHeight="1" x14ac:dyDescent="0.2">
      <c r="C1794" t="s">
        <v>333</v>
      </c>
      <c r="D1794" s="88">
        <v>1.2700000000000001E-3</v>
      </c>
      <c r="E1794" t="s">
        <v>340</v>
      </c>
      <c r="F1794">
        <v>1.2700000000000001E-3</v>
      </c>
      <c r="G1794">
        <v>3.0599999999999998E-3</v>
      </c>
      <c r="H1794">
        <v>1.2700000000000001E-3</v>
      </c>
      <c r="I1794">
        <f>$A$7</f>
        <v>10</v>
      </c>
      <c r="J1794">
        <v>-1</v>
      </c>
      <c r="K1794" t="s">
        <v>424</v>
      </c>
      <c r="L1794" s="17">
        <f t="shared" si="129"/>
        <v>-2481.8255166208219</v>
      </c>
      <c r="M1794" t="s">
        <v>537</v>
      </c>
    </row>
    <row r="1795" spans="3:13" ht="16" customHeight="1" x14ac:dyDescent="0.2">
      <c r="C1795" t="s">
        <v>334</v>
      </c>
      <c r="D1795" s="88">
        <v>1.268E-2</v>
      </c>
      <c r="E1795" t="s">
        <v>393</v>
      </c>
      <c r="F1795">
        <v>1.268E-2</v>
      </c>
      <c r="G1795">
        <v>3.0599999999999999E-2</v>
      </c>
      <c r="H1795">
        <v>1.268E-2</v>
      </c>
      <c r="I1795">
        <v>0</v>
      </c>
      <c r="J1795">
        <v>0</v>
      </c>
      <c r="K1795" t="s">
        <v>477</v>
      </c>
      <c r="L1795" s="17">
        <f t="shared" si="129"/>
        <v>0</v>
      </c>
      <c r="M1795" t="s">
        <v>537</v>
      </c>
    </row>
    <row r="1796" spans="3:13" ht="16" customHeight="1" x14ac:dyDescent="0.2">
      <c r="C1796" t="s">
        <v>335</v>
      </c>
      <c r="D1796" s="88">
        <v>1.2700000000000001E-3</v>
      </c>
      <c r="E1796" t="s">
        <v>394</v>
      </c>
      <c r="F1796">
        <v>1.2700000000000001E-3</v>
      </c>
      <c r="G1796">
        <v>3.0599999999999998E-3</v>
      </c>
      <c r="H1796">
        <v>1.2700000000000001E-3</v>
      </c>
      <c r="I1796">
        <f>$A$7</f>
        <v>10</v>
      </c>
      <c r="J1796">
        <v>-1</v>
      </c>
      <c r="K1796" t="s">
        <v>478</v>
      </c>
      <c r="L1796" s="17">
        <f t="shared" si="129"/>
        <v>-2481.8255166208219</v>
      </c>
      <c r="M1796" t="s">
        <v>537</v>
      </c>
    </row>
    <row r="1797" spans="3:13" ht="16" customHeight="1" x14ac:dyDescent="0.2">
      <c r="C1797" t="s">
        <v>289</v>
      </c>
      <c r="D1797" s="88">
        <v>1.2700000000000001E-3</v>
      </c>
      <c r="E1797" t="s">
        <v>395</v>
      </c>
      <c r="F1797">
        <v>1.2700000000000001E-3</v>
      </c>
      <c r="G1797">
        <v>0.30602000000000001</v>
      </c>
      <c r="H1797">
        <v>1.2700000000000001E-3</v>
      </c>
      <c r="I1797">
        <f>$A$7</f>
        <v>10</v>
      </c>
      <c r="J1797">
        <v>-1</v>
      </c>
      <c r="K1797" t="s">
        <v>479</v>
      </c>
      <c r="L1797" s="17">
        <f t="shared" si="129"/>
        <v>-80980.754098161997</v>
      </c>
      <c r="M1797" t="s">
        <v>537</v>
      </c>
    </row>
    <row r="1798" spans="3:13" ht="16" customHeight="1" x14ac:dyDescent="0.2">
      <c r="C1798" t="s">
        <v>290</v>
      </c>
      <c r="D1798" s="88">
        <v>1.2999999999999999E-4</v>
      </c>
      <c r="E1798" t="s">
        <v>396</v>
      </c>
      <c r="F1798">
        <v>1.2999999999999999E-4</v>
      </c>
      <c r="G1798">
        <v>3.1E-4</v>
      </c>
      <c r="H1798">
        <v>1.2999999999999999E-4</v>
      </c>
      <c r="I1798">
        <f>$A$7</f>
        <v>10</v>
      </c>
      <c r="J1798">
        <v>-1</v>
      </c>
      <c r="K1798" t="s">
        <v>480</v>
      </c>
      <c r="L1798" s="17">
        <f t="shared" si="129"/>
        <v>-253.20864582269485</v>
      </c>
      <c r="M1798" t="s">
        <v>537</v>
      </c>
    </row>
    <row r="1799" spans="3:13" ht="16" customHeight="1" x14ac:dyDescent="0.2">
      <c r="C1799" t="s">
        <v>291</v>
      </c>
      <c r="D1799" s="88">
        <v>1.2999999999999999E-4</v>
      </c>
      <c r="E1799" t="s">
        <v>397</v>
      </c>
      <c r="F1799">
        <v>1.2999999999999999E-4</v>
      </c>
      <c r="G1799">
        <v>3.1E-4</v>
      </c>
      <c r="H1799">
        <v>1.2999999999999999E-4</v>
      </c>
      <c r="I1799">
        <f>$A$8</f>
        <v>1</v>
      </c>
      <c r="J1799">
        <v>-1</v>
      </c>
      <c r="K1799" t="s">
        <v>481</v>
      </c>
      <c r="L1799" s="17">
        <f t="shared" si="129"/>
        <v>-25.320864582269486</v>
      </c>
      <c r="M1799" t="s">
        <v>537</v>
      </c>
    </row>
    <row r="1800" spans="3:13" ht="16" customHeight="1" x14ac:dyDescent="0.2">
      <c r="C1800" t="s">
        <v>292</v>
      </c>
      <c r="D1800" s="88">
        <v>1.268E-2</v>
      </c>
      <c r="E1800" t="s">
        <v>360</v>
      </c>
      <c r="F1800">
        <v>1.268E-2</v>
      </c>
      <c r="G1800">
        <v>3.0599999999999998E-3</v>
      </c>
      <c r="H1800">
        <v>1.268E-2</v>
      </c>
      <c r="I1800">
        <f>$A$6</f>
        <v>100</v>
      </c>
      <c r="J1800">
        <v>-1</v>
      </c>
      <c r="K1800" t="s">
        <v>444</v>
      </c>
      <c r="L1800" s="17">
        <f t="shared" si="129"/>
        <v>-176558.62248707123</v>
      </c>
      <c r="M1800" t="s">
        <v>537</v>
      </c>
    </row>
    <row r="1801" spans="3:13" ht="16" customHeight="1" x14ac:dyDescent="0.2">
      <c r="C1801" t="s">
        <v>293</v>
      </c>
      <c r="D1801" s="88">
        <v>1.26824</v>
      </c>
      <c r="E1801" t="s">
        <v>398</v>
      </c>
      <c r="F1801">
        <v>1.26824</v>
      </c>
      <c r="G1801">
        <v>3.0599999999999998E-3</v>
      </c>
      <c r="H1801">
        <v>1.26824</v>
      </c>
      <c r="I1801">
        <f>$A$7</f>
        <v>10</v>
      </c>
      <c r="J1801">
        <v>-1</v>
      </c>
      <c r="K1801" t="s">
        <v>482</v>
      </c>
      <c r="L1801" s="17">
        <f t="shared" si="129"/>
        <v>-1687411.6518489071</v>
      </c>
      <c r="M1801" t="s">
        <v>537</v>
      </c>
    </row>
    <row r="1802" spans="3:13" ht="16" customHeight="1" x14ac:dyDescent="0.2">
      <c r="C1802" t="s">
        <v>294</v>
      </c>
      <c r="D1802" s="88">
        <v>1.2999999999999999E-4</v>
      </c>
      <c r="E1802" t="s">
        <v>399</v>
      </c>
      <c r="F1802">
        <v>1.2999999999999999E-4</v>
      </c>
      <c r="G1802">
        <v>3.1E-4</v>
      </c>
      <c r="H1802">
        <v>1.2999999999999999E-4</v>
      </c>
      <c r="I1802">
        <f>$A$8</f>
        <v>1</v>
      </c>
      <c r="J1802">
        <v>-1</v>
      </c>
      <c r="K1802" t="s">
        <v>483</v>
      </c>
      <c r="L1802" s="17">
        <f t="shared" si="129"/>
        <v>-25.320864582269486</v>
      </c>
      <c r="M1802" t="s">
        <v>537</v>
      </c>
    </row>
    <row r="1803" spans="3:13" ht="16" customHeight="1" x14ac:dyDescent="0.2">
      <c r="C1803" t="s">
        <v>336</v>
      </c>
      <c r="D1803" s="88">
        <v>1.2700000000000001E-3</v>
      </c>
      <c r="E1803" t="s">
        <v>400</v>
      </c>
      <c r="F1803">
        <v>1.2700000000000001E-3</v>
      </c>
      <c r="G1803">
        <v>0</v>
      </c>
      <c r="H1803">
        <v>1.2700000000000001E-3</v>
      </c>
      <c r="I1803">
        <f>$A$6</f>
        <v>100</v>
      </c>
      <c r="J1803">
        <v>-1</v>
      </c>
      <c r="K1803" t="s">
        <v>484</v>
      </c>
      <c r="L1803" s="17">
        <f t="shared" si="129"/>
        <v>-16889.593908632436</v>
      </c>
      <c r="M1803" t="s">
        <v>537</v>
      </c>
    </row>
    <row r="1804" spans="3:13" ht="16" customHeight="1" x14ac:dyDescent="0.2">
      <c r="C1804" t="s">
        <v>295</v>
      </c>
      <c r="D1804" s="88">
        <v>1.2999999999999999E-4</v>
      </c>
      <c r="E1804" t="s">
        <v>401</v>
      </c>
      <c r="F1804">
        <v>1.2999999999999999E-4</v>
      </c>
      <c r="G1804">
        <v>3.1E-4</v>
      </c>
      <c r="H1804">
        <v>1.2999999999999999E-4</v>
      </c>
      <c r="I1804">
        <f>$A$6</f>
        <v>100</v>
      </c>
      <c r="J1804">
        <v>-1</v>
      </c>
      <c r="K1804" t="s">
        <v>485</v>
      </c>
      <c r="L1804" s="17">
        <f t="shared" si="129"/>
        <v>-2532.0864582269487</v>
      </c>
      <c r="M1804" t="s">
        <v>537</v>
      </c>
    </row>
    <row r="1805" spans="3:13" ht="16" customHeight="1" x14ac:dyDescent="0.2">
      <c r="C1805" t="s">
        <v>296</v>
      </c>
      <c r="D1805" s="88">
        <v>1.26824</v>
      </c>
      <c r="E1805" t="s">
        <v>402</v>
      </c>
      <c r="F1805">
        <v>1.26824</v>
      </c>
      <c r="G1805">
        <v>3.0599999999999998E-3</v>
      </c>
      <c r="H1805">
        <v>1.26824</v>
      </c>
      <c r="I1805">
        <f>$A$7</f>
        <v>10</v>
      </c>
      <c r="J1805">
        <v>-1</v>
      </c>
      <c r="K1805" t="s">
        <v>486</v>
      </c>
      <c r="L1805" s="17">
        <f t="shared" si="129"/>
        <v>-1687411.6518489071</v>
      </c>
      <c r="M1805" t="s">
        <v>537</v>
      </c>
    </row>
    <row r="1806" spans="3:13" ht="16" customHeight="1" x14ac:dyDescent="0.2">
      <c r="C1806" t="s">
        <v>297</v>
      </c>
      <c r="D1806" s="88">
        <v>1.2999999999999999E-4</v>
      </c>
      <c r="E1806" t="s">
        <v>403</v>
      </c>
      <c r="F1806">
        <v>1.2999999999999999E-4</v>
      </c>
      <c r="G1806">
        <v>3.0599999999999998E-3</v>
      </c>
      <c r="H1806">
        <v>1.2999999999999999E-4</v>
      </c>
      <c r="I1806">
        <f>$A$7</f>
        <v>10</v>
      </c>
      <c r="J1806">
        <v>-1</v>
      </c>
      <c r="K1806" t="s">
        <v>487</v>
      </c>
      <c r="L1806" s="17">
        <f t="shared" si="129"/>
        <v>-965.75173269633581</v>
      </c>
      <c r="M1806" t="s">
        <v>537</v>
      </c>
    </row>
    <row r="1807" spans="3:13" ht="16" customHeight="1" x14ac:dyDescent="0.2">
      <c r="C1807" t="s">
        <v>298</v>
      </c>
      <c r="D1807" s="88">
        <v>1.2700000000000001E-3</v>
      </c>
      <c r="E1807" t="s">
        <v>394</v>
      </c>
      <c r="F1807">
        <v>1.2999999999999999E-4</v>
      </c>
      <c r="G1807">
        <v>3.0599999999999998E-3</v>
      </c>
      <c r="H1807">
        <v>1.2999999999999999E-4</v>
      </c>
      <c r="I1807">
        <f>$A$7</f>
        <v>10</v>
      </c>
      <c r="J1807">
        <v>-1</v>
      </c>
      <c r="K1807" t="s">
        <v>478</v>
      </c>
      <c r="L1807" s="17">
        <f t="shared" si="129"/>
        <v>-982.31895760889597</v>
      </c>
      <c r="M1807" t="s">
        <v>537</v>
      </c>
    </row>
    <row r="1808" spans="3:13" ht="16" customHeight="1" x14ac:dyDescent="0.2">
      <c r="C1808" t="s">
        <v>299</v>
      </c>
      <c r="D1808" s="88">
        <v>1.2999999999999999E-4</v>
      </c>
      <c r="E1808" t="s">
        <v>404</v>
      </c>
      <c r="F1808">
        <v>1.2999999999999999E-4</v>
      </c>
      <c r="G1808">
        <v>0.30602000000000001</v>
      </c>
      <c r="H1808">
        <v>1.2999999999999999E-4</v>
      </c>
      <c r="I1808">
        <f>$A$7</f>
        <v>10</v>
      </c>
      <c r="J1808">
        <v>-1</v>
      </c>
      <c r="K1808" t="s">
        <v>488</v>
      </c>
      <c r="L1808" s="17">
        <f t="shared" si="129"/>
        <v>-79464.680314237514</v>
      </c>
      <c r="M1808" t="s">
        <v>537</v>
      </c>
    </row>
    <row r="1809" spans="1:19" ht="16" customHeight="1" x14ac:dyDescent="0.2">
      <c r="C1809" t="s">
        <v>300</v>
      </c>
      <c r="D1809" s="88">
        <v>0.12681999999999999</v>
      </c>
      <c r="E1809" t="s">
        <v>405</v>
      </c>
      <c r="F1809">
        <v>0.12681999999999999</v>
      </c>
      <c r="G1809">
        <v>3.0599999999999998E-3</v>
      </c>
      <c r="H1809">
        <v>0.12681999999999999</v>
      </c>
      <c r="I1809">
        <f>$A$7</f>
        <v>10</v>
      </c>
      <c r="J1809">
        <v>-1</v>
      </c>
      <c r="K1809" t="s">
        <v>489</v>
      </c>
      <c r="L1809" s="17">
        <f t="shared" si="129"/>
        <v>-169449.42514093593</v>
      </c>
      <c r="M1809" t="s">
        <v>537</v>
      </c>
    </row>
    <row r="1810" spans="1:19" ht="16" customHeight="1" x14ac:dyDescent="0.2">
      <c r="C1810" t="s">
        <v>301</v>
      </c>
      <c r="D1810" s="88">
        <v>1.2700000000000001E-3</v>
      </c>
      <c r="E1810" t="s">
        <v>406</v>
      </c>
      <c r="F1810">
        <v>1.2700000000000001E-3</v>
      </c>
      <c r="G1810">
        <v>0.30602000000000001</v>
      </c>
      <c r="H1810">
        <v>1.2700000000000001E-3</v>
      </c>
      <c r="I1810">
        <f>$A$6</f>
        <v>100</v>
      </c>
      <c r="J1810">
        <v>-1</v>
      </c>
      <c r="K1810" t="s">
        <v>490</v>
      </c>
      <c r="L1810" s="17">
        <f t="shared" si="129"/>
        <v>-809807.54098161997</v>
      </c>
      <c r="M1810" t="s">
        <v>537</v>
      </c>
    </row>
    <row r="1811" spans="1:19" ht="16" customHeight="1" x14ac:dyDescent="0.2">
      <c r="C1811" t="s">
        <v>302</v>
      </c>
      <c r="D1811" s="88">
        <v>1.2700000000000001E-3</v>
      </c>
      <c r="E1811" t="s">
        <v>407</v>
      </c>
      <c r="F1811">
        <v>1.2700000000000001E-3</v>
      </c>
      <c r="G1811">
        <v>3.0599999999999998E-3</v>
      </c>
      <c r="H1811">
        <v>1.2700000000000001E-3</v>
      </c>
      <c r="I1811">
        <f>$A$6</f>
        <v>100</v>
      </c>
      <c r="J1811">
        <v>-1</v>
      </c>
      <c r="K1811" t="s">
        <v>491</v>
      </c>
      <c r="L1811" s="17">
        <f t="shared" si="129"/>
        <v>-24818.255166208219</v>
      </c>
      <c r="M1811" t="s">
        <v>537</v>
      </c>
    </row>
    <row r="1812" spans="1:19" ht="16" customHeight="1" x14ac:dyDescent="0.2">
      <c r="C1812" t="s">
        <v>303</v>
      </c>
      <c r="D1812" s="88">
        <v>1.2700000000000001E-3</v>
      </c>
      <c r="E1812" t="s">
        <v>408</v>
      </c>
      <c r="F1812">
        <v>1.2700000000000001E-3</v>
      </c>
      <c r="G1812">
        <v>3.0599999999999998E-3</v>
      </c>
      <c r="H1812">
        <v>1.2700000000000001E-3</v>
      </c>
      <c r="I1812">
        <f>$A$7</f>
        <v>10</v>
      </c>
      <c r="J1812">
        <v>-1</v>
      </c>
      <c r="K1812" t="s">
        <v>492</v>
      </c>
      <c r="L1812" s="17">
        <f t="shared" ref="L1812:L1821" si="130">((B$1716*F1812)+(B$1717*G1812)+(B$1718*D1812)+(SUM(B$1719:B$1720)*H1812))*I1812*J1812</f>
        <v>-2481.8255166208219</v>
      </c>
      <c r="M1812" t="s">
        <v>537</v>
      </c>
    </row>
    <row r="1813" spans="1:19" ht="16" customHeight="1" x14ac:dyDescent="0.2">
      <c r="C1813" t="s">
        <v>304</v>
      </c>
      <c r="D1813" s="88">
        <v>1.26824</v>
      </c>
      <c r="E1813" t="s">
        <v>409</v>
      </c>
      <c r="F1813">
        <v>1.26824</v>
      </c>
      <c r="G1813">
        <v>3.0602</v>
      </c>
      <c r="H1813">
        <v>1.26824</v>
      </c>
      <c r="I1813">
        <f>$A$6</f>
        <v>100</v>
      </c>
      <c r="J1813">
        <v>-1</v>
      </c>
      <c r="K1813" t="s">
        <v>493</v>
      </c>
      <c r="L1813" s="17">
        <f t="shared" si="130"/>
        <v>-24795367.32796137</v>
      </c>
      <c r="M1813" t="s">
        <v>537</v>
      </c>
    </row>
    <row r="1814" spans="1:19" ht="16" customHeight="1" x14ac:dyDescent="0.2">
      <c r="C1814" t="s">
        <v>305</v>
      </c>
      <c r="D1814" s="88">
        <v>1.2700000000000001E-3</v>
      </c>
      <c r="E1814" t="s">
        <v>410</v>
      </c>
      <c r="F1814">
        <v>1.2700000000000001E-3</v>
      </c>
      <c r="G1814">
        <v>3.0599999999999998E-3</v>
      </c>
      <c r="H1814">
        <v>1.2700000000000001E-3</v>
      </c>
      <c r="I1814">
        <f>$A$7</f>
        <v>10</v>
      </c>
      <c r="J1814">
        <v>-1</v>
      </c>
      <c r="K1814" t="s">
        <v>494</v>
      </c>
      <c r="L1814" s="17">
        <f t="shared" si="130"/>
        <v>-2481.8255166208219</v>
      </c>
      <c r="M1814" t="s">
        <v>537</v>
      </c>
    </row>
    <row r="1815" spans="1:19" ht="16" customHeight="1" x14ac:dyDescent="0.2">
      <c r="C1815" t="s">
        <v>306</v>
      </c>
      <c r="D1815" s="88">
        <v>1.2700000000000001E-3</v>
      </c>
      <c r="E1815" t="s">
        <v>411</v>
      </c>
      <c r="F1815">
        <v>1.2700000000000001E-3</v>
      </c>
      <c r="G1815">
        <v>3.0599999999999998E-3</v>
      </c>
      <c r="H1815">
        <v>1.2700000000000001E-3</v>
      </c>
      <c r="I1815">
        <f>$A$8</f>
        <v>1</v>
      </c>
      <c r="J1815">
        <v>-1</v>
      </c>
      <c r="K1815" t="s">
        <v>495</v>
      </c>
      <c r="L1815" s="17">
        <f t="shared" si="130"/>
        <v>-248.18255166208218</v>
      </c>
      <c r="M1815" t="s">
        <v>537</v>
      </c>
    </row>
    <row r="1816" spans="1:19" ht="16" customHeight="1" x14ac:dyDescent="0.2">
      <c r="C1816" t="s">
        <v>307</v>
      </c>
      <c r="D1816" s="88">
        <v>1.2700000000000001E-3</v>
      </c>
      <c r="E1816" t="s">
        <v>411</v>
      </c>
      <c r="F1816">
        <v>1.2700000000000001E-3</v>
      </c>
      <c r="G1816">
        <v>3.0599999999999998E-3</v>
      </c>
      <c r="H1816">
        <v>1.2700000000000001E-3</v>
      </c>
      <c r="I1816">
        <f>$A$8</f>
        <v>1</v>
      </c>
      <c r="J1816">
        <v>-1</v>
      </c>
      <c r="K1816" t="s">
        <v>495</v>
      </c>
      <c r="L1816" s="17">
        <f t="shared" si="130"/>
        <v>-248.18255166208218</v>
      </c>
      <c r="M1816" t="s">
        <v>537</v>
      </c>
    </row>
    <row r="1817" spans="1:19" ht="16" customHeight="1" x14ac:dyDescent="0.2">
      <c r="C1817" t="s">
        <v>337</v>
      </c>
      <c r="D1817" s="88">
        <v>0.12681999999999999</v>
      </c>
      <c r="E1817" t="s">
        <v>412</v>
      </c>
      <c r="F1817">
        <v>0.12681999999999999</v>
      </c>
      <c r="G1817">
        <v>3.0599999999999998E-3</v>
      </c>
      <c r="H1817">
        <v>0.12681999999999999</v>
      </c>
      <c r="I1817">
        <v>0</v>
      </c>
      <c r="J1817">
        <v>0</v>
      </c>
      <c r="K1817" t="s">
        <v>496</v>
      </c>
      <c r="L1817" s="17">
        <f t="shared" si="130"/>
        <v>0</v>
      </c>
      <c r="M1817" t="s">
        <v>537</v>
      </c>
    </row>
    <row r="1818" spans="1:19" ht="16" customHeight="1" x14ac:dyDescent="0.2">
      <c r="C1818" t="s">
        <v>308</v>
      </c>
      <c r="D1818" s="88">
        <v>1.2700000000000001E-3</v>
      </c>
      <c r="E1818" t="s">
        <v>413</v>
      </c>
      <c r="F1818">
        <v>1.2700000000000001E-3</v>
      </c>
      <c r="G1818">
        <v>3.0599999999999998E-3</v>
      </c>
      <c r="H1818">
        <v>1.2700000000000001E-3</v>
      </c>
      <c r="I1818">
        <f>$A$7</f>
        <v>10</v>
      </c>
      <c r="J1818">
        <v>-1</v>
      </c>
      <c r="K1818" t="s">
        <v>497</v>
      </c>
      <c r="L1818" s="17">
        <f t="shared" si="130"/>
        <v>-2481.8255166208219</v>
      </c>
      <c r="M1818" t="s">
        <v>537</v>
      </c>
    </row>
    <row r="1819" spans="1:19" ht="16" customHeight="1" x14ac:dyDescent="0.2">
      <c r="C1819" t="s">
        <v>309</v>
      </c>
      <c r="D1819" s="88">
        <v>1.2700000000000001E-3</v>
      </c>
      <c r="E1819" t="s">
        <v>413</v>
      </c>
      <c r="F1819">
        <v>1.2700000000000001E-3</v>
      </c>
      <c r="G1819">
        <v>3.0599999999999998E-3</v>
      </c>
      <c r="H1819">
        <v>1.2700000000000001E-3</v>
      </c>
      <c r="I1819">
        <f>$A$7</f>
        <v>10</v>
      </c>
      <c r="J1819">
        <v>-1</v>
      </c>
      <c r="K1819" t="s">
        <v>497</v>
      </c>
      <c r="L1819" s="17">
        <f t="shared" si="130"/>
        <v>-2481.8255166208219</v>
      </c>
      <c r="M1819" t="s">
        <v>537</v>
      </c>
    </row>
    <row r="1820" spans="1:19" ht="16" customHeight="1" x14ac:dyDescent="0.2">
      <c r="C1820" t="s">
        <v>310</v>
      </c>
      <c r="D1820" s="88">
        <v>1.2700000000000001E-3</v>
      </c>
      <c r="E1820" t="s">
        <v>413</v>
      </c>
      <c r="F1820">
        <v>1.2700000000000001E-3</v>
      </c>
      <c r="G1820">
        <v>3.0599999999999998E-3</v>
      </c>
      <c r="H1820">
        <v>1.2700000000000001E-3</v>
      </c>
      <c r="I1820">
        <v>0</v>
      </c>
      <c r="J1820">
        <v>0</v>
      </c>
      <c r="K1820" t="s">
        <v>497</v>
      </c>
      <c r="L1820" s="17">
        <f t="shared" si="130"/>
        <v>0</v>
      </c>
      <c r="M1820" t="s">
        <v>537</v>
      </c>
    </row>
    <row r="1821" spans="1:19" ht="16" customHeight="1" x14ac:dyDescent="0.2">
      <c r="C1821" t="s">
        <v>311</v>
      </c>
      <c r="D1821" s="88">
        <v>1.2700000000000001E-3</v>
      </c>
      <c r="E1821" t="s">
        <v>414</v>
      </c>
      <c r="F1821">
        <v>1.2700000000000001E-3</v>
      </c>
      <c r="G1821">
        <v>3.1E-4</v>
      </c>
      <c r="H1821">
        <v>1.2700000000000001E-3</v>
      </c>
      <c r="I1821">
        <f>$A$7</f>
        <v>10</v>
      </c>
      <c r="J1821">
        <v>-1</v>
      </c>
      <c r="K1821" t="s">
        <v>498</v>
      </c>
      <c r="L1821" s="17">
        <f t="shared" si="130"/>
        <v>-1769.2824297471811</v>
      </c>
      <c r="M1821" t="s">
        <v>537</v>
      </c>
    </row>
    <row r="1822" spans="1:19" ht="16" customHeight="1" x14ac:dyDescent="0.2"/>
    <row r="1823" spans="1:19" ht="16" customHeight="1" x14ac:dyDescent="0.2"/>
    <row r="1824" spans="1:19" ht="16" customHeight="1" x14ac:dyDescent="0.2">
      <c r="A1824" s="317" t="s">
        <v>517</v>
      </c>
      <c r="B1824" s="317"/>
      <c r="C1824" s="317"/>
      <c r="D1824" s="317"/>
      <c r="E1824" s="317"/>
      <c r="F1824" s="317"/>
      <c r="G1824" s="317"/>
      <c r="H1824" s="317"/>
      <c r="I1824" s="317"/>
      <c r="J1824" s="317"/>
      <c r="K1824" s="317"/>
      <c r="L1824" s="317"/>
      <c r="M1824" s="317"/>
      <c r="N1824" s="317"/>
      <c r="O1824" s="317"/>
      <c r="P1824" s="317"/>
      <c r="Q1824" s="317"/>
      <c r="R1824" s="317"/>
      <c r="S1824" s="317"/>
    </row>
    <row r="1825" spans="1:28" ht="16" customHeight="1" x14ac:dyDescent="0.2">
      <c r="A1825" s="317"/>
      <c r="B1825" s="317"/>
      <c r="C1825" s="317"/>
      <c r="D1825" s="317"/>
      <c r="E1825" s="317"/>
      <c r="F1825" s="317"/>
      <c r="G1825" s="317"/>
      <c r="H1825" s="317"/>
      <c r="I1825" s="317"/>
      <c r="J1825" s="317"/>
      <c r="K1825" s="317"/>
      <c r="L1825" s="317"/>
      <c r="M1825" s="317"/>
      <c r="N1825" s="317"/>
      <c r="O1825" s="317"/>
      <c r="P1825" s="317"/>
      <c r="Q1825" s="317"/>
      <c r="R1825" s="317"/>
      <c r="S1825" s="317"/>
    </row>
    <row r="1826" spans="1:28" ht="16" customHeight="1" x14ac:dyDescent="0.2">
      <c r="A1826" s="13"/>
      <c r="B1826" s="13"/>
      <c r="C1826" s="13"/>
      <c r="D1826" s="13"/>
      <c r="E1826" s="13"/>
    </row>
    <row r="1827" spans="1:28" ht="16" customHeight="1" x14ac:dyDescent="0.2">
      <c r="A1827" s="425" t="s">
        <v>90</v>
      </c>
      <c r="B1827" s="426"/>
      <c r="C1827" s="426"/>
      <c r="D1827" s="426"/>
      <c r="E1827" s="426"/>
      <c r="F1827" s="426"/>
      <c r="G1827" s="426"/>
      <c r="H1827" s="426"/>
      <c r="I1827" s="426"/>
      <c r="J1827" s="426"/>
      <c r="K1827" s="426"/>
      <c r="L1827" s="426"/>
    </row>
    <row r="1828" spans="1:28" ht="16" customHeight="1" x14ac:dyDescent="0.2">
      <c r="A1828" s="425"/>
      <c r="B1828" s="426"/>
      <c r="C1828" s="426"/>
      <c r="D1828" s="426"/>
      <c r="E1828" s="426"/>
      <c r="F1828" s="426"/>
      <c r="G1828" s="426"/>
      <c r="H1828" s="426"/>
      <c r="I1828" s="426"/>
      <c r="J1828" s="426"/>
      <c r="K1828" s="426"/>
      <c r="L1828" s="426"/>
    </row>
    <row r="1829" spans="1:28" ht="16" customHeight="1" x14ac:dyDescent="0.2">
      <c r="A1829" s="358" t="s">
        <v>15</v>
      </c>
      <c r="B1829" s="358" t="s">
        <v>1029</v>
      </c>
      <c r="C1829" s="364" t="s">
        <v>521</v>
      </c>
      <c r="D1829" s="364"/>
      <c r="E1829" s="364"/>
      <c r="F1829" s="328" t="s">
        <v>421</v>
      </c>
      <c r="G1829" s="329"/>
      <c r="H1829" s="330"/>
      <c r="I1829" s="381" t="s">
        <v>28</v>
      </c>
      <c r="J1829" s="381"/>
      <c r="K1829" s="376" t="s">
        <v>420</v>
      </c>
      <c r="L1829" s="376"/>
      <c r="Z1829" s="226"/>
      <c r="AA1829" s="226"/>
      <c r="AB1829" s="226"/>
    </row>
    <row r="1830" spans="1:28" ht="16" customHeight="1" x14ac:dyDescent="0.2">
      <c r="A1830" s="358"/>
      <c r="B1830" s="358"/>
      <c r="C1830" s="61" t="s">
        <v>520</v>
      </c>
      <c r="D1830" s="61"/>
      <c r="E1830" s="61"/>
      <c r="F1830" s="331"/>
      <c r="G1830" s="332"/>
      <c r="H1830" s="333"/>
      <c r="I1830" s="381"/>
      <c r="J1830" s="381"/>
      <c r="K1830" s="376"/>
      <c r="L1830" s="376"/>
      <c r="Z1830" s="226"/>
      <c r="AA1830" s="226"/>
      <c r="AB1830" s="226"/>
    </row>
    <row r="1831" spans="1:28" ht="16" customHeight="1" x14ac:dyDescent="0.2">
      <c r="A1831" s="81" t="s">
        <v>91</v>
      </c>
      <c r="B1831" s="97">
        <f>A1838*Variables!F$12</f>
        <v>1340894.4475249692</v>
      </c>
      <c r="C1831" s="6" t="s">
        <v>317</v>
      </c>
      <c r="D1831" s="58" t="s">
        <v>319</v>
      </c>
      <c r="E1831" s="58" t="s">
        <v>5</v>
      </c>
      <c r="F1831" s="64" t="s">
        <v>0</v>
      </c>
      <c r="G1831" s="64" t="s">
        <v>499</v>
      </c>
      <c r="H1831" s="64" t="s">
        <v>5</v>
      </c>
      <c r="I1831" s="64" t="s">
        <v>0</v>
      </c>
      <c r="J1831" s="58" t="s">
        <v>5</v>
      </c>
      <c r="K1831" s="64" t="s">
        <v>0</v>
      </c>
      <c r="L1831" s="58" t="s">
        <v>5</v>
      </c>
    </row>
    <row r="1832" spans="1:28" ht="16" customHeight="1" x14ac:dyDescent="0.2">
      <c r="A1832" s="81" t="s">
        <v>183</v>
      </c>
      <c r="B1832" s="97">
        <f>A1839*Variables!F$12</f>
        <v>1340894.4475249695</v>
      </c>
      <c r="C1832" t="s">
        <v>225</v>
      </c>
      <c r="D1832" s="100">
        <v>1.2800000000000001E-3</v>
      </c>
      <c r="E1832" t="s">
        <v>338</v>
      </c>
      <c r="F1832">
        <f>$A$6</f>
        <v>100</v>
      </c>
      <c r="G1832">
        <v>-1</v>
      </c>
      <c r="H1832" t="s">
        <v>422</v>
      </c>
      <c r="I1832" s="17">
        <f>((SUM(B$1831:B$1833)*D1832))*F1832*G1832</f>
        <v>-686537.9571327843</v>
      </c>
      <c r="J1832" t="s">
        <v>519</v>
      </c>
      <c r="K1832" s="69">
        <f>SUM(I1832:I1937)</f>
        <v>-26032590362.801926</v>
      </c>
      <c r="L1832" t="s">
        <v>538</v>
      </c>
    </row>
    <row r="1833" spans="1:28" ht="16" customHeight="1" x14ac:dyDescent="0.2">
      <c r="A1833" s="81" t="s">
        <v>182</v>
      </c>
      <c r="B1833" s="97">
        <f>A1840*Variables!F$12</f>
        <v>2681788.895049938</v>
      </c>
      <c r="C1833" t="s">
        <v>226</v>
      </c>
      <c r="D1833" s="100">
        <v>1.2800000000000001E-2</v>
      </c>
      <c r="E1833" t="s">
        <v>339</v>
      </c>
      <c r="F1833">
        <f>$A$7</f>
        <v>10</v>
      </c>
      <c r="G1833">
        <v>-1</v>
      </c>
      <c r="H1833" t="s">
        <v>423</v>
      </c>
      <c r="I1833" s="17">
        <f t="shared" ref="I1833:I1896" si="131">((SUM(B$1831:B$1833)*D1833))*F1833*G1833</f>
        <v>-686537.95713278418</v>
      </c>
      <c r="J1833" t="s">
        <v>519</v>
      </c>
    </row>
    <row r="1834" spans="1:28" ht="16" customHeight="1" x14ac:dyDescent="0.2">
      <c r="A1834" s="98" t="s">
        <v>9</v>
      </c>
      <c r="B1834" s="97">
        <f>A1841*Variables!F$12</f>
        <v>5363577.7900998769</v>
      </c>
      <c r="C1834" t="s">
        <v>227</v>
      </c>
      <c r="D1834" s="100">
        <v>0.12805</v>
      </c>
      <c r="E1834" t="s">
        <v>340</v>
      </c>
      <c r="F1834">
        <f>$A$7</f>
        <v>10</v>
      </c>
      <c r="G1834">
        <v>-1</v>
      </c>
      <c r="H1834" t="s">
        <v>424</v>
      </c>
      <c r="I1834" s="17">
        <f t="shared" si="131"/>
        <v>-6868061.3602228928</v>
      </c>
      <c r="J1834" t="s">
        <v>519</v>
      </c>
    </row>
    <row r="1835" spans="1:28" ht="16" customHeight="1" x14ac:dyDescent="0.2">
      <c r="C1835" t="s">
        <v>228</v>
      </c>
      <c r="D1835" s="100">
        <v>1.2804599999999999</v>
      </c>
      <c r="E1835" t="s">
        <v>341</v>
      </c>
      <c r="F1835">
        <f>$A$7</f>
        <v>10</v>
      </c>
      <c r="G1835">
        <v>-1</v>
      </c>
      <c r="H1835" t="s">
        <v>425</v>
      </c>
      <c r="I1835" s="17">
        <f t="shared" si="131"/>
        <v>-68678468.17111288</v>
      </c>
      <c r="J1835" t="s">
        <v>519</v>
      </c>
    </row>
    <row r="1836" spans="1:28" ht="16" customHeight="1" x14ac:dyDescent="0.2">
      <c r="A1836" s="358" t="s">
        <v>1199</v>
      </c>
      <c r="C1836" t="s">
        <v>229</v>
      </c>
      <c r="D1836" s="100">
        <v>1.2800000000000001E-2</v>
      </c>
      <c r="E1836" t="s">
        <v>342</v>
      </c>
      <c r="F1836">
        <f>$A$6</f>
        <v>100</v>
      </c>
      <c r="G1836">
        <v>-1</v>
      </c>
      <c r="H1836" t="s">
        <v>426</v>
      </c>
      <c r="I1836" s="17">
        <f t="shared" si="131"/>
        <v>-6865379.5713278418</v>
      </c>
      <c r="J1836" t="s">
        <v>519</v>
      </c>
    </row>
    <row r="1837" spans="1:28" ht="16" customHeight="1" x14ac:dyDescent="0.2">
      <c r="A1837" s="358"/>
      <c r="C1837" t="s">
        <v>230</v>
      </c>
      <c r="D1837" s="100">
        <v>1.2800000000000001E-2</v>
      </c>
      <c r="E1837" t="s">
        <v>343</v>
      </c>
      <c r="F1837">
        <f>$A$6</f>
        <v>100</v>
      </c>
      <c r="G1837">
        <v>-1</v>
      </c>
      <c r="H1837" t="s">
        <v>427</v>
      </c>
      <c r="I1837" s="17">
        <f t="shared" si="131"/>
        <v>-6865379.5713278418</v>
      </c>
      <c r="J1837" t="s">
        <v>519</v>
      </c>
    </row>
    <row r="1838" spans="1:28" ht="16" customHeight="1" x14ac:dyDescent="0.2">
      <c r="A1838" s="97">
        <v>167.61180594062117</v>
      </c>
      <c r="C1838" t="s">
        <v>231</v>
      </c>
      <c r="D1838" s="100">
        <v>0.12805</v>
      </c>
      <c r="E1838" t="s">
        <v>344</v>
      </c>
      <c r="F1838">
        <f>$A$7</f>
        <v>10</v>
      </c>
      <c r="G1838">
        <v>-1</v>
      </c>
      <c r="H1838" t="s">
        <v>428</v>
      </c>
      <c r="I1838" s="17">
        <f t="shared" si="131"/>
        <v>-6868061.3602228928</v>
      </c>
      <c r="J1838" t="s">
        <v>519</v>
      </c>
    </row>
    <row r="1839" spans="1:28" ht="16" customHeight="1" x14ac:dyDescent="0.2">
      <c r="A1839" s="97">
        <v>167.6118059406212</v>
      </c>
      <c r="C1839" t="s">
        <v>232</v>
      </c>
      <c r="D1839" s="100">
        <v>0.12805</v>
      </c>
      <c r="E1839" t="s">
        <v>345</v>
      </c>
      <c r="F1839">
        <f>$A$7</f>
        <v>10</v>
      </c>
      <c r="G1839">
        <v>-1</v>
      </c>
      <c r="H1839" t="s">
        <v>429</v>
      </c>
      <c r="I1839" s="17">
        <f t="shared" si="131"/>
        <v>-6868061.3602228928</v>
      </c>
      <c r="J1839" t="s">
        <v>519</v>
      </c>
    </row>
    <row r="1840" spans="1:28" ht="15" customHeight="1" x14ac:dyDescent="0.2">
      <c r="A1840" s="97">
        <v>335.22361188124228</v>
      </c>
      <c r="C1840" t="s">
        <v>233</v>
      </c>
      <c r="D1840" s="100">
        <v>0.12805</v>
      </c>
      <c r="E1840" t="s">
        <v>345</v>
      </c>
      <c r="F1840">
        <f>$A$7</f>
        <v>10</v>
      </c>
      <c r="G1840">
        <v>-1</v>
      </c>
      <c r="H1840" t="s">
        <v>429</v>
      </c>
      <c r="I1840" s="17">
        <f t="shared" si="131"/>
        <v>-6868061.3602228928</v>
      </c>
      <c r="J1840" t="s">
        <v>519</v>
      </c>
    </row>
    <row r="1841" spans="1:10" x14ac:dyDescent="0.2">
      <c r="A1841" s="97">
        <v>670.44722376248467</v>
      </c>
      <c r="C1841" t="s">
        <v>320</v>
      </c>
      <c r="D1841" s="100">
        <v>0</v>
      </c>
      <c r="E1841" t="s">
        <v>344</v>
      </c>
      <c r="F1841">
        <f>$A$6</f>
        <v>100</v>
      </c>
      <c r="G1841">
        <v>-1</v>
      </c>
      <c r="H1841" t="s">
        <v>428</v>
      </c>
      <c r="I1841" s="17">
        <f t="shared" si="131"/>
        <v>0</v>
      </c>
      <c r="J1841" t="s">
        <v>519</v>
      </c>
    </row>
    <row r="1842" spans="1:10" x14ac:dyDescent="0.2">
      <c r="C1842" t="s">
        <v>321</v>
      </c>
      <c r="D1842" s="100">
        <v>0</v>
      </c>
      <c r="E1842" t="s">
        <v>344</v>
      </c>
      <c r="F1842">
        <f>$A$6</f>
        <v>100</v>
      </c>
      <c r="G1842">
        <v>-1</v>
      </c>
      <c r="H1842" t="s">
        <v>428</v>
      </c>
      <c r="I1842" s="17">
        <f t="shared" si="131"/>
        <v>0</v>
      </c>
      <c r="J1842" t="s">
        <v>519</v>
      </c>
    </row>
    <row r="1843" spans="1:10" x14ac:dyDescent="0.2">
      <c r="C1843" t="s">
        <v>234</v>
      </c>
      <c r="D1843" s="100">
        <v>0</v>
      </c>
      <c r="E1843" t="s">
        <v>344</v>
      </c>
      <c r="F1843">
        <v>0</v>
      </c>
      <c r="G1843">
        <v>0</v>
      </c>
      <c r="H1843" t="s">
        <v>428</v>
      </c>
      <c r="I1843" s="17">
        <f t="shared" si="131"/>
        <v>0</v>
      </c>
      <c r="J1843" t="s">
        <v>519</v>
      </c>
    </row>
    <row r="1844" spans="1:10" x14ac:dyDescent="0.2">
      <c r="C1844" t="s">
        <v>235</v>
      </c>
      <c r="D1844" s="100">
        <v>1.2804599999999999</v>
      </c>
      <c r="E1844" t="s">
        <v>346</v>
      </c>
      <c r="F1844">
        <f>$A$8</f>
        <v>1</v>
      </c>
      <c r="G1844">
        <v>1</v>
      </c>
      <c r="H1844" t="s">
        <v>430</v>
      </c>
      <c r="I1844" s="17">
        <f t="shared" si="131"/>
        <v>6867846.8171112882</v>
      </c>
      <c r="J1844" t="s">
        <v>519</v>
      </c>
    </row>
    <row r="1845" spans="1:10" x14ac:dyDescent="0.2">
      <c r="C1845" t="s">
        <v>236</v>
      </c>
      <c r="D1845" s="100">
        <v>1.2800000000000001E-3</v>
      </c>
      <c r="E1845" t="s">
        <v>347</v>
      </c>
      <c r="F1845">
        <f>$A$7</f>
        <v>10</v>
      </c>
      <c r="G1845">
        <v>-1</v>
      </c>
      <c r="H1845" t="s">
        <v>431</v>
      </c>
      <c r="I1845" s="17">
        <f t="shared" si="131"/>
        <v>-68653.795713278436</v>
      </c>
      <c r="J1845" t="s">
        <v>519</v>
      </c>
    </row>
    <row r="1846" spans="1:10" x14ac:dyDescent="0.2">
      <c r="A1846" s="38"/>
      <c r="B1846" s="57"/>
      <c r="C1846" t="s">
        <v>237</v>
      </c>
      <c r="D1846" s="100">
        <v>12.80462</v>
      </c>
      <c r="E1846" t="s">
        <v>348</v>
      </c>
      <c r="F1846">
        <f>$A$6</f>
        <v>100</v>
      </c>
      <c r="G1846">
        <v>-1</v>
      </c>
      <c r="H1846" t="s">
        <v>432</v>
      </c>
      <c r="I1846" s="17">
        <f t="shared" si="131"/>
        <v>-6867857544.2668695</v>
      </c>
      <c r="J1846" t="s">
        <v>519</v>
      </c>
    </row>
    <row r="1847" spans="1:10" x14ac:dyDescent="0.2">
      <c r="C1847" t="s">
        <v>238</v>
      </c>
      <c r="D1847" s="100">
        <v>0</v>
      </c>
      <c r="E1847" t="s">
        <v>349</v>
      </c>
      <c r="F1847">
        <f>$A$7</f>
        <v>10</v>
      </c>
      <c r="G1847">
        <v>-1</v>
      </c>
      <c r="H1847" t="s">
        <v>433</v>
      </c>
      <c r="I1847" s="17">
        <f t="shared" si="131"/>
        <v>0</v>
      </c>
      <c r="J1847" t="s">
        <v>519</v>
      </c>
    </row>
    <row r="1848" spans="1:10" x14ac:dyDescent="0.2">
      <c r="C1848" t="s">
        <v>239</v>
      </c>
      <c r="D1848" s="100">
        <v>1.2800000000000001E-2</v>
      </c>
      <c r="E1848" t="s">
        <v>348</v>
      </c>
      <c r="F1848">
        <f>$A$6</f>
        <v>100</v>
      </c>
      <c r="G1848">
        <v>-1</v>
      </c>
      <c r="H1848" t="s">
        <v>432</v>
      </c>
      <c r="I1848" s="17">
        <f t="shared" si="131"/>
        <v>-6865379.5713278418</v>
      </c>
      <c r="J1848" t="s">
        <v>519</v>
      </c>
    </row>
    <row r="1849" spans="1:10" x14ac:dyDescent="0.2">
      <c r="C1849" t="s">
        <v>240</v>
      </c>
      <c r="D1849" s="100">
        <v>0</v>
      </c>
      <c r="E1849" t="s">
        <v>348</v>
      </c>
      <c r="F1849">
        <f>$A$6</f>
        <v>100</v>
      </c>
      <c r="G1849">
        <v>-1</v>
      </c>
      <c r="H1849" t="s">
        <v>432</v>
      </c>
      <c r="I1849" s="17">
        <f t="shared" si="131"/>
        <v>0</v>
      </c>
      <c r="J1849" t="s">
        <v>519</v>
      </c>
    </row>
    <row r="1850" spans="1:10" x14ac:dyDescent="0.2">
      <c r="C1850" t="s">
        <v>241</v>
      </c>
      <c r="D1850" s="100">
        <v>0</v>
      </c>
      <c r="E1850" t="s">
        <v>350</v>
      </c>
      <c r="F1850">
        <f>$A$6</f>
        <v>100</v>
      </c>
      <c r="G1850">
        <v>-1</v>
      </c>
      <c r="H1850" t="s">
        <v>434</v>
      </c>
      <c r="I1850" s="17">
        <f t="shared" si="131"/>
        <v>0</v>
      </c>
      <c r="J1850" t="s">
        <v>519</v>
      </c>
    </row>
    <row r="1851" spans="1:10" x14ac:dyDescent="0.2">
      <c r="C1851" t="s">
        <v>242</v>
      </c>
      <c r="D1851" s="100">
        <v>0</v>
      </c>
      <c r="E1851" t="s">
        <v>351</v>
      </c>
      <c r="F1851">
        <f>$A$8</f>
        <v>1</v>
      </c>
      <c r="G1851">
        <v>1</v>
      </c>
      <c r="H1851" t="s">
        <v>435</v>
      </c>
      <c r="I1851" s="17">
        <f t="shared" si="131"/>
        <v>0</v>
      </c>
      <c r="J1851" t="s">
        <v>519</v>
      </c>
    </row>
    <row r="1852" spans="1:10" x14ac:dyDescent="0.2">
      <c r="C1852" t="s">
        <v>243</v>
      </c>
      <c r="D1852" s="100">
        <v>1.2800000000000001E-2</v>
      </c>
      <c r="E1852" t="s">
        <v>352</v>
      </c>
      <c r="F1852">
        <f>$A$6</f>
        <v>100</v>
      </c>
      <c r="G1852">
        <v>-1</v>
      </c>
      <c r="H1852" t="s">
        <v>436</v>
      </c>
      <c r="I1852" s="17">
        <f t="shared" si="131"/>
        <v>-6865379.5713278418</v>
      </c>
      <c r="J1852" t="s">
        <v>519</v>
      </c>
    </row>
    <row r="1853" spans="1:10" x14ac:dyDescent="0.2">
      <c r="C1853" t="s">
        <v>244</v>
      </c>
      <c r="D1853" s="100">
        <v>1.2800000000000001E-2</v>
      </c>
      <c r="E1853" t="s">
        <v>353</v>
      </c>
      <c r="F1853">
        <v>0</v>
      </c>
      <c r="G1853">
        <v>0</v>
      </c>
      <c r="H1853" t="s">
        <v>437</v>
      </c>
      <c r="I1853" s="17">
        <f t="shared" si="131"/>
        <v>0</v>
      </c>
      <c r="J1853" t="s">
        <v>519</v>
      </c>
    </row>
    <row r="1854" spans="1:10" x14ac:dyDescent="0.2">
      <c r="C1854" t="s">
        <v>245</v>
      </c>
      <c r="D1854" s="100">
        <v>0.12805</v>
      </c>
      <c r="E1854" t="s">
        <v>351</v>
      </c>
      <c r="F1854">
        <f t="shared" ref="F1854:F1859" si="132">$A$7</f>
        <v>10</v>
      </c>
      <c r="G1854">
        <v>-1</v>
      </c>
      <c r="H1854" t="s">
        <v>435</v>
      </c>
      <c r="I1854" s="17">
        <f t="shared" si="131"/>
        <v>-6868061.3602228928</v>
      </c>
      <c r="J1854" t="s">
        <v>519</v>
      </c>
    </row>
    <row r="1855" spans="1:10" x14ac:dyDescent="0.2">
      <c r="C1855" t="s">
        <v>246</v>
      </c>
      <c r="D1855" s="100">
        <v>1.2804599999999999</v>
      </c>
      <c r="E1855" t="s">
        <v>354</v>
      </c>
      <c r="F1855">
        <f t="shared" si="132"/>
        <v>10</v>
      </c>
      <c r="G1855">
        <v>-1</v>
      </c>
      <c r="H1855" t="s">
        <v>438</v>
      </c>
      <c r="I1855" s="17">
        <f t="shared" si="131"/>
        <v>-68678468.17111288</v>
      </c>
      <c r="J1855" t="s">
        <v>519</v>
      </c>
    </row>
    <row r="1856" spans="1:10" x14ac:dyDescent="0.2">
      <c r="C1856" t="s">
        <v>247</v>
      </c>
      <c r="D1856" s="100">
        <v>12.80462</v>
      </c>
      <c r="E1856" t="s">
        <v>354</v>
      </c>
      <c r="F1856">
        <f t="shared" si="132"/>
        <v>10</v>
      </c>
      <c r="G1856">
        <v>-1</v>
      </c>
      <c r="H1856" t="s">
        <v>438</v>
      </c>
      <c r="I1856" s="17">
        <f t="shared" si="131"/>
        <v>-686785754.42668688</v>
      </c>
      <c r="J1856" t="s">
        <v>519</v>
      </c>
    </row>
    <row r="1857" spans="3:10" x14ac:dyDescent="0.2">
      <c r="C1857" t="s">
        <v>248</v>
      </c>
      <c r="D1857" s="100">
        <v>0.12805</v>
      </c>
      <c r="E1857" t="s">
        <v>350</v>
      </c>
      <c r="F1857">
        <f t="shared" si="132"/>
        <v>10</v>
      </c>
      <c r="G1857">
        <v>-1</v>
      </c>
      <c r="H1857" t="s">
        <v>434</v>
      </c>
      <c r="I1857" s="17">
        <f t="shared" si="131"/>
        <v>-6868061.3602228928</v>
      </c>
      <c r="J1857" t="s">
        <v>519</v>
      </c>
    </row>
    <row r="1858" spans="3:10" x14ac:dyDescent="0.2">
      <c r="C1858" t="s">
        <v>322</v>
      </c>
      <c r="D1858" s="100">
        <v>1.2804599999999999</v>
      </c>
      <c r="E1858" t="s">
        <v>355</v>
      </c>
      <c r="F1858">
        <f t="shared" si="132"/>
        <v>10</v>
      </c>
      <c r="G1858">
        <v>-1</v>
      </c>
      <c r="H1858" t="s">
        <v>439</v>
      </c>
      <c r="I1858" s="17">
        <f t="shared" si="131"/>
        <v>-68678468.17111288</v>
      </c>
      <c r="J1858" t="s">
        <v>519</v>
      </c>
    </row>
    <row r="1859" spans="3:10" x14ac:dyDescent="0.2">
      <c r="C1859" t="s">
        <v>249</v>
      </c>
      <c r="D1859" s="100">
        <v>12.80462</v>
      </c>
      <c r="E1859" t="s">
        <v>356</v>
      </c>
      <c r="F1859">
        <f t="shared" si="132"/>
        <v>10</v>
      </c>
      <c r="G1859">
        <v>-1</v>
      </c>
      <c r="H1859" t="s">
        <v>440</v>
      </c>
      <c r="I1859" s="17">
        <f t="shared" si="131"/>
        <v>-686785754.42668688</v>
      </c>
      <c r="J1859" t="s">
        <v>519</v>
      </c>
    </row>
    <row r="1860" spans="3:10" x14ac:dyDescent="0.2">
      <c r="C1860" t="s">
        <v>323</v>
      </c>
      <c r="D1860" s="100">
        <v>1.2800000000000001E-2</v>
      </c>
      <c r="E1860" t="s">
        <v>357</v>
      </c>
      <c r="F1860">
        <f>$A$6</f>
        <v>100</v>
      </c>
      <c r="G1860">
        <v>-1</v>
      </c>
      <c r="H1860" t="s">
        <v>441</v>
      </c>
      <c r="I1860" s="17">
        <f t="shared" si="131"/>
        <v>-6865379.5713278418</v>
      </c>
      <c r="J1860" t="s">
        <v>519</v>
      </c>
    </row>
    <row r="1861" spans="3:10" x14ac:dyDescent="0.2">
      <c r="C1861" t="s">
        <v>324</v>
      </c>
      <c r="D1861" s="100">
        <v>1.2800000000000001E-2</v>
      </c>
      <c r="E1861" t="s">
        <v>357</v>
      </c>
      <c r="F1861">
        <f>$A$6</f>
        <v>100</v>
      </c>
      <c r="G1861">
        <v>-1</v>
      </c>
      <c r="H1861" t="s">
        <v>441</v>
      </c>
      <c r="I1861" s="17">
        <f t="shared" si="131"/>
        <v>-6865379.5713278418</v>
      </c>
      <c r="J1861" t="s">
        <v>519</v>
      </c>
    </row>
    <row r="1862" spans="3:10" x14ac:dyDescent="0.2">
      <c r="C1862" t="s">
        <v>250</v>
      </c>
      <c r="D1862" s="100">
        <v>1.2804599999999999</v>
      </c>
      <c r="E1862" t="s">
        <v>358</v>
      </c>
      <c r="F1862">
        <f>$A$7</f>
        <v>10</v>
      </c>
      <c r="G1862">
        <v>1</v>
      </c>
      <c r="H1862" t="s">
        <v>442</v>
      </c>
      <c r="I1862" s="17">
        <f t="shared" si="131"/>
        <v>68678468.17111288</v>
      </c>
      <c r="J1862" t="s">
        <v>519</v>
      </c>
    </row>
    <row r="1863" spans="3:10" x14ac:dyDescent="0.2">
      <c r="C1863" t="s">
        <v>251</v>
      </c>
      <c r="D1863" s="100">
        <v>1.2800000000000001E-2</v>
      </c>
      <c r="E1863" t="s">
        <v>359</v>
      </c>
      <c r="F1863">
        <f>$A$6</f>
        <v>100</v>
      </c>
      <c r="G1863">
        <v>-1</v>
      </c>
      <c r="H1863" t="s">
        <v>443</v>
      </c>
      <c r="I1863" s="17">
        <f t="shared" si="131"/>
        <v>-6865379.5713278418</v>
      </c>
      <c r="J1863" t="s">
        <v>519</v>
      </c>
    </row>
    <row r="1864" spans="3:10" x14ac:dyDescent="0.2">
      <c r="C1864" t="s">
        <v>252</v>
      </c>
      <c r="D1864" s="100">
        <v>1.2804599999999999</v>
      </c>
      <c r="E1864" t="s">
        <v>360</v>
      </c>
      <c r="F1864">
        <f>$A$7</f>
        <v>10</v>
      </c>
      <c r="G1864">
        <v>-1</v>
      </c>
      <c r="H1864" t="s">
        <v>444</v>
      </c>
      <c r="I1864" s="17">
        <f t="shared" si="131"/>
        <v>-68678468.17111288</v>
      </c>
      <c r="J1864" t="s">
        <v>519</v>
      </c>
    </row>
    <row r="1865" spans="3:10" x14ac:dyDescent="0.2">
      <c r="C1865" t="s">
        <v>253</v>
      </c>
      <c r="D1865" s="100">
        <v>0.12805</v>
      </c>
      <c r="E1865" t="s">
        <v>361</v>
      </c>
      <c r="F1865">
        <f>$A$7</f>
        <v>10</v>
      </c>
      <c r="G1865">
        <v>-1</v>
      </c>
      <c r="H1865" t="s">
        <v>445</v>
      </c>
      <c r="I1865" s="17">
        <f t="shared" si="131"/>
        <v>-6868061.3602228928</v>
      </c>
      <c r="J1865" t="s">
        <v>519</v>
      </c>
    </row>
    <row r="1866" spans="3:10" x14ac:dyDescent="0.2">
      <c r="C1866" t="s">
        <v>325</v>
      </c>
      <c r="D1866" s="100">
        <v>0.12805</v>
      </c>
      <c r="E1866" t="s">
        <v>362</v>
      </c>
      <c r="F1866">
        <f>$A$6</f>
        <v>100</v>
      </c>
      <c r="G1866">
        <v>-1</v>
      </c>
      <c r="H1866" t="s">
        <v>446</v>
      </c>
      <c r="I1866" s="17">
        <f t="shared" si="131"/>
        <v>-68680613.602228925</v>
      </c>
      <c r="J1866" t="s">
        <v>519</v>
      </c>
    </row>
    <row r="1867" spans="3:10" x14ac:dyDescent="0.2">
      <c r="C1867" t="s">
        <v>254</v>
      </c>
      <c r="D1867" s="100">
        <v>0.12805</v>
      </c>
      <c r="E1867" t="s">
        <v>363</v>
      </c>
      <c r="F1867">
        <f>$A$7</f>
        <v>10</v>
      </c>
      <c r="G1867">
        <v>-1</v>
      </c>
      <c r="H1867" t="s">
        <v>447</v>
      </c>
      <c r="I1867" s="17">
        <f t="shared" si="131"/>
        <v>-6868061.3602228928</v>
      </c>
      <c r="J1867" t="s">
        <v>519</v>
      </c>
    </row>
    <row r="1868" spans="3:10" x14ac:dyDescent="0.2">
      <c r="C1868" t="s">
        <v>255</v>
      </c>
      <c r="D1868" s="100">
        <v>1.2800000000000001E-2</v>
      </c>
      <c r="E1868" t="s">
        <v>364</v>
      </c>
      <c r="F1868">
        <f>$A$7</f>
        <v>10</v>
      </c>
      <c r="G1868">
        <v>-1</v>
      </c>
      <c r="H1868" t="s">
        <v>448</v>
      </c>
      <c r="I1868" s="17">
        <f t="shared" si="131"/>
        <v>-686537.95713278418</v>
      </c>
      <c r="J1868" t="s">
        <v>519</v>
      </c>
    </row>
    <row r="1869" spans="3:10" x14ac:dyDescent="0.2">
      <c r="C1869" t="s">
        <v>256</v>
      </c>
      <c r="D1869" s="100">
        <v>1.2800000000000001E-2</v>
      </c>
      <c r="E1869" t="s">
        <v>365</v>
      </c>
      <c r="F1869">
        <f>$A$7</f>
        <v>10</v>
      </c>
      <c r="G1869">
        <v>-1</v>
      </c>
      <c r="H1869" t="s">
        <v>449</v>
      </c>
      <c r="I1869" s="17">
        <f t="shared" si="131"/>
        <v>-686537.95713278418</v>
      </c>
      <c r="J1869" t="s">
        <v>519</v>
      </c>
    </row>
    <row r="1870" spans="3:10" x14ac:dyDescent="0.2">
      <c r="C1870" t="s">
        <v>257</v>
      </c>
      <c r="D1870" s="100">
        <v>1.2804599999999999</v>
      </c>
      <c r="E1870" t="s">
        <v>366</v>
      </c>
      <c r="F1870">
        <f>$A$6</f>
        <v>100</v>
      </c>
      <c r="G1870">
        <v>-1</v>
      </c>
      <c r="H1870" t="s">
        <v>450</v>
      </c>
      <c r="I1870" s="17">
        <f t="shared" si="131"/>
        <v>-686784681.71112883</v>
      </c>
      <c r="J1870" t="s">
        <v>519</v>
      </c>
    </row>
    <row r="1871" spans="3:10" x14ac:dyDescent="0.2">
      <c r="C1871" t="s">
        <v>258</v>
      </c>
      <c r="D1871" s="100">
        <v>0.12805</v>
      </c>
      <c r="E1871" t="s">
        <v>367</v>
      </c>
      <c r="F1871">
        <f>$A$6</f>
        <v>100</v>
      </c>
      <c r="G1871">
        <v>-1</v>
      </c>
      <c r="H1871" t="s">
        <v>451</v>
      </c>
      <c r="I1871" s="17">
        <f t="shared" si="131"/>
        <v>-68680613.602228925</v>
      </c>
      <c r="J1871" t="s">
        <v>519</v>
      </c>
    </row>
    <row r="1872" spans="3:10" x14ac:dyDescent="0.2">
      <c r="C1872" t="s">
        <v>326</v>
      </c>
      <c r="D1872" s="100">
        <v>1.2800000000000001E-2</v>
      </c>
      <c r="E1872" t="s">
        <v>365</v>
      </c>
      <c r="F1872">
        <v>0</v>
      </c>
      <c r="G1872">
        <v>0</v>
      </c>
      <c r="H1872" t="s">
        <v>449</v>
      </c>
      <c r="I1872" s="17">
        <f t="shared" si="131"/>
        <v>0</v>
      </c>
      <c r="J1872" t="s">
        <v>519</v>
      </c>
    </row>
    <row r="1873" spans="1:10" x14ac:dyDescent="0.2">
      <c r="C1873" t="s">
        <v>259</v>
      </c>
      <c r="D1873" s="100">
        <v>1.2804599999999999</v>
      </c>
      <c r="E1873" t="s">
        <v>368</v>
      </c>
      <c r="F1873">
        <f>$A$6</f>
        <v>100</v>
      </c>
      <c r="G1873">
        <v>-1</v>
      </c>
      <c r="H1873" t="s">
        <v>452</v>
      </c>
      <c r="I1873" s="17">
        <f t="shared" si="131"/>
        <v>-686784681.71112883</v>
      </c>
      <c r="J1873" t="s">
        <v>519</v>
      </c>
    </row>
    <row r="1874" spans="1:10" x14ac:dyDescent="0.2">
      <c r="C1874" t="s">
        <v>260</v>
      </c>
      <c r="D1874" s="100">
        <v>1.2800000000000001E-3</v>
      </c>
      <c r="E1874" t="s">
        <v>368</v>
      </c>
      <c r="F1874">
        <v>0</v>
      </c>
      <c r="G1874">
        <v>0</v>
      </c>
      <c r="H1874" t="s">
        <v>452</v>
      </c>
      <c r="I1874" s="17">
        <f t="shared" si="131"/>
        <v>0</v>
      </c>
      <c r="J1874" t="s">
        <v>519</v>
      </c>
    </row>
    <row r="1875" spans="1:10" x14ac:dyDescent="0.2">
      <c r="C1875" t="s">
        <v>327</v>
      </c>
      <c r="D1875" s="100">
        <v>0.12805</v>
      </c>
      <c r="E1875" t="s">
        <v>368</v>
      </c>
      <c r="F1875">
        <f>$A$6</f>
        <v>100</v>
      </c>
      <c r="G1875">
        <v>-1</v>
      </c>
      <c r="H1875" t="s">
        <v>452</v>
      </c>
      <c r="I1875" s="17">
        <f t="shared" si="131"/>
        <v>-68680613.602228925</v>
      </c>
      <c r="J1875" t="s">
        <v>519</v>
      </c>
    </row>
    <row r="1876" spans="1:10" x14ac:dyDescent="0.2">
      <c r="C1876" t="s">
        <v>328</v>
      </c>
      <c r="D1876" s="100">
        <v>1.2800000000000001E-3</v>
      </c>
      <c r="E1876" t="s">
        <v>368</v>
      </c>
      <c r="F1876">
        <v>0</v>
      </c>
      <c r="G1876">
        <v>0</v>
      </c>
      <c r="H1876" t="s">
        <v>452</v>
      </c>
      <c r="I1876" s="17">
        <f t="shared" si="131"/>
        <v>0</v>
      </c>
      <c r="J1876" t="s">
        <v>519</v>
      </c>
    </row>
    <row r="1877" spans="1:10" x14ac:dyDescent="0.2">
      <c r="C1877" t="s">
        <v>261</v>
      </c>
      <c r="D1877" s="100">
        <v>12.80462</v>
      </c>
      <c r="E1877" t="s">
        <v>369</v>
      </c>
      <c r="F1877">
        <f>$A$6</f>
        <v>100</v>
      </c>
      <c r="G1877">
        <v>-1</v>
      </c>
      <c r="H1877" t="s">
        <v>453</v>
      </c>
      <c r="I1877" s="17">
        <f t="shared" si="131"/>
        <v>-6867857544.2668695</v>
      </c>
      <c r="J1877" t="s">
        <v>519</v>
      </c>
    </row>
    <row r="1878" spans="1:10" x14ac:dyDescent="0.2">
      <c r="C1878" t="s">
        <v>263</v>
      </c>
      <c r="D1878" s="100">
        <v>1.2800000000000001E-2</v>
      </c>
      <c r="E1878" t="s">
        <v>370</v>
      </c>
      <c r="F1878">
        <f>$A$6</f>
        <v>100</v>
      </c>
      <c r="G1878">
        <v>-1</v>
      </c>
      <c r="H1878" t="s">
        <v>454</v>
      </c>
      <c r="I1878" s="17">
        <f t="shared" si="131"/>
        <v>-6865379.5713278418</v>
      </c>
      <c r="J1878" t="s">
        <v>519</v>
      </c>
    </row>
    <row r="1879" spans="1:10" x14ac:dyDescent="0.2">
      <c r="C1879" t="s">
        <v>262</v>
      </c>
      <c r="D1879" s="100">
        <v>1.2800000000000001E-2</v>
      </c>
      <c r="E1879" t="s">
        <v>370</v>
      </c>
      <c r="F1879">
        <f>$A$6</f>
        <v>100</v>
      </c>
      <c r="G1879">
        <v>-1</v>
      </c>
      <c r="H1879" t="s">
        <v>454</v>
      </c>
      <c r="I1879" s="17">
        <f t="shared" si="131"/>
        <v>-6865379.5713278418</v>
      </c>
      <c r="J1879" t="s">
        <v>519</v>
      </c>
    </row>
    <row r="1880" spans="1:10" x14ac:dyDescent="0.2">
      <c r="C1880" t="s">
        <v>264</v>
      </c>
      <c r="D1880" s="100">
        <v>0.12805</v>
      </c>
      <c r="E1880" t="s">
        <v>371</v>
      </c>
      <c r="F1880">
        <f>$A$7</f>
        <v>10</v>
      </c>
      <c r="G1880">
        <v>-1</v>
      </c>
      <c r="H1880" t="s">
        <v>455</v>
      </c>
      <c r="I1880" s="17">
        <f t="shared" si="131"/>
        <v>-6868061.3602228928</v>
      </c>
      <c r="J1880" t="s">
        <v>519</v>
      </c>
    </row>
    <row r="1881" spans="1:10" x14ac:dyDescent="0.2">
      <c r="C1881" t="s">
        <v>265</v>
      </c>
      <c r="D1881" s="100">
        <v>1.2804599999999999</v>
      </c>
      <c r="E1881" t="s">
        <v>371</v>
      </c>
      <c r="F1881">
        <f>$A$7</f>
        <v>10</v>
      </c>
      <c r="G1881">
        <v>-1</v>
      </c>
      <c r="H1881" t="s">
        <v>455</v>
      </c>
      <c r="I1881" s="17">
        <f t="shared" si="131"/>
        <v>-68678468.17111288</v>
      </c>
      <c r="J1881" t="s">
        <v>519</v>
      </c>
    </row>
    <row r="1882" spans="1:10" x14ac:dyDescent="0.2">
      <c r="C1882" t="s">
        <v>266</v>
      </c>
      <c r="D1882" s="100">
        <v>0.12805</v>
      </c>
      <c r="E1882" t="s">
        <v>371</v>
      </c>
      <c r="F1882">
        <v>0</v>
      </c>
      <c r="G1882">
        <v>0</v>
      </c>
      <c r="H1882" t="s">
        <v>455</v>
      </c>
      <c r="I1882" s="17">
        <f t="shared" si="131"/>
        <v>0</v>
      </c>
      <c r="J1882" t="s">
        <v>519</v>
      </c>
    </row>
    <row r="1883" spans="1:10" x14ac:dyDescent="0.2">
      <c r="C1883" t="s">
        <v>267</v>
      </c>
      <c r="D1883" s="100">
        <v>1.2800000000000001E-2</v>
      </c>
      <c r="E1883" t="s">
        <v>372</v>
      </c>
      <c r="F1883">
        <v>0</v>
      </c>
      <c r="G1883">
        <v>0</v>
      </c>
      <c r="H1883" t="s">
        <v>456</v>
      </c>
      <c r="I1883" s="17">
        <f t="shared" si="131"/>
        <v>0</v>
      </c>
      <c r="J1883" t="s">
        <v>519</v>
      </c>
    </row>
    <row r="1884" spans="1:10" x14ac:dyDescent="0.2">
      <c r="C1884" t="s">
        <v>329</v>
      </c>
      <c r="D1884" s="100">
        <v>1.2800000000000001E-3</v>
      </c>
      <c r="E1884" s="75" t="s">
        <v>373</v>
      </c>
      <c r="F1884">
        <f>$A$7</f>
        <v>10</v>
      </c>
      <c r="G1884">
        <v>-1</v>
      </c>
      <c r="H1884" t="s">
        <v>457</v>
      </c>
      <c r="I1884" s="17">
        <f t="shared" si="131"/>
        <v>-68653.795713278436</v>
      </c>
      <c r="J1884" t="s">
        <v>519</v>
      </c>
    </row>
    <row r="1885" spans="1:10" ht="16" customHeight="1" x14ac:dyDescent="0.2">
      <c r="C1885" t="s">
        <v>314</v>
      </c>
      <c r="D1885" s="100">
        <v>0.12805</v>
      </c>
      <c r="E1885" s="75" t="s">
        <v>374</v>
      </c>
      <c r="F1885">
        <f>$A$7</f>
        <v>10</v>
      </c>
      <c r="G1885">
        <v>-1</v>
      </c>
      <c r="H1885" t="s">
        <v>458</v>
      </c>
      <c r="I1885" s="17">
        <f t="shared" si="131"/>
        <v>-6868061.3602228928</v>
      </c>
      <c r="J1885" t="s">
        <v>519</v>
      </c>
    </row>
    <row r="1886" spans="1:10" ht="15" customHeight="1" x14ac:dyDescent="0.2">
      <c r="C1886" t="s">
        <v>268</v>
      </c>
      <c r="D1886" s="100">
        <v>0.12805</v>
      </c>
      <c r="E1886" s="75" t="s">
        <v>374</v>
      </c>
      <c r="F1886">
        <f>$A$7</f>
        <v>10</v>
      </c>
      <c r="G1886">
        <v>-1</v>
      </c>
      <c r="H1886" t="s">
        <v>458</v>
      </c>
      <c r="I1886" s="17">
        <f t="shared" si="131"/>
        <v>-6868061.3602228928</v>
      </c>
      <c r="J1886" t="s">
        <v>519</v>
      </c>
    </row>
    <row r="1887" spans="1:10" x14ac:dyDescent="0.2">
      <c r="C1887" t="s">
        <v>269</v>
      </c>
      <c r="D1887" s="100">
        <v>0.12805</v>
      </c>
      <c r="E1887" s="75" t="s">
        <v>374</v>
      </c>
      <c r="F1887">
        <v>0</v>
      </c>
      <c r="G1887">
        <v>0</v>
      </c>
      <c r="H1887" t="s">
        <v>458</v>
      </c>
      <c r="I1887" s="17">
        <f t="shared" si="131"/>
        <v>0</v>
      </c>
      <c r="J1887" t="s">
        <v>519</v>
      </c>
    </row>
    <row r="1888" spans="1:10" x14ac:dyDescent="0.2">
      <c r="A1888" s="38"/>
      <c r="B1888" s="57"/>
      <c r="C1888" t="s">
        <v>270</v>
      </c>
      <c r="D1888" s="100">
        <v>1.2800000000000001E-2</v>
      </c>
      <c r="E1888" s="75" t="s">
        <v>375</v>
      </c>
      <c r="F1888">
        <f>$A$6</f>
        <v>100</v>
      </c>
      <c r="G1888">
        <v>-1</v>
      </c>
      <c r="H1888" t="s">
        <v>459</v>
      </c>
      <c r="I1888" s="17">
        <f t="shared" si="131"/>
        <v>-6865379.5713278418</v>
      </c>
      <c r="J1888" t="s">
        <v>519</v>
      </c>
    </row>
    <row r="1889" spans="1:10" x14ac:dyDescent="0.2">
      <c r="A1889" s="38"/>
      <c r="B1889" s="55"/>
      <c r="C1889" t="s">
        <v>271</v>
      </c>
      <c r="D1889" s="100">
        <v>1.2800000000000001E-3</v>
      </c>
      <c r="E1889" s="75" t="s">
        <v>376</v>
      </c>
      <c r="F1889">
        <v>0</v>
      </c>
      <c r="G1889">
        <v>0</v>
      </c>
      <c r="H1889" t="s">
        <v>460</v>
      </c>
      <c r="I1889" s="17">
        <f t="shared" si="131"/>
        <v>0</v>
      </c>
      <c r="J1889" t="s">
        <v>519</v>
      </c>
    </row>
    <row r="1890" spans="1:10" x14ac:dyDescent="0.2">
      <c r="A1890" s="38"/>
      <c r="B1890" s="57"/>
      <c r="C1890" t="s">
        <v>272</v>
      </c>
      <c r="D1890" s="100">
        <v>1.2800000000000001E-3</v>
      </c>
      <c r="E1890" t="s">
        <v>377</v>
      </c>
      <c r="F1890">
        <v>0</v>
      </c>
      <c r="G1890">
        <v>0</v>
      </c>
      <c r="H1890" t="s">
        <v>461</v>
      </c>
      <c r="I1890" s="17">
        <f t="shared" si="131"/>
        <v>0</v>
      </c>
      <c r="J1890" t="s">
        <v>519</v>
      </c>
    </row>
    <row r="1891" spans="1:10" ht="16" customHeight="1" x14ac:dyDescent="0.2">
      <c r="C1891" t="s">
        <v>273</v>
      </c>
      <c r="D1891" s="100">
        <v>1.2800000000000001E-2</v>
      </c>
      <c r="E1891" t="s">
        <v>378</v>
      </c>
      <c r="F1891">
        <f>$A$7</f>
        <v>10</v>
      </c>
      <c r="G1891">
        <v>-1</v>
      </c>
      <c r="H1891" t="s">
        <v>462</v>
      </c>
      <c r="I1891" s="17">
        <f t="shared" si="131"/>
        <v>-686537.95713278418</v>
      </c>
      <c r="J1891" t="s">
        <v>519</v>
      </c>
    </row>
    <row r="1892" spans="1:10" x14ac:dyDescent="0.2">
      <c r="C1892" t="s">
        <v>274</v>
      </c>
      <c r="D1892" s="100">
        <v>0.12805</v>
      </c>
      <c r="E1892" t="s">
        <v>379</v>
      </c>
      <c r="F1892">
        <v>0</v>
      </c>
      <c r="G1892">
        <v>0</v>
      </c>
      <c r="H1892" t="s">
        <v>463</v>
      </c>
      <c r="I1892" s="17">
        <f t="shared" si="131"/>
        <v>0</v>
      </c>
      <c r="J1892" t="s">
        <v>519</v>
      </c>
    </row>
    <row r="1893" spans="1:10" x14ac:dyDescent="0.2">
      <c r="C1893" t="s">
        <v>275</v>
      </c>
      <c r="D1893" s="100">
        <v>1.2800000000000001E-3</v>
      </c>
      <c r="E1893" t="s">
        <v>377</v>
      </c>
      <c r="F1893">
        <f>$A$6</f>
        <v>100</v>
      </c>
      <c r="G1893">
        <v>-1</v>
      </c>
      <c r="H1893" t="s">
        <v>461</v>
      </c>
      <c r="I1893" s="17">
        <f t="shared" si="131"/>
        <v>-686537.9571327843</v>
      </c>
      <c r="J1893" t="s">
        <v>519</v>
      </c>
    </row>
    <row r="1894" spans="1:10" x14ac:dyDescent="0.2">
      <c r="C1894" t="s">
        <v>276</v>
      </c>
      <c r="D1894" s="100">
        <v>1.2804599999999999</v>
      </c>
      <c r="E1894" t="s">
        <v>377</v>
      </c>
      <c r="F1894">
        <f>$A$6</f>
        <v>100</v>
      </c>
      <c r="G1894">
        <v>-1</v>
      </c>
      <c r="H1894" t="s">
        <v>461</v>
      </c>
      <c r="I1894" s="17">
        <f t="shared" si="131"/>
        <v>-686784681.71112883</v>
      </c>
      <c r="J1894" t="s">
        <v>519</v>
      </c>
    </row>
    <row r="1895" spans="1:10" x14ac:dyDescent="0.2">
      <c r="C1895" t="s">
        <v>277</v>
      </c>
      <c r="D1895" s="100">
        <v>0.12805</v>
      </c>
      <c r="E1895" t="s">
        <v>380</v>
      </c>
      <c r="F1895">
        <f>$A$6</f>
        <v>100</v>
      </c>
      <c r="G1895">
        <v>-1</v>
      </c>
      <c r="H1895" t="s">
        <v>464</v>
      </c>
      <c r="I1895" s="17">
        <f t="shared" si="131"/>
        <v>-68680613.602228925</v>
      </c>
      <c r="J1895" t="s">
        <v>519</v>
      </c>
    </row>
    <row r="1896" spans="1:10" x14ac:dyDescent="0.2">
      <c r="C1896" t="s">
        <v>278</v>
      </c>
      <c r="D1896" s="100">
        <v>1.2800000000000001E-3</v>
      </c>
      <c r="E1896" t="s">
        <v>381</v>
      </c>
      <c r="F1896">
        <f>$A$6</f>
        <v>100</v>
      </c>
      <c r="G1896">
        <v>-1</v>
      </c>
      <c r="H1896" t="s">
        <v>465</v>
      </c>
      <c r="I1896" s="17">
        <f t="shared" si="131"/>
        <v>-686537.9571327843</v>
      </c>
      <c r="J1896" t="s">
        <v>519</v>
      </c>
    </row>
    <row r="1897" spans="1:10" x14ac:dyDescent="0.2">
      <c r="C1897" t="s">
        <v>330</v>
      </c>
      <c r="D1897" s="100">
        <v>1.2804599999999999</v>
      </c>
      <c r="E1897" t="s">
        <v>382</v>
      </c>
      <c r="F1897">
        <f>$A$7</f>
        <v>10</v>
      </c>
      <c r="G1897">
        <v>-1</v>
      </c>
      <c r="H1897" t="s">
        <v>466</v>
      </c>
      <c r="I1897" s="17">
        <f t="shared" ref="I1897:I1937" si="133">((SUM(B$1831:B$1833)*D1897))*F1897*G1897</f>
        <v>-68678468.17111288</v>
      </c>
      <c r="J1897" t="s">
        <v>519</v>
      </c>
    </row>
    <row r="1898" spans="1:10" x14ac:dyDescent="0.2">
      <c r="C1898" t="s">
        <v>279</v>
      </c>
      <c r="D1898" s="100">
        <v>1.2804599999999999</v>
      </c>
      <c r="E1898" t="s">
        <v>382</v>
      </c>
      <c r="F1898">
        <f>$A$7</f>
        <v>10</v>
      </c>
      <c r="G1898">
        <v>-1</v>
      </c>
      <c r="H1898" t="s">
        <v>466</v>
      </c>
      <c r="I1898" s="17">
        <f t="shared" si="133"/>
        <v>-68678468.17111288</v>
      </c>
      <c r="J1898" t="s">
        <v>519</v>
      </c>
    </row>
    <row r="1899" spans="1:10" x14ac:dyDescent="0.2">
      <c r="C1899" t="s">
        <v>280</v>
      </c>
      <c r="D1899" s="100">
        <v>1.2804599999999999</v>
      </c>
      <c r="E1899" t="s">
        <v>382</v>
      </c>
      <c r="F1899">
        <v>0</v>
      </c>
      <c r="G1899">
        <v>0</v>
      </c>
      <c r="H1899" t="s">
        <v>466</v>
      </c>
      <c r="I1899" s="17">
        <f t="shared" si="133"/>
        <v>0</v>
      </c>
      <c r="J1899" t="s">
        <v>519</v>
      </c>
    </row>
    <row r="1900" spans="1:10" x14ac:dyDescent="0.2">
      <c r="C1900" t="s">
        <v>331</v>
      </c>
      <c r="D1900" s="100">
        <v>1.2800000000000001E-2</v>
      </c>
      <c r="E1900" t="s">
        <v>383</v>
      </c>
      <c r="F1900">
        <v>0</v>
      </c>
      <c r="G1900">
        <v>0</v>
      </c>
      <c r="H1900" t="s">
        <v>467</v>
      </c>
      <c r="I1900" s="17">
        <f t="shared" si="133"/>
        <v>0</v>
      </c>
      <c r="J1900" t="s">
        <v>519</v>
      </c>
    </row>
    <row r="1901" spans="1:10" ht="16" customHeight="1" x14ac:dyDescent="0.2">
      <c r="C1901" t="s">
        <v>281</v>
      </c>
      <c r="D1901" s="100">
        <v>1.2800000000000001E-3</v>
      </c>
      <c r="E1901" t="s">
        <v>384</v>
      </c>
      <c r="F1901">
        <f>$A$7</f>
        <v>10</v>
      </c>
      <c r="G1901">
        <v>-1</v>
      </c>
      <c r="H1901" t="s">
        <v>468</v>
      </c>
      <c r="I1901" s="17">
        <f t="shared" si="133"/>
        <v>-68653.795713278436</v>
      </c>
      <c r="J1901" t="s">
        <v>519</v>
      </c>
    </row>
    <row r="1902" spans="1:10" x14ac:dyDescent="0.2">
      <c r="C1902" t="s">
        <v>282</v>
      </c>
      <c r="D1902" s="100">
        <v>1.2800000000000001E-3</v>
      </c>
      <c r="E1902" t="s">
        <v>385</v>
      </c>
      <c r="F1902">
        <v>0</v>
      </c>
      <c r="G1902">
        <v>0</v>
      </c>
      <c r="H1902" t="s">
        <v>469</v>
      </c>
      <c r="I1902" s="17">
        <f t="shared" si="133"/>
        <v>0</v>
      </c>
      <c r="J1902" t="s">
        <v>519</v>
      </c>
    </row>
    <row r="1903" spans="1:10" x14ac:dyDescent="0.2">
      <c r="C1903" t="s">
        <v>332</v>
      </c>
      <c r="D1903" s="100">
        <v>1.2804599999999999</v>
      </c>
      <c r="E1903" t="s">
        <v>386</v>
      </c>
      <c r="F1903">
        <v>0</v>
      </c>
      <c r="G1903">
        <v>0</v>
      </c>
      <c r="H1903" t="s">
        <v>470</v>
      </c>
      <c r="I1903" s="17">
        <f t="shared" si="133"/>
        <v>0</v>
      </c>
      <c r="J1903" t="s">
        <v>519</v>
      </c>
    </row>
    <row r="1904" spans="1:10" x14ac:dyDescent="0.2">
      <c r="C1904" t="s">
        <v>283</v>
      </c>
      <c r="D1904" s="100">
        <v>1.2800000000000001E-2</v>
      </c>
      <c r="E1904" t="s">
        <v>387</v>
      </c>
      <c r="F1904">
        <f>$A$7</f>
        <v>10</v>
      </c>
      <c r="G1904">
        <v>-1</v>
      </c>
      <c r="H1904" t="s">
        <v>471</v>
      </c>
      <c r="I1904" s="17">
        <f t="shared" si="133"/>
        <v>-686537.95713278418</v>
      </c>
      <c r="J1904" t="s">
        <v>519</v>
      </c>
    </row>
    <row r="1905" spans="1:10" x14ac:dyDescent="0.2">
      <c r="C1905" t="s">
        <v>284</v>
      </c>
      <c r="D1905" s="100">
        <v>1.2800000000000001E-3</v>
      </c>
      <c r="E1905" t="s">
        <v>388</v>
      </c>
      <c r="F1905">
        <f>$A$7</f>
        <v>10</v>
      </c>
      <c r="G1905">
        <v>-1</v>
      </c>
      <c r="H1905" t="s">
        <v>472</v>
      </c>
      <c r="I1905" s="17">
        <f t="shared" si="133"/>
        <v>-68653.795713278436</v>
      </c>
      <c r="J1905" t="s">
        <v>519</v>
      </c>
    </row>
    <row r="1906" spans="1:10" ht="16" customHeight="1" x14ac:dyDescent="0.2">
      <c r="A1906" s="38"/>
      <c r="B1906" s="57"/>
      <c r="C1906" t="s">
        <v>285</v>
      </c>
      <c r="D1906" s="100">
        <v>0.12805</v>
      </c>
      <c r="E1906" t="s">
        <v>389</v>
      </c>
      <c r="F1906">
        <f>$A$7</f>
        <v>10</v>
      </c>
      <c r="G1906">
        <v>-1</v>
      </c>
      <c r="H1906" t="s">
        <v>473</v>
      </c>
      <c r="I1906" s="17">
        <f t="shared" si="133"/>
        <v>-6868061.3602228928</v>
      </c>
      <c r="J1906" t="s">
        <v>519</v>
      </c>
    </row>
    <row r="1907" spans="1:10" ht="16" customHeight="1" x14ac:dyDescent="0.2">
      <c r="A1907" s="38"/>
      <c r="B1907" s="57"/>
      <c r="C1907" t="s">
        <v>286</v>
      </c>
      <c r="D1907" s="100">
        <v>1.2804599999999999</v>
      </c>
      <c r="E1907" t="s">
        <v>390</v>
      </c>
      <c r="F1907">
        <f>$A$6</f>
        <v>100</v>
      </c>
      <c r="G1907">
        <v>-1</v>
      </c>
      <c r="H1907" t="s">
        <v>474</v>
      </c>
      <c r="I1907" s="17">
        <f t="shared" si="133"/>
        <v>-686784681.71112883</v>
      </c>
      <c r="J1907" t="s">
        <v>519</v>
      </c>
    </row>
    <row r="1908" spans="1:10" ht="16" customHeight="1" x14ac:dyDescent="0.2">
      <c r="A1908" s="38"/>
      <c r="B1908" s="57"/>
      <c r="C1908" t="s">
        <v>287</v>
      </c>
      <c r="D1908" s="100">
        <v>1.2800000000000001E-2</v>
      </c>
      <c r="E1908" t="s">
        <v>391</v>
      </c>
      <c r="F1908">
        <f>$A$6</f>
        <v>100</v>
      </c>
      <c r="G1908">
        <v>-1</v>
      </c>
      <c r="H1908" t="s">
        <v>475</v>
      </c>
      <c r="I1908" s="17">
        <f t="shared" si="133"/>
        <v>-6865379.5713278418</v>
      </c>
      <c r="J1908" t="s">
        <v>519</v>
      </c>
    </row>
    <row r="1909" spans="1:10" ht="16" customHeight="1" x14ac:dyDescent="0.2">
      <c r="A1909" s="38"/>
      <c r="B1909" s="57"/>
      <c r="C1909" t="s">
        <v>288</v>
      </c>
      <c r="D1909" s="100">
        <v>1.2800000000000001E-2</v>
      </c>
      <c r="E1909" t="s">
        <v>392</v>
      </c>
      <c r="F1909">
        <f>$A$6</f>
        <v>100</v>
      </c>
      <c r="G1909">
        <v>-1</v>
      </c>
      <c r="H1909" t="s">
        <v>476</v>
      </c>
      <c r="I1909" s="17">
        <f t="shared" si="133"/>
        <v>-6865379.5713278418</v>
      </c>
      <c r="J1909" t="s">
        <v>519</v>
      </c>
    </row>
    <row r="1910" spans="1:10" ht="16" customHeight="1" x14ac:dyDescent="0.2">
      <c r="A1910" s="38"/>
      <c r="B1910" s="57"/>
      <c r="C1910" t="s">
        <v>333</v>
      </c>
      <c r="D1910" s="100">
        <v>1.2800000000000001E-2</v>
      </c>
      <c r="E1910" t="s">
        <v>340</v>
      </c>
      <c r="F1910">
        <f>$A$7</f>
        <v>10</v>
      </c>
      <c r="G1910">
        <v>-1</v>
      </c>
      <c r="H1910" t="s">
        <v>424</v>
      </c>
      <c r="I1910" s="17">
        <f t="shared" si="133"/>
        <v>-686537.95713278418</v>
      </c>
      <c r="J1910" t="s">
        <v>519</v>
      </c>
    </row>
    <row r="1911" spans="1:10" ht="16" customHeight="1" x14ac:dyDescent="0.2">
      <c r="A1911" s="38"/>
      <c r="B1911" s="57"/>
      <c r="C1911" t="s">
        <v>334</v>
      </c>
      <c r="D1911" s="100">
        <v>0.12805</v>
      </c>
      <c r="E1911" t="s">
        <v>393</v>
      </c>
      <c r="F1911">
        <v>0</v>
      </c>
      <c r="G1911">
        <v>0</v>
      </c>
      <c r="H1911" t="s">
        <v>477</v>
      </c>
      <c r="I1911" s="17">
        <f t="shared" si="133"/>
        <v>0</v>
      </c>
      <c r="J1911" t="s">
        <v>519</v>
      </c>
    </row>
    <row r="1912" spans="1:10" ht="16" customHeight="1" x14ac:dyDescent="0.2">
      <c r="A1912" s="38"/>
      <c r="B1912" s="57"/>
      <c r="C1912" t="s">
        <v>335</v>
      </c>
      <c r="D1912" s="100">
        <v>1.2800000000000001E-2</v>
      </c>
      <c r="E1912" t="s">
        <v>394</v>
      </c>
      <c r="F1912">
        <f>$A$7</f>
        <v>10</v>
      </c>
      <c r="G1912">
        <v>-1</v>
      </c>
      <c r="H1912" t="s">
        <v>478</v>
      </c>
      <c r="I1912" s="17">
        <f t="shared" si="133"/>
        <v>-686537.95713278418</v>
      </c>
      <c r="J1912" t="s">
        <v>519</v>
      </c>
    </row>
    <row r="1913" spans="1:10" ht="16" customHeight="1" x14ac:dyDescent="0.2">
      <c r="A1913" s="38"/>
      <c r="B1913" s="57"/>
      <c r="C1913" t="s">
        <v>289</v>
      </c>
      <c r="D1913" s="100">
        <v>1.2800000000000001E-3</v>
      </c>
      <c r="E1913" t="s">
        <v>395</v>
      </c>
      <c r="F1913">
        <f>$A$7</f>
        <v>10</v>
      </c>
      <c r="G1913">
        <v>-1</v>
      </c>
      <c r="H1913" t="s">
        <v>479</v>
      </c>
      <c r="I1913" s="17">
        <f t="shared" si="133"/>
        <v>-68653.795713278436</v>
      </c>
      <c r="J1913" t="s">
        <v>519</v>
      </c>
    </row>
    <row r="1914" spans="1:10" ht="16" customHeight="1" x14ac:dyDescent="0.2">
      <c r="A1914" s="38"/>
      <c r="B1914" s="57"/>
      <c r="C1914" t="s">
        <v>290</v>
      </c>
      <c r="D1914" s="100">
        <v>0.12805</v>
      </c>
      <c r="E1914" t="s">
        <v>396</v>
      </c>
      <c r="F1914">
        <f>$A$7</f>
        <v>10</v>
      </c>
      <c r="G1914">
        <v>-1</v>
      </c>
      <c r="H1914" t="s">
        <v>480</v>
      </c>
      <c r="I1914" s="17">
        <f t="shared" si="133"/>
        <v>-6868061.3602228928</v>
      </c>
      <c r="J1914" t="s">
        <v>519</v>
      </c>
    </row>
    <row r="1915" spans="1:10" ht="16" customHeight="1" x14ac:dyDescent="0.2">
      <c r="A1915" s="38"/>
      <c r="B1915" s="57"/>
      <c r="C1915" t="s">
        <v>291</v>
      </c>
      <c r="D1915" s="100">
        <v>1.2800000000000001E-2</v>
      </c>
      <c r="E1915" t="s">
        <v>397</v>
      </c>
      <c r="F1915">
        <f>$A$8</f>
        <v>1</v>
      </c>
      <c r="G1915">
        <v>-1</v>
      </c>
      <c r="H1915" t="s">
        <v>481</v>
      </c>
      <c r="I1915" s="17">
        <f t="shared" si="133"/>
        <v>-68653.795713278421</v>
      </c>
      <c r="J1915" t="s">
        <v>519</v>
      </c>
    </row>
    <row r="1916" spans="1:10" ht="16" customHeight="1" x14ac:dyDescent="0.2">
      <c r="A1916" s="38"/>
      <c r="B1916" s="57"/>
      <c r="C1916" t="s">
        <v>292</v>
      </c>
      <c r="D1916" s="100">
        <v>1.2800000000000001E-2</v>
      </c>
      <c r="E1916" t="s">
        <v>360</v>
      </c>
      <c r="F1916">
        <f>$A$6</f>
        <v>100</v>
      </c>
      <c r="G1916">
        <v>-1</v>
      </c>
      <c r="H1916" t="s">
        <v>444</v>
      </c>
      <c r="I1916" s="17">
        <f t="shared" si="133"/>
        <v>-6865379.5713278418</v>
      </c>
      <c r="J1916" t="s">
        <v>519</v>
      </c>
    </row>
    <row r="1917" spans="1:10" ht="16" customHeight="1" x14ac:dyDescent="0.2">
      <c r="A1917" s="38"/>
      <c r="B1917" s="57"/>
      <c r="C1917" t="s">
        <v>293</v>
      </c>
      <c r="D1917" s="100">
        <v>1.2804599999999999</v>
      </c>
      <c r="E1917" t="s">
        <v>398</v>
      </c>
      <c r="F1917">
        <f>$A$7</f>
        <v>10</v>
      </c>
      <c r="G1917">
        <v>-1</v>
      </c>
      <c r="H1917" t="s">
        <v>482</v>
      </c>
      <c r="I1917" s="17">
        <f t="shared" si="133"/>
        <v>-68678468.17111288</v>
      </c>
      <c r="J1917" t="s">
        <v>519</v>
      </c>
    </row>
    <row r="1918" spans="1:10" ht="16" customHeight="1" x14ac:dyDescent="0.2">
      <c r="A1918" s="38"/>
      <c r="B1918" s="57"/>
      <c r="C1918" t="s">
        <v>294</v>
      </c>
      <c r="D1918" s="100">
        <v>1.2804599999999999</v>
      </c>
      <c r="E1918" t="s">
        <v>399</v>
      </c>
      <c r="F1918">
        <f>$A$8</f>
        <v>1</v>
      </c>
      <c r="G1918">
        <v>-1</v>
      </c>
      <c r="H1918" t="s">
        <v>483</v>
      </c>
      <c r="I1918" s="17">
        <f t="shared" si="133"/>
        <v>-6867846.8171112882</v>
      </c>
      <c r="J1918" t="s">
        <v>519</v>
      </c>
    </row>
    <row r="1919" spans="1:10" ht="16" customHeight="1" x14ac:dyDescent="0.2">
      <c r="A1919" s="38"/>
      <c r="B1919" s="57"/>
      <c r="C1919" t="s">
        <v>336</v>
      </c>
      <c r="D1919" s="100">
        <v>0.12805</v>
      </c>
      <c r="E1919" t="s">
        <v>400</v>
      </c>
      <c r="F1919">
        <f>$A$6</f>
        <v>100</v>
      </c>
      <c r="G1919">
        <v>-1</v>
      </c>
      <c r="H1919" t="s">
        <v>484</v>
      </c>
      <c r="I1919" s="17">
        <f t="shared" si="133"/>
        <v>-68680613.602228925</v>
      </c>
      <c r="J1919" t="s">
        <v>519</v>
      </c>
    </row>
    <row r="1920" spans="1:10" ht="16" customHeight="1" x14ac:dyDescent="0.2">
      <c r="A1920" s="38"/>
      <c r="B1920" s="57"/>
      <c r="C1920" t="s">
        <v>295</v>
      </c>
      <c r="D1920" s="100">
        <v>12.80462</v>
      </c>
      <c r="E1920" t="s">
        <v>401</v>
      </c>
      <c r="F1920">
        <f>$A$6</f>
        <v>100</v>
      </c>
      <c r="G1920">
        <v>-1</v>
      </c>
      <c r="H1920" t="s">
        <v>485</v>
      </c>
      <c r="I1920" s="17">
        <f t="shared" si="133"/>
        <v>-6867857544.2668695</v>
      </c>
      <c r="J1920" t="s">
        <v>519</v>
      </c>
    </row>
    <row r="1921" spans="1:10" ht="16" customHeight="1" x14ac:dyDescent="0.2">
      <c r="A1921" s="38"/>
      <c r="B1921" s="57"/>
      <c r="C1921" t="s">
        <v>296</v>
      </c>
      <c r="D1921" s="100">
        <v>1.2800000000000001E-2</v>
      </c>
      <c r="E1921" t="s">
        <v>402</v>
      </c>
      <c r="F1921">
        <f>$A$7</f>
        <v>10</v>
      </c>
      <c r="G1921">
        <v>-1</v>
      </c>
      <c r="H1921" t="s">
        <v>486</v>
      </c>
      <c r="I1921" s="17">
        <f t="shared" si="133"/>
        <v>-686537.95713278418</v>
      </c>
      <c r="J1921" t="s">
        <v>519</v>
      </c>
    </row>
    <row r="1922" spans="1:10" ht="16" customHeight="1" x14ac:dyDescent="0.2">
      <c r="A1922" s="38"/>
      <c r="B1922" s="57"/>
      <c r="C1922" t="s">
        <v>297</v>
      </c>
      <c r="D1922" s="100">
        <v>1.2800000000000001E-3</v>
      </c>
      <c r="E1922" t="s">
        <v>403</v>
      </c>
      <c r="F1922">
        <f>$A$7</f>
        <v>10</v>
      </c>
      <c r="G1922">
        <v>-1</v>
      </c>
      <c r="H1922" t="s">
        <v>487</v>
      </c>
      <c r="I1922" s="17">
        <f t="shared" si="133"/>
        <v>-68653.795713278436</v>
      </c>
      <c r="J1922" t="s">
        <v>519</v>
      </c>
    </row>
    <row r="1923" spans="1:10" ht="16" customHeight="1" x14ac:dyDescent="0.2">
      <c r="A1923" s="38"/>
      <c r="B1923" s="57"/>
      <c r="C1923" t="s">
        <v>298</v>
      </c>
      <c r="D1923" s="100">
        <v>1.2800000000000001E-3</v>
      </c>
      <c r="E1923" t="s">
        <v>394</v>
      </c>
      <c r="F1923">
        <f>$A$7</f>
        <v>10</v>
      </c>
      <c r="G1923">
        <v>-1</v>
      </c>
      <c r="H1923" t="s">
        <v>478</v>
      </c>
      <c r="I1923" s="17">
        <f t="shared" si="133"/>
        <v>-68653.795713278436</v>
      </c>
      <c r="J1923" t="s">
        <v>519</v>
      </c>
    </row>
    <row r="1924" spans="1:10" ht="16" customHeight="1" x14ac:dyDescent="0.2">
      <c r="A1924" s="38"/>
      <c r="B1924" s="57"/>
      <c r="C1924" t="s">
        <v>299</v>
      </c>
      <c r="D1924" s="100">
        <v>1.2800000000000001E-2</v>
      </c>
      <c r="E1924" t="s">
        <v>404</v>
      </c>
      <c r="F1924">
        <f>$A$7</f>
        <v>10</v>
      </c>
      <c r="G1924">
        <v>-1</v>
      </c>
      <c r="H1924" t="s">
        <v>488</v>
      </c>
      <c r="I1924" s="17">
        <f t="shared" si="133"/>
        <v>-686537.95713278418</v>
      </c>
      <c r="J1924" t="s">
        <v>519</v>
      </c>
    </row>
    <row r="1925" spans="1:10" ht="16" customHeight="1" x14ac:dyDescent="0.2">
      <c r="A1925" s="38"/>
      <c r="B1925" s="57"/>
      <c r="C1925" t="s">
        <v>300</v>
      </c>
      <c r="D1925" s="100">
        <v>0.12805</v>
      </c>
      <c r="E1925" t="s">
        <v>405</v>
      </c>
      <c r="F1925">
        <f>$A$7</f>
        <v>10</v>
      </c>
      <c r="G1925">
        <v>-1</v>
      </c>
      <c r="H1925" t="s">
        <v>489</v>
      </c>
      <c r="I1925" s="17">
        <f t="shared" si="133"/>
        <v>-6868061.3602228928</v>
      </c>
      <c r="J1925" t="s">
        <v>519</v>
      </c>
    </row>
    <row r="1926" spans="1:10" ht="16" customHeight="1" x14ac:dyDescent="0.2">
      <c r="A1926" s="38"/>
      <c r="B1926" s="57"/>
      <c r="C1926" t="s">
        <v>301</v>
      </c>
      <c r="D1926" s="100">
        <v>0.12805</v>
      </c>
      <c r="E1926" t="s">
        <v>406</v>
      </c>
      <c r="F1926">
        <f>$A$6</f>
        <v>100</v>
      </c>
      <c r="G1926">
        <v>-1</v>
      </c>
      <c r="H1926" t="s">
        <v>490</v>
      </c>
      <c r="I1926" s="17">
        <f t="shared" si="133"/>
        <v>-68680613.602228925</v>
      </c>
      <c r="J1926" t="s">
        <v>519</v>
      </c>
    </row>
    <row r="1927" spans="1:10" ht="16" customHeight="1" x14ac:dyDescent="0.2">
      <c r="A1927" s="38"/>
      <c r="B1927" s="57"/>
      <c r="C1927" t="s">
        <v>302</v>
      </c>
      <c r="D1927" s="100">
        <v>0.12805</v>
      </c>
      <c r="E1927" t="s">
        <v>407</v>
      </c>
      <c r="F1927">
        <f>$A$6</f>
        <v>100</v>
      </c>
      <c r="G1927">
        <v>-1</v>
      </c>
      <c r="H1927" t="s">
        <v>491</v>
      </c>
      <c r="I1927" s="17">
        <f t="shared" si="133"/>
        <v>-68680613.602228925</v>
      </c>
      <c r="J1927" t="s">
        <v>519</v>
      </c>
    </row>
    <row r="1928" spans="1:10" ht="16" customHeight="1" x14ac:dyDescent="0.2">
      <c r="A1928" s="38"/>
      <c r="B1928" s="57"/>
      <c r="C1928" t="s">
        <v>303</v>
      </c>
      <c r="D1928" s="100">
        <v>1.2804599999999999</v>
      </c>
      <c r="E1928" t="s">
        <v>408</v>
      </c>
      <c r="F1928">
        <f>$A$7</f>
        <v>10</v>
      </c>
      <c r="G1928">
        <v>-1</v>
      </c>
      <c r="H1928" t="s">
        <v>492</v>
      </c>
      <c r="I1928" s="17">
        <f t="shared" si="133"/>
        <v>-68678468.17111288</v>
      </c>
      <c r="J1928" t="s">
        <v>519</v>
      </c>
    </row>
    <row r="1929" spans="1:10" ht="16" customHeight="1" x14ac:dyDescent="0.2">
      <c r="A1929" s="38"/>
      <c r="B1929" s="57"/>
      <c r="C1929" t="s">
        <v>304</v>
      </c>
      <c r="D1929" s="100">
        <v>1.2800000000000001E-3</v>
      </c>
      <c r="E1929" t="s">
        <v>409</v>
      </c>
      <c r="F1929">
        <f>$A$6</f>
        <v>100</v>
      </c>
      <c r="G1929">
        <v>-1</v>
      </c>
      <c r="H1929" t="s">
        <v>493</v>
      </c>
      <c r="I1929" s="17">
        <f t="shared" si="133"/>
        <v>-686537.9571327843</v>
      </c>
      <c r="J1929" t="s">
        <v>519</v>
      </c>
    </row>
    <row r="1930" spans="1:10" ht="16" customHeight="1" x14ac:dyDescent="0.2">
      <c r="A1930" s="38"/>
      <c r="B1930" s="57"/>
      <c r="C1930" t="s">
        <v>305</v>
      </c>
      <c r="D1930" s="100">
        <v>1.2804599999999999</v>
      </c>
      <c r="E1930" t="s">
        <v>410</v>
      </c>
      <c r="F1930">
        <f>$A$7</f>
        <v>10</v>
      </c>
      <c r="G1930">
        <v>-1</v>
      </c>
      <c r="H1930" t="s">
        <v>494</v>
      </c>
      <c r="I1930" s="17">
        <f t="shared" si="133"/>
        <v>-68678468.17111288</v>
      </c>
      <c r="J1930" t="s">
        <v>519</v>
      </c>
    </row>
    <row r="1931" spans="1:10" ht="16" customHeight="1" x14ac:dyDescent="0.2">
      <c r="A1931" s="38"/>
      <c r="B1931" s="57"/>
      <c r="C1931" t="s">
        <v>306</v>
      </c>
      <c r="D1931" s="100">
        <v>1.2800000000000001E-2</v>
      </c>
      <c r="E1931" t="s">
        <v>411</v>
      </c>
      <c r="F1931">
        <f>$A$8</f>
        <v>1</v>
      </c>
      <c r="G1931">
        <v>-1</v>
      </c>
      <c r="H1931" t="s">
        <v>495</v>
      </c>
      <c r="I1931" s="17">
        <f t="shared" si="133"/>
        <v>-68653.795713278421</v>
      </c>
      <c r="J1931" t="s">
        <v>519</v>
      </c>
    </row>
    <row r="1932" spans="1:10" ht="16" customHeight="1" x14ac:dyDescent="0.2">
      <c r="A1932" s="38"/>
      <c r="B1932" s="57"/>
      <c r="C1932" t="s">
        <v>307</v>
      </c>
      <c r="D1932" s="100">
        <v>1.2800000000000001E-2</v>
      </c>
      <c r="E1932" t="s">
        <v>411</v>
      </c>
      <c r="F1932">
        <f>$A$8</f>
        <v>1</v>
      </c>
      <c r="G1932">
        <v>-1</v>
      </c>
      <c r="H1932" t="s">
        <v>495</v>
      </c>
      <c r="I1932" s="17">
        <f t="shared" si="133"/>
        <v>-68653.795713278421</v>
      </c>
      <c r="J1932" t="s">
        <v>519</v>
      </c>
    </row>
    <row r="1933" spans="1:10" ht="16" customHeight="1" x14ac:dyDescent="0.2">
      <c r="A1933" s="38"/>
      <c r="B1933" s="57"/>
      <c r="C1933" t="s">
        <v>337</v>
      </c>
      <c r="D1933" s="100">
        <v>1.2804599999999999</v>
      </c>
      <c r="E1933" t="s">
        <v>412</v>
      </c>
      <c r="F1933">
        <v>0</v>
      </c>
      <c r="G1933">
        <v>0</v>
      </c>
      <c r="H1933" t="s">
        <v>496</v>
      </c>
      <c r="I1933" s="17">
        <f t="shared" si="133"/>
        <v>0</v>
      </c>
      <c r="J1933" t="s">
        <v>519</v>
      </c>
    </row>
    <row r="1934" spans="1:10" ht="16" customHeight="1" x14ac:dyDescent="0.2">
      <c r="A1934" s="38"/>
      <c r="B1934" s="57"/>
      <c r="C1934" t="s">
        <v>308</v>
      </c>
      <c r="D1934" s="100">
        <v>1.2800000000000001E-2</v>
      </c>
      <c r="E1934" t="s">
        <v>413</v>
      </c>
      <c r="F1934">
        <f>$A$7</f>
        <v>10</v>
      </c>
      <c r="G1934">
        <v>-1</v>
      </c>
      <c r="H1934" t="s">
        <v>497</v>
      </c>
      <c r="I1934" s="17">
        <f t="shared" si="133"/>
        <v>-686537.95713278418</v>
      </c>
      <c r="J1934" t="s">
        <v>519</v>
      </c>
    </row>
    <row r="1935" spans="1:10" ht="16" customHeight="1" x14ac:dyDescent="0.2">
      <c r="A1935" s="38"/>
      <c r="B1935" s="57"/>
      <c r="C1935" t="s">
        <v>309</v>
      </c>
      <c r="D1935" s="100">
        <v>0.12805</v>
      </c>
      <c r="E1935" t="s">
        <v>413</v>
      </c>
      <c r="F1935">
        <f>$A$7</f>
        <v>10</v>
      </c>
      <c r="G1935">
        <v>-1</v>
      </c>
      <c r="H1935" t="s">
        <v>497</v>
      </c>
      <c r="I1935" s="17">
        <f t="shared" si="133"/>
        <v>-6868061.3602228928</v>
      </c>
      <c r="J1935" t="s">
        <v>519</v>
      </c>
    </row>
    <row r="1936" spans="1:10" ht="16" customHeight="1" x14ac:dyDescent="0.2">
      <c r="A1936" s="38"/>
      <c r="B1936" s="57"/>
      <c r="C1936" t="s">
        <v>310</v>
      </c>
      <c r="D1936" s="100">
        <v>1.2800000000000001E-2</v>
      </c>
      <c r="E1936" t="s">
        <v>413</v>
      </c>
      <c r="F1936">
        <v>0</v>
      </c>
      <c r="G1936">
        <v>0</v>
      </c>
      <c r="H1936" t="s">
        <v>497</v>
      </c>
      <c r="I1936" s="17">
        <f t="shared" si="133"/>
        <v>0</v>
      </c>
      <c r="J1936" t="s">
        <v>519</v>
      </c>
    </row>
    <row r="1937" spans="1:12" ht="16" customHeight="1" x14ac:dyDescent="0.2">
      <c r="A1937" s="38"/>
      <c r="B1937" s="57"/>
      <c r="C1937" t="s">
        <v>311</v>
      </c>
      <c r="D1937" s="100">
        <v>0.12805</v>
      </c>
      <c r="E1937" t="s">
        <v>414</v>
      </c>
      <c r="F1937">
        <f>$A$7</f>
        <v>10</v>
      </c>
      <c r="G1937">
        <v>-1</v>
      </c>
      <c r="H1937" t="s">
        <v>498</v>
      </c>
      <c r="I1937" s="17">
        <f t="shared" si="133"/>
        <v>-6868061.3602228928</v>
      </c>
      <c r="J1937" t="s">
        <v>519</v>
      </c>
    </row>
    <row r="1938" spans="1:12" ht="16" customHeight="1" x14ac:dyDescent="0.2">
      <c r="A1938" s="38"/>
      <c r="B1938" s="57"/>
      <c r="C1938" s="57"/>
      <c r="D1938" s="57"/>
      <c r="E1938" s="57"/>
    </row>
    <row r="1939" spans="1:12" ht="16" customHeight="1" x14ac:dyDescent="0.2">
      <c r="A1939" s="427" t="s">
        <v>87</v>
      </c>
      <c r="B1939" s="369"/>
      <c r="C1939" s="369"/>
      <c r="D1939" s="369"/>
      <c r="E1939" s="369"/>
      <c r="F1939" s="369"/>
      <c r="G1939" s="369"/>
      <c r="H1939" s="369"/>
      <c r="I1939" s="369"/>
      <c r="J1939" s="369"/>
      <c r="K1939" s="369"/>
      <c r="L1939" s="369"/>
    </row>
    <row r="1940" spans="1:12" ht="16" customHeight="1" x14ac:dyDescent="0.2">
      <c r="A1940" s="428"/>
      <c r="B1940" s="370"/>
      <c r="C1940" s="370"/>
      <c r="D1940" s="370"/>
      <c r="E1940" s="370"/>
      <c r="F1940" s="370"/>
      <c r="G1940" s="370"/>
      <c r="H1940" s="370"/>
      <c r="I1940" s="370"/>
      <c r="J1940" s="370"/>
      <c r="K1940" s="370"/>
      <c r="L1940" s="370"/>
    </row>
    <row r="1941" spans="1:12" ht="16" customHeight="1" x14ac:dyDescent="0.2">
      <c r="A1941" s="358" t="s">
        <v>15</v>
      </c>
      <c r="B1941" s="358" t="s">
        <v>1029</v>
      </c>
      <c r="C1941" s="364" t="s">
        <v>523</v>
      </c>
      <c r="D1941" s="364"/>
      <c r="E1941" s="364"/>
      <c r="F1941" s="328" t="s">
        <v>421</v>
      </c>
      <c r="G1941" s="329"/>
      <c r="H1941" s="330"/>
      <c r="I1941" s="381" t="s">
        <v>28</v>
      </c>
      <c r="J1941" s="381"/>
      <c r="K1941" s="376" t="s">
        <v>420</v>
      </c>
      <c r="L1941" s="376"/>
    </row>
    <row r="1942" spans="1:12" ht="16" customHeight="1" x14ac:dyDescent="0.2">
      <c r="A1942" s="358"/>
      <c r="B1942" s="358"/>
      <c r="C1942" s="61" t="s">
        <v>522</v>
      </c>
      <c r="D1942" s="61"/>
      <c r="E1942" s="61"/>
      <c r="F1942" s="331"/>
      <c r="G1942" s="332"/>
      <c r="H1942" s="333"/>
      <c r="I1942" s="381"/>
      <c r="J1942" s="381"/>
      <c r="K1942" s="376"/>
      <c r="L1942" s="376"/>
    </row>
    <row r="1943" spans="1:12" ht="16" customHeight="1" x14ac:dyDescent="0.2">
      <c r="A1943" s="81" t="s">
        <v>108</v>
      </c>
      <c r="B1943" s="97">
        <f>A1954*Variables!F$12</f>
        <v>7058.9240362370447</v>
      </c>
      <c r="C1943" s="6" t="s">
        <v>317</v>
      </c>
      <c r="D1943" s="58" t="s">
        <v>319</v>
      </c>
      <c r="E1943" s="58" t="s">
        <v>5</v>
      </c>
      <c r="F1943" s="64" t="s">
        <v>0</v>
      </c>
      <c r="G1943" s="64" t="s">
        <v>499</v>
      </c>
      <c r="H1943" s="64" t="s">
        <v>5</v>
      </c>
      <c r="I1943" s="64" t="s">
        <v>0</v>
      </c>
      <c r="J1943" s="58" t="s">
        <v>5</v>
      </c>
      <c r="K1943" s="64" t="s">
        <v>0</v>
      </c>
      <c r="L1943" s="58" t="s">
        <v>5</v>
      </c>
    </row>
    <row r="1944" spans="1:12" ht="16" customHeight="1" x14ac:dyDescent="0.2">
      <c r="A1944" s="81" t="s">
        <v>138</v>
      </c>
      <c r="B1944" s="97">
        <f>A1955*Variables!F$12</f>
        <v>825.61676378617119</v>
      </c>
      <c r="C1944" t="s">
        <v>225</v>
      </c>
      <c r="D1944" s="100">
        <v>1.6000000000000001E-4</v>
      </c>
      <c r="E1944" t="s">
        <v>338</v>
      </c>
      <c r="F1944">
        <f>$A$6</f>
        <v>100</v>
      </c>
      <c r="G1944">
        <v>-1</v>
      </c>
      <c r="H1944" t="s">
        <v>422</v>
      </c>
      <c r="I1944" s="17">
        <f t="shared" ref="I1944:I1975" si="134">((SUM(B$1943:B$1948)*D1944))*F1944*G1944</f>
        <v>-2710.8159575165578</v>
      </c>
      <c r="J1944" t="s">
        <v>519</v>
      </c>
      <c r="K1944" s="69">
        <f>SUM(I1944:I2049)</f>
        <v>-168708164.80793449</v>
      </c>
      <c r="L1944" t="s">
        <v>538</v>
      </c>
    </row>
    <row r="1945" spans="1:12" ht="16" customHeight="1" x14ac:dyDescent="0.2">
      <c r="A1945" s="81" t="s">
        <v>139</v>
      </c>
      <c r="B1945" s="97">
        <f>A1956*Variables!F$12</f>
        <v>825.61676378617119</v>
      </c>
      <c r="C1945" t="s">
        <v>226</v>
      </c>
      <c r="D1945" s="100">
        <v>1.6000000000000001E-4</v>
      </c>
      <c r="E1945" t="s">
        <v>339</v>
      </c>
      <c r="F1945">
        <f>$A$7</f>
        <v>10</v>
      </c>
      <c r="G1945">
        <v>-1</v>
      </c>
      <c r="H1945" t="s">
        <v>423</v>
      </c>
      <c r="I1945" s="17">
        <f t="shared" si="134"/>
        <v>-271.08159575165575</v>
      </c>
      <c r="J1945" t="s">
        <v>519</v>
      </c>
    </row>
    <row r="1946" spans="1:12" ht="16" customHeight="1" x14ac:dyDescent="0.2">
      <c r="A1946" s="81" t="s">
        <v>129</v>
      </c>
      <c r="B1946" s="97">
        <f>A1957*Variables!F$12</f>
        <v>825.61676378617119</v>
      </c>
      <c r="C1946" t="s">
        <v>227</v>
      </c>
      <c r="D1946" s="100">
        <v>1.6000000000000001E-3</v>
      </c>
      <c r="E1946" t="s">
        <v>340</v>
      </c>
      <c r="F1946">
        <f>$A$7</f>
        <v>10</v>
      </c>
      <c r="G1946">
        <v>-1</v>
      </c>
      <c r="H1946" t="s">
        <v>424</v>
      </c>
      <c r="I1946" s="17">
        <f t="shared" si="134"/>
        <v>-2710.8159575165573</v>
      </c>
      <c r="J1946" t="s">
        <v>519</v>
      </c>
    </row>
    <row r="1947" spans="1:12" ht="16" customHeight="1" x14ac:dyDescent="0.2">
      <c r="A1947" s="81" t="s">
        <v>109</v>
      </c>
      <c r="B1947" s="97">
        <f>A1958*Variables!F$12</f>
        <v>0</v>
      </c>
      <c r="C1947" t="s">
        <v>228</v>
      </c>
      <c r="D1947" s="100">
        <v>0.16047</v>
      </c>
      <c r="E1947" t="s">
        <v>341</v>
      </c>
      <c r="F1947">
        <f>$A$7</f>
        <v>10</v>
      </c>
      <c r="G1947">
        <v>-1</v>
      </c>
      <c r="H1947" t="s">
        <v>425</v>
      </c>
      <c r="I1947" s="17">
        <f t="shared" si="134"/>
        <v>-271877.89793917624</v>
      </c>
      <c r="J1947" t="s">
        <v>519</v>
      </c>
    </row>
    <row r="1948" spans="1:12" ht="16" customHeight="1" x14ac:dyDescent="0.2">
      <c r="A1948" s="81" t="s">
        <v>184</v>
      </c>
      <c r="B1948" s="97">
        <f>A1959*Variables!F$12</f>
        <v>159890.2230171893</v>
      </c>
      <c r="C1948" t="s">
        <v>229</v>
      </c>
      <c r="D1948" s="100">
        <v>1.6049999999999998E-2</v>
      </c>
      <c r="E1948" t="s">
        <v>342</v>
      </c>
      <c r="F1948">
        <f>$A$6</f>
        <v>100</v>
      </c>
      <c r="G1948">
        <v>-1</v>
      </c>
      <c r="H1948" t="s">
        <v>426</v>
      </c>
      <c r="I1948" s="17">
        <f t="shared" si="134"/>
        <v>-271928.7257383797</v>
      </c>
      <c r="J1948" t="s">
        <v>519</v>
      </c>
    </row>
    <row r="1949" spans="1:12" ht="16" customHeight="1" x14ac:dyDescent="0.2">
      <c r="A1949" s="48"/>
      <c r="B1949" s="97">
        <f>A1960*Variables!F$12</f>
        <v>0</v>
      </c>
      <c r="C1949" t="s">
        <v>230</v>
      </c>
      <c r="D1949" s="100">
        <v>0.16047</v>
      </c>
      <c r="E1949" t="s">
        <v>343</v>
      </c>
      <c r="F1949">
        <f>$A$6</f>
        <v>100</v>
      </c>
      <c r="G1949">
        <v>-1</v>
      </c>
      <c r="H1949" t="s">
        <v>427</v>
      </c>
      <c r="I1949" s="17">
        <f t="shared" si="134"/>
        <v>-2718778.9793917625</v>
      </c>
      <c r="J1949" t="s">
        <v>519</v>
      </c>
    </row>
    <row r="1950" spans="1:12" ht="16" x14ac:dyDescent="0.2">
      <c r="A1950" s="98" t="s">
        <v>9</v>
      </c>
      <c r="B1950" s="97">
        <f>A1961*Variables!F$12</f>
        <v>169425.99734478485</v>
      </c>
      <c r="C1950" t="s">
        <v>231</v>
      </c>
      <c r="D1950" s="100">
        <v>1.60467</v>
      </c>
      <c r="E1950" t="s">
        <v>344</v>
      </c>
      <c r="F1950">
        <f>$A$7</f>
        <v>10</v>
      </c>
      <c r="G1950">
        <v>-1</v>
      </c>
      <c r="H1950" t="s">
        <v>428</v>
      </c>
      <c r="I1950" s="17">
        <f t="shared" si="134"/>
        <v>-2718728.1515925592</v>
      </c>
      <c r="J1950" t="s">
        <v>519</v>
      </c>
    </row>
    <row r="1951" spans="1:12" x14ac:dyDescent="0.2">
      <c r="C1951" t="s">
        <v>232</v>
      </c>
      <c r="D1951" s="100">
        <v>1.6000000000000001E-4</v>
      </c>
      <c r="E1951" t="s">
        <v>345</v>
      </c>
      <c r="F1951">
        <f>$A$7</f>
        <v>10</v>
      </c>
      <c r="G1951">
        <v>-1</v>
      </c>
      <c r="H1951" t="s">
        <v>429</v>
      </c>
      <c r="I1951" s="17">
        <f t="shared" si="134"/>
        <v>-271.08159575165575</v>
      </c>
      <c r="J1951" t="s">
        <v>519</v>
      </c>
    </row>
    <row r="1952" spans="1:12" x14ac:dyDescent="0.2">
      <c r="A1952" s="358" t="s">
        <v>1199</v>
      </c>
      <c r="C1952" t="s">
        <v>233</v>
      </c>
      <c r="D1952" s="100">
        <v>1.6000000000000001E-4</v>
      </c>
      <c r="E1952" t="s">
        <v>345</v>
      </c>
      <c r="F1952">
        <f>$A$7</f>
        <v>10</v>
      </c>
      <c r="G1952">
        <v>-1</v>
      </c>
      <c r="H1952" t="s">
        <v>429</v>
      </c>
      <c r="I1952" s="17">
        <f t="shared" si="134"/>
        <v>-271.08159575165575</v>
      </c>
      <c r="J1952" t="s">
        <v>519</v>
      </c>
    </row>
    <row r="1953" spans="1:10" x14ac:dyDescent="0.2">
      <c r="A1953" s="358"/>
      <c r="C1953" t="s">
        <v>320</v>
      </c>
      <c r="D1953" s="100">
        <v>0</v>
      </c>
      <c r="E1953" t="s">
        <v>344</v>
      </c>
      <c r="F1953">
        <f>$A$6</f>
        <v>100</v>
      </c>
      <c r="G1953">
        <v>-1</v>
      </c>
      <c r="H1953" t="s">
        <v>428</v>
      </c>
      <c r="I1953" s="17">
        <f t="shared" si="134"/>
        <v>0</v>
      </c>
      <c r="J1953" t="s">
        <v>519</v>
      </c>
    </row>
    <row r="1954" spans="1:10" x14ac:dyDescent="0.2">
      <c r="A1954" s="97">
        <v>0.88236550452963058</v>
      </c>
      <c r="C1954" t="s">
        <v>321</v>
      </c>
      <c r="D1954" s="100">
        <v>0</v>
      </c>
      <c r="E1954" t="s">
        <v>344</v>
      </c>
      <c r="F1954">
        <f>$A$6</f>
        <v>100</v>
      </c>
      <c r="G1954">
        <v>-1</v>
      </c>
      <c r="H1954" t="s">
        <v>428</v>
      </c>
      <c r="I1954" s="17">
        <f t="shared" si="134"/>
        <v>0</v>
      </c>
      <c r="J1954" t="s">
        <v>519</v>
      </c>
    </row>
    <row r="1955" spans="1:10" x14ac:dyDescent="0.2">
      <c r="A1955" s="97">
        <v>0.1032020954732714</v>
      </c>
      <c r="C1955" t="s">
        <v>234</v>
      </c>
      <c r="D1955" s="100">
        <v>0</v>
      </c>
      <c r="E1955" t="s">
        <v>344</v>
      </c>
      <c r="F1955">
        <v>0</v>
      </c>
      <c r="G1955">
        <v>0</v>
      </c>
      <c r="H1955" t="s">
        <v>428</v>
      </c>
      <c r="I1955" s="17">
        <f t="shared" si="134"/>
        <v>0</v>
      </c>
      <c r="J1955" t="s">
        <v>519</v>
      </c>
    </row>
    <row r="1956" spans="1:10" x14ac:dyDescent="0.2">
      <c r="A1956" s="97">
        <v>0.1032020954732714</v>
      </c>
      <c r="C1956" t="s">
        <v>235</v>
      </c>
      <c r="D1956" s="100">
        <v>0.16047</v>
      </c>
      <c r="E1956" t="s">
        <v>346</v>
      </c>
      <c r="F1956">
        <f>$A$8</f>
        <v>1</v>
      </c>
      <c r="G1956">
        <v>1</v>
      </c>
      <c r="H1956" t="s">
        <v>430</v>
      </c>
      <c r="I1956" s="17">
        <f t="shared" si="134"/>
        <v>27187.789793917626</v>
      </c>
      <c r="J1956" t="s">
        <v>519</v>
      </c>
    </row>
    <row r="1957" spans="1:10" x14ac:dyDescent="0.2">
      <c r="A1957" s="97">
        <v>0.1032020954732714</v>
      </c>
      <c r="C1957" t="s">
        <v>236</v>
      </c>
      <c r="D1957" s="100">
        <v>1.6000000000000001E-4</v>
      </c>
      <c r="E1957" t="s">
        <v>347</v>
      </c>
      <c r="F1957">
        <f>$A$7</f>
        <v>10</v>
      </c>
      <c r="G1957">
        <v>-1</v>
      </c>
      <c r="H1957" t="s">
        <v>431</v>
      </c>
      <c r="I1957" s="17">
        <f t="shared" si="134"/>
        <v>-271.08159575165575</v>
      </c>
      <c r="J1957" t="s">
        <v>519</v>
      </c>
    </row>
    <row r="1958" spans="1:10" ht="16" customHeight="1" x14ac:dyDescent="0.2">
      <c r="A1958" s="97">
        <v>0</v>
      </c>
      <c r="C1958" t="s">
        <v>237</v>
      </c>
      <c r="D1958" s="100">
        <v>0.16047</v>
      </c>
      <c r="E1958" t="s">
        <v>348</v>
      </c>
      <c r="F1958">
        <f>$A$6</f>
        <v>100</v>
      </c>
      <c r="G1958">
        <v>-1</v>
      </c>
      <c r="H1958" t="s">
        <v>432</v>
      </c>
      <c r="I1958" s="17">
        <f t="shared" si="134"/>
        <v>-2718778.9793917625</v>
      </c>
      <c r="J1958" t="s">
        <v>519</v>
      </c>
    </row>
    <row r="1959" spans="1:10" x14ac:dyDescent="0.2">
      <c r="A1959" s="97">
        <v>19.986277877148662</v>
      </c>
      <c r="C1959" t="s">
        <v>238</v>
      </c>
      <c r="D1959" s="100">
        <v>0</v>
      </c>
      <c r="E1959" t="s">
        <v>349</v>
      </c>
      <c r="F1959">
        <f>$A$7</f>
        <v>10</v>
      </c>
      <c r="G1959">
        <v>-1</v>
      </c>
      <c r="H1959" t="s">
        <v>433</v>
      </c>
      <c r="I1959" s="17">
        <f t="shared" si="134"/>
        <v>0</v>
      </c>
      <c r="J1959" t="s">
        <v>519</v>
      </c>
    </row>
    <row r="1960" spans="1:10" x14ac:dyDescent="0.2">
      <c r="A1960" s="97">
        <v>0</v>
      </c>
      <c r="C1960" t="s">
        <v>239</v>
      </c>
      <c r="D1960" s="100">
        <v>1.6000000000000001E-3</v>
      </c>
      <c r="E1960" t="s">
        <v>348</v>
      </c>
      <c r="F1960">
        <f>$A$6</f>
        <v>100</v>
      </c>
      <c r="G1960">
        <v>-1</v>
      </c>
      <c r="H1960" t="s">
        <v>432</v>
      </c>
      <c r="I1960" s="17">
        <f t="shared" si="134"/>
        <v>-27108.159575165577</v>
      </c>
      <c r="J1960" t="s">
        <v>519</v>
      </c>
    </row>
    <row r="1961" spans="1:10" x14ac:dyDescent="0.2">
      <c r="A1961" s="97">
        <v>21.178249668098104</v>
      </c>
      <c r="C1961" t="s">
        <v>240</v>
      </c>
      <c r="D1961" s="100">
        <v>0</v>
      </c>
      <c r="E1961" t="s">
        <v>348</v>
      </c>
      <c r="F1961">
        <f>$A$6</f>
        <v>100</v>
      </c>
      <c r="G1961">
        <v>-1</v>
      </c>
      <c r="H1961" t="s">
        <v>432</v>
      </c>
      <c r="I1961" s="17">
        <f t="shared" si="134"/>
        <v>0</v>
      </c>
      <c r="J1961" t="s">
        <v>519</v>
      </c>
    </row>
    <row r="1962" spans="1:10" x14ac:dyDescent="0.2">
      <c r="C1962" t="s">
        <v>241</v>
      </c>
      <c r="D1962" s="100">
        <v>0</v>
      </c>
      <c r="E1962" t="s">
        <v>350</v>
      </c>
      <c r="F1962">
        <f>$A$6</f>
        <v>100</v>
      </c>
      <c r="G1962">
        <v>-1</v>
      </c>
      <c r="H1962" t="s">
        <v>434</v>
      </c>
      <c r="I1962" s="17">
        <f t="shared" si="134"/>
        <v>0</v>
      </c>
      <c r="J1962" t="s">
        <v>519</v>
      </c>
    </row>
    <row r="1963" spans="1:10" x14ac:dyDescent="0.2">
      <c r="C1963" t="s">
        <v>242</v>
      </c>
      <c r="D1963" s="100">
        <v>0</v>
      </c>
      <c r="E1963" t="s">
        <v>351</v>
      </c>
      <c r="F1963">
        <f>$A$8</f>
        <v>1</v>
      </c>
      <c r="G1963">
        <v>1</v>
      </c>
      <c r="H1963" t="s">
        <v>435</v>
      </c>
      <c r="I1963" s="17">
        <f t="shared" si="134"/>
        <v>0</v>
      </c>
      <c r="J1963" t="s">
        <v>519</v>
      </c>
    </row>
    <row r="1964" spans="1:10" x14ac:dyDescent="0.2">
      <c r="A1964" s="13"/>
      <c r="B1964" s="13"/>
      <c r="C1964" t="s">
        <v>243</v>
      </c>
      <c r="D1964" s="100">
        <v>1.6000000000000001E-3</v>
      </c>
      <c r="E1964" t="s">
        <v>352</v>
      </c>
      <c r="F1964">
        <f>$A$6</f>
        <v>100</v>
      </c>
      <c r="G1964">
        <v>-1</v>
      </c>
      <c r="H1964" t="s">
        <v>436</v>
      </c>
      <c r="I1964" s="17">
        <f t="shared" si="134"/>
        <v>-27108.159575165577</v>
      </c>
      <c r="J1964" t="s">
        <v>519</v>
      </c>
    </row>
    <row r="1965" spans="1:10" ht="16" customHeight="1" x14ac:dyDescent="0.2">
      <c r="A1965" s="13"/>
      <c r="B1965" s="13"/>
      <c r="C1965" t="s">
        <v>244</v>
      </c>
      <c r="D1965" s="100">
        <v>1.6000000000000001E-3</v>
      </c>
      <c r="E1965" t="s">
        <v>353</v>
      </c>
      <c r="F1965">
        <v>0</v>
      </c>
      <c r="G1965">
        <v>0</v>
      </c>
      <c r="H1965" t="s">
        <v>437</v>
      </c>
      <c r="I1965" s="17">
        <f t="shared" si="134"/>
        <v>0</v>
      </c>
      <c r="J1965" t="s">
        <v>519</v>
      </c>
    </row>
    <row r="1966" spans="1:10" x14ac:dyDescent="0.2">
      <c r="A1966" s="13"/>
      <c r="B1966" s="13"/>
      <c r="C1966" t="s">
        <v>245</v>
      </c>
      <c r="D1966" s="100">
        <v>1.6000000000000001E-4</v>
      </c>
      <c r="E1966" t="s">
        <v>351</v>
      </c>
      <c r="F1966">
        <f t="shared" ref="F1966:F1971" si="135">$A$7</f>
        <v>10</v>
      </c>
      <c r="G1966">
        <v>-1</v>
      </c>
      <c r="H1966" t="s">
        <v>435</v>
      </c>
      <c r="I1966" s="17">
        <f t="shared" si="134"/>
        <v>-271.08159575165575</v>
      </c>
      <c r="J1966" t="s">
        <v>519</v>
      </c>
    </row>
    <row r="1967" spans="1:10" x14ac:dyDescent="0.2">
      <c r="A1967" s="13"/>
      <c r="B1967" s="13"/>
      <c r="C1967" t="s">
        <v>246</v>
      </c>
      <c r="D1967" s="100">
        <v>1.6049999999999998E-2</v>
      </c>
      <c r="E1967" t="s">
        <v>354</v>
      </c>
      <c r="F1967">
        <f t="shared" si="135"/>
        <v>10</v>
      </c>
      <c r="G1967">
        <v>-1</v>
      </c>
      <c r="H1967" t="s">
        <v>438</v>
      </c>
      <c r="I1967" s="17">
        <f t="shared" si="134"/>
        <v>-27192.872573837965</v>
      </c>
      <c r="J1967" t="s">
        <v>519</v>
      </c>
    </row>
    <row r="1968" spans="1:10" x14ac:dyDescent="0.2">
      <c r="C1968" t="s">
        <v>247</v>
      </c>
      <c r="D1968" s="100">
        <v>1.60467</v>
      </c>
      <c r="E1968" t="s">
        <v>354</v>
      </c>
      <c r="F1968">
        <f t="shared" si="135"/>
        <v>10</v>
      </c>
      <c r="G1968">
        <v>-1</v>
      </c>
      <c r="H1968" t="s">
        <v>438</v>
      </c>
      <c r="I1968" s="17">
        <f t="shared" si="134"/>
        <v>-2718728.1515925592</v>
      </c>
      <c r="J1968" t="s">
        <v>519</v>
      </c>
    </row>
    <row r="1969" spans="1:10" x14ac:dyDescent="0.2">
      <c r="C1969" t="s">
        <v>248</v>
      </c>
      <c r="D1969" s="100">
        <v>1.60467</v>
      </c>
      <c r="E1969" t="s">
        <v>350</v>
      </c>
      <c r="F1969">
        <f t="shared" si="135"/>
        <v>10</v>
      </c>
      <c r="G1969">
        <v>-1</v>
      </c>
      <c r="H1969" t="s">
        <v>434</v>
      </c>
      <c r="I1969" s="17">
        <f t="shared" si="134"/>
        <v>-2718728.1515925592</v>
      </c>
      <c r="J1969" t="s">
        <v>519</v>
      </c>
    </row>
    <row r="1970" spans="1:10" x14ac:dyDescent="0.2">
      <c r="C1970" t="s">
        <v>322</v>
      </c>
      <c r="D1970" s="100">
        <v>1.60467</v>
      </c>
      <c r="E1970" t="s">
        <v>355</v>
      </c>
      <c r="F1970">
        <f t="shared" si="135"/>
        <v>10</v>
      </c>
      <c r="G1970">
        <v>-1</v>
      </c>
      <c r="H1970" t="s">
        <v>439</v>
      </c>
      <c r="I1970" s="17">
        <f t="shared" si="134"/>
        <v>-2718728.1515925592</v>
      </c>
      <c r="J1970" t="s">
        <v>519</v>
      </c>
    </row>
    <row r="1971" spans="1:10" x14ac:dyDescent="0.2">
      <c r="C1971" t="s">
        <v>249</v>
      </c>
      <c r="D1971" s="100">
        <v>0.16047</v>
      </c>
      <c r="E1971" t="s">
        <v>356</v>
      </c>
      <c r="F1971">
        <f t="shared" si="135"/>
        <v>10</v>
      </c>
      <c r="G1971">
        <v>-1</v>
      </c>
      <c r="H1971" t="s">
        <v>440</v>
      </c>
      <c r="I1971" s="17">
        <f t="shared" si="134"/>
        <v>-271877.89793917624</v>
      </c>
      <c r="J1971" t="s">
        <v>519</v>
      </c>
    </row>
    <row r="1972" spans="1:10" ht="16" customHeight="1" x14ac:dyDescent="0.2">
      <c r="C1972" t="s">
        <v>323</v>
      </c>
      <c r="D1972" s="100">
        <v>1.6000000000000001E-3</v>
      </c>
      <c r="E1972" t="s">
        <v>357</v>
      </c>
      <c r="F1972">
        <f>$A$6</f>
        <v>100</v>
      </c>
      <c r="G1972">
        <v>-1</v>
      </c>
      <c r="H1972" t="s">
        <v>441</v>
      </c>
      <c r="I1972" s="17">
        <f t="shared" si="134"/>
        <v>-27108.159575165577</v>
      </c>
      <c r="J1972" t="s">
        <v>519</v>
      </c>
    </row>
    <row r="1973" spans="1:10" x14ac:dyDescent="0.2">
      <c r="C1973" t="s">
        <v>324</v>
      </c>
      <c r="D1973" s="100">
        <v>1.6000000000000001E-3</v>
      </c>
      <c r="E1973" t="s">
        <v>357</v>
      </c>
      <c r="F1973">
        <f>$A$6</f>
        <v>100</v>
      </c>
      <c r="G1973">
        <v>-1</v>
      </c>
      <c r="H1973" t="s">
        <v>441</v>
      </c>
      <c r="I1973" s="17">
        <f t="shared" si="134"/>
        <v>-27108.159575165577</v>
      </c>
      <c r="J1973" t="s">
        <v>519</v>
      </c>
    </row>
    <row r="1974" spans="1:10" x14ac:dyDescent="0.2">
      <c r="C1974" t="s">
        <v>250</v>
      </c>
      <c r="D1974" s="100">
        <v>1.6000000000000001E-3</v>
      </c>
      <c r="E1974" t="s">
        <v>358</v>
      </c>
      <c r="F1974">
        <f>$A$7</f>
        <v>10</v>
      </c>
      <c r="G1974">
        <v>1</v>
      </c>
      <c r="H1974" t="s">
        <v>442</v>
      </c>
      <c r="I1974" s="17">
        <f t="shared" si="134"/>
        <v>2710.8159575165573</v>
      </c>
      <c r="J1974" t="s">
        <v>519</v>
      </c>
    </row>
    <row r="1975" spans="1:10" ht="16" customHeight="1" x14ac:dyDescent="0.2">
      <c r="C1975" t="s">
        <v>251</v>
      </c>
      <c r="D1975" s="100">
        <v>0</v>
      </c>
      <c r="E1975" t="s">
        <v>359</v>
      </c>
      <c r="F1975">
        <f>$A$6</f>
        <v>100</v>
      </c>
      <c r="G1975">
        <v>-1</v>
      </c>
      <c r="H1975" t="s">
        <v>443</v>
      </c>
      <c r="I1975" s="17">
        <f t="shared" si="134"/>
        <v>0</v>
      </c>
      <c r="J1975" t="s">
        <v>519</v>
      </c>
    </row>
    <row r="1976" spans="1:10" x14ac:dyDescent="0.2">
      <c r="C1976" t="s">
        <v>252</v>
      </c>
      <c r="D1976" s="100">
        <v>0.16047</v>
      </c>
      <c r="E1976" t="s">
        <v>360</v>
      </c>
      <c r="F1976">
        <f>$A$7</f>
        <v>10</v>
      </c>
      <c r="G1976">
        <v>-1</v>
      </c>
      <c r="H1976" t="s">
        <v>444</v>
      </c>
      <c r="I1976" s="17">
        <f t="shared" ref="I1976:I2007" si="136">((SUM(B$1943:B$1948)*D1976))*F1976*G1976</f>
        <v>-271877.89793917624</v>
      </c>
      <c r="J1976" t="s">
        <v>519</v>
      </c>
    </row>
    <row r="1977" spans="1:10" x14ac:dyDescent="0.2">
      <c r="C1977" t="s">
        <v>253</v>
      </c>
      <c r="D1977" s="100">
        <v>1.6049999999999998E-2</v>
      </c>
      <c r="E1977" t="s">
        <v>361</v>
      </c>
      <c r="F1977">
        <f>$A$7</f>
        <v>10</v>
      </c>
      <c r="G1977">
        <v>-1</v>
      </c>
      <c r="H1977" t="s">
        <v>445</v>
      </c>
      <c r="I1977" s="17">
        <f t="shared" si="136"/>
        <v>-27192.872573837965</v>
      </c>
      <c r="J1977" t="s">
        <v>519</v>
      </c>
    </row>
    <row r="1978" spans="1:10" x14ac:dyDescent="0.2">
      <c r="C1978" t="s">
        <v>325</v>
      </c>
      <c r="D1978" s="100">
        <v>1.6000000000000001E-3</v>
      </c>
      <c r="E1978" t="s">
        <v>362</v>
      </c>
      <c r="F1978">
        <f>$A$6</f>
        <v>100</v>
      </c>
      <c r="G1978">
        <v>-1</v>
      </c>
      <c r="H1978" t="s">
        <v>446</v>
      </c>
      <c r="I1978" s="17">
        <f t="shared" si="136"/>
        <v>-27108.159575165577</v>
      </c>
      <c r="J1978" t="s">
        <v>519</v>
      </c>
    </row>
    <row r="1979" spans="1:10" x14ac:dyDescent="0.2">
      <c r="C1979" t="s">
        <v>254</v>
      </c>
      <c r="D1979" s="100">
        <v>1.6000000000000001E-3</v>
      </c>
      <c r="E1979" t="s">
        <v>363</v>
      </c>
      <c r="F1979">
        <f>$A$7</f>
        <v>10</v>
      </c>
      <c r="G1979">
        <v>-1</v>
      </c>
      <c r="H1979" t="s">
        <v>447</v>
      </c>
      <c r="I1979" s="17">
        <f t="shared" si="136"/>
        <v>-2710.8159575165573</v>
      </c>
      <c r="J1979" t="s">
        <v>519</v>
      </c>
    </row>
    <row r="1980" spans="1:10" x14ac:dyDescent="0.2">
      <c r="C1980" t="s">
        <v>255</v>
      </c>
      <c r="D1980" s="100">
        <v>0</v>
      </c>
      <c r="E1980" t="s">
        <v>364</v>
      </c>
      <c r="F1980">
        <f>$A$7</f>
        <v>10</v>
      </c>
      <c r="G1980">
        <v>-1</v>
      </c>
      <c r="H1980" t="s">
        <v>448</v>
      </c>
      <c r="I1980" s="17">
        <f t="shared" si="136"/>
        <v>0</v>
      </c>
      <c r="J1980" t="s">
        <v>519</v>
      </c>
    </row>
    <row r="1981" spans="1:10" x14ac:dyDescent="0.2">
      <c r="C1981" t="s">
        <v>256</v>
      </c>
      <c r="D1981" s="100">
        <v>1.6000000000000001E-3</v>
      </c>
      <c r="E1981" t="s">
        <v>365</v>
      </c>
      <c r="F1981">
        <f>$A$7</f>
        <v>10</v>
      </c>
      <c r="G1981">
        <v>-1</v>
      </c>
      <c r="H1981" t="s">
        <v>449</v>
      </c>
      <c r="I1981" s="17">
        <f t="shared" si="136"/>
        <v>-2710.8159575165573</v>
      </c>
      <c r="J1981" t="s">
        <v>519</v>
      </c>
    </row>
    <row r="1982" spans="1:10" x14ac:dyDescent="0.2">
      <c r="A1982" s="13"/>
      <c r="B1982" s="13"/>
      <c r="C1982" t="s">
        <v>257</v>
      </c>
      <c r="D1982" s="100">
        <v>1.60467</v>
      </c>
      <c r="E1982" t="s">
        <v>366</v>
      </c>
      <c r="F1982">
        <f>$A$6</f>
        <v>100</v>
      </c>
      <c r="G1982">
        <v>-1</v>
      </c>
      <c r="H1982" t="s">
        <v>450</v>
      </c>
      <c r="I1982" s="17">
        <f t="shared" si="136"/>
        <v>-27187281.515925594</v>
      </c>
      <c r="J1982" t="s">
        <v>519</v>
      </c>
    </row>
    <row r="1983" spans="1:10" x14ac:dyDescent="0.2">
      <c r="A1983" s="13"/>
      <c r="B1983" s="13"/>
      <c r="C1983" t="s">
        <v>258</v>
      </c>
      <c r="D1983" s="100">
        <v>0.16047</v>
      </c>
      <c r="E1983" t="s">
        <v>367</v>
      </c>
      <c r="F1983">
        <f>$A$6</f>
        <v>100</v>
      </c>
      <c r="G1983">
        <v>-1</v>
      </c>
      <c r="H1983" t="s">
        <v>451</v>
      </c>
      <c r="I1983" s="17">
        <f t="shared" si="136"/>
        <v>-2718778.9793917625</v>
      </c>
      <c r="J1983" t="s">
        <v>519</v>
      </c>
    </row>
    <row r="1984" spans="1:10" x14ac:dyDescent="0.2">
      <c r="A1984" s="13"/>
      <c r="B1984" s="13"/>
      <c r="C1984" t="s">
        <v>326</v>
      </c>
      <c r="D1984" s="100">
        <v>1.6000000000000001E-3</v>
      </c>
      <c r="E1984" t="s">
        <v>365</v>
      </c>
      <c r="F1984">
        <v>0</v>
      </c>
      <c r="G1984">
        <v>0</v>
      </c>
      <c r="H1984" t="s">
        <v>449</v>
      </c>
      <c r="I1984" s="17">
        <f t="shared" si="136"/>
        <v>0</v>
      </c>
      <c r="J1984" t="s">
        <v>519</v>
      </c>
    </row>
    <row r="1985" spans="1:10" x14ac:dyDescent="0.2">
      <c r="A1985" s="13"/>
      <c r="B1985" s="13"/>
      <c r="C1985" t="s">
        <v>259</v>
      </c>
      <c r="D1985" s="100">
        <v>1.6049999999999998E-2</v>
      </c>
      <c r="E1985" t="s">
        <v>368</v>
      </c>
      <c r="F1985">
        <f>$A$6</f>
        <v>100</v>
      </c>
      <c r="G1985">
        <v>-1</v>
      </c>
      <c r="H1985" t="s">
        <v>452</v>
      </c>
      <c r="I1985" s="17">
        <f t="shared" si="136"/>
        <v>-271928.7257383797</v>
      </c>
      <c r="J1985" t="s">
        <v>519</v>
      </c>
    </row>
    <row r="1986" spans="1:10" x14ac:dyDescent="0.2">
      <c r="C1986" t="s">
        <v>260</v>
      </c>
      <c r="D1986" s="100">
        <v>0</v>
      </c>
      <c r="E1986" t="s">
        <v>368</v>
      </c>
      <c r="F1986">
        <v>0</v>
      </c>
      <c r="G1986">
        <v>0</v>
      </c>
      <c r="H1986" t="s">
        <v>452</v>
      </c>
      <c r="I1986" s="17">
        <f t="shared" si="136"/>
        <v>0</v>
      </c>
      <c r="J1986" t="s">
        <v>519</v>
      </c>
    </row>
    <row r="1987" spans="1:10" x14ac:dyDescent="0.2">
      <c r="C1987" t="s">
        <v>327</v>
      </c>
      <c r="D1987" s="100">
        <v>1.6000000000000001E-4</v>
      </c>
      <c r="E1987" t="s">
        <v>368</v>
      </c>
      <c r="F1987">
        <f>$A$6</f>
        <v>100</v>
      </c>
      <c r="G1987">
        <v>-1</v>
      </c>
      <c r="H1987" t="s">
        <v>452</v>
      </c>
      <c r="I1987" s="17">
        <f t="shared" si="136"/>
        <v>-2710.8159575165578</v>
      </c>
      <c r="J1987" t="s">
        <v>519</v>
      </c>
    </row>
    <row r="1988" spans="1:10" x14ac:dyDescent="0.2">
      <c r="C1988" t="s">
        <v>328</v>
      </c>
      <c r="D1988" s="100">
        <v>1.6000000000000001E-4</v>
      </c>
      <c r="E1988" t="s">
        <v>368</v>
      </c>
      <c r="F1988">
        <v>0</v>
      </c>
      <c r="G1988">
        <v>0</v>
      </c>
      <c r="H1988" t="s">
        <v>452</v>
      </c>
      <c r="I1988" s="17">
        <f t="shared" si="136"/>
        <v>0</v>
      </c>
      <c r="J1988" t="s">
        <v>519</v>
      </c>
    </row>
    <row r="1989" spans="1:10" ht="16" customHeight="1" x14ac:dyDescent="0.2">
      <c r="C1989" t="s">
        <v>261</v>
      </c>
      <c r="D1989" s="100">
        <v>0.16047</v>
      </c>
      <c r="E1989" t="s">
        <v>369</v>
      </c>
      <c r="F1989">
        <f>$A$6</f>
        <v>100</v>
      </c>
      <c r="G1989">
        <v>-1</v>
      </c>
      <c r="H1989" t="s">
        <v>453</v>
      </c>
      <c r="I1989" s="17">
        <f t="shared" si="136"/>
        <v>-2718778.9793917625</v>
      </c>
      <c r="J1989" t="s">
        <v>519</v>
      </c>
    </row>
    <row r="1990" spans="1:10" x14ac:dyDescent="0.2">
      <c r="C1990" t="s">
        <v>263</v>
      </c>
      <c r="D1990" s="100">
        <v>1.6000000000000001E-4</v>
      </c>
      <c r="E1990" t="s">
        <v>370</v>
      </c>
      <c r="F1990">
        <f>$A$6</f>
        <v>100</v>
      </c>
      <c r="G1990">
        <v>-1</v>
      </c>
      <c r="H1990" t="s">
        <v>454</v>
      </c>
      <c r="I1990" s="17">
        <f t="shared" si="136"/>
        <v>-2710.8159575165578</v>
      </c>
      <c r="J1990" t="s">
        <v>519</v>
      </c>
    </row>
    <row r="1991" spans="1:10" x14ac:dyDescent="0.2">
      <c r="C1991" t="s">
        <v>262</v>
      </c>
      <c r="D1991" s="100">
        <v>1.6000000000000001E-4</v>
      </c>
      <c r="E1991" t="s">
        <v>370</v>
      </c>
      <c r="F1991">
        <f>$A$6</f>
        <v>100</v>
      </c>
      <c r="G1991">
        <v>-1</v>
      </c>
      <c r="H1991" t="s">
        <v>454</v>
      </c>
      <c r="I1991" s="17">
        <f t="shared" si="136"/>
        <v>-2710.8159575165578</v>
      </c>
      <c r="J1991" t="s">
        <v>519</v>
      </c>
    </row>
    <row r="1992" spans="1:10" x14ac:dyDescent="0.2">
      <c r="C1992" t="s">
        <v>264</v>
      </c>
      <c r="D1992" s="100">
        <v>1.6000000000000001E-3</v>
      </c>
      <c r="E1992" t="s">
        <v>371</v>
      </c>
      <c r="F1992">
        <f>$A$7</f>
        <v>10</v>
      </c>
      <c r="G1992">
        <v>-1</v>
      </c>
      <c r="H1992" t="s">
        <v>455</v>
      </c>
      <c r="I1992" s="17">
        <f t="shared" si="136"/>
        <v>-2710.8159575165573</v>
      </c>
      <c r="J1992" t="s">
        <v>519</v>
      </c>
    </row>
    <row r="1993" spans="1:10" x14ac:dyDescent="0.2">
      <c r="C1993" t="s">
        <v>265</v>
      </c>
      <c r="D1993" s="100">
        <v>1.6000000000000001E-3</v>
      </c>
      <c r="E1993" t="s">
        <v>371</v>
      </c>
      <c r="F1993">
        <f>$A$7</f>
        <v>10</v>
      </c>
      <c r="G1993">
        <v>-1</v>
      </c>
      <c r="H1993" t="s">
        <v>455</v>
      </c>
      <c r="I1993" s="17">
        <f t="shared" si="136"/>
        <v>-2710.8159575165573</v>
      </c>
      <c r="J1993" t="s">
        <v>519</v>
      </c>
    </row>
    <row r="1994" spans="1:10" x14ac:dyDescent="0.2">
      <c r="C1994" t="s">
        <v>266</v>
      </c>
      <c r="D1994" s="100">
        <v>1.6000000000000001E-3</v>
      </c>
      <c r="E1994" t="s">
        <v>371</v>
      </c>
      <c r="F1994">
        <v>0</v>
      </c>
      <c r="G1994">
        <v>0</v>
      </c>
      <c r="H1994" t="s">
        <v>455</v>
      </c>
      <c r="I1994" s="17">
        <f t="shared" si="136"/>
        <v>0</v>
      </c>
      <c r="J1994" t="s">
        <v>519</v>
      </c>
    </row>
    <row r="1995" spans="1:10" x14ac:dyDescent="0.2">
      <c r="C1995" t="s">
        <v>267</v>
      </c>
      <c r="D1995" s="100">
        <v>1.6000000000000001E-4</v>
      </c>
      <c r="E1995" t="s">
        <v>372</v>
      </c>
      <c r="F1995">
        <v>0</v>
      </c>
      <c r="G1995">
        <v>0</v>
      </c>
      <c r="H1995" t="s">
        <v>456</v>
      </c>
      <c r="I1995" s="17">
        <f t="shared" si="136"/>
        <v>0</v>
      </c>
      <c r="J1995" t="s">
        <v>519</v>
      </c>
    </row>
    <row r="1996" spans="1:10" x14ac:dyDescent="0.2">
      <c r="C1996" t="s">
        <v>329</v>
      </c>
      <c r="D1996" s="100">
        <v>0.16047</v>
      </c>
      <c r="E1996" s="75" t="s">
        <v>373</v>
      </c>
      <c r="F1996">
        <f>$A$7</f>
        <v>10</v>
      </c>
      <c r="G1996">
        <v>-1</v>
      </c>
      <c r="H1996" t="s">
        <v>457</v>
      </c>
      <c r="I1996" s="17">
        <f t="shared" si="136"/>
        <v>-271877.89793917624</v>
      </c>
      <c r="J1996" t="s">
        <v>519</v>
      </c>
    </row>
    <row r="1997" spans="1:10" x14ac:dyDescent="0.2">
      <c r="C1997" t="s">
        <v>314</v>
      </c>
      <c r="D1997" s="100">
        <v>1.6000000000000001E-3</v>
      </c>
      <c r="E1997" s="75" t="s">
        <v>374</v>
      </c>
      <c r="F1997">
        <f>$A$7</f>
        <v>10</v>
      </c>
      <c r="G1997">
        <v>-1</v>
      </c>
      <c r="H1997" t="s">
        <v>458</v>
      </c>
      <c r="I1997" s="17">
        <f t="shared" si="136"/>
        <v>-2710.8159575165573</v>
      </c>
      <c r="J1997" t="s">
        <v>519</v>
      </c>
    </row>
    <row r="1998" spans="1:10" x14ac:dyDescent="0.2">
      <c r="C1998" t="s">
        <v>268</v>
      </c>
      <c r="D1998" s="100">
        <v>1.6000000000000001E-3</v>
      </c>
      <c r="E1998" s="75" t="s">
        <v>374</v>
      </c>
      <c r="F1998">
        <f>$A$7</f>
        <v>10</v>
      </c>
      <c r="G1998">
        <v>-1</v>
      </c>
      <c r="H1998" t="s">
        <v>458</v>
      </c>
      <c r="I1998" s="17">
        <f t="shared" si="136"/>
        <v>-2710.8159575165573</v>
      </c>
      <c r="J1998" t="s">
        <v>519</v>
      </c>
    </row>
    <row r="1999" spans="1:10" x14ac:dyDescent="0.2">
      <c r="C1999" t="s">
        <v>269</v>
      </c>
      <c r="D1999" s="100">
        <v>1.6000000000000001E-3</v>
      </c>
      <c r="E1999" s="75" t="s">
        <v>374</v>
      </c>
      <c r="F1999">
        <v>0</v>
      </c>
      <c r="G1999">
        <v>0</v>
      </c>
      <c r="H1999" t="s">
        <v>458</v>
      </c>
      <c r="I1999" s="17">
        <f t="shared" si="136"/>
        <v>0</v>
      </c>
      <c r="J1999" t="s">
        <v>519</v>
      </c>
    </row>
    <row r="2000" spans="1:10" x14ac:dyDescent="0.2">
      <c r="C2000" t="s">
        <v>270</v>
      </c>
      <c r="D2000" s="100">
        <v>1.6000000000000001E-3</v>
      </c>
      <c r="E2000" s="75" t="s">
        <v>375</v>
      </c>
      <c r="F2000">
        <f>$A$6</f>
        <v>100</v>
      </c>
      <c r="G2000">
        <v>-1</v>
      </c>
      <c r="H2000" t="s">
        <v>459</v>
      </c>
      <c r="I2000" s="17">
        <f t="shared" si="136"/>
        <v>-27108.159575165577</v>
      </c>
      <c r="J2000" t="s">
        <v>519</v>
      </c>
    </row>
    <row r="2001" spans="1:10" x14ac:dyDescent="0.2">
      <c r="C2001" t="s">
        <v>271</v>
      </c>
      <c r="D2001" s="100">
        <v>0.16047</v>
      </c>
      <c r="E2001" s="75" t="s">
        <v>376</v>
      </c>
      <c r="F2001">
        <v>0</v>
      </c>
      <c r="G2001">
        <v>0</v>
      </c>
      <c r="H2001" t="s">
        <v>460</v>
      </c>
      <c r="I2001" s="17">
        <f t="shared" si="136"/>
        <v>0</v>
      </c>
      <c r="J2001" t="s">
        <v>519</v>
      </c>
    </row>
    <row r="2002" spans="1:10" ht="16" customHeight="1" x14ac:dyDescent="0.2">
      <c r="C2002" t="s">
        <v>272</v>
      </c>
      <c r="D2002" s="100">
        <v>1.60467</v>
      </c>
      <c r="E2002" t="s">
        <v>377</v>
      </c>
      <c r="F2002">
        <v>0</v>
      </c>
      <c r="G2002">
        <v>0</v>
      </c>
      <c r="H2002" t="s">
        <v>461</v>
      </c>
      <c r="I2002" s="17">
        <f t="shared" si="136"/>
        <v>0</v>
      </c>
      <c r="J2002" t="s">
        <v>519</v>
      </c>
    </row>
    <row r="2003" spans="1:10" x14ac:dyDescent="0.2">
      <c r="A2003" s="13"/>
      <c r="B2003" s="13"/>
      <c r="C2003" t="s">
        <v>273</v>
      </c>
      <c r="D2003" s="100">
        <v>1.6000000000000001E-4</v>
      </c>
      <c r="E2003" t="s">
        <v>378</v>
      </c>
      <c r="F2003">
        <f>$A$7</f>
        <v>10</v>
      </c>
      <c r="G2003">
        <v>-1</v>
      </c>
      <c r="H2003" t="s">
        <v>462</v>
      </c>
      <c r="I2003" s="17">
        <f t="shared" si="136"/>
        <v>-271.08159575165575</v>
      </c>
      <c r="J2003" t="s">
        <v>519</v>
      </c>
    </row>
    <row r="2004" spans="1:10" x14ac:dyDescent="0.2">
      <c r="A2004" s="13"/>
      <c r="B2004" s="13"/>
      <c r="C2004" t="s">
        <v>274</v>
      </c>
      <c r="D2004" s="100">
        <v>1.6000000000000001E-4</v>
      </c>
      <c r="E2004" t="s">
        <v>379</v>
      </c>
      <c r="F2004">
        <v>0</v>
      </c>
      <c r="G2004">
        <v>0</v>
      </c>
      <c r="H2004" t="s">
        <v>463</v>
      </c>
      <c r="I2004" s="17">
        <f t="shared" si="136"/>
        <v>0</v>
      </c>
      <c r="J2004" t="s">
        <v>519</v>
      </c>
    </row>
    <row r="2005" spans="1:10" x14ac:dyDescent="0.2">
      <c r="A2005" s="13"/>
      <c r="B2005" s="13"/>
      <c r="C2005" t="s">
        <v>275</v>
      </c>
      <c r="D2005" s="100">
        <v>1.60467</v>
      </c>
      <c r="E2005" t="s">
        <v>377</v>
      </c>
      <c r="F2005">
        <f>$A$6</f>
        <v>100</v>
      </c>
      <c r="G2005">
        <v>-1</v>
      </c>
      <c r="H2005" t="s">
        <v>461</v>
      </c>
      <c r="I2005" s="17">
        <f t="shared" si="136"/>
        <v>-27187281.515925594</v>
      </c>
      <c r="J2005" t="s">
        <v>519</v>
      </c>
    </row>
    <row r="2006" spans="1:10" x14ac:dyDescent="0.2">
      <c r="A2006" s="13"/>
      <c r="B2006" s="13"/>
      <c r="C2006" t="s">
        <v>276</v>
      </c>
      <c r="D2006" s="100">
        <v>1.60467</v>
      </c>
      <c r="E2006" t="s">
        <v>377</v>
      </c>
      <c r="F2006">
        <f>$A$6</f>
        <v>100</v>
      </c>
      <c r="G2006">
        <v>-1</v>
      </c>
      <c r="H2006" t="s">
        <v>461</v>
      </c>
      <c r="I2006" s="17">
        <f t="shared" si="136"/>
        <v>-27187281.515925594</v>
      </c>
      <c r="J2006" t="s">
        <v>519</v>
      </c>
    </row>
    <row r="2007" spans="1:10" x14ac:dyDescent="0.2">
      <c r="C2007" t="s">
        <v>277</v>
      </c>
      <c r="D2007" s="100">
        <v>1.6000000000000001E-3</v>
      </c>
      <c r="E2007" t="s">
        <v>380</v>
      </c>
      <c r="F2007">
        <f>$A$6</f>
        <v>100</v>
      </c>
      <c r="G2007">
        <v>-1</v>
      </c>
      <c r="H2007" t="s">
        <v>464</v>
      </c>
      <c r="I2007" s="17">
        <f t="shared" si="136"/>
        <v>-27108.159575165577</v>
      </c>
      <c r="J2007" t="s">
        <v>519</v>
      </c>
    </row>
    <row r="2008" spans="1:10" x14ac:dyDescent="0.2">
      <c r="C2008" t="s">
        <v>278</v>
      </c>
      <c r="D2008" s="100">
        <v>1.60467</v>
      </c>
      <c r="E2008" t="s">
        <v>381</v>
      </c>
      <c r="F2008">
        <f>$A$6</f>
        <v>100</v>
      </c>
      <c r="G2008">
        <v>-1</v>
      </c>
      <c r="H2008" t="s">
        <v>465</v>
      </c>
      <c r="I2008" s="17">
        <f t="shared" ref="I2008:I2039" si="137">((SUM(B$1943:B$1948)*D2008))*F2008*G2008</f>
        <v>-27187281.515925594</v>
      </c>
      <c r="J2008" t="s">
        <v>519</v>
      </c>
    </row>
    <row r="2009" spans="1:10" x14ac:dyDescent="0.2">
      <c r="C2009" t="s">
        <v>330</v>
      </c>
      <c r="D2009" s="100">
        <v>1.6000000000000001E-4</v>
      </c>
      <c r="E2009" t="s">
        <v>382</v>
      </c>
      <c r="F2009">
        <f>$A$7</f>
        <v>10</v>
      </c>
      <c r="G2009">
        <v>-1</v>
      </c>
      <c r="H2009" t="s">
        <v>466</v>
      </c>
      <c r="I2009" s="17">
        <f t="shared" si="137"/>
        <v>-271.08159575165575</v>
      </c>
      <c r="J2009" t="s">
        <v>519</v>
      </c>
    </row>
    <row r="2010" spans="1:10" x14ac:dyDescent="0.2">
      <c r="C2010" t="s">
        <v>279</v>
      </c>
      <c r="D2010" s="100">
        <v>1.6000000000000001E-4</v>
      </c>
      <c r="E2010" t="s">
        <v>382</v>
      </c>
      <c r="F2010">
        <f>$A$7</f>
        <v>10</v>
      </c>
      <c r="G2010">
        <v>-1</v>
      </c>
      <c r="H2010" t="s">
        <v>466</v>
      </c>
      <c r="I2010" s="17">
        <f t="shared" si="137"/>
        <v>-271.08159575165575</v>
      </c>
      <c r="J2010" t="s">
        <v>519</v>
      </c>
    </row>
    <row r="2011" spans="1:10" x14ac:dyDescent="0.2">
      <c r="C2011" t="s">
        <v>280</v>
      </c>
      <c r="D2011" s="100">
        <v>1.6000000000000001E-4</v>
      </c>
      <c r="E2011" t="s">
        <v>382</v>
      </c>
      <c r="F2011">
        <v>0</v>
      </c>
      <c r="G2011">
        <v>0</v>
      </c>
      <c r="H2011" t="s">
        <v>466</v>
      </c>
      <c r="I2011" s="17">
        <f t="shared" si="137"/>
        <v>0</v>
      </c>
      <c r="J2011" t="s">
        <v>519</v>
      </c>
    </row>
    <row r="2012" spans="1:10" x14ac:dyDescent="0.2">
      <c r="C2012" t="s">
        <v>331</v>
      </c>
      <c r="D2012" s="100">
        <v>1.6049999999999998E-2</v>
      </c>
      <c r="E2012" t="s">
        <v>383</v>
      </c>
      <c r="F2012">
        <v>0</v>
      </c>
      <c r="G2012">
        <v>0</v>
      </c>
      <c r="H2012" t="s">
        <v>467</v>
      </c>
      <c r="I2012" s="17">
        <f t="shared" si="137"/>
        <v>0</v>
      </c>
      <c r="J2012" t="s">
        <v>519</v>
      </c>
    </row>
    <row r="2013" spans="1:10" x14ac:dyDescent="0.2">
      <c r="C2013" t="s">
        <v>281</v>
      </c>
      <c r="D2013" s="100">
        <v>1.6000000000000001E-4</v>
      </c>
      <c r="E2013" t="s">
        <v>384</v>
      </c>
      <c r="F2013">
        <f>$A$7</f>
        <v>10</v>
      </c>
      <c r="G2013">
        <v>-1</v>
      </c>
      <c r="H2013" t="s">
        <v>468</v>
      </c>
      <c r="I2013" s="17">
        <f t="shared" si="137"/>
        <v>-271.08159575165575</v>
      </c>
      <c r="J2013" t="s">
        <v>519</v>
      </c>
    </row>
    <row r="2014" spans="1:10" x14ac:dyDescent="0.2">
      <c r="C2014" t="s">
        <v>282</v>
      </c>
      <c r="D2014" s="100">
        <v>0.16047</v>
      </c>
      <c r="E2014" t="s">
        <v>385</v>
      </c>
      <c r="F2014">
        <v>0</v>
      </c>
      <c r="G2014">
        <v>0</v>
      </c>
      <c r="H2014" t="s">
        <v>469</v>
      </c>
      <c r="I2014" s="17">
        <f t="shared" si="137"/>
        <v>0</v>
      </c>
      <c r="J2014" t="s">
        <v>519</v>
      </c>
    </row>
    <row r="2015" spans="1:10" x14ac:dyDescent="0.2">
      <c r="C2015" t="s">
        <v>332</v>
      </c>
      <c r="D2015" s="100">
        <v>0.16047</v>
      </c>
      <c r="E2015" t="s">
        <v>386</v>
      </c>
      <c r="F2015">
        <v>0</v>
      </c>
      <c r="G2015">
        <v>0</v>
      </c>
      <c r="H2015" t="s">
        <v>470</v>
      </c>
      <c r="I2015" s="17">
        <f t="shared" si="137"/>
        <v>0</v>
      </c>
      <c r="J2015" t="s">
        <v>519</v>
      </c>
    </row>
    <row r="2016" spans="1:10" x14ac:dyDescent="0.2">
      <c r="C2016" t="s">
        <v>283</v>
      </c>
      <c r="D2016" s="100">
        <v>1.6000000000000001E-3</v>
      </c>
      <c r="E2016" t="s">
        <v>387</v>
      </c>
      <c r="F2016">
        <f>$A$7</f>
        <v>10</v>
      </c>
      <c r="G2016">
        <v>-1</v>
      </c>
      <c r="H2016" t="s">
        <v>471</v>
      </c>
      <c r="I2016" s="17">
        <f t="shared" si="137"/>
        <v>-2710.8159575165573</v>
      </c>
      <c r="J2016" t="s">
        <v>519</v>
      </c>
    </row>
    <row r="2017" spans="3:10" x14ac:dyDescent="0.2">
      <c r="C2017" t="s">
        <v>284</v>
      </c>
      <c r="D2017" s="100">
        <v>1.6000000000000001E-4</v>
      </c>
      <c r="E2017" t="s">
        <v>388</v>
      </c>
      <c r="F2017">
        <f>$A$7</f>
        <v>10</v>
      </c>
      <c r="G2017">
        <v>-1</v>
      </c>
      <c r="H2017" t="s">
        <v>472</v>
      </c>
      <c r="I2017" s="17">
        <f t="shared" si="137"/>
        <v>-271.08159575165575</v>
      </c>
      <c r="J2017" t="s">
        <v>519</v>
      </c>
    </row>
    <row r="2018" spans="3:10" x14ac:dyDescent="0.2">
      <c r="C2018" t="s">
        <v>285</v>
      </c>
      <c r="D2018" s="100">
        <v>1.6000000000000001E-3</v>
      </c>
      <c r="E2018" t="s">
        <v>389</v>
      </c>
      <c r="F2018">
        <f>$A$7</f>
        <v>10</v>
      </c>
      <c r="G2018">
        <v>-1</v>
      </c>
      <c r="H2018" t="s">
        <v>473</v>
      </c>
      <c r="I2018" s="17">
        <f t="shared" si="137"/>
        <v>-2710.8159575165573</v>
      </c>
      <c r="J2018" t="s">
        <v>519</v>
      </c>
    </row>
    <row r="2019" spans="3:10" ht="16" customHeight="1" x14ac:dyDescent="0.2">
      <c r="C2019" t="s">
        <v>286</v>
      </c>
      <c r="D2019" s="100">
        <v>1.6049999999999998E-2</v>
      </c>
      <c r="E2019" t="s">
        <v>390</v>
      </c>
      <c r="F2019">
        <f>$A$6</f>
        <v>100</v>
      </c>
      <c r="G2019">
        <v>-1</v>
      </c>
      <c r="H2019" t="s">
        <v>474</v>
      </c>
      <c r="I2019" s="17">
        <f t="shared" si="137"/>
        <v>-271928.7257383797</v>
      </c>
      <c r="J2019" t="s">
        <v>519</v>
      </c>
    </row>
    <row r="2020" spans="3:10" x14ac:dyDescent="0.2">
      <c r="C2020" t="s">
        <v>287</v>
      </c>
      <c r="D2020" s="100">
        <v>1.6000000000000001E-3</v>
      </c>
      <c r="E2020" t="s">
        <v>391</v>
      </c>
      <c r="F2020">
        <f>$A$6</f>
        <v>100</v>
      </c>
      <c r="G2020">
        <v>-1</v>
      </c>
      <c r="H2020" t="s">
        <v>475</v>
      </c>
      <c r="I2020" s="17">
        <f t="shared" si="137"/>
        <v>-27108.159575165577</v>
      </c>
      <c r="J2020" t="s">
        <v>519</v>
      </c>
    </row>
    <row r="2021" spans="3:10" x14ac:dyDescent="0.2">
      <c r="C2021" t="s">
        <v>288</v>
      </c>
      <c r="D2021" s="100">
        <v>1.6000000000000001E-3</v>
      </c>
      <c r="E2021" t="s">
        <v>392</v>
      </c>
      <c r="F2021">
        <f>$A$6</f>
        <v>100</v>
      </c>
      <c r="G2021">
        <v>-1</v>
      </c>
      <c r="H2021" t="s">
        <v>476</v>
      </c>
      <c r="I2021" s="17">
        <f t="shared" si="137"/>
        <v>-27108.159575165577</v>
      </c>
      <c r="J2021" t="s">
        <v>519</v>
      </c>
    </row>
    <row r="2022" spans="3:10" x14ac:dyDescent="0.2">
      <c r="C2022" t="s">
        <v>333</v>
      </c>
      <c r="D2022" s="100">
        <v>1.6000000000000001E-3</v>
      </c>
      <c r="E2022" t="s">
        <v>340</v>
      </c>
      <c r="F2022">
        <f>$A$7</f>
        <v>10</v>
      </c>
      <c r="G2022">
        <v>-1</v>
      </c>
      <c r="H2022" t="s">
        <v>424</v>
      </c>
      <c r="I2022" s="17">
        <f t="shared" si="137"/>
        <v>-2710.8159575165573</v>
      </c>
      <c r="J2022" t="s">
        <v>519</v>
      </c>
    </row>
    <row r="2023" spans="3:10" x14ac:dyDescent="0.2">
      <c r="C2023" t="s">
        <v>334</v>
      </c>
      <c r="D2023" s="100">
        <v>1.6049999999999998E-2</v>
      </c>
      <c r="E2023" t="s">
        <v>393</v>
      </c>
      <c r="F2023">
        <v>0</v>
      </c>
      <c r="G2023">
        <v>0</v>
      </c>
      <c r="H2023" t="s">
        <v>477</v>
      </c>
      <c r="I2023" s="17">
        <f t="shared" si="137"/>
        <v>0</v>
      </c>
      <c r="J2023" t="s">
        <v>519</v>
      </c>
    </row>
    <row r="2024" spans="3:10" x14ac:dyDescent="0.2">
      <c r="C2024" t="s">
        <v>335</v>
      </c>
      <c r="D2024" s="100">
        <v>1.6000000000000001E-3</v>
      </c>
      <c r="E2024" t="s">
        <v>394</v>
      </c>
      <c r="F2024">
        <f>$A$7</f>
        <v>10</v>
      </c>
      <c r="G2024">
        <v>-1</v>
      </c>
      <c r="H2024" t="s">
        <v>478</v>
      </c>
      <c r="I2024" s="17">
        <f t="shared" si="137"/>
        <v>-2710.8159575165573</v>
      </c>
      <c r="J2024" t="s">
        <v>519</v>
      </c>
    </row>
    <row r="2025" spans="3:10" x14ac:dyDescent="0.2">
      <c r="C2025" t="s">
        <v>289</v>
      </c>
      <c r="D2025" s="100">
        <v>1.6000000000000001E-3</v>
      </c>
      <c r="E2025" t="s">
        <v>395</v>
      </c>
      <c r="F2025">
        <f>$A$7</f>
        <v>10</v>
      </c>
      <c r="G2025">
        <v>-1</v>
      </c>
      <c r="H2025" t="s">
        <v>479</v>
      </c>
      <c r="I2025" s="17">
        <f t="shared" si="137"/>
        <v>-2710.8159575165573</v>
      </c>
      <c r="J2025" t="s">
        <v>519</v>
      </c>
    </row>
    <row r="2026" spans="3:10" x14ac:dyDescent="0.2">
      <c r="C2026" t="s">
        <v>290</v>
      </c>
      <c r="D2026" s="100">
        <v>1.6000000000000001E-4</v>
      </c>
      <c r="E2026" t="s">
        <v>396</v>
      </c>
      <c r="F2026">
        <f>$A$7</f>
        <v>10</v>
      </c>
      <c r="G2026">
        <v>-1</v>
      </c>
      <c r="H2026" t="s">
        <v>480</v>
      </c>
      <c r="I2026" s="17">
        <f t="shared" si="137"/>
        <v>-271.08159575165575</v>
      </c>
      <c r="J2026" t="s">
        <v>519</v>
      </c>
    </row>
    <row r="2027" spans="3:10" x14ac:dyDescent="0.2">
      <c r="C2027" t="s">
        <v>291</v>
      </c>
      <c r="D2027" s="100">
        <v>1.6000000000000001E-4</v>
      </c>
      <c r="E2027" t="s">
        <v>397</v>
      </c>
      <c r="F2027">
        <f>$A$8</f>
        <v>1</v>
      </c>
      <c r="G2027">
        <v>-1</v>
      </c>
      <c r="H2027" t="s">
        <v>481</v>
      </c>
      <c r="I2027" s="17">
        <f t="shared" si="137"/>
        <v>-27.108159575165576</v>
      </c>
      <c r="J2027" t="s">
        <v>519</v>
      </c>
    </row>
    <row r="2028" spans="3:10" x14ac:dyDescent="0.2">
      <c r="C2028" t="s">
        <v>292</v>
      </c>
      <c r="D2028" s="100">
        <v>0.16047</v>
      </c>
      <c r="E2028" t="s">
        <v>360</v>
      </c>
      <c r="F2028">
        <f>$A$6</f>
        <v>100</v>
      </c>
      <c r="G2028">
        <v>-1</v>
      </c>
      <c r="H2028" t="s">
        <v>444</v>
      </c>
      <c r="I2028" s="17">
        <f t="shared" si="137"/>
        <v>-2718778.9793917625</v>
      </c>
      <c r="J2028" t="s">
        <v>519</v>
      </c>
    </row>
    <row r="2029" spans="3:10" x14ac:dyDescent="0.2">
      <c r="C2029" t="s">
        <v>293</v>
      </c>
      <c r="D2029" s="100">
        <v>1.60467</v>
      </c>
      <c r="E2029" t="s">
        <v>398</v>
      </c>
      <c r="F2029">
        <f>$A$7</f>
        <v>10</v>
      </c>
      <c r="G2029">
        <v>-1</v>
      </c>
      <c r="H2029" t="s">
        <v>482</v>
      </c>
      <c r="I2029" s="17">
        <f t="shared" si="137"/>
        <v>-2718728.1515925592</v>
      </c>
      <c r="J2029" t="s">
        <v>519</v>
      </c>
    </row>
    <row r="2030" spans="3:10" x14ac:dyDescent="0.2">
      <c r="C2030" t="s">
        <v>294</v>
      </c>
      <c r="D2030" s="100">
        <v>1.6000000000000001E-4</v>
      </c>
      <c r="E2030" t="s">
        <v>399</v>
      </c>
      <c r="F2030">
        <f>$A$8</f>
        <v>1</v>
      </c>
      <c r="G2030">
        <v>-1</v>
      </c>
      <c r="H2030" t="s">
        <v>483</v>
      </c>
      <c r="I2030" s="17">
        <f t="shared" si="137"/>
        <v>-27.108159575165576</v>
      </c>
      <c r="J2030" t="s">
        <v>519</v>
      </c>
    </row>
    <row r="2031" spans="3:10" x14ac:dyDescent="0.2">
      <c r="C2031" t="s">
        <v>336</v>
      </c>
      <c r="D2031" s="100">
        <v>1.6000000000000001E-3</v>
      </c>
      <c r="E2031" t="s">
        <v>400</v>
      </c>
      <c r="F2031">
        <f>$A$6</f>
        <v>100</v>
      </c>
      <c r="G2031">
        <v>-1</v>
      </c>
      <c r="H2031" t="s">
        <v>484</v>
      </c>
      <c r="I2031" s="17">
        <f t="shared" si="137"/>
        <v>-27108.159575165577</v>
      </c>
      <c r="J2031" t="s">
        <v>519</v>
      </c>
    </row>
    <row r="2032" spans="3:10" x14ac:dyDescent="0.2">
      <c r="C2032" t="s">
        <v>295</v>
      </c>
      <c r="D2032" s="100">
        <v>1.6000000000000001E-4</v>
      </c>
      <c r="E2032" t="s">
        <v>401</v>
      </c>
      <c r="F2032">
        <f>$A$6</f>
        <v>100</v>
      </c>
      <c r="G2032">
        <v>-1</v>
      </c>
      <c r="H2032" t="s">
        <v>485</v>
      </c>
      <c r="I2032" s="17">
        <f t="shared" si="137"/>
        <v>-2710.8159575165578</v>
      </c>
      <c r="J2032" t="s">
        <v>519</v>
      </c>
    </row>
    <row r="2033" spans="3:10" x14ac:dyDescent="0.2">
      <c r="C2033" t="s">
        <v>296</v>
      </c>
      <c r="D2033" s="100">
        <v>1.60467</v>
      </c>
      <c r="E2033" t="s">
        <v>402</v>
      </c>
      <c r="F2033">
        <f>$A$7</f>
        <v>10</v>
      </c>
      <c r="G2033">
        <v>-1</v>
      </c>
      <c r="H2033" t="s">
        <v>486</v>
      </c>
      <c r="I2033" s="17">
        <f t="shared" si="137"/>
        <v>-2718728.1515925592</v>
      </c>
      <c r="J2033" t="s">
        <v>519</v>
      </c>
    </row>
    <row r="2034" spans="3:10" ht="16" customHeight="1" x14ac:dyDescent="0.2">
      <c r="C2034" t="s">
        <v>297</v>
      </c>
      <c r="D2034" s="100">
        <v>1.6000000000000001E-4</v>
      </c>
      <c r="E2034" t="s">
        <v>403</v>
      </c>
      <c r="F2034">
        <f>$A$7</f>
        <v>10</v>
      </c>
      <c r="G2034">
        <v>-1</v>
      </c>
      <c r="H2034" t="s">
        <v>487</v>
      </c>
      <c r="I2034" s="17">
        <f t="shared" si="137"/>
        <v>-271.08159575165575</v>
      </c>
      <c r="J2034" t="s">
        <v>519</v>
      </c>
    </row>
    <row r="2035" spans="3:10" x14ac:dyDescent="0.2">
      <c r="C2035" t="s">
        <v>298</v>
      </c>
      <c r="D2035" s="100">
        <v>0.16047</v>
      </c>
      <c r="E2035" t="s">
        <v>394</v>
      </c>
      <c r="F2035">
        <f>$A$7</f>
        <v>10</v>
      </c>
      <c r="G2035">
        <v>-1</v>
      </c>
      <c r="H2035" t="s">
        <v>478</v>
      </c>
      <c r="I2035" s="17">
        <f t="shared" si="137"/>
        <v>-271877.89793917624</v>
      </c>
      <c r="J2035" t="s">
        <v>519</v>
      </c>
    </row>
    <row r="2036" spans="3:10" x14ac:dyDescent="0.2">
      <c r="C2036" t="s">
        <v>299</v>
      </c>
      <c r="D2036" s="100">
        <v>1.6000000000000001E-4</v>
      </c>
      <c r="E2036" t="s">
        <v>404</v>
      </c>
      <c r="F2036">
        <f>$A$7</f>
        <v>10</v>
      </c>
      <c r="G2036">
        <v>-1</v>
      </c>
      <c r="H2036" t="s">
        <v>488</v>
      </c>
      <c r="I2036" s="17">
        <f t="shared" si="137"/>
        <v>-271.08159575165575</v>
      </c>
      <c r="J2036" t="s">
        <v>519</v>
      </c>
    </row>
    <row r="2037" spans="3:10" x14ac:dyDescent="0.2">
      <c r="C2037" t="s">
        <v>300</v>
      </c>
      <c r="D2037" s="100">
        <v>0.16047</v>
      </c>
      <c r="E2037" t="s">
        <v>405</v>
      </c>
      <c r="F2037">
        <f>$A$7</f>
        <v>10</v>
      </c>
      <c r="G2037">
        <v>-1</v>
      </c>
      <c r="H2037" t="s">
        <v>489</v>
      </c>
      <c r="I2037" s="17">
        <f t="shared" si="137"/>
        <v>-271877.89793917624</v>
      </c>
      <c r="J2037" t="s">
        <v>519</v>
      </c>
    </row>
    <row r="2038" spans="3:10" x14ac:dyDescent="0.2">
      <c r="C2038" t="s">
        <v>301</v>
      </c>
      <c r="D2038" s="100">
        <v>1.6000000000000001E-3</v>
      </c>
      <c r="E2038" t="s">
        <v>406</v>
      </c>
      <c r="F2038">
        <f>$A$6</f>
        <v>100</v>
      </c>
      <c r="G2038">
        <v>-1</v>
      </c>
      <c r="H2038" t="s">
        <v>490</v>
      </c>
      <c r="I2038" s="17">
        <f t="shared" si="137"/>
        <v>-27108.159575165577</v>
      </c>
      <c r="J2038" t="s">
        <v>519</v>
      </c>
    </row>
    <row r="2039" spans="3:10" x14ac:dyDescent="0.2">
      <c r="C2039" t="s">
        <v>302</v>
      </c>
      <c r="D2039" s="100">
        <v>1.6000000000000001E-3</v>
      </c>
      <c r="E2039" t="s">
        <v>407</v>
      </c>
      <c r="F2039">
        <f>$A$6</f>
        <v>100</v>
      </c>
      <c r="G2039">
        <v>-1</v>
      </c>
      <c r="H2039" t="s">
        <v>491</v>
      </c>
      <c r="I2039" s="17">
        <f t="shared" si="137"/>
        <v>-27108.159575165577</v>
      </c>
      <c r="J2039" t="s">
        <v>519</v>
      </c>
    </row>
    <row r="2040" spans="3:10" x14ac:dyDescent="0.2">
      <c r="C2040" t="s">
        <v>303</v>
      </c>
      <c r="D2040" s="100">
        <v>1.6000000000000001E-3</v>
      </c>
      <c r="E2040" t="s">
        <v>408</v>
      </c>
      <c r="F2040">
        <f>$A$7</f>
        <v>10</v>
      </c>
      <c r="G2040">
        <v>-1</v>
      </c>
      <c r="H2040" t="s">
        <v>492</v>
      </c>
      <c r="I2040" s="17">
        <f t="shared" ref="I2040:I2049" si="138">((SUM(B$1943:B$1948)*D2040))*F2040*G2040</f>
        <v>-2710.8159575165573</v>
      </c>
      <c r="J2040" t="s">
        <v>519</v>
      </c>
    </row>
    <row r="2041" spans="3:10" x14ac:dyDescent="0.2">
      <c r="C2041" t="s">
        <v>304</v>
      </c>
      <c r="D2041" s="100">
        <v>1.60467</v>
      </c>
      <c r="E2041" t="s">
        <v>409</v>
      </c>
      <c r="F2041">
        <f>$A$6</f>
        <v>100</v>
      </c>
      <c r="G2041">
        <v>-1</v>
      </c>
      <c r="H2041" t="s">
        <v>493</v>
      </c>
      <c r="I2041" s="17">
        <f t="shared" si="138"/>
        <v>-27187281.515925594</v>
      </c>
      <c r="J2041" t="s">
        <v>519</v>
      </c>
    </row>
    <row r="2042" spans="3:10" x14ac:dyDescent="0.2">
      <c r="C2042" t="s">
        <v>305</v>
      </c>
      <c r="D2042" s="100">
        <v>1.6000000000000001E-3</v>
      </c>
      <c r="E2042" t="s">
        <v>410</v>
      </c>
      <c r="F2042">
        <f>$A$7</f>
        <v>10</v>
      </c>
      <c r="G2042">
        <v>-1</v>
      </c>
      <c r="H2042" t="s">
        <v>494</v>
      </c>
      <c r="I2042" s="17">
        <f t="shared" si="138"/>
        <v>-2710.8159575165573</v>
      </c>
      <c r="J2042" t="s">
        <v>519</v>
      </c>
    </row>
    <row r="2043" spans="3:10" x14ac:dyDescent="0.2">
      <c r="C2043" t="s">
        <v>306</v>
      </c>
      <c r="D2043" s="100">
        <v>1.6049999999999998E-2</v>
      </c>
      <c r="E2043" t="s">
        <v>411</v>
      </c>
      <c r="F2043">
        <f>$A$8</f>
        <v>1</v>
      </c>
      <c r="G2043">
        <v>-1</v>
      </c>
      <c r="H2043" t="s">
        <v>495</v>
      </c>
      <c r="I2043" s="17">
        <f t="shared" si="138"/>
        <v>-2719.2872573837967</v>
      </c>
      <c r="J2043" t="s">
        <v>519</v>
      </c>
    </row>
    <row r="2044" spans="3:10" x14ac:dyDescent="0.2">
      <c r="C2044" t="s">
        <v>307</v>
      </c>
      <c r="D2044" s="100">
        <v>1.6049999999999998E-2</v>
      </c>
      <c r="E2044" t="s">
        <v>411</v>
      </c>
      <c r="F2044">
        <f>$A$8</f>
        <v>1</v>
      </c>
      <c r="G2044">
        <v>-1</v>
      </c>
      <c r="H2044" t="s">
        <v>495</v>
      </c>
      <c r="I2044" s="17">
        <f t="shared" si="138"/>
        <v>-2719.2872573837967</v>
      </c>
      <c r="J2044" t="s">
        <v>519</v>
      </c>
    </row>
    <row r="2045" spans="3:10" x14ac:dyDescent="0.2">
      <c r="C2045" t="s">
        <v>337</v>
      </c>
      <c r="D2045" s="100">
        <v>1.6049999999999998E-2</v>
      </c>
      <c r="E2045" t="s">
        <v>412</v>
      </c>
      <c r="F2045">
        <v>0</v>
      </c>
      <c r="G2045">
        <v>0</v>
      </c>
      <c r="H2045" t="s">
        <v>496</v>
      </c>
      <c r="I2045" s="17">
        <f t="shared" si="138"/>
        <v>0</v>
      </c>
      <c r="J2045" t="s">
        <v>519</v>
      </c>
    </row>
    <row r="2046" spans="3:10" x14ac:dyDescent="0.2">
      <c r="C2046" t="s">
        <v>308</v>
      </c>
      <c r="D2046" s="100">
        <v>1.6000000000000001E-3</v>
      </c>
      <c r="E2046" t="s">
        <v>413</v>
      </c>
      <c r="F2046">
        <f>$A$7</f>
        <v>10</v>
      </c>
      <c r="G2046">
        <v>-1</v>
      </c>
      <c r="H2046" t="s">
        <v>497</v>
      </c>
      <c r="I2046" s="17">
        <f t="shared" si="138"/>
        <v>-2710.8159575165573</v>
      </c>
      <c r="J2046" t="s">
        <v>519</v>
      </c>
    </row>
    <row r="2047" spans="3:10" x14ac:dyDescent="0.2">
      <c r="C2047" t="s">
        <v>309</v>
      </c>
      <c r="D2047" s="100">
        <v>1.6000000000000001E-3</v>
      </c>
      <c r="E2047" t="s">
        <v>413</v>
      </c>
      <c r="F2047">
        <f>$A$7</f>
        <v>10</v>
      </c>
      <c r="G2047">
        <v>-1</v>
      </c>
      <c r="H2047" t="s">
        <v>497</v>
      </c>
      <c r="I2047" s="17">
        <f t="shared" si="138"/>
        <v>-2710.8159575165573</v>
      </c>
      <c r="J2047" t="s">
        <v>519</v>
      </c>
    </row>
    <row r="2048" spans="3:10" x14ac:dyDescent="0.2">
      <c r="C2048" t="s">
        <v>310</v>
      </c>
      <c r="D2048" s="100">
        <v>1.6000000000000001E-3</v>
      </c>
      <c r="E2048" t="s">
        <v>413</v>
      </c>
      <c r="F2048">
        <v>0</v>
      </c>
      <c r="G2048">
        <v>0</v>
      </c>
      <c r="H2048" t="s">
        <v>497</v>
      </c>
      <c r="I2048" s="17">
        <f t="shared" si="138"/>
        <v>0</v>
      </c>
      <c r="J2048" t="s">
        <v>519</v>
      </c>
    </row>
    <row r="2049" spans="1:13" x14ac:dyDescent="0.2">
      <c r="C2049" t="s">
        <v>311</v>
      </c>
      <c r="D2049" s="100">
        <v>1.6000000000000001E-3</v>
      </c>
      <c r="E2049" t="s">
        <v>414</v>
      </c>
      <c r="F2049">
        <f>$A$7</f>
        <v>10</v>
      </c>
      <c r="G2049">
        <v>-1</v>
      </c>
      <c r="H2049" t="s">
        <v>498</v>
      </c>
      <c r="I2049" s="17">
        <f t="shared" si="138"/>
        <v>-2710.8159575165573</v>
      </c>
      <c r="J2049" t="s">
        <v>519</v>
      </c>
    </row>
    <row r="2050" spans="1:13" ht="15" customHeight="1" x14ac:dyDescent="0.2">
      <c r="C2050" s="15"/>
      <c r="D2050" s="15"/>
      <c r="E2050" s="15"/>
    </row>
    <row r="2051" spans="1:13" ht="15" customHeight="1" x14ac:dyDescent="0.2">
      <c r="C2051" s="15"/>
      <c r="D2051" s="15"/>
      <c r="E2051" s="15"/>
    </row>
    <row r="2052" spans="1:13" ht="15" customHeight="1" x14ac:dyDescent="0.2">
      <c r="A2052" s="372" t="s">
        <v>88</v>
      </c>
      <c r="B2052" s="373"/>
      <c r="C2052" s="373"/>
      <c r="D2052" s="373"/>
      <c r="E2052" s="373"/>
      <c r="F2052" s="373"/>
      <c r="G2052" s="373"/>
      <c r="H2052" s="373"/>
      <c r="I2052" s="373"/>
      <c r="J2052" s="373"/>
      <c r="K2052" s="373"/>
      <c r="L2052" s="373"/>
      <c r="M2052" s="373"/>
    </row>
    <row r="2053" spans="1:13" ht="15" customHeight="1" x14ac:dyDescent="0.2">
      <c r="A2053" s="374"/>
      <c r="B2053" s="375"/>
      <c r="C2053" s="375"/>
      <c r="D2053" s="375"/>
      <c r="E2053" s="375"/>
      <c r="F2053" s="375"/>
      <c r="G2053" s="375"/>
      <c r="H2053" s="375"/>
      <c r="I2053" s="375"/>
      <c r="J2053" s="375"/>
      <c r="K2053" s="375"/>
      <c r="L2053" s="375"/>
      <c r="M2053" s="375"/>
    </row>
    <row r="2054" spans="1:13" ht="15" customHeight="1" x14ac:dyDescent="0.2">
      <c r="A2054" s="358" t="s">
        <v>15</v>
      </c>
      <c r="B2054" s="358" t="s">
        <v>1029</v>
      </c>
      <c r="C2054" s="364" t="s">
        <v>523</v>
      </c>
      <c r="D2054" s="364"/>
      <c r="E2054" s="364"/>
      <c r="F2054" s="79" t="s">
        <v>197</v>
      </c>
      <c r="G2054" s="328" t="s">
        <v>421</v>
      </c>
      <c r="H2054" s="329"/>
      <c r="I2054" s="330"/>
      <c r="J2054" s="381" t="s">
        <v>28</v>
      </c>
      <c r="K2054" s="381"/>
      <c r="L2054" s="376" t="s">
        <v>420</v>
      </c>
      <c r="M2054" s="376"/>
    </row>
    <row r="2055" spans="1:13" ht="15" customHeight="1" x14ac:dyDescent="0.2">
      <c r="A2055" s="358"/>
      <c r="B2055" s="358"/>
      <c r="C2055" s="61" t="s">
        <v>522</v>
      </c>
      <c r="D2055" s="61"/>
      <c r="E2055" s="61"/>
      <c r="F2055" s="87" t="s">
        <v>524</v>
      </c>
      <c r="G2055" s="331"/>
      <c r="H2055" s="332"/>
      <c r="I2055" s="333"/>
      <c r="J2055" s="381"/>
      <c r="K2055" s="381"/>
      <c r="L2055" s="376"/>
      <c r="M2055" s="376"/>
    </row>
    <row r="2056" spans="1:13" ht="15" customHeight="1" x14ac:dyDescent="0.2">
      <c r="A2056" s="358"/>
      <c r="B2056" s="358"/>
      <c r="C2056" s="6" t="s">
        <v>317</v>
      </c>
      <c r="D2056" s="58" t="s">
        <v>319</v>
      </c>
      <c r="E2056" s="58" t="s">
        <v>5</v>
      </c>
      <c r="F2056" s="58" t="s">
        <v>319</v>
      </c>
      <c r="G2056" s="64" t="s">
        <v>0</v>
      </c>
      <c r="H2056" s="64" t="s">
        <v>499</v>
      </c>
      <c r="I2056" s="64" t="s">
        <v>5</v>
      </c>
      <c r="J2056" s="64" t="s">
        <v>0</v>
      </c>
      <c r="K2056" s="58" t="s">
        <v>5</v>
      </c>
      <c r="L2056" s="64" t="s">
        <v>0</v>
      </c>
      <c r="M2056" s="58" t="s">
        <v>5</v>
      </c>
    </row>
    <row r="2057" spans="1:13" ht="15" customHeight="1" x14ac:dyDescent="0.2">
      <c r="A2057" s="81" t="s">
        <v>108</v>
      </c>
      <c r="B2057" s="97">
        <f>A2074*Variables!F$12</f>
        <v>6305.6228954102626</v>
      </c>
      <c r="C2057" t="s">
        <v>225</v>
      </c>
      <c r="D2057" s="100">
        <v>1.6000000000000001E-4</v>
      </c>
      <c r="E2057" t="s">
        <v>338</v>
      </c>
      <c r="F2057">
        <v>1.2999999999999999E-4</v>
      </c>
      <c r="G2057">
        <f>$A$6</f>
        <v>100</v>
      </c>
      <c r="H2057">
        <v>-1</v>
      </c>
      <c r="I2057" t="s">
        <v>422</v>
      </c>
      <c r="J2057" s="17">
        <f t="shared" ref="J2057:J2088" si="139">((SUM(B$2057,B$2059:B$2066)*D2057)+(B$2058*F2057))*G2057*H2057</f>
        <v>-31720.229630300804</v>
      </c>
      <c r="K2057" t="s">
        <v>519</v>
      </c>
      <c r="L2057" s="69">
        <f>SUM(J2057:J2162)</f>
        <v>-1919729625.2604549</v>
      </c>
      <c r="M2057" t="s">
        <v>538</v>
      </c>
    </row>
    <row r="2058" spans="1:13" ht="15" customHeight="1" x14ac:dyDescent="0.2">
      <c r="A2058" s="81" t="s">
        <v>197</v>
      </c>
      <c r="B2058" s="97">
        <f>A2075*Variables!F$12</f>
        <v>1178422.3676834365</v>
      </c>
      <c r="C2058" t="s">
        <v>226</v>
      </c>
      <c r="D2058" s="100">
        <v>1.6000000000000001E-4</v>
      </c>
      <c r="E2058" t="s">
        <v>339</v>
      </c>
      <c r="F2058">
        <v>1.2999999999999999E-4</v>
      </c>
      <c r="G2058">
        <f>$A$7</f>
        <v>10</v>
      </c>
      <c r="H2058">
        <v>-1</v>
      </c>
      <c r="I2058" t="s">
        <v>423</v>
      </c>
      <c r="J2058" s="17">
        <f t="shared" si="139"/>
        <v>-3172.0229630300805</v>
      </c>
      <c r="K2058" t="s">
        <v>519</v>
      </c>
    </row>
    <row r="2059" spans="1:13" ht="15" customHeight="1" x14ac:dyDescent="0.2">
      <c r="A2059" s="81" t="s">
        <v>188</v>
      </c>
      <c r="B2059" s="97">
        <f>A2076*Variables!F$12</f>
        <v>1455.143745094676</v>
      </c>
      <c r="C2059" t="s">
        <v>227</v>
      </c>
      <c r="D2059" s="100">
        <v>1.6000000000000001E-3</v>
      </c>
      <c r="E2059" t="s">
        <v>340</v>
      </c>
      <c r="F2059">
        <v>1.2700000000000001E-3</v>
      </c>
      <c r="G2059">
        <f>$A$7</f>
        <v>10</v>
      </c>
      <c r="H2059">
        <v>-1</v>
      </c>
      <c r="I2059" t="s">
        <v>424</v>
      </c>
      <c r="J2059" s="17">
        <f t="shared" si="139"/>
        <v>-31366.702919995776</v>
      </c>
      <c r="K2059" t="s">
        <v>519</v>
      </c>
    </row>
    <row r="2060" spans="1:13" ht="15" customHeight="1" x14ac:dyDescent="0.2">
      <c r="A2060" s="81" t="s">
        <v>198</v>
      </c>
      <c r="B2060" s="97">
        <f>A2077*Variables!F$12</f>
        <v>1849.2464920502991</v>
      </c>
      <c r="C2060" t="s">
        <v>228</v>
      </c>
      <c r="D2060" s="100">
        <v>0.16047</v>
      </c>
      <c r="E2060" t="s">
        <v>341</v>
      </c>
      <c r="F2060">
        <v>0.12681999999999999</v>
      </c>
      <c r="G2060">
        <f>$A$7</f>
        <v>10</v>
      </c>
      <c r="H2060">
        <v>-1</v>
      </c>
      <c r="I2060" t="s">
        <v>425</v>
      </c>
      <c r="J2060" s="17">
        <f t="shared" si="139"/>
        <v>-3139366.8487750562</v>
      </c>
      <c r="K2060" t="s">
        <v>519</v>
      </c>
    </row>
    <row r="2061" spans="1:13" ht="15" customHeight="1" x14ac:dyDescent="0.2">
      <c r="A2061" s="81" t="s">
        <v>113</v>
      </c>
      <c r="B2061" s="97">
        <f>A2078*Variables!F$12</f>
        <v>337860.6788792063</v>
      </c>
      <c r="C2061" t="s">
        <v>229</v>
      </c>
      <c r="D2061" s="100">
        <v>1.6049999999999998E-2</v>
      </c>
      <c r="E2061" t="s">
        <v>342</v>
      </c>
      <c r="F2061">
        <v>1.268E-2</v>
      </c>
      <c r="G2061">
        <f>$A$6</f>
        <v>100</v>
      </c>
      <c r="H2061">
        <v>-1</v>
      </c>
      <c r="I2061" t="s">
        <v>426</v>
      </c>
      <c r="J2061" s="17">
        <f t="shared" si="139"/>
        <v>-3139438.6781549654</v>
      </c>
      <c r="K2061" t="s">
        <v>519</v>
      </c>
    </row>
    <row r="2062" spans="1:13" ht="15" customHeight="1" x14ac:dyDescent="0.2">
      <c r="A2062" s="81" t="s">
        <v>108</v>
      </c>
      <c r="B2062" s="97">
        <f>A2079*Variables!F$12</f>
        <v>1142.7782035787161</v>
      </c>
      <c r="C2062" t="s">
        <v>230</v>
      </c>
      <c r="D2062" s="100">
        <v>0.16047</v>
      </c>
      <c r="E2062" t="s">
        <v>343</v>
      </c>
      <c r="F2062">
        <v>0.12681999999999999</v>
      </c>
      <c r="G2062">
        <f>$A$6</f>
        <v>100</v>
      </c>
      <c r="H2062">
        <v>-1</v>
      </c>
      <c r="I2062" t="s">
        <v>427</v>
      </c>
      <c r="J2062" s="17">
        <f t="shared" si="139"/>
        <v>-31393668.487750564</v>
      </c>
      <c r="K2062" t="s">
        <v>519</v>
      </c>
    </row>
    <row r="2063" spans="1:13" ht="15" customHeight="1" x14ac:dyDescent="0.2">
      <c r="A2063" s="81" t="s">
        <v>199</v>
      </c>
      <c r="B2063" s="97">
        <f>A2080*Variables!F$12</f>
        <v>52.835614058579957</v>
      </c>
      <c r="C2063" t="s">
        <v>231</v>
      </c>
      <c r="D2063" s="100">
        <v>1.60467</v>
      </c>
      <c r="E2063" t="s">
        <v>344</v>
      </c>
      <c r="F2063">
        <v>1.268E-2</v>
      </c>
      <c r="G2063">
        <f>$A$7</f>
        <v>10</v>
      </c>
      <c r="H2063">
        <v>-1</v>
      </c>
      <c r="I2063" t="s">
        <v>428</v>
      </c>
      <c r="J2063" s="17">
        <f t="shared" si="139"/>
        <v>-16598032.463158041</v>
      </c>
      <c r="K2063" t="s">
        <v>519</v>
      </c>
    </row>
    <row r="2064" spans="1:13" ht="15" customHeight="1" x14ac:dyDescent="0.2">
      <c r="A2064" s="81" t="s">
        <v>113</v>
      </c>
      <c r="B2064" s="97">
        <f>A2081*Variables!F$12</f>
        <v>337860.6788792063</v>
      </c>
      <c r="C2064" t="s">
        <v>232</v>
      </c>
      <c r="D2064" s="100">
        <v>1.6000000000000001E-4</v>
      </c>
      <c r="E2064" t="s">
        <v>345</v>
      </c>
      <c r="F2064">
        <v>1.2999999999999999E-4</v>
      </c>
      <c r="G2064">
        <f>$A$7</f>
        <v>10</v>
      </c>
      <c r="H2064">
        <v>-1</v>
      </c>
      <c r="I2064" t="s">
        <v>429</v>
      </c>
      <c r="J2064" s="17">
        <f t="shared" si="139"/>
        <v>-3172.0229630300805</v>
      </c>
      <c r="K2064" t="s">
        <v>519</v>
      </c>
    </row>
    <row r="2065" spans="1:11" ht="15" customHeight="1" x14ac:dyDescent="0.2">
      <c r="A2065" s="81" t="s">
        <v>189</v>
      </c>
      <c r="B2065" s="97">
        <f>A2082*Variables!F$12</f>
        <v>337862.84620028606</v>
      </c>
      <c r="C2065" t="s">
        <v>233</v>
      </c>
      <c r="D2065" s="100">
        <v>1.6000000000000001E-4</v>
      </c>
      <c r="E2065" t="s">
        <v>345</v>
      </c>
      <c r="F2065">
        <v>1.2999999999999999E-4</v>
      </c>
      <c r="G2065">
        <f>$A$7</f>
        <v>10</v>
      </c>
      <c r="H2065">
        <v>-1</v>
      </c>
      <c r="I2065" t="s">
        <v>429</v>
      </c>
      <c r="J2065" s="17">
        <f t="shared" si="139"/>
        <v>-3172.0229630300805</v>
      </c>
      <c r="K2065" t="s">
        <v>519</v>
      </c>
    </row>
    <row r="2066" spans="1:11" ht="15" customHeight="1" x14ac:dyDescent="0.2">
      <c r="A2066" s="81" t="s">
        <v>190</v>
      </c>
      <c r="B2066" s="97">
        <f>A2083*Variables!F$12</f>
        <v>656.34724211696505</v>
      </c>
      <c r="C2066" t="s">
        <v>320</v>
      </c>
      <c r="D2066" s="100">
        <v>0</v>
      </c>
      <c r="E2066" t="s">
        <v>344</v>
      </c>
      <c r="F2066">
        <v>1.2999999999999999E-4</v>
      </c>
      <c r="G2066">
        <f>$A$6</f>
        <v>100</v>
      </c>
      <c r="H2066">
        <v>-1</v>
      </c>
      <c r="I2066" t="s">
        <v>428</v>
      </c>
      <c r="J2066" s="17">
        <f t="shared" si="139"/>
        <v>-15319.490779884674</v>
      </c>
      <c r="K2066" t="s">
        <v>519</v>
      </c>
    </row>
    <row r="2067" spans="1:11" ht="15" customHeight="1" x14ac:dyDescent="0.2">
      <c r="A2067" s="98" t="s">
        <v>9</v>
      </c>
      <c r="B2067" s="97">
        <f>A2084*Variables!F$12</f>
        <v>2203468.5458344449</v>
      </c>
      <c r="C2067" t="s">
        <v>321</v>
      </c>
      <c r="D2067" s="100">
        <v>0</v>
      </c>
      <c r="E2067" t="s">
        <v>344</v>
      </c>
      <c r="F2067">
        <v>1.2999999999999999E-4</v>
      </c>
      <c r="G2067">
        <f>$A$6</f>
        <v>100</v>
      </c>
      <c r="H2067">
        <v>-1</v>
      </c>
      <c r="I2067" t="s">
        <v>428</v>
      </c>
      <c r="J2067" s="17">
        <f t="shared" si="139"/>
        <v>-15319.490779884674</v>
      </c>
      <c r="K2067" t="s">
        <v>519</v>
      </c>
    </row>
    <row r="2068" spans="1:11" ht="15" customHeight="1" x14ac:dyDescent="0.2">
      <c r="C2068" t="s">
        <v>234</v>
      </c>
      <c r="D2068" s="100">
        <v>0</v>
      </c>
      <c r="E2068" t="s">
        <v>344</v>
      </c>
      <c r="F2068">
        <v>1.2999999999999999E-4</v>
      </c>
      <c r="G2068">
        <v>0</v>
      </c>
      <c r="H2068">
        <v>0</v>
      </c>
      <c r="I2068" t="s">
        <v>428</v>
      </c>
      <c r="J2068" s="17">
        <f t="shared" si="139"/>
        <v>0</v>
      </c>
      <c r="K2068" t="s">
        <v>519</v>
      </c>
    </row>
    <row r="2069" spans="1:11" ht="15" customHeight="1" x14ac:dyDescent="0.2">
      <c r="C2069" t="s">
        <v>235</v>
      </c>
      <c r="D2069" s="100">
        <v>0.16047</v>
      </c>
      <c r="E2069" t="s">
        <v>346</v>
      </c>
      <c r="F2069">
        <v>0.12681999999999999</v>
      </c>
      <c r="G2069">
        <f>$A$8</f>
        <v>1</v>
      </c>
      <c r="H2069">
        <v>1</v>
      </c>
      <c r="I2069" t="s">
        <v>430</v>
      </c>
      <c r="J2069" s="17">
        <f t="shared" si="139"/>
        <v>313936.68487750564</v>
      </c>
      <c r="K2069" t="s">
        <v>519</v>
      </c>
    </row>
    <row r="2070" spans="1:11" ht="15" customHeight="1" x14ac:dyDescent="0.2">
      <c r="C2070" t="s">
        <v>236</v>
      </c>
      <c r="D2070" s="100">
        <v>1.6000000000000001E-4</v>
      </c>
      <c r="E2070" t="s">
        <v>347</v>
      </c>
      <c r="F2070">
        <v>1.2999999999999999E-4</v>
      </c>
      <c r="G2070">
        <f>$A$7</f>
        <v>10</v>
      </c>
      <c r="H2070">
        <v>-1</v>
      </c>
      <c r="I2070" t="s">
        <v>431</v>
      </c>
      <c r="J2070" s="17">
        <f t="shared" si="139"/>
        <v>-3172.0229630300805</v>
      </c>
      <c r="K2070" t="s">
        <v>519</v>
      </c>
    </row>
    <row r="2071" spans="1:11" ht="15" customHeight="1" x14ac:dyDescent="0.2">
      <c r="A2071" s="358" t="s">
        <v>1199</v>
      </c>
      <c r="C2071" t="s">
        <v>237</v>
      </c>
      <c r="D2071" s="100">
        <v>0.16047</v>
      </c>
      <c r="E2071" t="s">
        <v>348</v>
      </c>
      <c r="F2071">
        <v>0.12681999999999999</v>
      </c>
      <c r="G2071">
        <f>$A$6</f>
        <v>100</v>
      </c>
      <c r="H2071">
        <v>-1</v>
      </c>
      <c r="I2071" t="s">
        <v>432</v>
      </c>
      <c r="J2071" s="17">
        <f t="shared" si="139"/>
        <v>-31393668.487750564</v>
      </c>
      <c r="K2071" t="s">
        <v>519</v>
      </c>
    </row>
    <row r="2072" spans="1:11" ht="15" customHeight="1" x14ac:dyDescent="0.2">
      <c r="A2072" s="358"/>
      <c r="C2072" t="s">
        <v>238</v>
      </c>
      <c r="D2072" s="100">
        <v>0</v>
      </c>
      <c r="E2072" t="s">
        <v>349</v>
      </c>
      <c r="F2072">
        <v>0</v>
      </c>
      <c r="G2072">
        <f>$A$7</f>
        <v>10</v>
      </c>
      <c r="H2072">
        <v>-1</v>
      </c>
      <c r="I2072" t="s">
        <v>433</v>
      </c>
      <c r="J2072" s="17">
        <f t="shared" si="139"/>
        <v>0</v>
      </c>
      <c r="K2072" t="s">
        <v>519</v>
      </c>
    </row>
    <row r="2073" spans="1:11" ht="15" customHeight="1" x14ac:dyDescent="0.2">
      <c r="A2073" s="358"/>
      <c r="C2073" t="s">
        <v>239</v>
      </c>
      <c r="D2073" s="100">
        <v>1.6000000000000001E-3</v>
      </c>
      <c r="E2073" t="s">
        <v>348</v>
      </c>
      <c r="F2073">
        <v>1.2700000000000001E-3</v>
      </c>
      <c r="G2073">
        <f>$A$6</f>
        <v>100</v>
      </c>
      <c r="H2073">
        <v>-1</v>
      </c>
      <c r="I2073" t="s">
        <v>432</v>
      </c>
      <c r="J2073" s="17">
        <f t="shared" si="139"/>
        <v>-313667.02919995779</v>
      </c>
      <c r="K2073" t="s">
        <v>519</v>
      </c>
    </row>
    <row r="2074" spans="1:11" ht="15" customHeight="1" x14ac:dyDescent="0.2">
      <c r="A2074" s="97">
        <v>0.78820286192628286</v>
      </c>
      <c r="C2074" t="s">
        <v>240</v>
      </c>
      <c r="D2074" s="100">
        <v>0</v>
      </c>
      <c r="E2074" t="s">
        <v>348</v>
      </c>
      <c r="F2074">
        <v>0</v>
      </c>
      <c r="G2074">
        <f>$A$6</f>
        <v>100</v>
      </c>
      <c r="H2074">
        <v>-1</v>
      </c>
      <c r="I2074" t="s">
        <v>432</v>
      </c>
      <c r="J2074" s="17">
        <f t="shared" si="139"/>
        <v>0</v>
      </c>
      <c r="K2074" t="s">
        <v>519</v>
      </c>
    </row>
    <row r="2075" spans="1:11" ht="15" customHeight="1" x14ac:dyDescent="0.2">
      <c r="A2075" s="97">
        <v>147.30279596042956</v>
      </c>
      <c r="C2075" t="s">
        <v>241</v>
      </c>
      <c r="D2075" s="100">
        <v>0</v>
      </c>
      <c r="E2075" t="s">
        <v>350</v>
      </c>
      <c r="F2075">
        <v>0</v>
      </c>
      <c r="G2075">
        <f>$A$6</f>
        <v>100</v>
      </c>
      <c r="H2075">
        <v>-1</v>
      </c>
      <c r="I2075" t="s">
        <v>434</v>
      </c>
      <c r="J2075" s="17">
        <f t="shared" si="139"/>
        <v>0</v>
      </c>
      <c r="K2075" t="s">
        <v>519</v>
      </c>
    </row>
    <row r="2076" spans="1:11" ht="15" customHeight="1" x14ac:dyDescent="0.2">
      <c r="A2076" s="97">
        <v>0.1818929681368345</v>
      </c>
      <c r="C2076" t="s">
        <v>242</v>
      </c>
      <c r="D2076" s="100">
        <v>0</v>
      </c>
      <c r="E2076" t="s">
        <v>351</v>
      </c>
      <c r="F2076">
        <v>0</v>
      </c>
      <c r="G2076">
        <f>$A$8</f>
        <v>1</v>
      </c>
      <c r="H2076">
        <v>1</v>
      </c>
      <c r="I2076" t="s">
        <v>435</v>
      </c>
      <c r="J2076" s="17">
        <f t="shared" si="139"/>
        <v>0</v>
      </c>
      <c r="K2076" t="s">
        <v>519</v>
      </c>
    </row>
    <row r="2077" spans="1:11" ht="15" customHeight="1" x14ac:dyDescent="0.2">
      <c r="A2077" s="97">
        <v>0.23115581150628739</v>
      </c>
      <c r="C2077" t="s">
        <v>243</v>
      </c>
      <c r="D2077" s="100">
        <v>1.6000000000000001E-3</v>
      </c>
      <c r="E2077" t="s">
        <v>352</v>
      </c>
      <c r="F2077">
        <v>1.268E-2</v>
      </c>
      <c r="G2077">
        <f>$A$6</f>
        <v>100</v>
      </c>
      <c r="H2077">
        <v>-1</v>
      </c>
      <c r="I2077" t="s">
        <v>436</v>
      </c>
      <c r="J2077" s="17">
        <f t="shared" si="139"/>
        <v>-1658246.9507267589</v>
      </c>
      <c r="K2077" t="s">
        <v>519</v>
      </c>
    </row>
    <row r="2078" spans="1:11" ht="15" customHeight="1" x14ac:dyDescent="0.2">
      <c r="A2078" s="97">
        <v>42.23258485990079</v>
      </c>
      <c r="C2078" t="s">
        <v>244</v>
      </c>
      <c r="D2078" s="100">
        <v>1.6000000000000001E-3</v>
      </c>
      <c r="E2078" t="s">
        <v>353</v>
      </c>
      <c r="F2078">
        <v>1.2700000000000001E-3</v>
      </c>
      <c r="G2078">
        <v>0</v>
      </c>
      <c r="H2078">
        <v>0</v>
      </c>
      <c r="I2078" t="s">
        <v>437</v>
      </c>
      <c r="J2078" s="17">
        <f t="shared" si="139"/>
        <v>0</v>
      </c>
      <c r="K2078" t="s">
        <v>519</v>
      </c>
    </row>
    <row r="2079" spans="1:11" ht="15" customHeight="1" x14ac:dyDescent="0.2">
      <c r="A2079" s="97">
        <v>0.14284727544733952</v>
      </c>
      <c r="C2079" t="s">
        <v>245</v>
      </c>
      <c r="D2079" s="100">
        <v>1.6000000000000001E-4</v>
      </c>
      <c r="E2079" t="s">
        <v>351</v>
      </c>
      <c r="F2079">
        <v>1.2999999999999999E-4</v>
      </c>
      <c r="G2079">
        <f t="shared" ref="G2079:G2084" si="140">$A$7</f>
        <v>10</v>
      </c>
      <c r="H2079">
        <v>-1</v>
      </c>
      <c r="I2079" t="s">
        <v>435</v>
      </c>
      <c r="J2079" s="17">
        <f t="shared" si="139"/>
        <v>-3172.0229630300805</v>
      </c>
      <c r="K2079" t="s">
        <v>519</v>
      </c>
    </row>
    <row r="2080" spans="1:11" ht="15" customHeight="1" x14ac:dyDescent="0.2">
      <c r="A2080" s="97">
        <v>6.6044517573224945E-3</v>
      </c>
      <c r="C2080" t="s">
        <v>246</v>
      </c>
      <c r="D2080" s="100">
        <v>1.6049999999999998E-2</v>
      </c>
      <c r="E2080" t="s">
        <v>354</v>
      </c>
      <c r="F2080">
        <v>1.268E-2</v>
      </c>
      <c r="G2080">
        <f t="shared" si="140"/>
        <v>10</v>
      </c>
      <c r="H2080">
        <v>-1</v>
      </c>
      <c r="I2080" t="s">
        <v>438</v>
      </c>
      <c r="J2080" s="17">
        <f t="shared" si="139"/>
        <v>-313943.86781549657</v>
      </c>
      <c r="K2080" t="s">
        <v>519</v>
      </c>
    </row>
    <row r="2081" spans="1:11" ht="15" customHeight="1" x14ac:dyDescent="0.2">
      <c r="A2081" s="97">
        <v>42.23258485990079</v>
      </c>
      <c r="C2081" t="s">
        <v>247</v>
      </c>
      <c r="D2081" s="100">
        <v>1.60467</v>
      </c>
      <c r="E2081" t="s">
        <v>354</v>
      </c>
      <c r="F2081">
        <v>1.26824</v>
      </c>
      <c r="G2081">
        <f t="shared" si="140"/>
        <v>10</v>
      </c>
      <c r="H2081">
        <v>-1</v>
      </c>
      <c r="I2081" t="s">
        <v>438</v>
      </c>
      <c r="J2081" s="17">
        <f t="shared" si="139"/>
        <v>-31393832.342844196</v>
      </c>
      <c r="K2081" t="s">
        <v>519</v>
      </c>
    </row>
    <row r="2082" spans="1:11" ht="15" customHeight="1" x14ac:dyDescent="0.2">
      <c r="A2082" s="97">
        <v>42.232855775035759</v>
      </c>
      <c r="C2082" t="s">
        <v>248</v>
      </c>
      <c r="D2082" s="100">
        <v>1.60467</v>
      </c>
      <c r="E2082" t="s">
        <v>350</v>
      </c>
      <c r="F2082">
        <v>1.26824</v>
      </c>
      <c r="G2082">
        <f t="shared" si="140"/>
        <v>10</v>
      </c>
      <c r="H2082">
        <v>-1</v>
      </c>
      <c r="I2082" t="s">
        <v>434</v>
      </c>
      <c r="J2082" s="17">
        <f t="shared" si="139"/>
        <v>-31393832.342844196</v>
      </c>
      <c r="K2082" t="s">
        <v>519</v>
      </c>
    </row>
    <row r="2083" spans="1:11" ht="15" customHeight="1" x14ac:dyDescent="0.2">
      <c r="A2083" s="97">
        <v>8.2043405264620631E-2</v>
      </c>
      <c r="C2083" t="s">
        <v>322</v>
      </c>
      <c r="D2083" s="100">
        <v>1.60467</v>
      </c>
      <c r="E2083" t="s">
        <v>355</v>
      </c>
      <c r="F2083">
        <v>1.26824</v>
      </c>
      <c r="G2083">
        <f t="shared" si="140"/>
        <v>10</v>
      </c>
      <c r="H2083">
        <v>-1</v>
      </c>
      <c r="I2083" t="s">
        <v>439</v>
      </c>
      <c r="J2083" s="17">
        <f t="shared" si="139"/>
        <v>-31393832.342844196</v>
      </c>
      <c r="K2083" t="s">
        <v>519</v>
      </c>
    </row>
    <row r="2084" spans="1:11" ht="15" customHeight="1" x14ac:dyDescent="0.2">
      <c r="A2084" s="97">
        <v>275.43356822930559</v>
      </c>
      <c r="C2084" t="s">
        <v>249</v>
      </c>
      <c r="D2084" s="100">
        <v>0.16047</v>
      </c>
      <c r="E2084" t="s">
        <v>356</v>
      </c>
      <c r="F2084">
        <v>0.12681999999999999</v>
      </c>
      <c r="G2084">
        <f t="shared" si="140"/>
        <v>10</v>
      </c>
      <c r="H2084">
        <v>-1</v>
      </c>
      <c r="I2084" t="s">
        <v>440</v>
      </c>
      <c r="J2084" s="17">
        <f t="shared" si="139"/>
        <v>-3139366.8487750562</v>
      </c>
      <c r="K2084" t="s">
        <v>519</v>
      </c>
    </row>
    <row r="2085" spans="1:11" ht="15" customHeight="1" x14ac:dyDescent="0.2">
      <c r="C2085" t="s">
        <v>323</v>
      </c>
      <c r="D2085" s="100">
        <v>1.6000000000000001E-3</v>
      </c>
      <c r="E2085" t="s">
        <v>357</v>
      </c>
      <c r="F2085">
        <v>1.2700000000000001E-3</v>
      </c>
      <c r="G2085">
        <f>$A$6</f>
        <v>100</v>
      </c>
      <c r="H2085">
        <v>-1</v>
      </c>
      <c r="I2085" t="s">
        <v>441</v>
      </c>
      <c r="J2085" s="17">
        <f t="shared" si="139"/>
        <v>-313667.02919995779</v>
      </c>
      <c r="K2085" t="s">
        <v>519</v>
      </c>
    </row>
    <row r="2086" spans="1:11" ht="15" customHeight="1" x14ac:dyDescent="0.2">
      <c r="C2086" t="s">
        <v>324</v>
      </c>
      <c r="D2086" s="100">
        <v>1.6000000000000001E-3</v>
      </c>
      <c r="E2086" t="s">
        <v>357</v>
      </c>
      <c r="F2086">
        <v>1.2700000000000001E-3</v>
      </c>
      <c r="G2086">
        <f>$A$6</f>
        <v>100</v>
      </c>
      <c r="H2086">
        <v>-1</v>
      </c>
      <c r="I2086" t="s">
        <v>441</v>
      </c>
      <c r="J2086" s="17">
        <f t="shared" si="139"/>
        <v>-313667.02919995779</v>
      </c>
      <c r="K2086" t="s">
        <v>519</v>
      </c>
    </row>
    <row r="2087" spans="1:11" ht="15" customHeight="1" x14ac:dyDescent="0.2">
      <c r="C2087" t="s">
        <v>250</v>
      </c>
      <c r="D2087" s="100">
        <v>1.6000000000000001E-3</v>
      </c>
      <c r="E2087" t="s">
        <v>358</v>
      </c>
      <c r="F2087">
        <v>1.2700000000000001E-3</v>
      </c>
      <c r="G2087">
        <f>$A$7</f>
        <v>10</v>
      </c>
      <c r="H2087">
        <v>1</v>
      </c>
      <c r="I2087" t="s">
        <v>442</v>
      </c>
      <c r="J2087" s="17">
        <f t="shared" si="139"/>
        <v>31366.702919995776</v>
      </c>
      <c r="K2087" t="s">
        <v>519</v>
      </c>
    </row>
    <row r="2088" spans="1:11" ht="15" customHeight="1" x14ac:dyDescent="0.2">
      <c r="C2088" t="s">
        <v>251</v>
      </c>
      <c r="D2088" s="100">
        <v>0</v>
      </c>
      <c r="E2088" t="s">
        <v>359</v>
      </c>
      <c r="F2088">
        <v>0</v>
      </c>
      <c r="G2088">
        <f>$A$6</f>
        <v>100</v>
      </c>
      <c r="H2088">
        <v>-1</v>
      </c>
      <c r="I2088" t="s">
        <v>443</v>
      </c>
      <c r="J2088" s="17">
        <f t="shared" si="139"/>
        <v>0</v>
      </c>
      <c r="K2088" t="s">
        <v>519</v>
      </c>
    </row>
    <row r="2089" spans="1:11" ht="15" customHeight="1" x14ac:dyDescent="0.2">
      <c r="C2089" t="s">
        <v>252</v>
      </c>
      <c r="D2089" s="100">
        <v>0.16047</v>
      </c>
      <c r="E2089" t="s">
        <v>360</v>
      </c>
      <c r="F2089">
        <v>0.12681999999999999</v>
      </c>
      <c r="G2089">
        <f>$A$7</f>
        <v>10</v>
      </c>
      <c r="H2089">
        <v>-1</v>
      </c>
      <c r="I2089" t="s">
        <v>444</v>
      </c>
      <c r="J2089" s="17">
        <f t="shared" ref="J2089:J2120" si="141">((SUM(B$2057,B$2059:B$2066)*D2089)+(B$2058*F2089))*G2089*H2089</f>
        <v>-3139366.8487750562</v>
      </c>
      <c r="K2089" t="s">
        <v>519</v>
      </c>
    </row>
    <row r="2090" spans="1:11" ht="15" customHeight="1" x14ac:dyDescent="0.2">
      <c r="C2090" t="s">
        <v>253</v>
      </c>
      <c r="D2090" s="100">
        <v>1.6049999999999998E-2</v>
      </c>
      <c r="E2090" t="s">
        <v>361</v>
      </c>
      <c r="F2090">
        <v>1.268E-2</v>
      </c>
      <c r="G2090">
        <f>$A$7</f>
        <v>10</v>
      </c>
      <c r="H2090">
        <v>-1</v>
      </c>
      <c r="I2090" t="s">
        <v>445</v>
      </c>
      <c r="J2090" s="17">
        <f t="shared" si="141"/>
        <v>-313943.86781549657</v>
      </c>
      <c r="K2090" t="s">
        <v>519</v>
      </c>
    </row>
    <row r="2091" spans="1:11" ht="15" customHeight="1" x14ac:dyDescent="0.2">
      <c r="C2091" t="s">
        <v>325</v>
      </c>
      <c r="D2091" s="100">
        <v>1.6000000000000001E-3</v>
      </c>
      <c r="E2091" t="s">
        <v>362</v>
      </c>
      <c r="F2091">
        <v>1.2700000000000001E-3</v>
      </c>
      <c r="G2091">
        <f>$A$6</f>
        <v>100</v>
      </c>
      <c r="H2091">
        <v>-1</v>
      </c>
      <c r="I2091" t="s">
        <v>446</v>
      </c>
      <c r="J2091" s="17">
        <f t="shared" si="141"/>
        <v>-313667.02919995779</v>
      </c>
      <c r="K2091" t="s">
        <v>519</v>
      </c>
    </row>
    <row r="2092" spans="1:11" ht="15" customHeight="1" x14ac:dyDescent="0.2">
      <c r="C2092" t="s">
        <v>254</v>
      </c>
      <c r="D2092" s="100">
        <v>1.6000000000000001E-3</v>
      </c>
      <c r="E2092" t="s">
        <v>363</v>
      </c>
      <c r="F2092">
        <v>1.2700000000000001E-3</v>
      </c>
      <c r="G2092">
        <f>$A$7</f>
        <v>10</v>
      </c>
      <c r="H2092">
        <v>-1</v>
      </c>
      <c r="I2092" t="s">
        <v>447</v>
      </c>
      <c r="J2092" s="17">
        <f t="shared" si="141"/>
        <v>-31366.702919995776</v>
      </c>
      <c r="K2092" t="s">
        <v>519</v>
      </c>
    </row>
    <row r="2093" spans="1:11" ht="15" customHeight="1" x14ac:dyDescent="0.2">
      <c r="C2093" t="s">
        <v>255</v>
      </c>
      <c r="D2093" s="100">
        <v>0</v>
      </c>
      <c r="E2093" t="s">
        <v>364</v>
      </c>
      <c r="F2093">
        <v>0</v>
      </c>
      <c r="G2093">
        <f>$A$7</f>
        <v>10</v>
      </c>
      <c r="H2093">
        <v>-1</v>
      </c>
      <c r="I2093" t="s">
        <v>448</v>
      </c>
      <c r="J2093" s="17">
        <f t="shared" si="141"/>
        <v>0</v>
      </c>
      <c r="K2093" t="s">
        <v>519</v>
      </c>
    </row>
    <row r="2094" spans="1:11" ht="15" customHeight="1" x14ac:dyDescent="0.2">
      <c r="C2094" t="s">
        <v>256</v>
      </c>
      <c r="D2094" s="100">
        <v>1.6000000000000001E-3</v>
      </c>
      <c r="E2094" t="s">
        <v>365</v>
      </c>
      <c r="F2094">
        <v>1.2700000000000001E-3</v>
      </c>
      <c r="G2094">
        <f>$A$7</f>
        <v>10</v>
      </c>
      <c r="H2094">
        <v>-1</v>
      </c>
      <c r="I2094" t="s">
        <v>449</v>
      </c>
      <c r="J2094" s="17">
        <f t="shared" si="141"/>
        <v>-31366.702919995776</v>
      </c>
      <c r="K2094" t="s">
        <v>519</v>
      </c>
    </row>
    <row r="2095" spans="1:11" ht="15" customHeight="1" x14ac:dyDescent="0.2">
      <c r="C2095" t="s">
        <v>257</v>
      </c>
      <c r="D2095" s="100">
        <v>1.60467</v>
      </c>
      <c r="E2095" t="s">
        <v>366</v>
      </c>
      <c r="F2095">
        <v>1.26824</v>
      </c>
      <c r="G2095">
        <f>$A$6</f>
        <v>100</v>
      </c>
      <c r="H2095">
        <v>-1</v>
      </c>
      <c r="I2095" t="s">
        <v>450</v>
      </c>
      <c r="J2095" s="17">
        <f t="shared" si="141"/>
        <v>-313938323.42844194</v>
      </c>
      <c r="K2095" t="s">
        <v>519</v>
      </c>
    </row>
    <row r="2096" spans="1:11" ht="15" customHeight="1" x14ac:dyDescent="0.2">
      <c r="C2096" t="s">
        <v>258</v>
      </c>
      <c r="D2096" s="100">
        <v>0.16047</v>
      </c>
      <c r="E2096" t="s">
        <v>367</v>
      </c>
      <c r="F2096">
        <v>0.12681999999999999</v>
      </c>
      <c r="G2096">
        <f>$A$6</f>
        <v>100</v>
      </c>
      <c r="H2096">
        <v>-1</v>
      </c>
      <c r="I2096" t="s">
        <v>451</v>
      </c>
      <c r="J2096" s="17">
        <f t="shared" si="141"/>
        <v>-31393668.487750564</v>
      </c>
      <c r="K2096" t="s">
        <v>519</v>
      </c>
    </row>
    <row r="2097" spans="3:11" ht="15" customHeight="1" x14ac:dyDescent="0.2">
      <c r="C2097" t="s">
        <v>326</v>
      </c>
      <c r="D2097" s="100">
        <v>1.6000000000000001E-3</v>
      </c>
      <c r="E2097" t="s">
        <v>365</v>
      </c>
      <c r="F2097">
        <v>1.2700000000000001E-3</v>
      </c>
      <c r="G2097">
        <v>0</v>
      </c>
      <c r="H2097">
        <v>0</v>
      </c>
      <c r="I2097" t="s">
        <v>449</v>
      </c>
      <c r="J2097" s="17">
        <f t="shared" si="141"/>
        <v>0</v>
      </c>
      <c r="K2097" t="s">
        <v>519</v>
      </c>
    </row>
    <row r="2098" spans="3:11" ht="15" customHeight="1" x14ac:dyDescent="0.2">
      <c r="C2098" t="s">
        <v>259</v>
      </c>
      <c r="D2098" s="100">
        <v>1.6049999999999998E-2</v>
      </c>
      <c r="E2098" t="s">
        <v>368</v>
      </c>
      <c r="F2098">
        <v>1.268E-2</v>
      </c>
      <c r="G2098">
        <f>$A$6</f>
        <v>100</v>
      </c>
      <c r="H2098">
        <v>-1</v>
      </c>
      <c r="I2098" t="s">
        <v>452</v>
      </c>
      <c r="J2098" s="17">
        <f t="shared" si="141"/>
        <v>-3139438.6781549654</v>
      </c>
      <c r="K2098" t="s">
        <v>519</v>
      </c>
    </row>
    <row r="2099" spans="3:11" ht="15" customHeight="1" x14ac:dyDescent="0.2">
      <c r="C2099" t="s">
        <v>260</v>
      </c>
      <c r="D2099" s="100">
        <v>0</v>
      </c>
      <c r="E2099" t="s">
        <v>368</v>
      </c>
      <c r="F2099">
        <v>0</v>
      </c>
      <c r="G2099">
        <v>0</v>
      </c>
      <c r="H2099">
        <v>0</v>
      </c>
      <c r="I2099" t="s">
        <v>452</v>
      </c>
      <c r="J2099" s="17">
        <f t="shared" si="141"/>
        <v>0</v>
      </c>
      <c r="K2099" t="s">
        <v>519</v>
      </c>
    </row>
    <row r="2100" spans="3:11" ht="15" customHeight="1" x14ac:dyDescent="0.2">
      <c r="C2100" t="s">
        <v>327</v>
      </c>
      <c r="D2100" s="100">
        <v>1.6000000000000001E-4</v>
      </c>
      <c r="E2100" t="s">
        <v>368</v>
      </c>
      <c r="F2100">
        <v>1.2999999999999999E-4</v>
      </c>
      <c r="G2100">
        <f>$A$6</f>
        <v>100</v>
      </c>
      <c r="H2100">
        <v>-1</v>
      </c>
      <c r="I2100" t="s">
        <v>452</v>
      </c>
      <c r="J2100" s="17">
        <f t="shared" si="141"/>
        <v>-31720.229630300804</v>
      </c>
      <c r="K2100" t="s">
        <v>519</v>
      </c>
    </row>
    <row r="2101" spans="3:11" ht="15" customHeight="1" x14ac:dyDescent="0.2">
      <c r="C2101" t="s">
        <v>328</v>
      </c>
      <c r="D2101" s="100">
        <v>1.6000000000000001E-4</v>
      </c>
      <c r="E2101" t="s">
        <v>368</v>
      </c>
      <c r="F2101">
        <v>1.2999999999999999E-4</v>
      </c>
      <c r="G2101">
        <v>0</v>
      </c>
      <c r="H2101">
        <v>0</v>
      </c>
      <c r="I2101" t="s">
        <v>452</v>
      </c>
      <c r="J2101" s="17">
        <f t="shared" si="141"/>
        <v>0</v>
      </c>
      <c r="K2101" t="s">
        <v>519</v>
      </c>
    </row>
    <row r="2102" spans="3:11" ht="15" customHeight="1" x14ac:dyDescent="0.2">
      <c r="C2102" t="s">
        <v>261</v>
      </c>
      <c r="D2102" s="100">
        <v>0.16047</v>
      </c>
      <c r="E2102" t="s">
        <v>369</v>
      </c>
      <c r="F2102">
        <v>0.12681999999999999</v>
      </c>
      <c r="G2102">
        <f>$A$6</f>
        <v>100</v>
      </c>
      <c r="H2102">
        <v>-1</v>
      </c>
      <c r="I2102" t="s">
        <v>453</v>
      </c>
      <c r="J2102" s="17">
        <f t="shared" si="141"/>
        <v>-31393668.487750564</v>
      </c>
      <c r="K2102" t="s">
        <v>519</v>
      </c>
    </row>
    <row r="2103" spans="3:11" ht="15" customHeight="1" x14ac:dyDescent="0.2">
      <c r="C2103" t="s">
        <v>263</v>
      </c>
      <c r="D2103" s="100">
        <v>1.6000000000000001E-4</v>
      </c>
      <c r="E2103" t="s">
        <v>370</v>
      </c>
      <c r="F2103">
        <v>1.2999999999999999E-4</v>
      </c>
      <c r="G2103">
        <f>$A$6</f>
        <v>100</v>
      </c>
      <c r="H2103">
        <v>-1</v>
      </c>
      <c r="I2103" t="s">
        <v>454</v>
      </c>
      <c r="J2103" s="17">
        <f t="shared" si="141"/>
        <v>-31720.229630300804</v>
      </c>
      <c r="K2103" t="s">
        <v>519</v>
      </c>
    </row>
    <row r="2104" spans="3:11" ht="15" customHeight="1" x14ac:dyDescent="0.2">
      <c r="C2104" t="s">
        <v>262</v>
      </c>
      <c r="D2104" s="100">
        <v>1.6000000000000001E-4</v>
      </c>
      <c r="E2104" t="s">
        <v>370</v>
      </c>
      <c r="F2104">
        <v>1.2999999999999999E-4</v>
      </c>
      <c r="G2104">
        <f>$A$6</f>
        <v>100</v>
      </c>
      <c r="H2104">
        <v>-1</v>
      </c>
      <c r="I2104" t="s">
        <v>454</v>
      </c>
      <c r="J2104" s="17">
        <f t="shared" si="141"/>
        <v>-31720.229630300804</v>
      </c>
      <c r="K2104" t="s">
        <v>519</v>
      </c>
    </row>
    <row r="2105" spans="3:11" ht="15" customHeight="1" x14ac:dyDescent="0.2">
      <c r="C2105" t="s">
        <v>264</v>
      </c>
      <c r="D2105" s="100">
        <v>1.6000000000000001E-3</v>
      </c>
      <c r="E2105" t="s">
        <v>371</v>
      </c>
      <c r="F2105">
        <v>1.2700000000000001E-3</v>
      </c>
      <c r="G2105">
        <f>$A$7</f>
        <v>10</v>
      </c>
      <c r="H2105">
        <v>-1</v>
      </c>
      <c r="I2105" t="s">
        <v>455</v>
      </c>
      <c r="J2105" s="17">
        <f t="shared" si="141"/>
        <v>-31366.702919995776</v>
      </c>
      <c r="K2105" t="s">
        <v>519</v>
      </c>
    </row>
    <row r="2106" spans="3:11" ht="15" customHeight="1" x14ac:dyDescent="0.2">
      <c r="C2106" t="s">
        <v>265</v>
      </c>
      <c r="D2106" s="100">
        <v>1.6000000000000001E-3</v>
      </c>
      <c r="E2106" t="s">
        <v>371</v>
      </c>
      <c r="F2106">
        <v>1.2700000000000001E-3</v>
      </c>
      <c r="G2106">
        <f>$A$7</f>
        <v>10</v>
      </c>
      <c r="H2106">
        <v>-1</v>
      </c>
      <c r="I2106" t="s">
        <v>455</v>
      </c>
      <c r="J2106" s="17">
        <f t="shared" si="141"/>
        <v>-31366.702919995776</v>
      </c>
      <c r="K2106" t="s">
        <v>519</v>
      </c>
    </row>
    <row r="2107" spans="3:11" ht="15" customHeight="1" x14ac:dyDescent="0.2">
      <c r="C2107" t="s">
        <v>266</v>
      </c>
      <c r="D2107" s="100">
        <v>1.6000000000000001E-3</v>
      </c>
      <c r="E2107" t="s">
        <v>371</v>
      </c>
      <c r="F2107">
        <v>1.2700000000000001E-3</v>
      </c>
      <c r="G2107">
        <v>0</v>
      </c>
      <c r="H2107">
        <v>0</v>
      </c>
      <c r="I2107" t="s">
        <v>455</v>
      </c>
      <c r="J2107" s="17">
        <f t="shared" si="141"/>
        <v>0</v>
      </c>
      <c r="K2107" t="s">
        <v>519</v>
      </c>
    </row>
    <row r="2108" spans="3:11" ht="15" customHeight="1" x14ac:dyDescent="0.2">
      <c r="C2108" t="s">
        <v>267</v>
      </c>
      <c r="D2108" s="100">
        <v>1.6000000000000001E-4</v>
      </c>
      <c r="E2108" t="s">
        <v>372</v>
      </c>
      <c r="F2108">
        <v>1.2999999999999999E-4</v>
      </c>
      <c r="G2108">
        <v>0</v>
      </c>
      <c r="H2108">
        <v>0</v>
      </c>
      <c r="I2108" t="s">
        <v>456</v>
      </c>
      <c r="J2108" s="17">
        <f t="shared" si="141"/>
        <v>0</v>
      </c>
      <c r="K2108" t="s">
        <v>519</v>
      </c>
    </row>
    <row r="2109" spans="3:11" ht="15" customHeight="1" x14ac:dyDescent="0.2">
      <c r="C2109" t="s">
        <v>329</v>
      </c>
      <c r="D2109" s="100">
        <v>0.16047</v>
      </c>
      <c r="E2109" s="75" t="s">
        <v>373</v>
      </c>
      <c r="F2109">
        <v>0.12681999999999999</v>
      </c>
      <c r="G2109">
        <f>$A$7</f>
        <v>10</v>
      </c>
      <c r="H2109">
        <v>-1</v>
      </c>
      <c r="I2109" t="s">
        <v>457</v>
      </c>
      <c r="J2109" s="17">
        <f t="shared" si="141"/>
        <v>-3139366.8487750562</v>
      </c>
      <c r="K2109" t="s">
        <v>519</v>
      </c>
    </row>
    <row r="2110" spans="3:11" ht="15" customHeight="1" x14ac:dyDescent="0.2">
      <c r="C2110" t="s">
        <v>314</v>
      </c>
      <c r="D2110" s="100">
        <v>1.6000000000000001E-3</v>
      </c>
      <c r="E2110" s="75" t="s">
        <v>374</v>
      </c>
      <c r="F2110">
        <v>1.2700000000000001E-3</v>
      </c>
      <c r="G2110">
        <f>$A$7</f>
        <v>10</v>
      </c>
      <c r="H2110">
        <v>-1</v>
      </c>
      <c r="I2110" t="s">
        <v>458</v>
      </c>
      <c r="J2110" s="17">
        <f t="shared" si="141"/>
        <v>-31366.702919995776</v>
      </c>
      <c r="K2110" t="s">
        <v>519</v>
      </c>
    </row>
    <row r="2111" spans="3:11" ht="15" customHeight="1" x14ac:dyDescent="0.2">
      <c r="C2111" t="s">
        <v>268</v>
      </c>
      <c r="D2111" s="100">
        <v>1.6000000000000001E-3</v>
      </c>
      <c r="E2111" s="75" t="s">
        <v>374</v>
      </c>
      <c r="F2111">
        <v>1.2700000000000001E-3</v>
      </c>
      <c r="G2111">
        <f>$A$7</f>
        <v>10</v>
      </c>
      <c r="H2111">
        <v>-1</v>
      </c>
      <c r="I2111" t="s">
        <v>458</v>
      </c>
      <c r="J2111" s="17">
        <f t="shared" si="141"/>
        <v>-31366.702919995776</v>
      </c>
      <c r="K2111" t="s">
        <v>519</v>
      </c>
    </row>
    <row r="2112" spans="3:11" ht="15" customHeight="1" x14ac:dyDescent="0.2">
      <c r="C2112" t="s">
        <v>269</v>
      </c>
      <c r="D2112" s="100">
        <v>1.6000000000000001E-3</v>
      </c>
      <c r="E2112" s="75" t="s">
        <v>374</v>
      </c>
      <c r="F2112">
        <v>1.2700000000000001E-3</v>
      </c>
      <c r="G2112">
        <v>0</v>
      </c>
      <c r="H2112">
        <v>0</v>
      </c>
      <c r="I2112" t="s">
        <v>458</v>
      </c>
      <c r="J2112" s="17">
        <f t="shared" si="141"/>
        <v>0</v>
      </c>
      <c r="K2112" t="s">
        <v>519</v>
      </c>
    </row>
    <row r="2113" spans="3:11" ht="15" customHeight="1" x14ac:dyDescent="0.2">
      <c r="C2113" t="s">
        <v>270</v>
      </c>
      <c r="D2113" s="100">
        <v>1.6000000000000001E-3</v>
      </c>
      <c r="E2113" s="75" t="s">
        <v>375</v>
      </c>
      <c r="F2113">
        <v>1.2700000000000001E-3</v>
      </c>
      <c r="G2113">
        <f>$A$6</f>
        <v>100</v>
      </c>
      <c r="H2113">
        <v>-1</v>
      </c>
      <c r="I2113" t="s">
        <v>459</v>
      </c>
      <c r="J2113" s="17">
        <f t="shared" si="141"/>
        <v>-313667.02919995779</v>
      </c>
      <c r="K2113" t="s">
        <v>519</v>
      </c>
    </row>
    <row r="2114" spans="3:11" ht="15" customHeight="1" x14ac:dyDescent="0.2">
      <c r="C2114" t="s">
        <v>271</v>
      </c>
      <c r="D2114" s="100">
        <v>0.16047</v>
      </c>
      <c r="E2114" s="75" t="s">
        <v>376</v>
      </c>
      <c r="F2114">
        <v>0.12681999999999999</v>
      </c>
      <c r="G2114">
        <v>0</v>
      </c>
      <c r="H2114">
        <v>0</v>
      </c>
      <c r="I2114" t="s">
        <v>460</v>
      </c>
      <c r="J2114" s="17">
        <f t="shared" si="141"/>
        <v>0</v>
      </c>
      <c r="K2114" t="s">
        <v>519</v>
      </c>
    </row>
    <row r="2115" spans="3:11" ht="15" customHeight="1" x14ac:dyDescent="0.2">
      <c r="C2115" t="s">
        <v>272</v>
      </c>
      <c r="D2115" s="100">
        <v>1.60467</v>
      </c>
      <c r="E2115" t="s">
        <v>377</v>
      </c>
      <c r="F2115">
        <v>1.26824</v>
      </c>
      <c r="G2115">
        <v>0</v>
      </c>
      <c r="H2115">
        <v>0</v>
      </c>
      <c r="I2115" t="s">
        <v>461</v>
      </c>
      <c r="J2115" s="17">
        <f t="shared" si="141"/>
        <v>0</v>
      </c>
      <c r="K2115" t="s">
        <v>519</v>
      </c>
    </row>
    <row r="2116" spans="3:11" ht="15" customHeight="1" x14ac:dyDescent="0.2">
      <c r="C2116" t="s">
        <v>273</v>
      </c>
      <c r="D2116" s="100">
        <v>1.6000000000000001E-4</v>
      </c>
      <c r="E2116" t="s">
        <v>378</v>
      </c>
      <c r="F2116">
        <v>1.2999999999999999E-4</v>
      </c>
      <c r="G2116">
        <f>$A$7</f>
        <v>10</v>
      </c>
      <c r="H2116">
        <v>-1</v>
      </c>
      <c r="I2116" t="s">
        <v>462</v>
      </c>
      <c r="J2116" s="17">
        <f t="shared" si="141"/>
        <v>-3172.0229630300805</v>
      </c>
      <c r="K2116" t="s">
        <v>519</v>
      </c>
    </row>
    <row r="2117" spans="3:11" ht="15" customHeight="1" x14ac:dyDescent="0.2">
      <c r="C2117" t="s">
        <v>274</v>
      </c>
      <c r="D2117" s="100">
        <v>1.6000000000000001E-4</v>
      </c>
      <c r="E2117" t="s">
        <v>379</v>
      </c>
      <c r="F2117">
        <v>1.2999999999999999E-4</v>
      </c>
      <c r="G2117">
        <v>0</v>
      </c>
      <c r="H2117">
        <v>0</v>
      </c>
      <c r="I2117" t="s">
        <v>463</v>
      </c>
      <c r="J2117" s="17">
        <f t="shared" si="141"/>
        <v>0</v>
      </c>
      <c r="K2117" t="s">
        <v>519</v>
      </c>
    </row>
    <row r="2118" spans="3:11" ht="15" customHeight="1" x14ac:dyDescent="0.2">
      <c r="C2118" t="s">
        <v>275</v>
      </c>
      <c r="D2118" s="100">
        <v>1.60467</v>
      </c>
      <c r="E2118" t="s">
        <v>377</v>
      </c>
      <c r="F2118">
        <v>1.26824</v>
      </c>
      <c r="G2118">
        <f>$A$6</f>
        <v>100</v>
      </c>
      <c r="H2118">
        <v>-1</v>
      </c>
      <c r="I2118" t="s">
        <v>461</v>
      </c>
      <c r="J2118" s="17">
        <f t="shared" si="141"/>
        <v>-313938323.42844194</v>
      </c>
      <c r="K2118" t="s">
        <v>519</v>
      </c>
    </row>
    <row r="2119" spans="3:11" ht="15" customHeight="1" x14ac:dyDescent="0.2">
      <c r="C2119" t="s">
        <v>276</v>
      </c>
      <c r="D2119" s="100">
        <v>1.60467</v>
      </c>
      <c r="E2119" t="s">
        <v>377</v>
      </c>
      <c r="F2119">
        <v>1.26824</v>
      </c>
      <c r="G2119">
        <f>$A$6</f>
        <v>100</v>
      </c>
      <c r="H2119">
        <v>-1</v>
      </c>
      <c r="I2119" t="s">
        <v>461</v>
      </c>
      <c r="J2119" s="17">
        <f t="shared" si="141"/>
        <v>-313938323.42844194</v>
      </c>
      <c r="K2119" t="s">
        <v>519</v>
      </c>
    </row>
    <row r="2120" spans="3:11" ht="15" customHeight="1" x14ac:dyDescent="0.2">
      <c r="C2120" t="s">
        <v>277</v>
      </c>
      <c r="D2120" s="100">
        <v>1.6000000000000001E-3</v>
      </c>
      <c r="E2120" t="s">
        <v>380</v>
      </c>
      <c r="F2120">
        <v>1.2700000000000001E-3</v>
      </c>
      <c r="G2120">
        <f>$A$6</f>
        <v>100</v>
      </c>
      <c r="H2120">
        <v>-1</v>
      </c>
      <c r="I2120" t="s">
        <v>464</v>
      </c>
      <c r="J2120" s="17">
        <f t="shared" si="141"/>
        <v>-313667.02919995779</v>
      </c>
      <c r="K2120" t="s">
        <v>519</v>
      </c>
    </row>
    <row r="2121" spans="3:11" ht="15" customHeight="1" x14ac:dyDescent="0.2">
      <c r="C2121" t="s">
        <v>278</v>
      </c>
      <c r="D2121" s="100">
        <v>1.60467</v>
      </c>
      <c r="E2121" t="s">
        <v>381</v>
      </c>
      <c r="F2121">
        <v>1.26824</v>
      </c>
      <c r="G2121">
        <f>$A$6</f>
        <v>100</v>
      </c>
      <c r="H2121">
        <v>-1</v>
      </c>
      <c r="I2121" t="s">
        <v>465</v>
      </c>
      <c r="J2121" s="17">
        <f t="shared" ref="J2121:J2152" si="142">((SUM(B$2057,B$2059:B$2066)*D2121)+(B$2058*F2121))*G2121*H2121</f>
        <v>-313938323.42844194</v>
      </c>
      <c r="K2121" t="s">
        <v>519</v>
      </c>
    </row>
    <row r="2122" spans="3:11" ht="15" customHeight="1" x14ac:dyDescent="0.2">
      <c r="C2122" t="s">
        <v>330</v>
      </c>
      <c r="D2122" s="100">
        <v>1.6000000000000001E-4</v>
      </c>
      <c r="E2122" t="s">
        <v>382</v>
      </c>
      <c r="F2122">
        <v>1.2999999999999999E-4</v>
      </c>
      <c r="G2122">
        <f>$A$7</f>
        <v>10</v>
      </c>
      <c r="H2122">
        <v>-1</v>
      </c>
      <c r="I2122" t="s">
        <v>466</v>
      </c>
      <c r="J2122" s="17">
        <f t="shared" si="142"/>
        <v>-3172.0229630300805</v>
      </c>
      <c r="K2122" t="s">
        <v>519</v>
      </c>
    </row>
    <row r="2123" spans="3:11" ht="15" customHeight="1" x14ac:dyDescent="0.2">
      <c r="C2123" t="s">
        <v>279</v>
      </c>
      <c r="D2123" s="100">
        <v>1.6000000000000001E-4</v>
      </c>
      <c r="E2123" t="s">
        <v>382</v>
      </c>
      <c r="F2123">
        <v>1.2999999999999999E-4</v>
      </c>
      <c r="G2123">
        <f>$A$7</f>
        <v>10</v>
      </c>
      <c r="H2123">
        <v>-1</v>
      </c>
      <c r="I2123" t="s">
        <v>466</v>
      </c>
      <c r="J2123" s="17">
        <f t="shared" si="142"/>
        <v>-3172.0229630300805</v>
      </c>
      <c r="K2123" t="s">
        <v>519</v>
      </c>
    </row>
    <row r="2124" spans="3:11" ht="15" customHeight="1" x14ac:dyDescent="0.2">
      <c r="C2124" t="s">
        <v>280</v>
      </c>
      <c r="D2124" s="100">
        <v>1.6000000000000001E-4</v>
      </c>
      <c r="E2124" t="s">
        <v>382</v>
      </c>
      <c r="F2124">
        <v>1.2999999999999999E-4</v>
      </c>
      <c r="G2124">
        <v>0</v>
      </c>
      <c r="H2124">
        <v>0</v>
      </c>
      <c r="I2124" t="s">
        <v>466</v>
      </c>
      <c r="J2124" s="17">
        <f t="shared" si="142"/>
        <v>0</v>
      </c>
      <c r="K2124" t="s">
        <v>519</v>
      </c>
    </row>
    <row r="2125" spans="3:11" ht="15" customHeight="1" x14ac:dyDescent="0.2">
      <c r="C2125" t="s">
        <v>331</v>
      </c>
      <c r="D2125" s="100">
        <v>1.6049999999999998E-2</v>
      </c>
      <c r="E2125" t="s">
        <v>383</v>
      </c>
      <c r="F2125">
        <v>1.2700000000000001E-3</v>
      </c>
      <c r="G2125">
        <v>0</v>
      </c>
      <c r="H2125">
        <v>0</v>
      </c>
      <c r="I2125" t="s">
        <v>467</v>
      </c>
      <c r="J2125" s="17">
        <f t="shared" si="142"/>
        <v>0</v>
      </c>
      <c r="K2125" t="s">
        <v>519</v>
      </c>
    </row>
    <row r="2126" spans="3:11" ht="15" customHeight="1" x14ac:dyDescent="0.2">
      <c r="C2126" t="s">
        <v>281</v>
      </c>
      <c r="D2126" s="100">
        <v>1.6000000000000001E-4</v>
      </c>
      <c r="E2126" t="s">
        <v>384</v>
      </c>
      <c r="F2126">
        <v>1.2999999999999999E-4</v>
      </c>
      <c r="G2126">
        <f>$A$7</f>
        <v>10</v>
      </c>
      <c r="H2126">
        <v>-1</v>
      </c>
      <c r="I2126" t="s">
        <v>468</v>
      </c>
      <c r="J2126" s="17">
        <f t="shared" si="142"/>
        <v>-3172.0229630300805</v>
      </c>
      <c r="K2126" t="s">
        <v>519</v>
      </c>
    </row>
    <row r="2127" spans="3:11" ht="15" customHeight="1" x14ac:dyDescent="0.2">
      <c r="C2127" t="s">
        <v>282</v>
      </c>
      <c r="D2127" s="100">
        <v>0.16047</v>
      </c>
      <c r="E2127" t="s">
        <v>385</v>
      </c>
      <c r="F2127">
        <v>0.12681999999999999</v>
      </c>
      <c r="G2127">
        <v>0</v>
      </c>
      <c r="H2127">
        <v>0</v>
      </c>
      <c r="I2127" t="s">
        <v>469</v>
      </c>
      <c r="J2127" s="17">
        <f t="shared" si="142"/>
        <v>0</v>
      </c>
      <c r="K2127" t="s">
        <v>519</v>
      </c>
    </row>
    <row r="2128" spans="3:11" ht="15" customHeight="1" x14ac:dyDescent="0.2">
      <c r="C2128" t="s">
        <v>332</v>
      </c>
      <c r="D2128" s="100">
        <v>0.16047</v>
      </c>
      <c r="E2128" t="s">
        <v>386</v>
      </c>
      <c r="F2128">
        <v>1.268E-2</v>
      </c>
      <c r="G2128">
        <v>0</v>
      </c>
      <c r="H2128">
        <v>0</v>
      </c>
      <c r="I2128" t="s">
        <v>470</v>
      </c>
      <c r="J2128" s="17">
        <f t="shared" si="142"/>
        <v>0</v>
      </c>
      <c r="K2128" t="s">
        <v>519</v>
      </c>
    </row>
    <row r="2129" spans="3:11" ht="15" customHeight="1" x14ac:dyDescent="0.2">
      <c r="C2129" t="s">
        <v>283</v>
      </c>
      <c r="D2129" s="100">
        <v>1.6000000000000001E-3</v>
      </c>
      <c r="E2129" t="s">
        <v>387</v>
      </c>
      <c r="F2129">
        <v>1.2700000000000001E-3</v>
      </c>
      <c r="G2129">
        <f>$A$7</f>
        <v>10</v>
      </c>
      <c r="H2129">
        <v>-1</v>
      </c>
      <c r="I2129" t="s">
        <v>471</v>
      </c>
      <c r="J2129" s="17">
        <f t="shared" si="142"/>
        <v>-31366.702919995776</v>
      </c>
      <c r="K2129" t="s">
        <v>519</v>
      </c>
    </row>
    <row r="2130" spans="3:11" ht="15" customHeight="1" x14ac:dyDescent="0.2">
      <c r="C2130" t="s">
        <v>284</v>
      </c>
      <c r="D2130" s="100">
        <v>1.6000000000000001E-4</v>
      </c>
      <c r="E2130" t="s">
        <v>388</v>
      </c>
      <c r="F2130">
        <v>1.2999999999999999E-4</v>
      </c>
      <c r="G2130">
        <f>$A$7</f>
        <v>10</v>
      </c>
      <c r="H2130">
        <v>-1</v>
      </c>
      <c r="I2130" t="s">
        <v>472</v>
      </c>
      <c r="J2130" s="17">
        <f t="shared" si="142"/>
        <v>-3172.0229630300805</v>
      </c>
      <c r="K2130" t="s">
        <v>519</v>
      </c>
    </row>
    <row r="2131" spans="3:11" ht="15" customHeight="1" x14ac:dyDescent="0.2">
      <c r="C2131" t="s">
        <v>285</v>
      </c>
      <c r="D2131" s="100">
        <v>1.6000000000000001E-3</v>
      </c>
      <c r="E2131" t="s">
        <v>389</v>
      </c>
      <c r="F2131">
        <v>1.2700000000000001E-3</v>
      </c>
      <c r="G2131">
        <f>$A$7</f>
        <v>10</v>
      </c>
      <c r="H2131">
        <v>-1</v>
      </c>
      <c r="I2131" t="s">
        <v>473</v>
      </c>
      <c r="J2131" s="17">
        <f t="shared" si="142"/>
        <v>-31366.702919995776</v>
      </c>
      <c r="K2131" t="s">
        <v>519</v>
      </c>
    </row>
    <row r="2132" spans="3:11" ht="15" customHeight="1" x14ac:dyDescent="0.2">
      <c r="C2132" t="s">
        <v>286</v>
      </c>
      <c r="D2132" s="100">
        <v>1.6049999999999998E-2</v>
      </c>
      <c r="E2132" t="s">
        <v>390</v>
      </c>
      <c r="F2132">
        <v>1.268E-2</v>
      </c>
      <c r="G2132">
        <f>$A$6</f>
        <v>100</v>
      </c>
      <c r="H2132">
        <v>-1</v>
      </c>
      <c r="I2132" t="s">
        <v>474</v>
      </c>
      <c r="J2132" s="17">
        <f t="shared" si="142"/>
        <v>-3139438.6781549654</v>
      </c>
      <c r="K2132" t="s">
        <v>519</v>
      </c>
    </row>
    <row r="2133" spans="3:11" ht="15" customHeight="1" x14ac:dyDescent="0.2">
      <c r="C2133" t="s">
        <v>287</v>
      </c>
      <c r="D2133" s="100">
        <v>1.6000000000000001E-3</v>
      </c>
      <c r="E2133" t="s">
        <v>391</v>
      </c>
      <c r="F2133">
        <v>1.2700000000000001E-3</v>
      </c>
      <c r="G2133">
        <f>$A$6</f>
        <v>100</v>
      </c>
      <c r="H2133">
        <v>-1</v>
      </c>
      <c r="I2133" t="s">
        <v>475</v>
      </c>
      <c r="J2133" s="17">
        <f t="shared" si="142"/>
        <v>-313667.02919995779</v>
      </c>
      <c r="K2133" t="s">
        <v>519</v>
      </c>
    </row>
    <row r="2134" spans="3:11" ht="15" customHeight="1" x14ac:dyDescent="0.2">
      <c r="C2134" t="s">
        <v>288</v>
      </c>
      <c r="D2134" s="100">
        <v>1.6000000000000001E-3</v>
      </c>
      <c r="E2134" t="s">
        <v>392</v>
      </c>
      <c r="F2134">
        <v>1.2700000000000001E-3</v>
      </c>
      <c r="G2134">
        <f>$A$6</f>
        <v>100</v>
      </c>
      <c r="H2134">
        <v>-1</v>
      </c>
      <c r="I2134" t="s">
        <v>476</v>
      </c>
      <c r="J2134" s="17">
        <f t="shared" si="142"/>
        <v>-313667.02919995779</v>
      </c>
      <c r="K2134" t="s">
        <v>519</v>
      </c>
    </row>
    <row r="2135" spans="3:11" ht="15" customHeight="1" x14ac:dyDescent="0.2">
      <c r="C2135" t="s">
        <v>333</v>
      </c>
      <c r="D2135" s="100">
        <v>1.6000000000000001E-3</v>
      </c>
      <c r="E2135" t="s">
        <v>340</v>
      </c>
      <c r="F2135">
        <v>1.2700000000000001E-3</v>
      </c>
      <c r="G2135">
        <f>$A$7</f>
        <v>10</v>
      </c>
      <c r="H2135">
        <v>-1</v>
      </c>
      <c r="I2135" t="s">
        <v>424</v>
      </c>
      <c r="J2135" s="17">
        <f t="shared" si="142"/>
        <v>-31366.702919995776</v>
      </c>
      <c r="K2135" t="s">
        <v>519</v>
      </c>
    </row>
    <row r="2136" spans="3:11" ht="15" customHeight="1" x14ac:dyDescent="0.2">
      <c r="C2136" t="s">
        <v>334</v>
      </c>
      <c r="D2136" s="100">
        <v>1.6049999999999998E-2</v>
      </c>
      <c r="E2136" t="s">
        <v>393</v>
      </c>
      <c r="F2136">
        <v>1.268E-2</v>
      </c>
      <c r="G2136">
        <v>0</v>
      </c>
      <c r="H2136">
        <v>0</v>
      </c>
      <c r="I2136" t="s">
        <v>477</v>
      </c>
      <c r="J2136" s="17">
        <f t="shared" si="142"/>
        <v>0</v>
      </c>
      <c r="K2136" t="s">
        <v>519</v>
      </c>
    </row>
    <row r="2137" spans="3:11" ht="15" customHeight="1" x14ac:dyDescent="0.2">
      <c r="C2137" t="s">
        <v>335</v>
      </c>
      <c r="D2137" s="100">
        <v>1.6000000000000001E-3</v>
      </c>
      <c r="E2137" t="s">
        <v>394</v>
      </c>
      <c r="F2137">
        <v>1.2700000000000001E-3</v>
      </c>
      <c r="G2137">
        <f>$A$7</f>
        <v>10</v>
      </c>
      <c r="H2137">
        <v>-1</v>
      </c>
      <c r="I2137" t="s">
        <v>478</v>
      </c>
      <c r="J2137" s="17">
        <f t="shared" si="142"/>
        <v>-31366.702919995776</v>
      </c>
      <c r="K2137" t="s">
        <v>519</v>
      </c>
    </row>
    <row r="2138" spans="3:11" ht="15" customHeight="1" x14ac:dyDescent="0.2">
      <c r="C2138" t="s">
        <v>289</v>
      </c>
      <c r="D2138" s="100">
        <v>1.6000000000000001E-3</v>
      </c>
      <c r="E2138" t="s">
        <v>395</v>
      </c>
      <c r="F2138">
        <v>1.2700000000000001E-3</v>
      </c>
      <c r="G2138">
        <f>$A$7</f>
        <v>10</v>
      </c>
      <c r="H2138">
        <v>-1</v>
      </c>
      <c r="I2138" t="s">
        <v>479</v>
      </c>
      <c r="J2138" s="17">
        <f t="shared" si="142"/>
        <v>-31366.702919995776</v>
      </c>
      <c r="K2138" t="s">
        <v>519</v>
      </c>
    </row>
    <row r="2139" spans="3:11" ht="15" customHeight="1" x14ac:dyDescent="0.2">
      <c r="C2139" t="s">
        <v>290</v>
      </c>
      <c r="D2139" s="100">
        <v>1.6000000000000001E-4</v>
      </c>
      <c r="E2139" t="s">
        <v>396</v>
      </c>
      <c r="F2139">
        <v>1.2999999999999999E-4</v>
      </c>
      <c r="G2139">
        <f>$A$7</f>
        <v>10</v>
      </c>
      <c r="H2139">
        <v>-1</v>
      </c>
      <c r="I2139" t="s">
        <v>480</v>
      </c>
      <c r="J2139" s="17">
        <f t="shared" si="142"/>
        <v>-3172.0229630300805</v>
      </c>
      <c r="K2139" t="s">
        <v>519</v>
      </c>
    </row>
    <row r="2140" spans="3:11" ht="15" customHeight="1" x14ac:dyDescent="0.2">
      <c r="C2140" t="s">
        <v>291</v>
      </c>
      <c r="D2140" s="100">
        <v>1.6000000000000001E-4</v>
      </c>
      <c r="E2140" t="s">
        <v>397</v>
      </c>
      <c r="F2140">
        <v>1.2999999999999999E-4</v>
      </c>
      <c r="G2140">
        <f>$A$8</f>
        <v>1</v>
      </c>
      <c r="H2140">
        <v>-1</v>
      </c>
      <c r="I2140" t="s">
        <v>481</v>
      </c>
      <c r="J2140" s="17">
        <f t="shared" si="142"/>
        <v>-317.20229630300804</v>
      </c>
      <c r="K2140" t="s">
        <v>519</v>
      </c>
    </row>
    <row r="2141" spans="3:11" ht="15" customHeight="1" x14ac:dyDescent="0.2">
      <c r="C2141" t="s">
        <v>292</v>
      </c>
      <c r="D2141" s="100">
        <v>0.16047</v>
      </c>
      <c r="E2141" t="s">
        <v>360</v>
      </c>
      <c r="F2141">
        <v>1.268E-2</v>
      </c>
      <c r="G2141">
        <f>$A$6</f>
        <v>100</v>
      </c>
      <c r="H2141">
        <v>-1</v>
      </c>
      <c r="I2141" t="s">
        <v>444</v>
      </c>
      <c r="J2141" s="17">
        <f t="shared" si="142"/>
        <v>-17943155.583011825</v>
      </c>
      <c r="K2141" t="s">
        <v>519</v>
      </c>
    </row>
    <row r="2142" spans="3:11" ht="15" customHeight="1" x14ac:dyDescent="0.2">
      <c r="C2142" t="s">
        <v>293</v>
      </c>
      <c r="D2142" s="100">
        <v>1.60467</v>
      </c>
      <c r="E2142" t="s">
        <v>398</v>
      </c>
      <c r="F2142">
        <v>1.26824</v>
      </c>
      <c r="G2142">
        <f>$A$7</f>
        <v>10</v>
      </c>
      <c r="H2142">
        <v>-1</v>
      </c>
      <c r="I2142" t="s">
        <v>482</v>
      </c>
      <c r="J2142" s="17">
        <f t="shared" si="142"/>
        <v>-31393832.342844196</v>
      </c>
      <c r="K2142" t="s">
        <v>519</v>
      </c>
    </row>
    <row r="2143" spans="3:11" ht="15" customHeight="1" x14ac:dyDescent="0.2">
      <c r="C2143" t="s">
        <v>294</v>
      </c>
      <c r="D2143" s="100">
        <v>1.6000000000000001E-4</v>
      </c>
      <c r="E2143" t="s">
        <v>399</v>
      </c>
      <c r="F2143">
        <v>1.2999999999999999E-4</v>
      </c>
      <c r="G2143">
        <f>$A$8</f>
        <v>1</v>
      </c>
      <c r="H2143">
        <v>-1</v>
      </c>
      <c r="I2143" t="s">
        <v>483</v>
      </c>
      <c r="J2143" s="17">
        <f t="shared" si="142"/>
        <v>-317.20229630300804</v>
      </c>
      <c r="K2143" t="s">
        <v>519</v>
      </c>
    </row>
    <row r="2144" spans="3:11" ht="15" customHeight="1" x14ac:dyDescent="0.2">
      <c r="C2144" t="s">
        <v>336</v>
      </c>
      <c r="D2144" s="100">
        <v>1.6000000000000001E-3</v>
      </c>
      <c r="E2144" t="s">
        <v>400</v>
      </c>
      <c r="F2144">
        <v>1.2700000000000001E-3</v>
      </c>
      <c r="G2144">
        <f>$A$6</f>
        <v>100</v>
      </c>
      <c r="H2144">
        <v>-1</v>
      </c>
      <c r="I2144" t="s">
        <v>484</v>
      </c>
      <c r="J2144" s="17">
        <f t="shared" si="142"/>
        <v>-313667.02919995779</v>
      </c>
      <c r="K2144" t="s">
        <v>519</v>
      </c>
    </row>
    <row r="2145" spans="3:11" ht="15" customHeight="1" x14ac:dyDescent="0.2">
      <c r="C2145" t="s">
        <v>295</v>
      </c>
      <c r="D2145" s="100">
        <v>1.6000000000000001E-4</v>
      </c>
      <c r="E2145" t="s">
        <v>401</v>
      </c>
      <c r="F2145">
        <v>1.2999999999999999E-4</v>
      </c>
      <c r="G2145">
        <f>$A$6</f>
        <v>100</v>
      </c>
      <c r="H2145">
        <v>-1</v>
      </c>
      <c r="I2145" t="s">
        <v>485</v>
      </c>
      <c r="J2145" s="17">
        <f t="shared" si="142"/>
        <v>-31720.229630300804</v>
      </c>
      <c r="K2145" t="s">
        <v>519</v>
      </c>
    </row>
    <row r="2146" spans="3:11" ht="15" customHeight="1" x14ac:dyDescent="0.2">
      <c r="C2146" t="s">
        <v>296</v>
      </c>
      <c r="D2146" s="100">
        <v>1.60467</v>
      </c>
      <c r="E2146" t="s">
        <v>402</v>
      </c>
      <c r="F2146">
        <v>1.26824</v>
      </c>
      <c r="G2146">
        <f>$A$7</f>
        <v>10</v>
      </c>
      <c r="H2146">
        <v>-1</v>
      </c>
      <c r="I2146" t="s">
        <v>486</v>
      </c>
      <c r="J2146" s="17">
        <f t="shared" si="142"/>
        <v>-31393832.342844196</v>
      </c>
      <c r="K2146" t="s">
        <v>519</v>
      </c>
    </row>
    <row r="2147" spans="3:11" ht="15" customHeight="1" x14ac:dyDescent="0.2">
      <c r="C2147" t="s">
        <v>297</v>
      </c>
      <c r="D2147" s="100">
        <v>1.6000000000000001E-4</v>
      </c>
      <c r="E2147" t="s">
        <v>403</v>
      </c>
      <c r="F2147">
        <v>1.2999999999999999E-4</v>
      </c>
      <c r="G2147">
        <f>$A$7</f>
        <v>10</v>
      </c>
      <c r="H2147">
        <v>-1</v>
      </c>
      <c r="I2147" t="s">
        <v>487</v>
      </c>
      <c r="J2147" s="17">
        <f t="shared" si="142"/>
        <v>-3172.0229630300805</v>
      </c>
      <c r="K2147" t="s">
        <v>519</v>
      </c>
    </row>
    <row r="2148" spans="3:11" ht="15" customHeight="1" x14ac:dyDescent="0.2">
      <c r="C2148" t="s">
        <v>298</v>
      </c>
      <c r="D2148" s="100">
        <v>0.16047</v>
      </c>
      <c r="E2148" t="s">
        <v>394</v>
      </c>
      <c r="F2148">
        <v>1.2999999999999999E-4</v>
      </c>
      <c r="G2148">
        <f>$A$7</f>
        <v>10</v>
      </c>
      <c r="H2148">
        <v>-1</v>
      </c>
      <c r="I2148" t="s">
        <v>478</v>
      </c>
      <c r="J2148" s="17">
        <f t="shared" si="142"/>
        <v>-1646423.5511569111</v>
      </c>
      <c r="K2148" t="s">
        <v>519</v>
      </c>
    </row>
    <row r="2149" spans="3:11" ht="15" customHeight="1" x14ac:dyDescent="0.2">
      <c r="C2149" t="s">
        <v>299</v>
      </c>
      <c r="D2149" s="100">
        <v>1.6000000000000001E-4</v>
      </c>
      <c r="E2149" t="s">
        <v>404</v>
      </c>
      <c r="F2149">
        <v>1.2999999999999999E-4</v>
      </c>
      <c r="G2149">
        <f>$A$7</f>
        <v>10</v>
      </c>
      <c r="H2149">
        <v>-1</v>
      </c>
      <c r="I2149" t="s">
        <v>488</v>
      </c>
      <c r="J2149" s="17">
        <f t="shared" si="142"/>
        <v>-3172.0229630300805</v>
      </c>
      <c r="K2149" t="s">
        <v>519</v>
      </c>
    </row>
    <row r="2150" spans="3:11" ht="15" customHeight="1" x14ac:dyDescent="0.2">
      <c r="C2150" t="s">
        <v>300</v>
      </c>
      <c r="D2150" s="100">
        <v>0.16047</v>
      </c>
      <c r="E2150" t="s">
        <v>405</v>
      </c>
      <c r="F2150">
        <v>0.12681999999999999</v>
      </c>
      <c r="G2150">
        <f>$A$7</f>
        <v>10</v>
      </c>
      <c r="H2150">
        <v>-1</v>
      </c>
      <c r="I2150" t="s">
        <v>489</v>
      </c>
      <c r="J2150" s="17">
        <f t="shared" si="142"/>
        <v>-3139366.8487750562</v>
      </c>
      <c r="K2150" t="s">
        <v>519</v>
      </c>
    </row>
    <row r="2151" spans="3:11" ht="15" customHeight="1" x14ac:dyDescent="0.2">
      <c r="C2151" t="s">
        <v>301</v>
      </c>
      <c r="D2151" s="100">
        <v>1.6000000000000001E-3</v>
      </c>
      <c r="E2151" t="s">
        <v>406</v>
      </c>
      <c r="F2151">
        <v>1.2700000000000001E-3</v>
      </c>
      <c r="G2151">
        <f>$A$6</f>
        <v>100</v>
      </c>
      <c r="H2151">
        <v>-1</v>
      </c>
      <c r="I2151" t="s">
        <v>490</v>
      </c>
      <c r="J2151" s="17">
        <f t="shared" si="142"/>
        <v>-313667.02919995779</v>
      </c>
      <c r="K2151" t="s">
        <v>519</v>
      </c>
    </row>
    <row r="2152" spans="3:11" ht="15" customHeight="1" x14ac:dyDescent="0.2">
      <c r="C2152" t="s">
        <v>302</v>
      </c>
      <c r="D2152" s="100">
        <v>1.6000000000000001E-3</v>
      </c>
      <c r="E2152" t="s">
        <v>407</v>
      </c>
      <c r="F2152">
        <v>1.2700000000000001E-3</v>
      </c>
      <c r="G2152">
        <f>$A$6</f>
        <v>100</v>
      </c>
      <c r="H2152">
        <v>-1</v>
      </c>
      <c r="I2152" t="s">
        <v>491</v>
      </c>
      <c r="J2152" s="17">
        <f t="shared" si="142"/>
        <v>-313667.02919995779</v>
      </c>
      <c r="K2152" t="s">
        <v>519</v>
      </c>
    </row>
    <row r="2153" spans="3:11" ht="15" customHeight="1" x14ac:dyDescent="0.2">
      <c r="C2153" t="s">
        <v>303</v>
      </c>
      <c r="D2153" s="100">
        <v>1.6000000000000001E-3</v>
      </c>
      <c r="E2153" t="s">
        <v>408</v>
      </c>
      <c r="F2153">
        <v>1.2700000000000001E-3</v>
      </c>
      <c r="G2153">
        <f>$A$7</f>
        <v>10</v>
      </c>
      <c r="H2153">
        <v>-1</v>
      </c>
      <c r="I2153" t="s">
        <v>492</v>
      </c>
      <c r="J2153" s="17">
        <f t="shared" ref="J2153:J2162" si="143">((SUM(B$2057,B$2059:B$2066)*D2153)+(B$2058*F2153))*G2153*H2153</f>
        <v>-31366.702919995776</v>
      </c>
      <c r="K2153" t="s">
        <v>519</v>
      </c>
    </row>
    <row r="2154" spans="3:11" ht="15" customHeight="1" x14ac:dyDescent="0.2">
      <c r="C2154" t="s">
        <v>304</v>
      </c>
      <c r="D2154" s="100">
        <v>1.60467</v>
      </c>
      <c r="E2154" t="s">
        <v>409</v>
      </c>
      <c r="F2154">
        <v>1.26824</v>
      </c>
      <c r="G2154">
        <f>$A$6</f>
        <v>100</v>
      </c>
      <c r="H2154">
        <v>-1</v>
      </c>
      <c r="I2154" t="s">
        <v>493</v>
      </c>
      <c r="J2154" s="17">
        <f t="shared" si="143"/>
        <v>-313938323.42844194</v>
      </c>
      <c r="K2154" t="s">
        <v>519</v>
      </c>
    </row>
    <row r="2155" spans="3:11" ht="15" customHeight="1" x14ac:dyDescent="0.2">
      <c r="C2155" t="s">
        <v>305</v>
      </c>
      <c r="D2155" s="100">
        <v>1.6000000000000001E-3</v>
      </c>
      <c r="E2155" t="s">
        <v>410</v>
      </c>
      <c r="F2155">
        <v>1.2700000000000001E-3</v>
      </c>
      <c r="G2155">
        <f>$A$7</f>
        <v>10</v>
      </c>
      <c r="H2155">
        <v>-1</v>
      </c>
      <c r="I2155" t="s">
        <v>494</v>
      </c>
      <c r="J2155" s="17">
        <f t="shared" si="143"/>
        <v>-31366.702919995776</v>
      </c>
      <c r="K2155" t="s">
        <v>519</v>
      </c>
    </row>
    <row r="2156" spans="3:11" ht="15" customHeight="1" x14ac:dyDescent="0.2">
      <c r="C2156" t="s">
        <v>306</v>
      </c>
      <c r="D2156" s="100">
        <v>1.6049999999999998E-2</v>
      </c>
      <c r="E2156" t="s">
        <v>411</v>
      </c>
      <c r="F2156">
        <v>1.2700000000000001E-3</v>
      </c>
      <c r="G2156">
        <f>$A$8</f>
        <v>1</v>
      </c>
      <c r="H2156">
        <v>-1</v>
      </c>
      <c r="I2156" t="s">
        <v>495</v>
      </c>
      <c r="J2156" s="17">
        <f t="shared" si="143"/>
        <v>-17948.587566281643</v>
      </c>
      <c r="K2156" t="s">
        <v>519</v>
      </c>
    </row>
    <row r="2157" spans="3:11" ht="15" customHeight="1" x14ac:dyDescent="0.2">
      <c r="C2157" t="s">
        <v>307</v>
      </c>
      <c r="D2157" s="100">
        <v>1.6049999999999998E-2</v>
      </c>
      <c r="E2157" t="s">
        <v>411</v>
      </c>
      <c r="F2157">
        <v>1.2700000000000001E-3</v>
      </c>
      <c r="G2157">
        <f>$A$8</f>
        <v>1</v>
      </c>
      <c r="H2157">
        <v>-1</v>
      </c>
      <c r="I2157" t="s">
        <v>495</v>
      </c>
      <c r="J2157" s="17">
        <f t="shared" si="143"/>
        <v>-17948.587566281643</v>
      </c>
      <c r="K2157" t="s">
        <v>519</v>
      </c>
    </row>
    <row r="2158" spans="3:11" ht="15" customHeight="1" x14ac:dyDescent="0.2">
      <c r="C2158" t="s">
        <v>337</v>
      </c>
      <c r="D2158" s="100">
        <v>1.6049999999999998E-2</v>
      </c>
      <c r="E2158" t="s">
        <v>412</v>
      </c>
      <c r="F2158">
        <v>0.12681999999999999</v>
      </c>
      <c r="G2158">
        <v>0</v>
      </c>
      <c r="H2158">
        <v>0</v>
      </c>
      <c r="I2158" t="s">
        <v>496</v>
      </c>
      <c r="J2158" s="17">
        <f t="shared" si="143"/>
        <v>0</v>
      </c>
      <c r="K2158" t="s">
        <v>519</v>
      </c>
    </row>
    <row r="2159" spans="3:11" ht="15" customHeight="1" x14ac:dyDescent="0.2">
      <c r="C2159" t="s">
        <v>308</v>
      </c>
      <c r="D2159" s="100">
        <v>1.6000000000000001E-3</v>
      </c>
      <c r="E2159" t="s">
        <v>413</v>
      </c>
      <c r="F2159">
        <v>1.2700000000000001E-3</v>
      </c>
      <c r="G2159">
        <f>$A$7</f>
        <v>10</v>
      </c>
      <c r="H2159">
        <v>-1</v>
      </c>
      <c r="I2159" t="s">
        <v>497</v>
      </c>
      <c r="J2159" s="17">
        <f t="shared" si="143"/>
        <v>-31366.702919995776</v>
      </c>
      <c r="K2159" t="s">
        <v>519</v>
      </c>
    </row>
    <row r="2160" spans="3:11" ht="15" customHeight="1" x14ac:dyDescent="0.2">
      <c r="C2160" t="s">
        <v>309</v>
      </c>
      <c r="D2160" s="100">
        <v>1.6000000000000001E-3</v>
      </c>
      <c r="E2160" t="s">
        <v>413</v>
      </c>
      <c r="F2160">
        <v>1.2700000000000001E-3</v>
      </c>
      <c r="G2160">
        <f>$A$7</f>
        <v>10</v>
      </c>
      <c r="H2160">
        <v>-1</v>
      </c>
      <c r="I2160" t="s">
        <v>497</v>
      </c>
      <c r="J2160" s="17">
        <f t="shared" si="143"/>
        <v>-31366.702919995776</v>
      </c>
      <c r="K2160" t="s">
        <v>519</v>
      </c>
    </row>
    <row r="2161" spans="1:12" ht="15" customHeight="1" x14ac:dyDescent="0.2">
      <c r="C2161" t="s">
        <v>310</v>
      </c>
      <c r="D2161" s="100">
        <v>1.6000000000000001E-3</v>
      </c>
      <c r="E2161" t="s">
        <v>413</v>
      </c>
      <c r="F2161">
        <v>1.2700000000000001E-3</v>
      </c>
      <c r="G2161">
        <v>0</v>
      </c>
      <c r="H2161">
        <v>0</v>
      </c>
      <c r="I2161" t="s">
        <v>497</v>
      </c>
      <c r="J2161" s="17">
        <f t="shared" si="143"/>
        <v>0</v>
      </c>
      <c r="K2161" t="s">
        <v>519</v>
      </c>
    </row>
    <row r="2162" spans="1:12" ht="15" customHeight="1" x14ac:dyDescent="0.2">
      <c r="C2162" t="s">
        <v>311</v>
      </c>
      <c r="D2162" s="100">
        <v>1.6000000000000001E-3</v>
      </c>
      <c r="E2162" t="s">
        <v>414</v>
      </c>
      <c r="F2162">
        <v>1.2700000000000001E-3</v>
      </c>
      <c r="G2162">
        <f>$A$7</f>
        <v>10</v>
      </c>
      <c r="H2162">
        <v>-1</v>
      </c>
      <c r="I2162" t="s">
        <v>498</v>
      </c>
      <c r="J2162" s="17">
        <f t="shared" si="143"/>
        <v>-31366.702919995776</v>
      </c>
      <c r="K2162" t="s">
        <v>519</v>
      </c>
    </row>
    <row r="2163" spans="1:12" ht="15" customHeight="1" x14ac:dyDescent="0.2">
      <c r="C2163" s="15"/>
      <c r="D2163" s="15"/>
      <c r="E2163" s="15"/>
    </row>
    <row r="2164" spans="1:12" ht="15" customHeight="1" x14ac:dyDescent="0.2">
      <c r="C2164" s="15"/>
      <c r="D2164" s="15"/>
      <c r="E2164" s="15"/>
    </row>
    <row r="2165" spans="1:12" ht="15" customHeight="1" x14ac:dyDescent="0.2">
      <c r="A2165" s="377" t="s">
        <v>72</v>
      </c>
      <c r="B2165" s="378"/>
      <c r="C2165" s="378"/>
      <c r="D2165" s="378"/>
      <c r="E2165" s="378"/>
      <c r="F2165" s="378"/>
      <c r="G2165" s="378"/>
      <c r="H2165" s="378"/>
      <c r="I2165" s="378"/>
      <c r="J2165" s="378"/>
      <c r="K2165" s="378"/>
      <c r="L2165" s="378"/>
    </row>
    <row r="2166" spans="1:12" ht="15" customHeight="1" x14ac:dyDescent="0.2">
      <c r="A2166" s="379"/>
      <c r="B2166" s="380"/>
      <c r="C2166" s="380"/>
      <c r="D2166" s="380"/>
      <c r="E2166" s="380"/>
      <c r="F2166" s="380"/>
      <c r="G2166" s="380"/>
      <c r="H2166" s="380"/>
      <c r="I2166" s="380"/>
      <c r="J2166" s="380"/>
      <c r="K2166" s="380"/>
      <c r="L2166" s="380"/>
    </row>
    <row r="2167" spans="1:12" ht="15" customHeight="1" x14ac:dyDescent="0.2">
      <c r="A2167" s="358" t="s">
        <v>15</v>
      </c>
      <c r="B2167" s="358" t="s">
        <v>1029</v>
      </c>
      <c r="C2167" s="364" t="s">
        <v>523</v>
      </c>
      <c r="D2167" s="364"/>
      <c r="E2167" s="364"/>
      <c r="F2167" s="328" t="s">
        <v>421</v>
      </c>
      <c r="G2167" s="329"/>
      <c r="H2167" s="330"/>
      <c r="I2167" s="381" t="s">
        <v>28</v>
      </c>
      <c r="J2167" s="381"/>
      <c r="K2167" s="376" t="s">
        <v>420</v>
      </c>
      <c r="L2167" s="376"/>
    </row>
    <row r="2168" spans="1:12" ht="15" customHeight="1" x14ac:dyDescent="0.2">
      <c r="A2168" s="358"/>
      <c r="B2168" s="358"/>
      <c r="C2168" s="61" t="s">
        <v>522</v>
      </c>
      <c r="D2168" s="61"/>
      <c r="E2168" s="61"/>
      <c r="F2168" s="331"/>
      <c r="G2168" s="332"/>
      <c r="H2168" s="333"/>
      <c r="I2168" s="381"/>
      <c r="J2168" s="381"/>
      <c r="K2168" s="376"/>
      <c r="L2168" s="376"/>
    </row>
    <row r="2169" spans="1:12" ht="15" customHeight="1" x14ac:dyDescent="0.2">
      <c r="A2169" s="358"/>
      <c r="B2169" s="358"/>
      <c r="C2169" s="6" t="s">
        <v>317</v>
      </c>
      <c r="D2169" s="58" t="s">
        <v>319</v>
      </c>
      <c r="E2169" s="58" t="s">
        <v>5</v>
      </c>
      <c r="F2169" s="64" t="s">
        <v>0</v>
      </c>
      <c r="G2169" s="64" t="s">
        <v>499</v>
      </c>
      <c r="H2169" s="64" t="s">
        <v>5</v>
      </c>
      <c r="I2169" s="64" t="s">
        <v>0</v>
      </c>
      <c r="J2169" s="58" t="s">
        <v>5</v>
      </c>
      <c r="K2169" s="64" t="s">
        <v>0</v>
      </c>
      <c r="L2169" s="58" t="s">
        <v>5</v>
      </c>
    </row>
    <row r="2170" spans="1:12" ht="15" customHeight="1" x14ac:dyDescent="0.2">
      <c r="A2170" s="81" t="s">
        <v>201</v>
      </c>
      <c r="B2170" s="97">
        <f>A2221*Variables!F$12</f>
        <v>74435.30637593077</v>
      </c>
      <c r="C2170" t="s">
        <v>225</v>
      </c>
      <c r="D2170" s="100">
        <v>1.6000000000000001E-4</v>
      </c>
      <c r="E2170" t="s">
        <v>338</v>
      </c>
      <c r="F2170">
        <f>$A$6</f>
        <v>100</v>
      </c>
      <c r="G2170">
        <v>-1</v>
      </c>
      <c r="H2170" t="s">
        <v>422</v>
      </c>
      <c r="I2170" s="17">
        <f>((SUM(B$2170:B$2175,B$2186,B$2198:B$2200,B$2212:B$2214)*D2170))*F2170*G2170</f>
        <v>-23650.53557336385</v>
      </c>
      <c r="J2170" t="s">
        <v>519</v>
      </c>
      <c r="K2170" s="69">
        <f>SUM(I2170:I2275)</f>
        <v>-1471895737.6074917</v>
      </c>
      <c r="L2170" t="s">
        <v>538</v>
      </c>
    </row>
    <row r="2171" spans="1:12" ht="15" customHeight="1" x14ac:dyDescent="0.2">
      <c r="A2171" s="81" t="s">
        <v>122</v>
      </c>
      <c r="B2171" s="97">
        <f>A2222*Variables!F$12</f>
        <v>97.139561665449548</v>
      </c>
      <c r="C2171" t="s">
        <v>226</v>
      </c>
      <c r="D2171" s="100">
        <v>1.6000000000000001E-4</v>
      </c>
      <c r="E2171" t="s">
        <v>339</v>
      </c>
      <c r="F2171">
        <f>$A$7</f>
        <v>10</v>
      </c>
      <c r="G2171">
        <v>-1</v>
      </c>
      <c r="H2171" t="s">
        <v>423</v>
      </c>
      <c r="I2171" s="17">
        <f t="shared" ref="I2171:I2234" si="144">((SUM(B$2170:B$2175,B$2186,B$2198:B$2200,B$2212:B$2214)*D2171))*F2171*G2171</f>
        <v>-2365.053557336385</v>
      </c>
      <c r="J2171" t="s">
        <v>519</v>
      </c>
    </row>
    <row r="2172" spans="1:12" ht="15" customHeight="1" x14ac:dyDescent="0.2">
      <c r="A2172" s="81" t="s">
        <v>123</v>
      </c>
      <c r="B2172" s="97">
        <f>A2223*Variables!F$12</f>
        <v>49.552987547768168</v>
      </c>
      <c r="C2172" t="s">
        <v>227</v>
      </c>
      <c r="D2172" s="100">
        <v>1.6000000000000001E-3</v>
      </c>
      <c r="E2172" t="s">
        <v>340</v>
      </c>
      <c r="F2172">
        <f>$A$7</f>
        <v>10</v>
      </c>
      <c r="G2172">
        <v>-1</v>
      </c>
      <c r="H2172" t="s">
        <v>424</v>
      </c>
      <c r="I2172" s="17">
        <f t="shared" si="144"/>
        <v>-23650.53557336385</v>
      </c>
      <c r="J2172" t="s">
        <v>519</v>
      </c>
    </row>
    <row r="2173" spans="1:12" ht="15" customHeight="1" x14ac:dyDescent="0.2">
      <c r="A2173" s="81" t="s">
        <v>124</v>
      </c>
      <c r="B2173" s="97">
        <f>A2224*Variables!F$12</f>
        <v>35.292728394181232</v>
      </c>
      <c r="C2173" t="s">
        <v>228</v>
      </c>
      <c r="D2173" s="100">
        <v>0.16047</v>
      </c>
      <c r="E2173" t="s">
        <v>341</v>
      </c>
      <c r="F2173">
        <f>$A$7</f>
        <v>10</v>
      </c>
      <c r="G2173">
        <v>-1</v>
      </c>
      <c r="H2173" t="s">
        <v>425</v>
      </c>
      <c r="I2173" s="17">
        <f t="shared" si="144"/>
        <v>-2372000.9021610604</v>
      </c>
      <c r="J2173" t="s">
        <v>519</v>
      </c>
    </row>
    <row r="2174" spans="1:12" ht="15" customHeight="1" x14ac:dyDescent="0.2">
      <c r="A2174" s="81" t="s">
        <v>125</v>
      </c>
      <c r="B2174" s="97">
        <f>A2225*Variables!F$12</f>
        <v>4388.6240909863836</v>
      </c>
      <c r="C2174" t="s">
        <v>229</v>
      </c>
      <c r="D2174" s="100">
        <v>1.6049999999999998E-2</v>
      </c>
      <c r="E2174" t="s">
        <v>342</v>
      </c>
      <c r="F2174">
        <f>$A$6</f>
        <v>100</v>
      </c>
      <c r="G2174">
        <v>-1</v>
      </c>
      <c r="H2174" t="s">
        <v>426</v>
      </c>
      <c r="I2174" s="17">
        <f t="shared" si="144"/>
        <v>-2372444.3497030605</v>
      </c>
      <c r="J2174" t="s">
        <v>519</v>
      </c>
    </row>
    <row r="2175" spans="1:12" ht="15" customHeight="1" x14ac:dyDescent="0.2">
      <c r="A2175" s="81" t="s">
        <v>126</v>
      </c>
      <c r="B2175" s="97">
        <f>A2226*Variables!F$12</f>
        <v>1097.1560227465959</v>
      </c>
      <c r="C2175" t="s">
        <v>230</v>
      </c>
      <c r="D2175" s="100">
        <v>0.16047</v>
      </c>
      <c r="E2175" t="s">
        <v>343</v>
      </c>
      <c r="F2175">
        <f>$A$6</f>
        <v>100</v>
      </c>
      <c r="G2175">
        <v>-1</v>
      </c>
      <c r="H2175" t="s">
        <v>427</v>
      </c>
      <c r="I2175" s="17">
        <f t="shared" si="144"/>
        <v>-23720009.021610603</v>
      </c>
      <c r="J2175" t="s">
        <v>519</v>
      </c>
    </row>
    <row r="2176" spans="1:12" ht="15" customHeight="1" x14ac:dyDescent="0.2">
      <c r="A2176" s="98" t="s">
        <v>9</v>
      </c>
      <c r="B2176" s="99">
        <v>80103.071767271147</v>
      </c>
      <c r="C2176" t="s">
        <v>231</v>
      </c>
      <c r="D2176" s="100">
        <v>1.60467</v>
      </c>
      <c r="E2176" t="s">
        <v>344</v>
      </c>
      <c r="F2176">
        <f>$A$7</f>
        <v>10</v>
      </c>
      <c r="G2176">
        <v>-1</v>
      </c>
      <c r="H2176" t="s">
        <v>428</v>
      </c>
      <c r="I2176" s="17">
        <f t="shared" si="144"/>
        <v>-23719565.574068606</v>
      </c>
      <c r="J2176" t="s">
        <v>519</v>
      </c>
    </row>
    <row r="2177" spans="1:10" ht="15" customHeight="1" x14ac:dyDescent="0.2">
      <c r="C2177" t="s">
        <v>232</v>
      </c>
      <c r="D2177" s="100">
        <v>1.6000000000000001E-4</v>
      </c>
      <c r="E2177" t="s">
        <v>345</v>
      </c>
      <c r="F2177">
        <f>$A$7</f>
        <v>10</v>
      </c>
      <c r="G2177">
        <v>-1</v>
      </c>
      <c r="H2177" t="s">
        <v>429</v>
      </c>
      <c r="I2177" s="17">
        <f t="shared" si="144"/>
        <v>-2365.053557336385</v>
      </c>
      <c r="J2177" t="s">
        <v>519</v>
      </c>
    </row>
    <row r="2178" spans="1:10" ht="15" customHeight="1" x14ac:dyDescent="0.2">
      <c r="C2178" t="s">
        <v>233</v>
      </c>
      <c r="D2178" s="100">
        <v>1.6000000000000001E-4</v>
      </c>
      <c r="E2178" t="s">
        <v>345</v>
      </c>
      <c r="F2178">
        <f>$A$7</f>
        <v>10</v>
      </c>
      <c r="G2178">
        <v>-1</v>
      </c>
      <c r="H2178" t="s">
        <v>429</v>
      </c>
      <c r="I2178" s="17">
        <f t="shared" si="144"/>
        <v>-2365.053557336385</v>
      </c>
      <c r="J2178" t="s">
        <v>519</v>
      </c>
    </row>
    <row r="2179" spans="1:10" ht="15" customHeight="1" x14ac:dyDescent="0.2">
      <c r="C2179" t="s">
        <v>320</v>
      </c>
      <c r="D2179" s="100">
        <v>0</v>
      </c>
      <c r="E2179" t="s">
        <v>344</v>
      </c>
      <c r="F2179">
        <f>$A$6</f>
        <v>100</v>
      </c>
      <c r="G2179">
        <v>-1</v>
      </c>
      <c r="H2179" t="s">
        <v>428</v>
      </c>
      <c r="I2179" s="17">
        <f t="shared" si="144"/>
        <v>0</v>
      </c>
      <c r="J2179" t="s">
        <v>519</v>
      </c>
    </row>
    <row r="2180" spans="1:10" ht="15" customHeight="1" x14ac:dyDescent="0.2">
      <c r="A2180" s="430" t="s">
        <v>85</v>
      </c>
      <c r="B2180" s="430"/>
      <c r="C2180" t="s">
        <v>321</v>
      </c>
      <c r="D2180" s="100">
        <v>0</v>
      </c>
      <c r="E2180" t="s">
        <v>344</v>
      </c>
      <c r="F2180">
        <f>$A$6</f>
        <v>100</v>
      </c>
      <c r="G2180">
        <v>-1</v>
      </c>
      <c r="H2180" t="s">
        <v>428</v>
      </c>
      <c r="I2180" s="17">
        <f t="shared" si="144"/>
        <v>0</v>
      </c>
      <c r="J2180" t="s">
        <v>519</v>
      </c>
    </row>
    <row r="2181" spans="1:10" ht="15" customHeight="1" x14ac:dyDescent="0.2">
      <c r="A2181" s="430"/>
      <c r="B2181" s="430"/>
      <c r="C2181" t="s">
        <v>234</v>
      </c>
      <c r="D2181" s="100">
        <v>0</v>
      </c>
      <c r="E2181" t="s">
        <v>344</v>
      </c>
      <c r="F2181">
        <v>0</v>
      </c>
      <c r="G2181">
        <v>0</v>
      </c>
      <c r="H2181" t="s">
        <v>428</v>
      </c>
      <c r="I2181" s="17">
        <f t="shared" si="144"/>
        <v>0</v>
      </c>
      <c r="J2181" t="s">
        <v>519</v>
      </c>
    </row>
    <row r="2182" spans="1:10" ht="15" customHeight="1" x14ac:dyDescent="0.2">
      <c r="A2182" s="101"/>
      <c r="B2182" s="76"/>
      <c r="C2182" t="s">
        <v>235</v>
      </c>
      <c r="D2182" s="100">
        <v>0.16047</v>
      </c>
      <c r="E2182" t="s">
        <v>346</v>
      </c>
      <c r="F2182">
        <f>$A$8</f>
        <v>1</v>
      </c>
      <c r="G2182">
        <v>1</v>
      </c>
      <c r="H2182" t="s">
        <v>430</v>
      </c>
      <c r="I2182" s="17">
        <f t="shared" si="144"/>
        <v>237200.09021610604</v>
      </c>
      <c r="J2182" t="s">
        <v>519</v>
      </c>
    </row>
    <row r="2183" spans="1:10" ht="15" customHeight="1" x14ac:dyDescent="0.2">
      <c r="A2183" s="358" t="s">
        <v>15</v>
      </c>
      <c r="B2183" s="358" t="s">
        <v>1029</v>
      </c>
      <c r="C2183" t="s">
        <v>236</v>
      </c>
      <c r="D2183" s="100">
        <v>1.6000000000000001E-4</v>
      </c>
      <c r="E2183" t="s">
        <v>347</v>
      </c>
      <c r="F2183">
        <f>$A$7</f>
        <v>10</v>
      </c>
      <c r="G2183">
        <v>-1</v>
      </c>
      <c r="H2183" t="s">
        <v>431</v>
      </c>
      <c r="I2183" s="17">
        <f t="shared" si="144"/>
        <v>-2365.053557336385</v>
      </c>
      <c r="J2183" t="s">
        <v>519</v>
      </c>
    </row>
    <row r="2184" spans="1:10" ht="15" customHeight="1" x14ac:dyDescent="0.2">
      <c r="A2184" s="358"/>
      <c r="B2184" s="358"/>
      <c r="C2184" t="s">
        <v>237</v>
      </c>
      <c r="D2184" s="100">
        <v>0.16047</v>
      </c>
      <c r="E2184" t="s">
        <v>348</v>
      </c>
      <c r="F2184">
        <f>$A$6</f>
        <v>100</v>
      </c>
      <c r="G2184">
        <v>-1</v>
      </c>
      <c r="H2184" t="s">
        <v>432</v>
      </c>
      <c r="I2184" s="17">
        <f t="shared" si="144"/>
        <v>-23720009.021610603</v>
      </c>
      <c r="J2184" t="s">
        <v>519</v>
      </c>
    </row>
    <row r="2185" spans="1:10" ht="15" customHeight="1" x14ac:dyDescent="0.2">
      <c r="A2185" s="358"/>
      <c r="B2185" s="358"/>
      <c r="C2185" t="s">
        <v>238</v>
      </c>
      <c r="D2185" s="100">
        <v>0</v>
      </c>
      <c r="E2185" t="s">
        <v>349</v>
      </c>
      <c r="F2185">
        <f>$A$7</f>
        <v>10</v>
      </c>
      <c r="G2185">
        <v>-1</v>
      </c>
      <c r="H2185" t="s">
        <v>433</v>
      </c>
      <c r="I2185" s="17">
        <f t="shared" si="144"/>
        <v>0</v>
      </c>
      <c r="J2185" t="s">
        <v>519</v>
      </c>
    </row>
    <row r="2186" spans="1:10" ht="15" customHeight="1" x14ac:dyDescent="0.2">
      <c r="A2186" s="81" t="s">
        <v>203</v>
      </c>
      <c r="B2186" s="62">
        <f>A2232*Variables!F$12</f>
        <v>644.4531740223</v>
      </c>
      <c r="C2186" t="s">
        <v>239</v>
      </c>
      <c r="D2186" s="100">
        <v>1.6000000000000001E-3</v>
      </c>
      <c r="E2186" t="s">
        <v>348</v>
      </c>
      <c r="F2186">
        <f>$A$6</f>
        <v>100</v>
      </c>
      <c r="G2186">
        <v>-1</v>
      </c>
      <c r="H2186" t="s">
        <v>432</v>
      </c>
      <c r="I2186" s="17">
        <f t="shared" si="144"/>
        <v>-236505.35573363851</v>
      </c>
      <c r="J2186" t="s">
        <v>519</v>
      </c>
    </row>
    <row r="2187" spans="1:10" ht="15" customHeight="1" x14ac:dyDescent="0.2">
      <c r="A2187" s="98" t="s">
        <v>9</v>
      </c>
      <c r="B2187" s="99">
        <v>644.45317402229955</v>
      </c>
      <c r="C2187" t="s">
        <v>240</v>
      </c>
      <c r="D2187" s="100">
        <v>0</v>
      </c>
      <c r="E2187" t="s">
        <v>348</v>
      </c>
      <c r="F2187">
        <f>$A$6</f>
        <v>100</v>
      </c>
      <c r="G2187">
        <v>-1</v>
      </c>
      <c r="H2187" t="s">
        <v>432</v>
      </c>
      <c r="I2187" s="17">
        <f t="shared" si="144"/>
        <v>0</v>
      </c>
      <c r="J2187" t="s">
        <v>519</v>
      </c>
    </row>
    <row r="2188" spans="1:10" ht="15" customHeight="1" x14ac:dyDescent="0.2">
      <c r="A2188" s="13"/>
      <c r="B2188" s="13"/>
      <c r="C2188" t="s">
        <v>241</v>
      </c>
      <c r="D2188" s="100">
        <v>0</v>
      </c>
      <c r="E2188" t="s">
        <v>350</v>
      </c>
      <c r="F2188">
        <f>$A$6</f>
        <v>100</v>
      </c>
      <c r="G2188">
        <v>-1</v>
      </c>
      <c r="H2188" t="s">
        <v>434</v>
      </c>
      <c r="I2188" s="17">
        <f t="shared" si="144"/>
        <v>0</v>
      </c>
      <c r="J2188" t="s">
        <v>519</v>
      </c>
    </row>
    <row r="2189" spans="1:10" ht="15" customHeight="1" x14ac:dyDescent="0.2">
      <c r="A2189" s="9"/>
      <c r="B2189" s="13"/>
      <c r="C2189" t="s">
        <v>242</v>
      </c>
      <c r="D2189" s="100">
        <v>0</v>
      </c>
      <c r="E2189" t="s">
        <v>351</v>
      </c>
      <c r="F2189">
        <f>$A$8</f>
        <v>1</v>
      </c>
      <c r="G2189">
        <v>1</v>
      </c>
      <c r="H2189" t="s">
        <v>435</v>
      </c>
      <c r="I2189" s="17">
        <f t="shared" si="144"/>
        <v>0</v>
      </c>
      <c r="J2189" t="s">
        <v>519</v>
      </c>
    </row>
    <row r="2190" spans="1:10" ht="15" customHeight="1" x14ac:dyDescent="0.2">
      <c r="A2190" s="38"/>
      <c r="B2190" s="14"/>
      <c r="C2190" t="s">
        <v>243</v>
      </c>
      <c r="D2190" s="100">
        <v>1.6000000000000001E-3</v>
      </c>
      <c r="E2190" t="s">
        <v>352</v>
      </c>
      <c r="F2190">
        <f>$A$6</f>
        <v>100</v>
      </c>
      <c r="G2190">
        <v>-1</v>
      </c>
      <c r="H2190" t="s">
        <v>436</v>
      </c>
      <c r="I2190" s="17">
        <f t="shared" si="144"/>
        <v>-236505.35573363851</v>
      </c>
      <c r="J2190" t="s">
        <v>519</v>
      </c>
    </row>
    <row r="2191" spans="1:10" ht="15" customHeight="1" x14ac:dyDescent="0.2">
      <c r="A2191" s="13"/>
      <c r="B2191" s="13"/>
      <c r="C2191" t="s">
        <v>244</v>
      </c>
      <c r="D2191" s="100">
        <v>1.6000000000000001E-3</v>
      </c>
      <c r="E2191" t="s">
        <v>353</v>
      </c>
      <c r="F2191">
        <v>0</v>
      </c>
      <c r="G2191">
        <v>0</v>
      </c>
      <c r="H2191" t="s">
        <v>437</v>
      </c>
      <c r="I2191" s="17">
        <f t="shared" si="144"/>
        <v>0</v>
      </c>
      <c r="J2191" t="s">
        <v>519</v>
      </c>
    </row>
    <row r="2192" spans="1:10" ht="15" customHeight="1" x14ac:dyDescent="0.2">
      <c r="A2192" s="431" t="s">
        <v>70</v>
      </c>
      <c r="B2192" s="431"/>
      <c r="C2192" t="s">
        <v>245</v>
      </c>
      <c r="D2192" s="100">
        <v>1.6000000000000001E-4</v>
      </c>
      <c r="E2192" t="s">
        <v>351</v>
      </c>
      <c r="F2192">
        <f t="shared" ref="F2192:F2197" si="145">$A$7</f>
        <v>10</v>
      </c>
      <c r="G2192">
        <v>-1</v>
      </c>
      <c r="H2192" t="s">
        <v>435</v>
      </c>
      <c r="I2192" s="17">
        <f t="shared" si="144"/>
        <v>-2365.053557336385</v>
      </c>
      <c r="J2192" t="s">
        <v>519</v>
      </c>
    </row>
    <row r="2193" spans="1:10" ht="15" customHeight="1" x14ac:dyDescent="0.2">
      <c r="A2193" s="431"/>
      <c r="B2193" s="431"/>
      <c r="C2193" t="s">
        <v>246</v>
      </c>
      <c r="D2193" s="100">
        <v>1.6049999999999998E-2</v>
      </c>
      <c r="E2193" t="s">
        <v>354</v>
      </c>
      <c r="F2193">
        <f t="shared" si="145"/>
        <v>10</v>
      </c>
      <c r="G2193">
        <v>-1</v>
      </c>
      <c r="H2193" t="s">
        <v>438</v>
      </c>
      <c r="I2193" s="17">
        <f t="shared" si="144"/>
        <v>-237244.43497030606</v>
      </c>
      <c r="J2193" t="s">
        <v>519</v>
      </c>
    </row>
    <row r="2194" spans="1:10" ht="15" customHeight="1" x14ac:dyDescent="0.2">
      <c r="A2194" s="101"/>
      <c r="B2194" s="76"/>
      <c r="C2194" t="s">
        <v>247</v>
      </c>
      <c r="D2194" s="100">
        <v>1.60467</v>
      </c>
      <c r="E2194" t="s">
        <v>354</v>
      </c>
      <c r="F2194">
        <f t="shared" si="145"/>
        <v>10</v>
      </c>
      <c r="G2194">
        <v>-1</v>
      </c>
      <c r="H2194" t="s">
        <v>438</v>
      </c>
      <c r="I2194" s="17">
        <f t="shared" si="144"/>
        <v>-23719565.574068606</v>
      </c>
      <c r="J2194" t="s">
        <v>519</v>
      </c>
    </row>
    <row r="2195" spans="1:10" ht="15" customHeight="1" x14ac:dyDescent="0.2">
      <c r="A2195" s="358" t="s">
        <v>15</v>
      </c>
      <c r="B2195" s="358" t="s">
        <v>1029</v>
      </c>
      <c r="C2195" t="s">
        <v>248</v>
      </c>
      <c r="D2195" s="100">
        <v>1.60467</v>
      </c>
      <c r="E2195" t="s">
        <v>350</v>
      </c>
      <c r="F2195">
        <f t="shared" si="145"/>
        <v>10</v>
      </c>
      <c r="G2195">
        <v>-1</v>
      </c>
      <c r="H2195" t="s">
        <v>434</v>
      </c>
      <c r="I2195" s="17">
        <f t="shared" si="144"/>
        <v>-23719565.574068606</v>
      </c>
      <c r="J2195" t="s">
        <v>519</v>
      </c>
    </row>
    <row r="2196" spans="1:10" ht="15" customHeight="1" x14ac:dyDescent="0.2">
      <c r="A2196" s="358"/>
      <c r="B2196" s="358"/>
      <c r="C2196" t="s">
        <v>322</v>
      </c>
      <c r="D2196" s="100">
        <v>1.60467</v>
      </c>
      <c r="E2196" t="s">
        <v>355</v>
      </c>
      <c r="F2196">
        <f t="shared" si="145"/>
        <v>10</v>
      </c>
      <c r="G2196">
        <v>-1</v>
      </c>
      <c r="H2196" t="s">
        <v>439</v>
      </c>
      <c r="I2196" s="17">
        <f t="shared" si="144"/>
        <v>-23719565.574068606</v>
      </c>
      <c r="J2196" t="s">
        <v>519</v>
      </c>
    </row>
    <row r="2197" spans="1:10" ht="15" customHeight="1" x14ac:dyDescent="0.2">
      <c r="A2197" s="358"/>
      <c r="B2197" s="358"/>
      <c r="C2197" t="s">
        <v>249</v>
      </c>
      <c r="D2197" s="100">
        <v>0.16047</v>
      </c>
      <c r="E2197" t="s">
        <v>356</v>
      </c>
      <c r="F2197">
        <f t="shared" si="145"/>
        <v>10</v>
      </c>
      <c r="G2197">
        <v>-1</v>
      </c>
      <c r="H2197" t="s">
        <v>440</v>
      </c>
      <c r="I2197" s="17">
        <f t="shared" si="144"/>
        <v>-2372000.9021610604</v>
      </c>
      <c r="J2197" t="s">
        <v>519</v>
      </c>
    </row>
    <row r="2198" spans="1:10" ht="15" customHeight="1" x14ac:dyDescent="0.2">
      <c r="A2198" s="81" t="s">
        <v>112</v>
      </c>
      <c r="B2198" s="62">
        <f>A2238*Variables!F$12</f>
        <v>160.38813891370421</v>
      </c>
      <c r="C2198" t="s">
        <v>323</v>
      </c>
      <c r="D2198" s="100">
        <v>1.6000000000000001E-3</v>
      </c>
      <c r="E2198" t="s">
        <v>357</v>
      </c>
      <c r="F2198">
        <f>$A$6</f>
        <v>100</v>
      </c>
      <c r="G2198">
        <v>-1</v>
      </c>
      <c r="H2198" t="s">
        <v>441</v>
      </c>
      <c r="I2198" s="17">
        <f t="shared" si="144"/>
        <v>-236505.35573363851</v>
      </c>
      <c r="J2198" t="s">
        <v>519</v>
      </c>
    </row>
    <row r="2199" spans="1:10" ht="15" customHeight="1" x14ac:dyDescent="0.2">
      <c r="A2199" s="81" t="s">
        <v>113</v>
      </c>
      <c r="B2199" s="62">
        <f>A2239*Variables!F$12</f>
        <v>138936.25352645869</v>
      </c>
      <c r="C2199" t="s">
        <v>324</v>
      </c>
      <c r="D2199" s="100">
        <v>1.6000000000000001E-3</v>
      </c>
      <c r="E2199" t="s">
        <v>357</v>
      </c>
      <c r="F2199">
        <f>$A$6</f>
        <v>100</v>
      </c>
      <c r="G2199">
        <v>-1</v>
      </c>
      <c r="H2199" t="s">
        <v>441</v>
      </c>
      <c r="I2199" s="17">
        <f t="shared" si="144"/>
        <v>-236505.35573363851</v>
      </c>
      <c r="J2199" t="s">
        <v>519</v>
      </c>
    </row>
    <row r="2200" spans="1:10" ht="15" customHeight="1" x14ac:dyDescent="0.2">
      <c r="A2200" s="81" t="s">
        <v>204</v>
      </c>
      <c r="B2200" s="62">
        <f>A2240*Variables!F$12</f>
        <v>644.45317402229955</v>
      </c>
      <c r="C2200" t="s">
        <v>250</v>
      </c>
      <c r="D2200" s="100">
        <v>1.6000000000000001E-3</v>
      </c>
      <c r="E2200" t="s">
        <v>358</v>
      </c>
      <c r="F2200">
        <f>$A$7</f>
        <v>10</v>
      </c>
      <c r="G2200">
        <v>1</v>
      </c>
      <c r="H2200" t="s">
        <v>442</v>
      </c>
      <c r="I2200" s="17">
        <f t="shared" si="144"/>
        <v>23650.53557336385</v>
      </c>
      <c r="J2200" t="s">
        <v>519</v>
      </c>
    </row>
    <row r="2201" spans="1:10" ht="15" customHeight="1" x14ac:dyDescent="0.2">
      <c r="A2201" s="98" t="s">
        <v>9</v>
      </c>
      <c r="B2201" s="99">
        <v>139741.09483939467</v>
      </c>
      <c r="C2201" t="s">
        <v>251</v>
      </c>
      <c r="D2201" s="100">
        <v>0</v>
      </c>
      <c r="E2201" t="s">
        <v>359</v>
      </c>
      <c r="F2201">
        <f>$A$6</f>
        <v>100</v>
      </c>
      <c r="G2201">
        <v>-1</v>
      </c>
      <c r="H2201" t="s">
        <v>443</v>
      </c>
      <c r="I2201" s="17">
        <f t="shared" si="144"/>
        <v>0</v>
      </c>
      <c r="J2201" t="s">
        <v>519</v>
      </c>
    </row>
    <row r="2202" spans="1:10" ht="15" customHeight="1" x14ac:dyDescent="0.2">
      <c r="A2202" s="13"/>
      <c r="B2202" s="13"/>
      <c r="C2202" t="s">
        <v>252</v>
      </c>
      <c r="D2202" s="100">
        <v>0.16047</v>
      </c>
      <c r="E2202" t="s">
        <v>360</v>
      </c>
      <c r="F2202">
        <f>$A$7</f>
        <v>10</v>
      </c>
      <c r="G2202">
        <v>-1</v>
      </c>
      <c r="H2202" t="s">
        <v>444</v>
      </c>
      <c r="I2202" s="17">
        <f t="shared" si="144"/>
        <v>-2372000.9021610604</v>
      </c>
      <c r="J2202" t="s">
        <v>519</v>
      </c>
    </row>
    <row r="2203" spans="1:10" ht="15" customHeight="1" x14ac:dyDescent="0.2">
      <c r="A2203" s="9"/>
      <c r="B2203" s="13"/>
      <c r="C2203" t="s">
        <v>253</v>
      </c>
      <c r="D2203" s="100">
        <v>1.6049999999999998E-2</v>
      </c>
      <c r="E2203" t="s">
        <v>361</v>
      </c>
      <c r="F2203">
        <f>$A$7</f>
        <v>10</v>
      </c>
      <c r="G2203">
        <v>-1</v>
      </c>
      <c r="H2203" t="s">
        <v>445</v>
      </c>
      <c r="I2203" s="17">
        <f t="shared" si="144"/>
        <v>-237244.43497030606</v>
      </c>
      <c r="J2203" t="s">
        <v>519</v>
      </c>
    </row>
    <row r="2204" spans="1:10" ht="15" customHeight="1" x14ac:dyDescent="0.2">
      <c r="A2204" s="13"/>
      <c r="B2204" s="13"/>
      <c r="C2204" t="s">
        <v>325</v>
      </c>
      <c r="D2204" s="100">
        <v>1.6000000000000001E-3</v>
      </c>
      <c r="E2204" t="s">
        <v>362</v>
      </c>
      <c r="F2204">
        <f>$A$6</f>
        <v>100</v>
      </c>
      <c r="G2204">
        <v>-1</v>
      </c>
      <c r="H2204" t="s">
        <v>446</v>
      </c>
      <c r="I2204" s="17">
        <f t="shared" si="144"/>
        <v>-236505.35573363851</v>
      </c>
      <c r="J2204" t="s">
        <v>519</v>
      </c>
    </row>
    <row r="2205" spans="1:10" ht="15" customHeight="1" x14ac:dyDescent="0.2">
      <c r="A2205" s="13"/>
      <c r="B2205" s="13"/>
      <c r="C2205" t="s">
        <v>254</v>
      </c>
      <c r="D2205" s="100">
        <v>1.6000000000000001E-3</v>
      </c>
      <c r="E2205" t="s">
        <v>363</v>
      </c>
      <c r="F2205">
        <f>$A$7</f>
        <v>10</v>
      </c>
      <c r="G2205">
        <v>-1</v>
      </c>
      <c r="H2205" t="s">
        <v>447</v>
      </c>
      <c r="I2205" s="17">
        <f t="shared" si="144"/>
        <v>-23650.53557336385</v>
      </c>
      <c r="J2205" t="s">
        <v>519</v>
      </c>
    </row>
    <row r="2206" spans="1:10" ht="15" customHeight="1" x14ac:dyDescent="0.2">
      <c r="A2206" s="432" t="s">
        <v>71</v>
      </c>
      <c r="B2206" s="432"/>
      <c r="C2206" t="s">
        <v>255</v>
      </c>
      <c r="D2206" s="100">
        <v>0</v>
      </c>
      <c r="E2206" t="s">
        <v>364</v>
      </c>
      <c r="F2206">
        <f>$A$7</f>
        <v>10</v>
      </c>
      <c r="G2206">
        <v>-1</v>
      </c>
      <c r="H2206" t="s">
        <v>448</v>
      </c>
      <c r="I2206" s="17">
        <f t="shared" si="144"/>
        <v>0</v>
      </c>
      <c r="J2206" t="s">
        <v>519</v>
      </c>
    </row>
    <row r="2207" spans="1:10" ht="15" customHeight="1" x14ac:dyDescent="0.2">
      <c r="A2207" s="432"/>
      <c r="B2207" s="432"/>
      <c r="C2207" t="s">
        <v>256</v>
      </c>
      <c r="D2207" s="100">
        <v>1.6000000000000001E-3</v>
      </c>
      <c r="E2207" t="s">
        <v>365</v>
      </c>
      <c r="F2207">
        <f>$A$7</f>
        <v>10</v>
      </c>
      <c r="G2207">
        <v>-1</v>
      </c>
      <c r="H2207" t="s">
        <v>449</v>
      </c>
      <c r="I2207" s="17">
        <f t="shared" si="144"/>
        <v>-23650.53557336385</v>
      </c>
      <c r="J2207" t="s">
        <v>519</v>
      </c>
    </row>
    <row r="2208" spans="1:10" ht="15" customHeight="1" x14ac:dyDescent="0.2">
      <c r="A2208" s="101"/>
      <c r="B2208" s="76"/>
      <c r="C2208" t="s">
        <v>257</v>
      </c>
      <c r="D2208" s="100">
        <v>1.60467</v>
      </c>
      <c r="E2208" t="s">
        <v>366</v>
      </c>
      <c r="F2208">
        <f>$A$6</f>
        <v>100</v>
      </c>
      <c r="G2208">
        <v>-1</v>
      </c>
      <c r="H2208" t="s">
        <v>450</v>
      </c>
      <c r="I2208" s="17">
        <f t="shared" si="144"/>
        <v>-237195655.74068603</v>
      </c>
      <c r="J2208" t="s">
        <v>519</v>
      </c>
    </row>
    <row r="2209" spans="1:10" ht="15" customHeight="1" x14ac:dyDescent="0.2">
      <c r="A2209" s="358" t="s">
        <v>15</v>
      </c>
      <c r="B2209" s="358" t="s">
        <v>1029</v>
      </c>
      <c r="C2209" t="s">
        <v>258</v>
      </c>
      <c r="D2209" s="100">
        <v>0.16047</v>
      </c>
      <c r="E2209" t="s">
        <v>367</v>
      </c>
      <c r="F2209">
        <f>$A$6</f>
        <v>100</v>
      </c>
      <c r="G2209">
        <v>-1</v>
      </c>
      <c r="H2209" t="s">
        <v>451</v>
      </c>
      <c r="I2209" s="17">
        <f t="shared" si="144"/>
        <v>-23720009.021610603</v>
      </c>
      <c r="J2209" t="s">
        <v>519</v>
      </c>
    </row>
    <row r="2210" spans="1:10" ht="15" customHeight="1" x14ac:dyDescent="0.2">
      <c r="A2210" s="358"/>
      <c r="B2210" s="358"/>
      <c r="C2210" t="s">
        <v>326</v>
      </c>
      <c r="D2210" s="100">
        <v>1.6000000000000001E-3</v>
      </c>
      <c r="E2210" t="s">
        <v>365</v>
      </c>
      <c r="F2210">
        <v>0</v>
      </c>
      <c r="G2210">
        <v>0</v>
      </c>
      <c r="H2210" t="s">
        <v>449</v>
      </c>
      <c r="I2210" s="17">
        <f t="shared" si="144"/>
        <v>0</v>
      </c>
      <c r="J2210" t="s">
        <v>519</v>
      </c>
    </row>
    <row r="2211" spans="1:10" ht="15" customHeight="1" x14ac:dyDescent="0.2">
      <c r="A2211" s="358"/>
      <c r="B2211" s="358"/>
      <c r="C2211" t="s">
        <v>259</v>
      </c>
      <c r="D2211" s="100">
        <v>1.6049999999999998E-2</v>
      </c>
      <c r="E2211" t="s">
        <v>368</v>
      </c>
      <c r="F2211">
        <f>$A$6</f>
        <v>100</v>
      </c>
      <c r="G2211">
        <v>-1</v>
      </c>
      <c r="H2211" t="s">
        <v>452</v>
      </c>
      <c r="I2211" s="17">
        <f t="shared" si="144"/>
        <v>-2372444.3497030605</v>
      </c>
      <c r="J2211" t="s">
        <v>519</v>
      </c>
    </row>
    <row r="2212" spans="1:10" ht="15" customHeight="1" x14ac:dyDescent="0.2">
      <c r="A2212" s="81" t="s">
        <v>112</v>
      </c>
      <c r="B2212" s="62">
        <f>A2246*Variables!F$12</f>
        <v>1443.493250223338</v>
      </c>
      <c r="C2212" t="s">
        <v>260</v>
      </c>
      <c r="D2212" s="100">
        <v>0</v>
      </c>
      <c r="E2212" t="s">
        <v>368</v>
      </c>
      <c r="F2212">
        <v>0</v>
      </c>
      <c r="G2212">
        <v>0</v>
      </c>
      <c r="H2212" t="s">
        <v>452</v>
      </c>
      <c r="I2212" s="17">
        <f t="shared" si="144"/>
        <v>0</v>
      </c>
      <c r="J2212" t="s">
        <v>519</v>
      </c>
    </row>
    <row r="2213" spans="1:10" ht="15" customHeight="1" x14ac:dyDescent="0.2">
      <c r="A2213" s="81" t="s">
        <v>113</v>
      </c>
      <c r="B2213" s="62">
        <f>A2247*Variables!F$12</f>
        <v>1250426.2817381283</v>
      </c>
      <c r="C2213" t="s">
        <v>327</v>
      </c>
      <c r="D2213" s="100">
        <v>1.6000000000000001E-4</v>
      </c>
      <c r="E2213" t="s">
        <v>368</v>
      </c>
      <c r="F2213">
        <f>$A$6</f>
        <v>100</v>
      </c>
      <c r="G2213">
        <v>-1</v>
      </c>
      <c r="H2213" t="s">
        <v>452</v>
      </c>
      <c r="I2213" s="17">
        <f t="shared" si="144"/>
        <v>-23650.53557336385</v>
      </c>
      <c r="J2213" t="s">
        <v>519</v>
      </c>
    </row>
    <row r="2214" spans="1:10" ht="15" customHeight="1" x14ac:dyDescent="0.2">
      <c r="A2214" s="81" t="s">
        <v>108</v>
      </c>
      <c r="B2214" s="62">
        <f>A2248*Variables!F$12</f>
        <v>5800.0785662006938</v>
      </c>
      <c r="C2214" t="s">
        <v>328</v>
      </c>
      <c r="D2214" s="100">
        <v>1.6000000000000001E-4</v>
      </c>
      <c r="E2214" t="s">
        <v>368</v>
      </c>
      <c r="F2214">
        <v>0</v>
      </c>
      <c r="G2214">
        <v>0</v>
      </c>
      <c r="H2214" t="s">
        <v>452</v>
      </c>
      <c r="I2214" s="17">
        <f t="shared" si="144"/>
        <v>0</v>
      </c>
      <c r="J2214" t="s">
        <v>519</v>
      </c>
    </row>
    <row r="2215" spans="1:10" ht="15" customHeight="1" x14ac:dyDescent="0.2">
      <c r="A2215" s="98" t="s">
        <v>9</v>
      </c>
      <c r="B2215" s="62">
        <f>A2249*Variables!F$12</f>
        <v>1257669.8535545524</v>
      </c>
      <c r="C2215" t="s">
        <v>261</v>
      </c>
      <c r="D2215" s="100">
        <v>0.16047</v>
      </c>
      <c r="E2215" t="s">
        <v>369</v>
      </c>
      <c r="F2215">
        <f>$A$6</f>
        <v>100</v>
      </c>
      <c r="G2215">
        <v>-1</v>
      </c>
      <c r="H2215" t="s">
        <v>453</v>
      </c>
      <c r="I2215" s="17">
        <f t="shared" si="144"/>
        <v>-23720009.021610603</v>
      </c>
      <c r="J2215" t="s">
        <v>519</v>
      </c>
    </row>
    <row r="2216" spans="1:10" ht="15" customHeight="1" x14ac:dyDescent="0.2">
      <c r="C2216" t="s">
        <v>263</v>
      </c>
      <c r="D2216" s="100">
        <v>1.6000000000000001E-4</v>
      </c>
      <c r="E2216" t="s">
        <v>370</v>
      </c>
      <c r="F2216">
        <f>$A$6</f>
        <v>100</v>
      </c>
      <c r="G2216">
        <v>-1</v>
      </c>
      <c r="H2216" t="s">
        <v>454</v>
      </c>
      <c r="I2216" s="17">
        <f t="shared" si="144"/>
        <v>-23650.53557336385</v>
      </c>
      <c r="J2216" t="s">
        <v>519</v>
      </c>
    </row>
    <row r="2217" spans="1:10" ht="15" customHeight="1" x14ac:dyDescent="0.2">
      <c r="C2217" t="s">
        <v>262</v>
      </c>
      <c r="D2217" s="100">
        <v>1.6000000000000001E-4</v>
      </c>
      <c r="E2217" t="s">
        <v>370</v>
      </c>
      <c r="F2217">
        <f>$A$6</f>
        <v>100</v>
      </c>
      <c r="G2217">
        <v>-1</v>
      </c>
      <c r="H2217" t="s">
        <v>454</v>
      </c>
      <c r="I2217" s="17">
        <f t="shared" si="144"/>
        <v>-23650.53557336385</v>
      </c>
      <c r="J2217" t="s">
        <v>519</v>
      </c>
    </row>
    <row r="2218" spans="1:10" ht="15" customHeight="1" x14ac:dyDescent="0.2">
      <c r="A2218" s="358" t="s">
        <v>1199</v>
      </c>
      <c r="C2218" t="s">
        <v>264</v>
      </c>
      <c r="D2218" s="100">
        <v>1.6000000000000001E-3</v>
      </c>
      <c r="E2218" t="s">
        <v>371</v>
      </c>
      <c r="F2218">
        <f>$A$7</f>
        <v>10</v>
      </c>
      <c r="G2218">
        <v>-1</v>
      </c>
      <c r="H2218" t="s">
        <v>455</v>
      </c>
      <c r="I2218" s="17">
        <f t="shared" si="144"/>
        <v>-23650.53557336385</v>
      </c>
      <c r="J2218" t="s">
        <v>519</v>
      </c>
    </row>
    <row r="2219" spans="1:10" ht="15" customHeight="1" x14ac:dyDescent="0.2">
      <c r="A2219" s="358"/>
      <c r="C2219" t="s">
        <v>265</v>
      </c>
      <c r="D2219" s="100">
        <v>1.6000000000000001E-3</v>
      </c>
      <c r="E2219" t="s">
        <v>371</v>
      </c>
      <c r="F2219">
        <f>$A$7</f>
        <v>10</v>
      </c>
      <c r="G2219">
        <v>-1</v>
      </c>
      <c r="H2219" t="s">
        <v>455</v>
      </c>
      <c r="I2219" s="17">
        <f t="shared" si="144"/>
        <v>-23650.53557336385</v>
      </c>
      <c r="J2219" t="s">
        <v>519</v>
      </c>
    </row>
    <row r="2220" spans="1:10" ht="15" customHeight="1" x14ac:dyDescent="0.2">
      <c r="A2220" s="358"/>
      <c r="C2220" t="s">
        <v>266</v>
      </c>
      <c r="D2220" s="100">
        <v>1.6000000000000001E-3</v>
      </c>
      <c r="E2220" t="s">
        <v>371</v>
      </c>
      <c r="F2220">
        <v>0</v>
      </c>
      <c r="G2220">
        <v>0</v>
      </c>
      <c r="H2220" t="s">
        <v>455</v>
      </c>
      <c r="I2220" s="17">
        <f t="shared" si="144"/>
        <v>0</v>
      </c>
      <c r="J2220" t="s">
        <v>519</v>
      </c>
    </row>
    <row r="2221" spans="1:10" ht="15" customHeight="1" x14ac:dyDescent="0.2">
      <c r="A2221" s="97">
        <v>9.3044132969913456</v>
      </c>
      <c r="C2221" t="s">
        <v>267</v>
      </c>
      <c r="D2221" s="100">
        <v>1.6000000000000001E-4</v>
      </c>
      <c r="E2221" t="s">
        <v>372</v>
      </c>
      <c r="F2221">
        <v>0</v>
      </c>
      <c r="G2221">
        <v>0</v>
      </c>
      <c r="H2221" t="s">
        <v>456</v>
      </c>
      <c r="I2221" s="17">
        <f t="shared" si="144"/>
        <v>0</v>
      </c>
      <c r="J2221" t="s">
        <v>519</v>
      </c>
    </row>
    <row r="2222" spans="1:10" ht="15" customHeight="1" x14ac:dyDescent="0.2">
      <c r="A2222" s="97">
        <v>1.2142445208181193E-2</v>
      </c>
      <c r="C2222" t="s">
        <v>329</v>
      </c>
      <c r="D2222" s="100">
        <v>0.16047</v>
      </c>
      <c r="E2222" s="75" t="s">
        <v>373</v>
      </c>
      <c r="F2222">
        <f>$A$7</f>
        <v>10</v>
      </c>
      <c r="G2222">
        <v>-1</v>
      </c>
      <c r="H2222" t="s">
        <v>457</v>
      </c>
      <c r="I2222" s="17">
        <f t="shared" si="144"/>
        <v>-2372000.9021610604</v>
      </c>
      <c r="J2222" t="s">
        <v>519</v>
      </c>
    </row>
    <row r="2223" spans="1:10" ht="15" customHeight="1" x14ac:dyDescent="0.2">
      <c r="A2223" s="97">
        <v>6.1941234434710214E-3</v>
      </c>
      <c r="C2223" t="s">
        <v>314</v>
      </c>
      <c r="D2223" s="100">
        <v>1.6000000000000001E-3</v>
      </c>
      <c r="E2223" s="75" t="s">
        <v>374</v>
      </c>
      <c r="F2223">
        <f>$A$7</f>
        <v>10</v>
      </c>
      <c r="G2223">
        <v>-1</v>
      </c>
      <c r="H2223" t="s">
        <v>458</v>
      </c>
      <c r="I2223" s="17">
        <f t="shared" si="144"/>
        <v>-23650.53557336385</v>
      </c>
      <c r="J2223" t="s">
        <v>519</v>
      </c>
    </row>
    <row r="2224" spans="1:10" ht="15" customHeight="1" x14ac:dyDescent="0.2">
      <c r="A2224" s="97">
        <v>4.411591049272654E-3</v>
      </c>
      <c r="C2224" t="s">
        <v>268</v>
      </c>
      <c r="D2224" s="100">
        <v>1.6000000000000001E-3</v>
      </c>
      <c r="E2224" s="75" t="s">
        <v>374</v>
      </c>
      <c r="F2224">
        <f>$A$7</f>
        <v>10</v>
      </c>
      <c r="G2224">
        <v>-1</v>
      </c>
      <c r="H2224" t="s">
        <v>458</v>
      </c>
      <c r="I2224" s="17">
        <f t="shared" si="144"/>
        <v>-23650.53557336385</v>
      </c>
      <c r="J2224" t="s">
        <v>519</v>
      </c>
    </row>
    <row r="2225" spans="1:10" ht="15" customHeight="1" x14ac:dyDescent="0.2">
      <c r="A2225" s="97">
        <v>0.54857801137329798</v>
      </c>
      <c r="C2225" t="s">
        <v>269</v>
      </c>
      <c r="D2225" s="100">
        <v>1.6000000000000001E-3</v>
      </c>
      <c r="E2225" s="75" t="s">
        <v>374</v>
      </c>
      <c r="F2225">
        <v>0</v>
      </c>
      <c r="G2225">
        <v>0</v>
      </c>
      <c r="H2225" t="s">
        <v>458</v>
      </c>
      <c r="I2225" s="17">
        <f t="shared" si="144"/>
        <v>0</v>
      </c>
      <c r="J2225" t="s">
        <v>519</v>
      </c>
    </row>
    <row r="2226" spans="1:10" ht="15" customHeight="1" x14ac:dyDescent="0.2">
      <c r="A2226" s="97">
        <v>0.1371445028433245</v>
      </c>
      <c r="C2226" t="s">
        <v>270</v>
      </c>
      <c r="D2226" s="100">
        <v>1.6000000000000001E-3</v>
      </c>
      <c r="E2226" s="75" t="s">
        <v>375</v>
      </c>
      <c r="F2226">
        <f>$A$6</f>
        <v>100</v>
      </c>
      <c r="G2226">
        <v>-1</v>
      </c>
      <c r="H2226" t="s">
        <v>459</v>
      </c>
      <c r="I2226" s="17">
        <f t="shared" si="144"/>
        <v>-236505.35573363851</v>
      </c>
      <c r="J2226" t="s">
        <v>519</v>
      </c>
    </row>
    <row r="2227" spans="1:10" ht="15" customHeight="1" x14ac:dyDescent="0.2">
      <c r="A2227" s="97">
        <v>10.012883970908893</v>
      </c>
      <c r="C2227" t="s">
        <v>271</v>
      </c>
      <c r="D2227" s="100">
        <v>0.16047</v>
      </c>
      <c r="E2227" s="75" t="s">
        <v>376</v>
      </c>
      <c r="F2227">
        <v>0</v>
      </c>
      <c r="G2227">
        <v>0</v>
      </c>
      <c r="H2227" t="s">
        <v>460</v>
      </c>
      <c r="I2227" s="17">
        <f t="shared" si="144"/>
        <v>0</v>
      </c>
      <c r="J2227" t="s">
        <v>519</v>
      </c>
    </row>
    <row r="2228" spans="1:10" ht="15" customHeight="1" x14ac:dyDescent="0.2">
      <c r="C2228" t="s">
        <v>272</v>
      </c>
      <c r="D2228" s="100">
        <v>1.60467</v>
      </c>
      <c r="E2228" t="s">
        <v>377</v>
      </c>
      <c r="F2228">
        <v>0</v>
      </c>
      <c r="G2228">
        <v>0</v>
      </c>
      <c r="H2228" t="s">
        <v>461</v>
      </c>
      <c r="I2228" s="17">
        <f t="shared" si="144"/>
        <v>0</v>
      </c>
      <c r="J2228" t="s">
        <v>519</v>
      </c>
    </row>
    <row r="2229" spans="1:10" ht="15" customHeight="1" x14ac:dyDescent="0.2">
      <c r="A2229" s="358" t="s">
        <v>1199</v>
      </c>
      <c r="C2229" t="s">
        <v>273</v>
      </c>
      <c r="D2229" s="100">
        <v>1.6000000000000001E-4</v>
      </c>
      <c r="E2229" t="s">
        <v>378</v>
      </c>
      <c r="F2229">
        <f>$A$7</f>
        <v>10</v>
      </c>
      <c r="G2229">
        <v>-1</v>
      </c>
      <c r="H2229" t="s">
        <v>462</v>
      </c>
      <c r="I2229" s="17">
        <f t="shared" si="144"/>
        <v>-2365.053557336385</v>
      </c>
      <c r="J2229" t="s">
        <v>519</v>
      </c>
    </row>
    <row r="2230" spans="1:10" ht="15" customHeight="1" x14ac:dyDescent="0.2">
      <c r="A2230" s="358"/>
      <c r="C2230" t="s">
        <v>274</v>
      </c>
      <c r="D2230" s="100">
        <v>1.6000000000000001E-4</v>
      </c>
      <c r="E2230" t="s">
        <v>379</v>
      </c>
      <c r="F2230">
        <v>0</v>
      </c>
      <c r="G2230">
        <v>0</v>
      </c>
      <c r="H2230" t="s">
        <v>463</v>
      </c>
      <c r="I2230" s="17">
        <f t="shared" si="144"/>
        <v>0</v>
      </c>
      <c r="J2230" t="s">
        <v>519</v>
      </c>
    </row>
    <row r="2231" spans="1:10" ht="15" customHeight="1" x14ac:dyDescent="0.2">
      <c r="A2231" s="358"/>
      <c r="C2231" t="s">
        <v>275</v>
      </c>
      <c r="D2231" s="100">
        <v>1.60467</v>
      </c>
      <c r="E2231" t="s">
        <v>377</v>
      </c>
      <c r="F2231">
        <f>$A$6</f>
        <v>100</v>
      </c>
      <c r="G2231">
        <v>-1</v>
      </c>
      <c r="H2231" t="s">
        <v>461</v>
      </c>
      <c r="I2231" s="17">
        <f t="shared" si="144"/>
        <v>-237195655.74068603</v>
      </c>
      <c r="J2231" t="s">
        <v>519</v>
      </c>
    </row>
    <row r="2232" spans="1:10" ht="15" customHeight="1" x14ac:dyDescent="0.2">
      <c r="A2232" s="62">
        <v>8.0556646752787495E-2</v>
      </c>
      <c r="C2232" t="s">
        <v>276</v>
      </c>
      <c r="D2232" s="100">
        <v>1.60467</v>
      </c>
      <c r="E2232" t="s">
        <v>377</v>
      </c>
      <c r="F2232">
        <f>$A$6</f>
        <v>100</v>
      </c>
      <c r="G2232">
        <v>-1</v>
      </c>
      <c r="H2232" t="s">
        <v>461</v>
      </c>
      <c r="I2232" s="17">
        <f t="shared" si="144"/>
        <v>-237195655.74068603</v>
      </c>
      <c r="J2232" t="s">
        <v>519</v>
      </c>
    </row>
    <row r="2233" spans="1:10" ht="15" customHeight="1" x14ac:dyDescent="0.2">
      <c r="A2233" s="62">
        <v>8.0556646752787495E-2</v>
      </c>
      <c r="C2233" t="s">
        <v>277</v>
      </c>
      <c r="D2233" s="100">
        <v>1.6000000000000001E-3</v>
      </c>
      <c r="E2233" t="s">
        <v>380</v>
      </c>
      <c r="F2233">
        <f>$A$6</f>
        <v>100</v>
      </c>
      <c r="G2233">
        <v>-1</v>
      </c>
      <c r="H2233" t="s">
        <v>464</v>
      </c>
      <c r="I2233" s="17">
        <f t="shared" si="144"/>
        <v>-236505.35573363851</v>
      </c>
      <c r="J2233" t="s">
        <v>519</v>
      </c>
    </row>
    <row r="2234" spans="1:10" ht="15" customHeight="1" x14ac:dyDescent="0.2">
      <c r="C2234" t="s">
        <v>278</v>
      </c>
      <c r="D2234" s="100">
        <v>1.60467</v>
      </c>
      <c r="E2234" t="s">
        <v>381</v>
      </c>
      <c r="F2234">
        <f>$A$6</f>
        <v>100</v>
      </c>
      <c r="G2234">
        <v>-1</v>
      </c>
      <c r="H2234" t="s">
        <v>465</v>
      </c>
      <c r="I2234" s="17">
        <f t="shared" si="144"/>
        <v>-237195655.74068603</v>
      </c>
      <c r="J2234" t="s">
        <v>519</v>
      </c>
    </row>
    <row r="2235" spans="1:10" ht="15" customHeight="1" x14ac:dyDescent="0.2">
      <c r="A2235" s="358" t="s">
        <v>1199</v>
      </c>
      <c r="C2235" t="s">
        <v>330</v>
      </c>
      <c r="D2235" s="100">
        <v>1.6000000000000001E-4</v>
      </c>
      <c r="E2235" t="s">
        <v>382</v>
      </c>
      <c r="F2235">
        <f>$A$7</f>
        <v>10</v>
      </c>
      <c r="G2235">
        <v>-1</v>
      </c>
      <c r="H2235" t="s">
        <v>466</v>
      </c>
      <c r="I2235" s="17">
        <f t="shared" ref="I2235:I2275" si="146">((SUM(B$2170:B$2175,B$2186,B$2198:B$2200,B$2212:B$2214)*D2235))*F2235*G2235</f>
        <v>-2365.053557336385</v>
      </c>
      <c r="J2235" t="s">
        <v>519</v>
      </c>
    </row>
    <row r="2236" spans="1:10" ht="15" customHeight="1" x14ac:dyDescent="0.2">
      <c r="A2236" s="358"/>
      <c r="C2236" t="s">
        <v>279</v>
      </c>
      <c r="D2236" s="100">
        <v>1.6000000000000001E-4</v>
      </c>
      <c r="E2236" t="s">
        <v>382</v>
      </c>
      <c r="F2236">
        <f>$A$7</f>
        <v>10</v>
      </c>
      <c r="G2236">
        <v>-1</v>
      </c>
      <c r="H2236" t="s">
        <v>466</v>
      </c>
      <c r="I2236" s="17">
        <f t="shared" si="146"/>
        <v>-2365.053557336385</v>
      </c>
      <c r="J2236" t="s">
        <v>519</v>
      </c>
    </row>
    <row r="2237" spans="1:10" ht="15" customHeight="1" x14ac:dyDescent="0.2">
      <c r="A2237" s="358"/>
      <c r="C2237" t="s">
        <v>280</v>
      </c>
      <c r="D2237" s="100">
        <v>1.6000000000000001E-4</v>
      </c>
      <c r="E2237" t="s">
        <v>382</v>
      </c>
      <c r="F2237">
        <v>0</v>
      </c>
      <c r="G2237">
        <v>0</v>
      </c>
      <c r="H2237" t="s">
        <v>466</v>
      </c>
      <c r="I2237" s="17">
        <f t="shared" si="146"/>
        <v>0</v>
      </c>
      <c r="J2237" t="s">
        <v>519</v>
      </c>
    </row>
    <row r="2238" spans="1:10" ht="15" customHeight="1" x14ac:dyDescent="0.2">
      <c r="A2238" s="62">
        <v>2.0048517364213026E-2</v>
      </c>
      <c r="C2238" t="s">
        <v>331</v>
      </c>
      <c r="D2238" s="100">
        <v>1.6049999999999998E-2</v>
      </c>
      <c r="E2238" t="s">
        <v>383</v>
      </c>
      <c r="F2238">
        <v>0</v>
      </c>
      <c r="G2238">
        <v>0</v>
      </c>
      <c r="H2238" t="s">
        <v>467</v>
      </c>
      <c r="I2238" s="17">
        <f t="shared" si="146"/>
        <v>0</v>
      </c>
      <c r="J2238" t="s">
        <v>519</v>
      </c>
    </row>
    <row r="2239" spans="1:10" ht="15" customHeight="1" x14ac:dyDescent="0.2">
      <c r="A2239" s="62">
        <v>17.367031690807337</v>
      </c>
      <c r="C2239" t="s">
        <v>281</v>
      </c>
      <c r="D2239" s="100">
        <v>1.6000000000000001E-4</v>
      </c>
      <c r="E2239" t="s">
        <v>384</v>
      </c>
      <c r="F2239">
        <f>$A$7</f>
        <v>10</v>
      </c>
      <c r="G2239">
        <v>-1</v>
      </c>
      <c r="H2239" t="s">
        <v>468</v>
      </c>
      <c r="I2239" s="17">
        <f t="shared" si="146"/>
        <v>-2365.053557336385</v>
      </c>
      <c r="J2239" t="s">
        <v>519</v>
      </c>
    </row>
    <row r="2240" spans="1:10" ht="15" customHeight="1" x14ac:dyDescent="0.2">
      <c r="A2240" s="62">
        <v>8.0556646752787439E-2</v>
      </c>
      <c r="C2240" t="s">
        <v>282</v>
      </c>
      <c r="D2240" s="100">
        <v>0.16047</v>
      </c>
      <c r="E2240" t="s">
        <v>385</v>
      </c>
      <c r="F2240">
        <v>0</v>
      </c>
      <c r="G2240">
        <v>0</v>
      </c>
      <c r="H2240" t="s">
        <v>469</v>
      </c>
      <c r="I2240" s="17">
        <f t="shared" si="146"/>
        <v>0</v>
      </c>
      <c r="J2240" t="s">
        <v>519</v>
      </c>
    </row>
    <row r="2241" spans="1:10" ht="15" customHeight="1" x14ac:dyDescent="0.2">
      <c r="A2241" s="62">
        <v>17.467636854924333</v>
      </c>
      <c r="C2241" t="s">
        <v>332</v>
      </c>
      <c r="D2241" s="100">
        <v>0.16047</v>
      </c>
      <c r="E2241" t="s">
        <v>386</v>
      </c>
      <c r="F2241">
        <v>0</v>
      </c>
      <c r="G2241">
        <v>0</v>
      </c>
      <c r="H2241" t="s">
        <v>470</v>
      </c>
      <c r="I2241" s="17">
        <f t="shared" si="146"/>
        <v>0</v>
      </c>
      <c r="J2241" t="s">
        <v>519</v>
      </c>
    </row>
    <row r="2242" spans="1:10" ht="15" customHeight="1" x14ac:dyDescent="0.2">
      <c r="C2242" t="s">
        <v>283</v>
      </c>
      <c r="D2242" s="100">
        <v>1.6000000000000001E-3</v>
      </c>
      <c r="E2242" t="s">
        <v>387</v>
      </c>
      <c r="F2242">
        <f>$A$7</f>
        <v>10</v>
      </c>
      <c r="G2242">
        <v>-1</v>
      </c>
      <c r="H2242" t="s">
        <v>471</v>
      </c>
      <c r="I2242" s="17">
        <f t="shared" si="146"/>
        <v>-23650.53557336385</v>
      </c>
      <c r="J2242" t="s">
        <v>519</v>
      </c>
    </row>
    <row r="2243" spans="1:10" ht="15" customHeight="1" x14ac:dyDescent="0.2">
      <c r="A2243" s="358" t="s">
        <v>1199</v>
      </c>
      <c r="C2243" t="s">
        <v>284</v>
      </c>
      <c r="D2243" s="100">
        <v>1.6000000000000001E-4</v>
      </c>
      <c r="E2243" t="s">
        <v>388</v>
      </c>
      <c r="F2243">
        <f>$A$7</f>
        <v>10</v>
      </c>
      <c r="G2243">
        <v>-1</v>
      </c>
      <c r="H2243" t="s">
        <v>472</v>
      </c>
      <c r="I2243" s="17">
        <f t="shared" si="146"/>
        <v>-2365.053557336385</v>
      </c>
      <c r="J2243" t="s">
        <v>519</v>
      </c>
    </row>
    <row r="2244" spans="1:10" ht="15" customHeight="1" x14ac:dyDescent="0.2">
      <c r="A2244" s="358"/>
      <c r="C2244" t="s">
        <v>285</v>
      </c>
      <c r="D2244" s="100">
        <v>1.6000000000000001E-3</v>
      </c>
      <c r="E2244" t="s">
        <v>389</v>
      </c>
      <c r="F2244">
        <f>$A$7</f>
        <v>10</v>
      </c>
      <c r="G2244">
        <v>-1</v>
      </c>
      <c r="H2244" t="s">
        <v>473</v>
      </c>
      <c r="I2244" s="17">
        <f t="shared" si="146"/>
        <v>-23650.53557336385</v>
      </c>
      <c r="J2244" t="s">
        <v>519</v>
      </c>
    </row>
    <row r="2245" spans="1:10" ht="15" customHeight="1" x14ac:dyDescent="0.2">
      <c r="A2245" s="358"/>
      <c r="C2245" t="s">
        <v>286</v>
      </c>
      <c r="D2245" s="100">
        <v>1.6049999999999998E-2</v>
      </c>
      <c r="E2245" t="s">
        <v>390</v>
      </c>
      <c r="F2245">
        <f>$A$6</f>
        <v>100</v>
      </c>
      <c r="G2245">
        <v>-1</v>
      </c>
      <c r="H2245" t="s">
        <v>474</v>
      </c>
      <c r="I2245" s="17">
        <f t="shared" si="146"/>
        <v>-2372444.3497030605</v>
      </c>
      <c r="J2245" t="s">
        <v>519</v>
      </c>
    </row>
    <row r="2246" spans="1:10" ht="15" customHeight="1" x14ac:dyDescent="0.2">
      <c r="A2246" s="62">
        <v>0.18043665627791725</v>
      </c>
      <c r="C2246" t="s">
        <v>287</v>
      </c>
      <c r="D2246" s="100">
        <v>1.6000000000000001E-3</v>
      </c>
      <c r="E2246" t="s">
        <v>391</v>
      </c>
      <c r="F2246">
        <f>$A$6</f>
        <v>100</v>
      </c>
      <c r="G2246">
        <v>-1</v>
      </c>
      <c r="H2246" t="s">
        <v>475</v>
      </c>
      <c r="I2246" s="17">
        <f t="shared" si="146"/>
        <v>-236505.35573363851</v>
      </c>
      <c r="J2246" t="s">
        <v>519</v>
      </c>
    </row>
    <row r="2247" spans="1:10" ht="15" customHeight="1" x14ac:dyDescent="0.2">
      <c r="A2247" s="62">
        <v>156.30328521726602</v>
      </c>
      <c r="C2247" t="s">
        <v>288</v>
      </c>
      <c r="D2247" s="100">
        <v>1.6000000000000001E-3</v>
      </c>
      <c r="E2247" t="s">
        <v>392</v>
      </c>
      <c r="F2247">
        <f>$A$6</f>
        <v>100</v>
      </c>
      <c r="G2247">
        <v>-1</v>
      </c>
      <c r="H2247" t="s">
        <v>476</v>
      </c>
      <c r="I2247" s="17">
        <f t="shared" si="146"/>
        <v>-236505.35573363851</v>
      </c>
      <c r="J2247" t="s">
        <v>519</v>
      </c>
    </row>
    <row r="2248" spans="1:10" ht="15" customHeight="1" x14ac:dyDescent="0.2">
      <c r="A2248" s="62">
        <v>0.72500982077508669</v>
      </c>
      <c r="C2248" t="s">
        <v>333</v>
      </c>
      <c r="D2248" s="100">
        <v>1.6000000000000001E-3</v>
      </c>
      <c r="E2248" t="s">
        <v>340</v>
      </c>
      <c r="F2248">
        <f>$A$7</f>
        <v>10</v>
      </c>
      <c r="G2248">
        <v>-1</v>
      </c>
      <c r="H2248" t="s">
        <v>424</v>
      </c>
      <c r="I2248" s="17">
        <f t="shared" si="146"/>
        <v>-23650.53557336385</v>
      </c>
      <c r="J2248" t="s">
        <v>519</v>
      </c>
    </row>
    <row r="2249" spans="1:10" ht="15" customHeight="1" x14ac:dyDescent="0.2">
      <c r="A2249" s="62">
        <v>157.20873169431906</v>
      </c>
      <c r="C2249" t="s">
        <v>334</v>
      </c>
      <c r="D2249" s="100">
        <v>1.6049999999999998E-2</v>
      </c>
      <c r="E2249" t="s">
        <v>393</v>
      </c>
      <c r="F2249">
        <v>0</v>
      </c>
      <c r="G2249">
        <v>0</v>
      </c>
      <c r="H2249" t="s">
        <v>477</v>
      </c>
      <c r="I2249" s="17">
        <f t="shared" si="146"/>
        <v>0</v>
      </c>
      <c r="J2249" t="s">
        <v>519</v>
      </c>
    </row>
    <row r="2250" spans="1:10" ht="15" customHeight="1" x14ac:dyDescent="0.2">
      <c r="C2250" t="s">
        <v>335</v>
      </c>
      <c r="D2250" s="100">
        <v>1.6000000000000001E-3</v>
      </c>
      <c r="E2250" t="s">
        <v>394</v>
      </c>
      <c r="F2250">
        <f>$A$7</f>
        <v>10</v>
      </c>
      <c r="G2250">
        <v>-1</v>
      </c>
      <c r="H2250" t="s">
        <v>478</v>
      </c>
      <c r="I2250" s="17">
        <f t="shared" si="146"/>
        <v>-23650.53557336385</v>
      </c>
      <c r="J2250" t="s">
        <v>519</v>
      </c>
    </row>
    <row r="2251" spans="1:10" ht="15" customHeight="1" x14ac:dyDescent="0.2">
      <c r="C2251" t="s">
        <v>289</v>
      </c>
      <c r="D2251" s="100">
        <v>1.6000000000000001E-3</v>
      </c>
      <c r="E2251" t="s">
        <v>395</v>
      </c>
      <c r="F2251">
        <f>$A$7</f>
        <v>10</v>
      </c>
      <c r="G2251">
        <v>-1</v>
      </c>
      <c r="H2251" t="s">
        <v>479</v>
      </c>
      <c r="I2251" s="17">
        <f t="shared" si="146"/>
        <v>-23650.53557336385</v>
      </c>
      <c r="J2251" t="s">
        <v>519</v>
      </c>
    </row>
    <row r="2252" spans="1:10" ht="15" customHeight="1" x14ac:dyDescent="0.2">
      <c r="C2252" t="s">
        <v>290</v>
      </c>
      <c r="D2252" s="100">
        <v>1.6000000000000001E-4</v>
      </c>
      <c r="E2252" t="s">
        <v>396</v>
      </c>
      <c r="F2252">
        <f>$A$7</f>
        <v>10</v>
      </c>
      <c r="G2252">
        <v>-1</v>
      </c>
      <c r="H2252" t="s">
        <v>480</v>
      </c>
      <c r="I2252" s="17">
        <f t="shared" si="146"/>
        <v>-2365.053557336385</v>
      </c>
      <c r="J2252" t="s">
        <v>519</v>
      </c>
    </row>
    <row r="2253" spans="1:10" ht="15" customHeight="1" x14ac:dyDescent="0.2">
      <c r="C2253" t="s">
        <v>291</v>
      </c>
      <c r="D2253" s="100">
        <v>1.6000000000000001E-4</v>
      </c>
      <c r="E2253" t="s">
        <v>397</v>
      </c>
      <c r="F2253">
        <f>$A$8</f>
        <v>1</v>
      </c>
      <c r="G2253">
        <v>-1</v>
      </c>
      <c r="H2253" t="s">
        <v>481</v>
      </c>
      <c r="I2253" s="17">
        <f t="shared" si="146"/>
        <v>-236.50535573363851</v>
      </c>
      <c r="J2253" t="s">
        <v>519</v>
      </c>
    </row>
    <row r="2254" spans="1:10" ht="15" customHeight="1" x14ac:dyDescent="0.2">
      <c r="C2254" t="s">
        <v>292</v>
      </c>
      <c r="D2254" s="100">
        <v>0.16047</v>
      </c>
      <c r="E2254" t="s">
        <v>360</v>
      </c>
      <c r="F2254">
        <f>$A$6</f>
        <v>100</v>
      </c>
      <c r="G2254">
        <v>-1</v>
      </c>
      <c r="H2254" t="s">
        <v>444</v>
      </c>
      <c r="I2254" s="17">
        <f t="shared" si="146"/>
        <v>-23720009.021610603</v>
      </c>
      <c r="J2254" t="s">
        <v>519</v>
      </c>
    </row>
    <row r="2255" spans="1:10" ht="15" customHeight="1" x14ac:dyDescent="0.2">
      <c r="C2255" t="s">
        <v>293</v>
      </c>
      <c r="D2255" s="100">
        <v>1.60467</v>
      </c>
      <c r="E2255" t="s">
        <v>398</v>
      </c>
      <c r="F2255">
        <f>$A$7</f>
        <v>10</v>
      </c>
      <c r="G2255">
        <v>-1</v>
      </c>
      <c r="H2255" t="s">
        <v>482</v>
      </c>
      <c r="I2255" s="17">
        <f t="shared" si="146"/>
        <v>-23719565.574068606</v>
      </c>
      <c r="J2255" t="s">
        <v>519</v>
      </c>
    </row>
    <row r="2256" spans="1:10" ht="15" customHeight="1" x14ac:dyDescent="0.2">
      <c r="C2256" t="s">
        <v>294</v>
      </c>
      <c r="D2256" s="100">
        <v>1.6000000000000001E-4</v>
      </c>
      <c r="E2256" t="s">
        <v>399</v>
      </c>
      <c r="F2256">
        <f>$A$8</f>
        <v>1</v>
      </c>
      <c r="G2256">
        <v>-1</v>
      </c>
      <c r="H2256" t="s">
        <v>483</v>
      </c>
      <c r="I2256" s="17">
        <f t="shared" si="146"/>
        <v>-236.50535573363851</v>
      </c>
      <c r="J2256" t="s">
        <v>519</v>
      </c>
    </row>
    <row r="2257" spans="3:10" ht="15" customHeight="1" x14ac:dyDescent="0.2">
      <c r="C2257" t="s">
        <v>336</v>
      </c>
      <c r="D2257" s="100">
        <v>1.6000000000000001E-3</v>
      </c>
      <c r="E2257" t="s">
        <v>400</v>
      </c>
      <c r="F2257">
        <f>$A$6</f>
        <v>100</v>
      </c>
      <c r="G2257">
        <v>-1</v>
      </c>
      <c r="H2257" t="s">
        <v>484</v>
      </c>
      <c r="I2257" s="17">
        <f t="shared" si="146"/>
        <v>-236505.35573363851</v>
      </c>
      <c r="J2257" t="s">
        <v>519</v>
      </c>
    </row>
    <row r="2258" spans="3:10" ht="15" customHeight="1" x14ac:dyDescent="0.2">
      <c r="C2258" t="s">
        <v>295</v>
      </c>
      <c r="D2258" s="100">
        <v>1.6000000000000001E-4</v>
      </c>
      <c r="E2258" t="s">
        <v>401</v>
      </c>
      <c r="F2258">
        <f>$A$6</f>
        <v>100</v>
      </c>
      <c r="G2258">
        <v>-1</v>
      </c>
      <c r="H2258" t="s">
        <v>485</v>
      </c>
      <c r="I2258" s="17">
        <f t="shared" si="146"/>
        <v>-23650.53557336385</v>
      </c>
      <c r="J2258" t="s">
        <v>519</v>
      </c>
    </row>
    <row r="2259" spans="3:10" ht="15" customHeight="1" x14ac:dyDescent="0.2">
      <c r="C2259" t="s">
        <v>296</v>
      </c>
      <c r="D2259" s="100">
        <v>1.60467</v>
      </c>
      <c r="E2259" t="s">
        <v>402</v>
      </c>
      <c r="F2259">
        <f>$A$7</f>
        <v>10</v>
      </c>
      <c r="G2259">
        <v>-1</v>
      </c>
      <c r="H2259" t="s">
        <v>486</v>
      </c>
      <c r="I2259" s="17">
        <f t="shared" si="146"/>
        <v>-23719565.574068606</v>
      </c>
      <c r="J2259" t="s">
        <v>519</v>
      </c>
    </row>
    <row r="2260" spans="3:10" ht="15" customHeight="1" x14ac:dyDescent="0.2">
      <c r="C2260" t="s">
        <v>297</v>
      </c>
      <c r="D2260" s="100">
        <v>1.6000000000000001E-4</v>
      </c>
      <c r="E2260" t="s">
        <v>403</v>
      </c>
      <c r="F2260">
        <f>$A$7</f>
        <v>10</v>
      </c>
      <c r="G2260">
        <v>-1</v>
      </c>
      <c r="H2260" t="s">
        <v>487</v>
      </c>
      <c r="I2260" s="17">
        <f t="shared" si="146"/>
        <v>-2365.053557336385</v>
      </c>
      <c r="J2260" t="s">
        <v>519</v>
      </c>
    </row>
    <row r="2261" spans="3:10" ht="15" customHeight="1" x14ac:dyDescent="0.2">
      <c r="C2261" t="s">
        <v>298</v>
      </c>
      <c r="D2261" s="100">
        <v>0.16047</v>
      </c>
      <c r="E2261" t="s">
        <v>394</v>
      </c>
      <c r="F2261">
        <f>$A$7</f>
        <v>10</v>
      </c>
      <c r="G2261">
        <v>-1</v>
      </c>
      <c r="H2261" t="s">
        <v>478</v>
      </c>
      <c r="I2261" s="17">
        <f t="shared" si="146"/>
        <v>-2372000.9021610604</v>
      </c>
      <c r="J2261" t="s">
        <v>519</v>
      </c>
    </row>
    <row r="2262" spans="3:10" ht="15" customHeight="1" x14ac:dyDescent="0.2">
      <c r="C2262" t="s">
        <v>299</v>
      </c>
      <c r="D2262" s="100">
        <v>1.6000000000000001E-4</v>
      </c>
      <c r="E2262" t="s">
        <v>404</v>
      </c>
      <c r="F2262">
        <f>$A$7</f>
        <v>10</v>
      </c>
      <c r="G2262">
        <v>-1</v>
      </c>
      <c r="H2262" t="s">
        <v>488</v>
      </c>
      <c r="I2262" s="17">
        <f t="shared" si="146"/>
        <v>-2365.053557336385</v>
      </c>
      <c r="J2262" t="s">
        <v>519</v>
      </c>
    </row>
    <row r="2263" spans="3:10" ht="15" customHeight="1" x14ac:dyDescent="0.2">
      <c r="C2263" t="s">
        <v>300</v>
      </c>
      <c r="D2263" s="100">
        <v>0.16047</v>
      </c>
      <c r="E2263" t="s">
        <v>405</v>
      </c>
      <c r="F2263">
        <f>$A$7</f>
        <v>10</v>
      </c>
      <c r="G2263">
        <v>-1</v>
      </c>
      <c r="H2263" t="s">
        <v>489</v>
      </c>
      <c r="I2263" s="17">
        <f t="shared" si="146"/>
        <v>-2372000.9021610604</v>
      </c>
      <c r="J2263" t="s">
        <v>519</v>
      </c>
    </row>
    <row r="2264" spans="3:10" ht="15" customHeight="1" x14ac:dyDescent="0.2">
      <c r="C2264" t="s">
        <v>301</v>
      </c>
      <c r="D2264" s="100">
        <v>1.6000000000000001E-3</v>
      </c>
      <c r="E2264" t="s">
        <v>406</v>
      </c>
      <c r="F2264">
        <f>$A$6</f>
        <v>100</v>
      </c>
      <c r="G2264">
        <v>-1</v>
      </c>
      <c r="H2264" t="s">
        <v>490</v>
      </c>
      <c r="I2264" s="17">
        <f t="shared" si="146"/>
        <v>-236505.35573363851</v>
      </c>
      <c r="J2264" t="s">
        <v>519</v>
      </c>
    </row>
    <row r="2265" spans="3:10" ht="15" customHeight="1" x14ac:dyDescent="0.2">
      <c r="C2265" t="s">
        <v>302</v>
      </c>
      <c r="D2265" s="100">
        <v>1.6000000000000001E-3</v>
      </c>
      <c r="E2265" t="s">
        <v>407</v>
      </c>
      <c r="F2265">
        <f>$A$6</f>
        <v>100</v>
      </c>
      <c r="G2265">
        <v>-1</v>
      </c>
      <c r="H2265" t="s">
        <v>491</v>
      </c>
      <c r="I2265" s="17">
        <f t="shared" si="146"/>
        <v>-236505.35573363851</v>
      </c>
      <c r="J2265" t="s">
        <v>519</v>
      </c>
    </row>
    <row r="2266" spans="3:10" ht="15" customHeight="1" x14ac:dyDescent="0.2">
      <c r="C2266" t="s">
        <v>303</v>
      </c>
      <c r="D2266" s="100">
        <v>1.6000000000000001E-3</v>
      </c>
      <c r="E2266" t="s">
        <v>408</v>
      </c>
      <c r="F2266">
        <f>$A$7</f>
        <v>10</v>
      </c>
      <c r="G2266">
        <v>-1</v>
      </c>
      <c r="H2266" t="s">
        <v>492</v>
      </c>
      <c r="I2266" s="17">
        <f t="shared" si="146"/>
        <v>-23650.53557336385</v>
      </c>
      <c r="J2266" t="s">
        <v>519</v>
      </c>
    </row>
    <row r="2267" spans="3:10" ht="15" customHeight="1" x14ac:dyDescent="0.2">
      <c r="C2267" t="s">
        <v>304</v>
      </c>
      <c r="D2267" s="100">
        <v>1.60467</v>
      </c>
      <c r="E2267" t="s">
        <v>409</v>
      </c>
      <c r="F2267">
        <f>$A$6</f>
        <v>100</v>
      </c>
      <c r="G2267">
        <v>-1</v>
      </c>
      <c r="H2267" t="s">
        <v>493</v>
      </c>
      <c r="I2267" s="17">
        <f t="shared" si="146"/>
        <v>-237195655.74068603</v>
      </c>
      <c r="J2267" t="s">
        <v>519</v>
      </c>
    </row>
    <row r="2268" spans="3:10" ht="15" customHeight="1" x14ac:dyDescent="0.2">
      <c r="C2268" t="s">
        <v>305</v>
      </c>
      <c r="D2268" s="100">
        <v>1.6000000000000001E-3</v>
      </c>
      <c r="E2268" t="s">
        <v>410</v>
      </c>
      <c r="F2268">
        <f>$A$7</f>
        <v>10</v>
      </c>
      <c r="G2268">
        <v>-1</v>
      </c>
      <c r="H2268" t="s">
        <v>494</v>
      </c>
      <c r="I2268" s="17">
        <f t="shared" si="146"/>
        <v>-23650.53557336385</v>
      </c>
      <c r="J2268" t="s">
        <v>519</v>
      </c>
    </row>
    <row r="2269" spans="3:10" ht="15" customHeight="1" x14ac:dyDescent="0.2">
      <c r="C2269" t="s">
        <v>306</v>
      </c>
      <c r="D2269" s="100">
        <v>1.6049999999999998E-2</v>
      </c>
      <c r="E2269" t="s">
        <v>411</v>
      </c>
      <c r="F2269">
        <f>$A$8</f>
        <v>1</v>
      </c>
      <c r="G2269">
        <v>-1</v>
      </c>
      <c r="H2269" t="s">
        <v>495</v>
      </c>
      <c r="I2269" s="17">
        <f t="shared" si="146"/>
        <v>-23724.443497030607</v>
      </c>
      <c r="J2269" t="s">
        <v>519</v>
      </c>
    </row>
    <row r="2270" spans="3:10" ht="15" customHeight="1" x14ac:dyDescent="0.2">
      <c r="C2270" t="s">
        <v>307</v>
      </c>
      <c r="D2270" s="100">
        <v>1.6049999999999998E-2</v>
      </c>
      <c r="E2270" t="s">
        <v>411</v>
      </c>
      <c r="F2270">
        <f>$A$8</f>
        <v>1</v>
      </c>
      <c r="G2270">
        <v>-1</v>
      </c>
      <c r="H2270" t="s">
        <v>495</v>
      </c>
      <c r="I2270" s="17">
        <f t="shared" si="146"/>
        <v>-23724.443497030607</v>
      </c>
      <c r="J2270" t="s">
        <v>519</v>
      </c>
    </row>
    <row r="2271" spans="3:10" ht="15" customHeight="1" x14ac:dyDescent="0.2">
      <c r="C2271" t="s">
        <v>337</v>
      </c>
      <c r="D2271" s="100">
        <v>1.6049999999999998E-2</v>
      </c>
      <c r="E2271" t="s">
        <v>412</v>
      </c>
      <c r="F2271">
        <v>0</v>
      </c>
      <c r="G2271">
        <v>0</v>
      </c>
      <c r="H2271" t="s">
        <v>496</v>
      </c>
      <c r="I2271" s="17">
        <f t="shared" si="146"/>
        <v>0</v>
      </c>
      <c r="J2271" t="s">
        <v>519</v>
      </c>
    </row>
    <row r="2272" spans="3:10" ht="15" customHeight="1" x14ac:dyDescent="0.2">
      <c r="C2272" t="s">
        <v>308</v>
      </c>
      <c r="D2272" s="100">
        <v>1.6000000000000001E-3</v>
      </c>
      <c r="E2272" t="s">
        <v>413</v>
      </c>
      <c r="F2272">
        <f>$A$7</f>
        <v>10</v>
      </c>
      <c r="G2272">
        <v>-1</v>
      </c>
      <c r="H2272" t="s">
        <v>497</v>
      </c>
      <c r="I2272" s="17">
        <f t="shared" si="146"/>
        <v>-23650.53557336385</v>
      </c>
      <c r="J2272" t="s">
        <v>519</v>
      </c>
    </row>
    <row r="2273" spans="1:13" ht="15" customHeight="1" x14ac:dyDescent="0.2">
      <c r="C2273" t="s">
        <v>309</v>
      </c>
      <c r="D2273" s="100">
        <v>1.6000000000000001E-3</v>
      </c>
      <c r="E2273" t="s">
        <v>413</v>
      </c>
      <c r="F2273">
        <f>$A$7</f>
        <v>10</v>
      </c>
      <c r="G2273">
        <v>-1</v>
      </c>
      <c r="H2273" t="s">
        <v>497</v>
      </c>
      <c r="I2273" s="17">
        <f t="shared" si="146"/>
        <v>-23650.53557336385</v>
      </c>
      <c r="J2273" t="s">
        <v>519</v>
      </c>
    </row>
    <row r="2274" spans="1:13" ht="15" customHeight="1" x14ac:dyDescent="0.2">
      <c r="C2274" t="s">
        <v>310</v>
      </c>
      <c r="D2274" s="100">
        <v>1.6000000000000001E-3</v>
      </c>
      <c r="E2274" t="s">
        <v>413</v>
      </c>
      <c r="F2274">
        <v>0</v>
      </c>
      <c r="G2274">
        <v>0</v>
      </c>
      <c r="H2274" t="s">
        <v>497</v>
      </c>
      <c r="I2274" s="17">
        <f t="shared" si="146"/>
        <v>0</v>
      </c>
      <c r="J2274" t="s">
        <v>519</v>
      </c>
    </row>
    <row r="2275" spans="1:13" ht="15" customHeight="1" x14ac:dyDescent="0.2">
      <c r="C2275" t="s">
        <v>311</v>
      </c>
      <c r="D2275" s="100">
        <v>1.6000000000000001E-3</v>
      </c>
      <c r="E2275" t="s">
        <v>414</v>
      </c>
      <c r="F2275">
        <f>$A$7</f>
        <v>10</v>
      </c>
      <c r="G2275">
        <v>-1</v>
      </c>
      <c r="H2275" t="s">
        <v>498</v>
      </c>
      <c r="I2275" s="17">
        <f t="shared" si="146"/>
        <v>-23650.53557336385</v>
      </c>
      <c r="J2275" t="s">
        <v>519</v>
      </c>
    </row>
    <row r="2276" spans="1:13" ht="15" customHeight="1" x14ac:dyDescent="0.2">
      <c r="C2276" s="60"/>
      <c r="D2276" s="60"/>
      <c r="E2276" s="60"/>
    </row>
    <row r="2277" spans="1:13" ht="15" customHeight="1" x14ac:dyDescent="0.2">
      <c r="C2277" s="60"/>
      <c r="D2277" s="60"/>
      <c r="E2277" s="60"/>
    </row>
    <row r="2278" spans="1:13" ht="15" customHeight="1" x14ac:dyDescent="0.2">
      <c r="A2278" s="480" t="s">
        <v>11</v>
      </c>
      <c r="B2278" s="481"/>
      <c r="C2278" s="481"/>
      <c r="D2278" s="481"/>
      <c r="E2278" s="481"/>
      <c r="F2278" s="481"/>
      <c r="G2278" s="481"/>
      <c r="H2278" s="481"/>
      <c r="I2278" s="481"/>
      <c r="J2278" s="481"/>
      <c r="K2278" s="481"/>
      <c r="L2278" s="481"/>
      <c r="M2278" s="481"/>
    </row>
    <row r="2279" spans="1:13" ht="15" customHeight="1" x14ac:dyDescent="0.2">
      <c r="A2279" s="482"/>
      <c r="B2279" s="483"/>
      <c r="C2279" s="483"/>
      <c r="D2279" s="483"/>
      <c r="E2279" s="483"/>
      <c r="F2279" s="483"/>
      <c r="G2279" s="483"/>
      <c r="H2279" s="483"/>
      <c r="I2279" s="483"/>
      <c r="J2279" s="483"/>
      <c r="K2279" s="483"/>
      <c r="L2279" s="483"/>
      <c r="M2279" s="483"/>
    </row>
    <row r="2280" spans="1:13" ht="15" customHeight="1" x14ac:dyDescent="0.2">
      <c r="A2280" s="358" t="s">
        <v>15</v>
      </c>
      <c r="B2280" s="358" t="s">
        <v>1029</v>
      </c>
      <c r="C2280" s="364" t="s">
        <v>523</v>
      </c>
      <c r="D2280" s="364"/>
      <c r="E2280" s="364"/>
      <c r="F2280" s="79" t="s">
        <v>181</v>
      </c>
      <c r="G2280" s="328" t="s">
        <v>421</v>
      </c>
      <c r="H2280" s="329"/>
      <c r="I2280" s="330"/>
      <c r="J2280" s="381" t="s">
        <v>28</v>
      </c>
      <c r="K2280" s="381"/>
      <c r="L2280" s="376" t="s">
        <v>420</v>
      </c>
      <c r="M2280" s="376"/>
    </row>
    <row r="2281" spans="1:13" ht="15" customHeight="1" x14ac:dyDescent="0.2">
      <c r="A2281" s="358"/>
      <c r="B2281" s="358"/>
      <c r="C2281" s="61" t="s">
        <v>522</v>
      </c>
      <c r="D2281" s="61"/>
      <c r="E2281" s="61"/>
      <c r="F2281" s="87" t="s">
        <v>525</v>
      </c>
      <c r="G2281" s="331"/>
      <c r="H2281" s="332"/>
      <c r="I2281" s="333"/>
      <c r="J2281" s="381"/>
      <c r="K2281" s="381"/>
      <c r="L2281" s="376"/>
      <c r="M2281" s="376"/>
    </row>
    <row r="2282" spans="1:13" ht="15" customHeight="1" x14ac:dyDescent="0.2">
      <c r="A2282" s="358"/>
      <c r="B2282" s="358"/>
      <c r="C2282" s="6" t="s">
        <v>317</v>
      </c>
      <c r="D2282" s="58" t="s">
        <v>319</v>
      </c>
      <c r="E2282" s="58" t="s">
        <v>5</v>
      </c>
      <c r="F2282" s="58" t="s">
        <v>319</v>
      </c>
      <c r="G2282" s="64" t="s">
        <v>0</v>
      </c>
      <c r="H2282" s="64" t="s">
        <v>499</v>
      </c>
      <c r="I2282" s="64" t="s">
        <v>5</v>
      </c>
      <c r="J2282" s="64" t="s">
        <v>0</v>
      </c>
      <c r="K2282" s="58" t="s">
        <v>5</v>
      </c>
      <c r="L2282" s="64" t="s">
        <v>0</v>
      </c>
      <c r="M2282" s="58" t="s">
        <v>5</v>
      </c>
    </row>
    <row r="2283" spans="1:13" ht="15" customHeight="1" x14ac:dyDescent="0.2">
      <c r="A2283" s="81" t="s">
        <v>111</v>
      </c>
      <c r="B2283" s="62">
        <f>A2332*Variables!F$12</f>
        <v>140364.72149100777</v>
      </c>
      <c r="C2283" t="s">
        <v>225</v>
      </c>
      <c r="D2283" s="100">
        <v>1.6000000000000001E-4</v>
      </c>
      <c r="E2283" t="s">
        <v>338</v>
      </c>
      <c r="F2283">
        <v>1.8000000000000001E-4</v>
      </c>
      <c r="G2283">
        <f>$A$6</f>
        <v>100</v>
      </c>
      <c r="H2283">
        <v>-1</v>
      </c>
      <c r="I2283" t="s">
        <v>422</v>
      </c>
      <c r="J2283" s="17">
        <f t="shared" ref="J2283:J2314" si="147">((SUM(B$2283:B$2284,B$2299,B$2314,B$2323:B$2324)*D2283)+(SUM(B$2285,B$2325)*F2283))*G2283*H2283</f>
        <v>-52422.154401740161</v>
      </c>
      <c r="K2283" t="s">
        <v>519</v>
      </c>
      <c r="L2283" s="69">
        <f>SUM(J2283:J2388)</f>
        <v>-2523066781.1002822</v>
      </c>
      <c r="M2283" t="s">
        <v>538</v>
      </c>
    </row>
    <row r="2284" spans="1:13" ht="15" customHeight="1" x14ac:dyDescent="0.2">
      <c r="A2284" s="81" t="s">
        <v>108</v>
      </c>
      <c r="B2284" s="62">
        <f>A2333*Variables!F$12</f>
        <v>5800.0785662006938</v>
      </c>
      <c r="C2284" t="s">
        <v>226</v>
      </c>
      <c r="D2284" s="100">
        <v>1.6000000000000001E-4</v>
      </c>
      <c r="E2284" t="s">
        <v>339</v>
      </c>
      <c r="F2284">
        <v>1.8000000000000001E-4</v>
      </c>
      <c r="G2284">
        <f>$A$7</f>
        <v>10</v>
      </c>
      <c r="H2284">
        <v>-1</v>
      </c>
      <c r="I2284" t="s">
        <v>423</v>
      </c>
      <c r="J2284" s="17">
        <f t="shared" si="147"/>
        <v>-5242.2154401740154</v>
      </c>
      <c r="K2284" t="s">
        <v>519</v>
      </c>
    </row>
    <row r="2285" spans="1:13" ht="15" customHeight="1" x14ac:dyDescent="0.2">
      <c r="A2285" s="81" t="s">
        <v>110</v>
      </c>
      <c r="B2285" s="62">
        <f>A2334*Variables!F$12</f>
        <v>208430.14799290357</v>
      </c>
      <c r="C2285" t="s">
        <v>227</v>
      </c>
      <c r="D2285" s="100">
        <v>1.6000000000000001E-3</v>
      </c>
      <c r="E2285" t="s">
        <v>340</v>
      </c>
      <c r="F2285">
        <v>1.82E-3</v>
      </c>
      <c r="G2285">
        <f>$A$7</f>
        <v>10</v>
      </c>
      <c r="H2285">
        <v>-1</v>
      </c>
      <c r="I2285" t="s">
        <v>424</v>
      </c>
      <c r="J2285" s="17">
        <f t="shared" si="147"/>
        <v>-52627.209114011799</v>
      </c>
      <c r="K2285" t="s">
        <v>519</v>
      </c>
    </row>
    <row r="2286" spans="1:13" ht="15" customHeight="1" x14ac:dyDescent="0.2">
      <c r="A2286" s="98" t="s">
        <v>9</v>
      </c>
      <c r="B2286" s="62">
        <f>A2335*Variables!F$12</f>
        <v>354594.948050112</v>
      </c>
      <c r="C2286" t="s">
        <v>228</v>
      </c>
      <c r="D2286" s="100">
        <v>0.16047</v>
      </c>
      <c r="E2286" t="s">
        <v>341</v>
      </c>
      <c r="F2286">
        <v>1.82E-3</v>
      </c>
      <c r="G2286">
        <f>$A$7</f>
        <v>10</v>
      </c>
      <c r="H2286">
        <v>-1</v>
      </c>
      <c r="I2286" t="s">
        <v>425</v>
      </c>
      <c r="J2286" s="17">
        <f t="shared" si="147"/>
        <v>-3425360.8824457652</v>
      </c>
      <c r="K2286" t="s">
        <v>519</v>
      </c>
    </row>
    <row r="2287" spans="1:13" ht="15" customHeight="1" x14ac:dyDescent="0.2">
      <c r="C2287" t="s">
        <v>229</v>
      </c>
      <c r="D2287" s="100">
        <v>1.6049999999999998E-2</v>
      </c>
      <c r="E2287" t="s">
        <v>342</v>
      </c>
      <c r="F2287">
        <v>1.821E-2</v>
      </c>
      <c r="G2287">
        <f>$A$6</f>
        <v>100</v>
      </c>
      <c r="H2287">
        <v>-1</v>
      </c>
      <c r="I2287" t="s">
        <v>426</v>
      </c>
      <c r="J2287" s="17">
        <f t="shared" si="147"/>
        <v>-5274360.9444304416</v>
      </c>
      <c r="K2287" t="s">
        <v>519</v>
      </c>
    </row>
    <row r="2288" spans="1:13" ht="15" customHeight="1" x14ac:dyDescent="0.2">
      <c r="A2288" s="393" t="s">
        <v>75</v>
      </c>
      <c r="B2288" s="394"/>
      <c r="C2288" t="s">
        <v>230</v>
      </c>
      <c r="D2288" s="100">
        <v>0.16047</v>
      </c>
      <c r="E2288" t="s">
        <v>343</v>
      </c>
      <c r="F2288">
        <v>1.8000000000000001E-4</v>
      </c>
      <c r="G2288">
        <f>$A$6</f>
        <v>100</v>
      </c>
      <c r="H2288">
        <v>-1</v>
      </c>
      <c r="I2288" t="s">
        <v>427</v>
      </c>
      <c r="J2288" s="17">
        <f t="shared" si="147"/>
        <v>-34085463.960394911</v>
      </c>
      <c r="K2288" t="s">
        <v>519</v>
      </c>
    </row>
    <row r="2289" spans="1:11" ht="15" customHeight="1" x14ac:dyDescent="0.2">
      <c r="A2289" s="395"/>
      <c r="B2289" s="396"/>
      <c r="C2289" t="s">
        <v>231</v>
      </c>
      <c r="D2289" s="100">
        <v>1.60467</v>
      </c>
      <c r="E2289" t="s">
        <v>344</v>
      </c>
      <c r="F2289">
        <v>1.82E-3</v>
      </c>
      <c r="G2289">
        <f>$A$7</f>
        <v>10</v>
      </c>
      <c r="H2289">
        <v>-1</v>
      </c>
      <c r="I2289" t="s">
        <v>428</v>
      </c>
      <c r="J2289" s="17">
        <f t="shared" si="147"/>
        <v>-34085032.12953911</v>
      </c>
      <c r="K2289" t="s">
        <v>519</v>
      </c>
    </row>
    <row r="2290" spans="1:11" ht="15" customHeight="1" x14ac:dyDescent="0.2">
      <c r="A2290" s="358" t="s">
        <v>15</v>
      </c>
      <c r="B2290" s="358" t="s">
        <v>1029</v>
      </c>
      <c r="C2290" t="s">
        <v>232</v>
      </c>
      <c r="D2290" s="100">
        <v>1.6000000000000001E-4</v>
      </c>
      <c r="E2290" t="s">
        <v>345</v>
      </c>
      <c r="F2290">
        <v>1.8000000000000001E-4</v>
      </c>
      <c r="G2290">
        <f>$A$7</f>
        <v>10</v>
      </c>
      <c r="H2290">
        <v>-1</v>
      </c>
      <c r="I2290" t="s">
        <v>429</v>
      </c>
      <c r="J2290" s="17">
        <f t="shared" si="147"/>
        <v>-5242.2154401740154</v>
      </c>
      <c r="K2290" t="s">
        <v>519</v>
      </c>
    </row>
    <row r="2291" spans="1:11" ht="15" customHeight="1" x14ac:dyDescent="0.2">
      <c r="A2291" s="358"/>
      <c r="B2291" s="358"/>
      <c r="C2291" t="s">
        <v>233</v>
      </c>
      <c r="D2291" s="100">
        <v>1.6000000000000001E-4</v>
      </c>
      <c r="E2291" t="s">
        <v>345</v>
      </c>
      <c r="F2291">
        <v>1.8000000000000001E-4</v>
      </c>
      <c r="G2291">
        <f>$A$7</f>
        <v>10</v>
      </c>
      <c r="H2291">
        <v>-1</v>
      </c>
      <c r="I2291" t="s">
        <v>429</v>
      </c>
      <c r="J2291" s="17">
        <f t="shared" si="147"/>
        <v>-5242.2154401740154</v>
      </c>
      <c r="K2291" t="s">
        <v>519</v>
      </c>
    </row>
    <row r="2292" spans="1:11" ht="15" customHeight="1" x14ac:dyDescent="0.2">
      <c r="A2292" s="358"/>
      <c r="B2292" s="358"/>
      <c r="C2292" t="s">
        <v>320</v>
      </c>
      <c r="D2292" s="100">
        <v>0</v>
      </c>
      <c r="E2292" t="s">
        <v>344</v>
      </c>
      <c r="F2292">
        <v>0</v>
      </c>
      <c r="G2292">
        <f>$A$6</f>
        <v>100</v>
      </c>
      <c r="H2292">
        <v>-1</v>
      </c>
      <c r="I2292" t="s">
        <v>428</v>
      </c>
      <c r="J2292" s="17">
        <f t="shared" si="147"/>
        <v>0</v>
      </c>
      <c r="K2292" t="s">
        <v>519</v>
      </c>
    </row>
    <row r="2293" spans="1:11" ht="15" customHeight="1" x14ac:dyDescent="0.2">
      <c r="A2293" s="81" t="s">
        <v>117</v>
      </c>
      <c r="B2293" s="62">
        <f>A2337*Variables!F$12</f>
        <v>3779.5131583444386</v>
      </c>
      <c r="C2293" t="s">
        <v>321</v>
      </c>
      <c r="D2293" s="100">
        <v>0</v>
      </c>
      <c r="E2293" t="s">
        <v>344</v>
      </c>
      <c r="F2293">
        <v>0</v>
      </c>
      <c r="G2293">
        <f>$A$6</f>
        <v>100</v>
      </c>
      <c r="H2293">
        <v>-1</v>
      </c>
      <c r="I2293" t="s">
        <v>428</v>
      </c>
      <c r="J2293" s="17">
        <f t="shared" si="147"/>
        <v>0</v>
      </c>
      <c r="K2293" t="s">
        <v>519</v>
      </c>
    </row>
    <row r="2294" spans="1:11" ht="15" customHeight="1" x14ac:dyDescent="0.2">
      <c r="A2294" s="81" t="s">
        <v>118</v>
      </c>
      <c r="B2294" s="62">
        <f>A2338*Variables!F$12</f>
        <v>303.51085817516343</v>
      </c>
      <c r="C2294" t="s">
        <v>234</v>
      </c>
      <c r="D2294" s="100">
        <v>0</v>
      </c>
      <c r="E2294" t="s">
        <v>344</v>
      </c>
      <c r="F2294">
        <v>0</v>
      </c>
      <c r="G2294">
        <v>0</v>
      </c>
      <c r="H2294">
        <v>0</v>
      </c>
      <c r="I2294" t="s">
        <v>428</v>
      </c>
      <c r="J2294" s="17">
        <f t="shared" si="147"/>
        <v>0</v>
      </c>
      <c r="K2294" t="s">
        <v>519</v>
      </c>
    </row>
    <row r="2295" spans="1:11" ht="15" customHeight="1" x14ac:dyDescent="0.2">
      <c r="A2295" s="81" t="s">
        <v>119</v>
      </c>
      <c r="B2295" s="62">
        <f>A2339*Variables!F$12</f>
        <v>11389.80382675605</v>
      </c>
      <c r="C2295" t="s">
        <v>235</v>
      </c>
      <c r="D2295" s="100">
        <v>0.16047</v>
      </c>
      <c r="E2295" t="s">
        <v>346</v>
      </c>
      <c r="F2295">
        <v>0.18212</v>
      </c>
      <c r="G2295">
        <f>$A$8</f>
        <v>1</v>
      </c>
      <c r="H2295">
        <v>1</v>
      </c>
      <c r="I2295" t="s">
        <v>430</v>
      </c>
      <c r="J2295" s="17">
        <f t="shared" si="147"/>
        <v>527392.91135746392</v>
      </c>
      <c r="K2295" t="s">
        <v>519</v>
      </c>
    </row>
    <row r="2296" spans="1:11" ht="15" customHeight="1" x14ac:dyDescent="0.2">
      <c r="A2296" s="81" t="s">
        <v>120</v>
      </c>
      <c r="B2296" s="62">
        <f>A2340*Variables!F$12</f>
        <v>1333.8220929024853</v>
      </c>
      <c r="C2296" t="s">
        <v>236</v>
      </c>
      <c r="D2296" s="100">
        <v>1.6000000000000001E-4</v>
      </c>
      <c r="E2296" t="s">
        <v>347</v>
      </c>
      <c r="F2296">
        <v>1.8000000000000001E-4</v>
      </c>
      <c r="G2296">
        <f>$A$7</f>
        <v>10</v>
      </c>
      <c r="H2296">
        <v>-1</v>
      </c>
      <c r="I2296" t="s">
        <v>431</v>
      </c>
      <c r="J2296" s="17">
        <f t="shared" si="147"/>
        <v>-5242.2154401740154</v>
      </c>
      <c r="K2296" t="s">
        <v>519</v>
      </c>
    </row>
    <row r="2297" spans="1:11" ht="15" customHeight="1" x14ac:dyDescent="0.2">
      <c r="A2297" s="81" t="s">
        <v>202</v>
      </c>
      <c r="B2297" s="62">
        <f>A2341*Variables!F$12</f>
        <v>1742.7620371295557</v>
      </c>
      <c r="C2297" t="s">
        <v>237</v>
      </c>
      <c r="D2297" s="100">
        <v>0.16047</v>
      </c>
      <c r="E2297" t="s">
        <v>348</v>
      </c>
      <c r="F2297">
        <v>1.821E-2</v>
      </c>
      <c r="G2297">
        <f>$A$6</f>
        <v>100</v>
      </c>
      <c r="H2297">
        <v>-1</v>
      </c>
      <c r="I2297" t="s">
        <v>432</v>
      </c>
      <c r="J2297" s="17">
        <f t="shared" si="147"/>
        <v>-35934032.191523783</v>
      </c>
      <c r="K2297" t="s">
        <v>519</v>
      </c>
    </row>
    <row r="2298" spans="1:11" ht="15" customHeight="1" x14ac:dyDescent="0.2">
      <c r="A2298" s="81" t="s">
        <v>121</v>
      </c>
      <c r="B2298" s="62">
        <f>A2342*Variables!F$12</f>
        <v>1333.8220929024853</v>
      </c>
      <c r="C2298" t="s">
        <v>238</v>
      </c>
      <c r="D2298" s="100">
        <v>0</v>
      </c>
      <c r="E2298" t="s">
        <v>349</v>
      </c>
      <c r="F2298">
        <v>0</v>
      </c>
      <c r="G2298">
        <f>$A$7</f>
        <v>10</v>
      </c>
      <c r="H2298">
        <v>-1</v>
      </c>
      <c r="I2298" t="s">
        <v>433</v>
      </c>
      <c r="J2298" s="17">
        <f t="shared" si="147"/>
        <v>0</v>
      </c>
      <c r="K2298" t="s">
        <v>519</v>
      </c>
    </row>
    <row r="2299" spans="1:11" ht="15" customHeight="1" x14ac:dyDescent="0.2">
      <c r="A2299" s="98" t="s">
        <v>9</v>
      </c>
      <c r="B2299" s="62">
        <f>A2343*Variables!F$12</f>
        <v>19883.234066210181</v>
      </c>
      <c r="C2299" t="s">
        <v>239</v>
      </c>
      <c r="D2299" s="100">
        <v>1.6000000000000001E-3</v>
      </c>
      <c r="E2299" t="s">
        <v>348</v>
      </c>
      <c r="F2299">
        <v>1.82E-3</v>
      </c>
      <c r="G2299">
        <f>$A$6</f>
        <v>100</v>
      </c>
      <c r="H2299">
        <v>-1</v>
      </c>
      <c r="I2299" t="s">
        <v>432</v>
      </c>
      <c r="J2299" s="17">
        <f t="shared" si="147"/>
        <v>-526272.09114011808</v>
      </c>
      <c r="K2299" t="s">
        <v>519</v>
      </c>
    </row>
    <row r="2300" spans="1:11" ht="15" customHeight="1" x14ac:dyDescent="0.2">
      <c r="A2300" s="13"/>
      <c r="B2300" s="13"/>
      <c r="C2300" t="s">
        <v>240</v>
      </c>
      <c r="D2300" s="100">
        <v>0</v>
      </c>
      <c r="E2300" t="s">
        <v>348</v>
      </c>
      <c r="F2300">
        <v>1.82E-3</v>
      </c>
      <c r="G2300">
        <f>$A$6</f>
        <v>100</v>
      </c>
      <c r="H2300">
        <v>-1</v>
      </c>
      <c r="I2300" t="s">
        <v>432</v>
      </c>
      <c r="J2300" s="17">
        <f t="shared" si="147"/>
        <v>-186599.78816719636</v>
      </c>
      <c r="K2300" t="s">
        <v>519</v>
      </c>
    </row>
    <row r="2301" spans="1:11" ht="15" customHeight="1" x14ac:dyDescent="0.2">
      <c r="A2301" s="9"/>
      <c r="B2301" s="13"/>
      <c r="C2301" t="s">
        <v>241</v>
      </c>
      <c r="D2301" s="100">
        <v>0</v>
      </c>
      <c r="E2301" t="s">
        <v>350</v>
      </c>
      <c r="F2301">
        <v>0</v>
      </c>
      <c r="G2301">
        <f>$A$6</f>
        <v>100</v>
      </c>
      <c r="H2301">
        <v>-1</v>
      </c>
      <c r="I2301" t="s">
        <v>434</v>
      </c>
      <c r="J2301" s="17">
        <f t="shared" si="147"/>
        <v>0</v>
      </c>
      <c r="K2301" t="s">
        <v>519</v>
      </c>
    </row>
    <row r="2302" spans="1:11" ht="15" customHeight="1" x14ac:dyDescent="0.2">
      <c r="A2302" s="13"/>
      <c r="B2302" s="13"/>
      <c r="C2302" t="s">
        <v>242</v>
      </c>
      <c r="D2302" s="100">
        <v>0</v>
      </c>
      <c r="E2302" t="s">
        <v>351</v>
      </c>
      <c r="F2302">
        <v>0.18212</v>
      </c>
      <c r="G2302">
        <f>$A$8</f>
        <v>1</v>
      </c>
      <c r="H2302">
        <v>1</v>
      </c>
      <c r="I2302" t="s">
        <v>435</v>
      </c>
      <c r="J2302" s="17">
        <f t="shared" si="147"/>
        <v>186722.82099455933</v>
      </c>
      <c r="K2302" t="s">
        <v>519</v>
      </c>
    </row>
    <row r="2303" spans="1:11" ht="15" customHeight="1" x14ac:dyDescent="0.2">
      <c r="A2303" s="13"/>
      <c r="B2303" s="13"/>
      <c r="C2303" t="s">
        <v>243</v>
      </c>
      <c r="D2303" s="100">
        <v>1.6000000000000001E-3</v>
      </c>
      <c r="E2303" t="s">
        <v>352</v>
      </c>
      <c r="F2303">
        <v>1.82E-3</v>
      </c>
      <c r="G2303">
        <f>$A$6</f>
        <v>100</v>
      </c>
      <c r="H2303">
        <v>-1</v>
      </c>
      <c r="I2303" t="s">
        <v>436</v>
      </c>
      <c r="J2303" s="17">
        <f t="shared" si="147"/>
        <v>-526272.09114011808</v>
      </c>
      <c r="K2303" t="s">
        <v>519</v>
      </c>
    </row>
    <row r="2304" spans="1:11" ht="15" customHeight="1" x14ac:dyDescent="0.2">
      <c r="A2304" s="439" t="s">
        <v>86</v>
      </c>
      <c r="B2304" s="439"/>
      <c r="C2304" t="s">
        <v>244</v>
      </c>
      <c r="D2304" s="100">
        <v>1.6000000000000001E-3</v>
      </c>
      <c r="E2304" t="s">
        <v>353</v>
      </c>
      <c r="F2304">
        <v>1.821E-2</v>
      </c>
      <c r="G2304">
        <v>0</v>
      </c>
      <c r="H2304">
        <v>0</v>
      </c>
      <c r="I2304" t="s">
        <v>437</v>
      </c>
      <c r="J2304" s="17">
        <f t="shared" si="147"/>
        <v>0</v>
      </c>
      <c r="K2304" t="s">
        <v>519</v>
      </c>
    </row>
    <row r="2305" spans="1:11" ht="15" customHeight="1" x14ac:dyDescent="0.2">
      <c r="A2305" s="439"/>
      <c r="B2305" s="439"/>
      <c r="C2305" t="s">
        <v>245</v>
      </c>
      <c r="D2305" s="100">
        <v>1.6000000000000001E-4</v>
      </c>
      <c r="E2305" t="s">
        <v>351</v>
      </c>
      <c r="F2305">
        <v>1.82E-3</v>
      </c>
      <c r="G2305">
        <f t="shared" ref="G2305:G2310" si="148">$A$7</f>
        <v>10</v>
      </c>
      <c r="H2305">
        <v>-1</v>
      </c>
      <c r="I2305" t="s">
        <v>435</v>
      </c>
      <c r="J2305" s="17">
        <f t="shared" si="147"/>
        <v>-22056.70184644885</v>
      </c>
      <c r="K2305" t="s">
        <v>519</v>
      </c>
    </row>
    <row r="2306" spans="1:11" ht="15" customHeight="1" x14ac:dyDescent="0.2">
      <c r="A2306" s="358" t="s">
        <v>15</v>
      </c>
      <c r="B2306" s="358" t="s">
        <v>1029</v>
      </c>
      <c r="C2306" t="s">
        <v>246</v>
      </c>
      <c r="D2306" s="100">
        <v>1.6049999999999998E-2</v>
      </c>
      <c r="E2306" t="s">
        <v>354</v>
      </c>
      <c r="F2306">
        <v>1.82117</v>
      </c>
      <c r="G2306">
        <f t="shared" si="148"/>
        <v>10</v>
      </c>
      <c r="H2306">
        <v>-1</v>
      </c>
      <c r="I2306" t="s">
        <v>438</v>
      </c>
      <c r="J2306" s="17">
        <f t="shared" si="147"/>
        <v>-19012708.29630724</v>
      </c>
      <c r="K2306" t="s">
        <v>519</v>
      </c>
    </row>
    <row r="2307" spans="1:11" ht="15" customHeight="1" x14ac:dyDescent="0.2">
      <c r="A2307" s="358"/>
      <c r="B2307" s="358"/>
      <c r="C2307" t="s">
        <v>247</v>
      </c>
      <c r="D2307" s="100">
        <v>1.60467</v>
      </c>
      <c r="E2307" t="s">
        <v>354</v>
      </c>
      <c r="F2307">
        <v>1.821E-2</v>
      </c>
      <c r="G2307">
        <f t="shared" si="148"/>
        <v>10</v>
      </c>
      <c r="H2307">
        <v>-1</v>
      </c>
      <c r="I2307" t="s">
        <v>438</v>
      </c>
      <c r="J2307" s="17">
        <f t="shared" si="147"/>
        <v>-34253074.466245718</v>
      </c>
      <c r="K2307" t="s">
        <v>519</v>
      </c>
    </row>
    <row r="2308" spans="1:11" ht="15" customHeight="1" x14ac:dyDescent="0.2">
      <c r="A2308" s="358"/>
      <c r="B2308" s="358"/>
      <c r="C2308" t="s">
        <v>248</v>
      </c>
      <c r="D2308" s="100">
        <v>1.60467</v>
      </c>
      <c r="E2308" t="s">
        <v>350</v>
      </c>
      <c r="F2308">
        <v>0.18212</v>
      </c>
      <c r="G2308">
        <f t="shared" si="148"/>
        <v>10</v>
      </c>
      <c r="H2308">
        <v>-1</v>
      </c>
      <c r="I2308" t="s">
        <v>434</v>
      </c>
      <c r="J2308" s="17">
        <f t="shared" si="147"/>
        <v>-35933600.360667981</v>
      </c>
      <c r="K2308" t="s">
        <v>519</v>
      </c>
    </row>
    <row r="2309" spans="1:11" ht="15" customHeight="1" x14ac:dyDescent="0.2">
      <c r="A2309" s="81" t="s">
        <v>114</v>
      </c>
      <c r="B2309" s="102">
        <f>A2345*Variables!F$12</f>
        <v>1213.1391417198047</v>
      </c>
      <c r="C2309" t="s">
        <v>322</v>
      </c>
      <c r="D2309" s="100">
        <v>1.60467</v>
      </c>
      <c r="E2309" t="s">
        <v>355</v>
      </c>
      <c r="F2309">
        <v>0.18212</v>
      </c>
      <c r="G2309">
        <f t="shared" si="148"/>
        <v>10</v>
      </c>
      <c r="H2309">
        <v>-1</v>
      </c>
      <c r="I2309" t="s">
        <v>439</v>
      </c>
      <c r="J2309" s="17">
        <f t="shared" si="147"/>
        <v>-35933600.360667981</v>
      </c>
      <c r="K2309" t="s">
        <v>519</v>
      </c>
    </row>
    <row r="2310" spans="1:11" ht="15" customHeight="1" x14ac:dyDescent="0.2">
      <c r="A2310" s="81" t="s">
        <v>115</v>
      </c>
      <c r="B2310" s="102">
        <f>A2346*Variables!F$12</f>
        <v>613.76492764028512</v>
      </c>
      <c r="C2310" t="s">
        <v>249</v>
      </c>
      <c r="D2310" s="100">
        <v>0.16047</v>
      </c>
      <c r="E2310" t="s">
        <v>356</v>
      </c>
      <c r="F2310">
        <v>1.8000000000000001E-4</v>
      </c>
      <c r="G2310">
        <f t="shared" si="148"/>
        <v>10</v>
      </c>
      <c r="H2310">
        <v>-1</v>
      </c>
      <c r="I2310" t="s">
        <v>440</v>
      </c>
      <c r="J2310" s="17">
        <f t="shared" si="147"/>
        <v>-3408546.3960394911</v>
      </c>
      <c r="K2310" t="s">
        <v>519</v>
      </c>
    </row>
    <row r="2311" spans="1:11" ht="15" customHeight="1" x14ac:dyDescent="0.2">
      <c r="A2311" s="81" t="s">
        <v>116</v>
      </c>
      <c r="B2311" s="102">
        <f>A2347*Variables!F$12</f>
        <v>10847.432215958142</v>
      </c>
      <c r="C2311" t="s">
        <v>323</v>
      </c>
      <c r="D2311" s="100">
        <v>1.6000000000000001E-3</v>
      </c>
      <c r="E2311" t="s">
        <v>357</v>
      </c>
      <c r="F2311">
        <v>1.82E-3</v>
      </c>
      <c r="G2311">
        <f>$A$6</f>
        <v>100</v>
      </c>
      <c r="H2311">
        <v>-1</v>
      </c>
      <c r="I2311" t="s">
        <v>441</v>
      </c>
      <c r="J2311" s="17">
        <f t="shared" si="147"/>
        <v>-526272.09114011808</v>
      </c>
      <c r="K2311" t="s">
        <v>519</v>
      </c>
    </row>
    <row r="2312" spans="1:11" ht="15" customHeight="1" x14ac:dyDescent="0.2">
      <c r="A2312" s="81" t="s">
        <v>113</v>
      </c>
      <c r="B2312" s="102">
        <f>A2348*Variables!F$12</f>
        <v>1703981.873820971</v>
      </c>
      <c r="C2312" t="s">
        <v>324</v>
      </c>
      <c r="D2312" s="100">
        <v>1.6000000000000001E-3</v>
      </c>
      <c r="E2312" t="s">
        <v>357</v>
      </c>
      <c r="F2312">
        <v>1.82E-3</v>
      </c>
      <c r="G2312">
        <f>$A$6</f>
        <v>100</v>
      </c>
      <c r="H2312">
        <v>-1</v>
      </c>
      <c r="I2312" t="s">
        <v>441</v>
      </c>
      <c r="J2312" s="17">
        <f t="shared" si="147"/>
        <v>-526272.09114011808</v>
      </c>
      <c r="K2312" t="s">
        <v>519</v>
      </c>
    </row>
    <row r="2313" spans="1:11" ht="15" customHeight="1" x14ac:dyDescent="0.2">
      <c r="A2313" s="81" t="s">
        <v>107</v>
      </c>
      <c r="B2313" s="102">
        <f>A2349*Variables!F$12</f>
        <v>1065.7070111466464</v>
      </c>
      <c r="C2313" t="s">
        <v>250</v>
      </c>
      <c r="D2313" s="100">
        <v>1.6000000000000001E-3</v>
      </c>
      <c r="E2313" t="s">
        <v>358</v>
      </c>
      <c r="F2313">
        <v>1.82E-3</v>
      </c>
      <c r="G2313">
        <f>$A$7</f>
        <v>10</v>
      </c>
      <c r="H2313">
        <v>1</v>
      </c>
      <c r="I2313" t="s">
        <v>442</v>
      </c>
      <c r="J2313" s="17">
        <f t="shared" si="147"/>
        <v>52627.209114011799</v>
      </c>
      <c r="K2313" t="s">
        <v>519</v>
      </c>
    </row>
    <row r="2314" spans="1:11" ht="15" customHeight="1" x14ac:dyDescent="0.2">
      <c r="A2314" s="98" t="s">
        <v>9</v>
      </c>
      <c r="B2314" s="102">
        <f>A2350*Variables!F$12</f>
        <v>1717721.917117436</v>
      </c>
      <c r="C2314" t="s">
        <v>251</v>
      </c>
      <c r="D2314" s="100">
        <v>0</v>
      </c>
      <c r="E2314" t="s">
        <v>359</v>
      </c>
      <c r="F2314">
        <v>0</v>
      </c>
      <c r="G2314">
        <f>$A$6</f>
        <v>100</v>
      </c>
      <c r="H2314">
        <v>-1</v>
      </c>
      <c r="I2314" t="s">
        <v>443</v>
      </c>
      <c r="J2314" s="17">
        <f t="shared" si="147"/>
        <v>0</v>
      </c>
      <c r="K2314" t="s">
        <v>519</v>
      </c>
    </row>
    <row r="2315" spans="1:11" ht="15" customHeight="1" x14ac:dyDescent="0.2">
      <c r="A2315" s="13"/>
      <c r="B2315" s="13"/>
      <c r="C2315" t="s">
        <v>252</v>
      </c>
      <c r="D2315" s="100">
        <v>0.16047</v>
      </c>
      <c r="E2315" t="s">
        <v>360</v>
      </c>
      <c r="F2315">
        <v>1.821E-2</v>
      </c>
      <c r="G2315">
        <f>$A$7</f>
        <v>10</v>
      </c>
      <c r="H2315">
        <v>-1</v>
      </c>
      <c r="I2315" t="s">
        <v>444</v>
      </c>
      <c r="J2315" s="17">
        <f t="shared" ref="J2315:J2346" si="149">((SUM(B$2283:B$2284,B$2299,B$2314,B$2323:B$2324)*D2315)+(SUM(B$2285,B$2325)*F2315))*G2315*H2315</f>
        <v>-3593403.2191523779</v>
      </c>
      <c r="K2315" t="s">
        <v>519</v>
      </c>
    </row>
    <row r="2316" spans="1:11" ht="15" customHeight="1" x14ac:dyDescent="0.2">
      <c r="A2316" s="38"/>
      <c r="B2316" s="14"/>
      <c r="C2316" t="s">
        <v>253</v>
      </c>
      <c r="D2316" s="100">
        <v>1.6049999999999998E-2</v>
      </c>
      <c r="E2316" t="s">
        <v>361</v>
      </c>
      <c r="F2316">
        <v>1.82E-3</v>
      </c>
      <c r="G2316">
        <f>$A$7</f>
        <v>10</v>
      </c>
      <c r="H2316">
        <v>-1</v>
      </c>
      <c r="I2316" t="s">
        <v>445</v>
      </c>
      <c r="J2316" s="17">
        <f t="shared" si="149"/>
        <v>-359393.75773643167</v>
      </c>
      <c r="K2316" t="s">
        <v>519</v>
      </c>
    </row>
    <row r="2317" spans="1:11" ht="15" customHeight="1" x14ac:dyDescent="0.2">
      <c r="A2317" s="38"/>
      <c r="B2317" s="14"/>
      <c r="C2317" t="s">
        <v>325</v>
      </c>
      <c r="D2317" s="100">
        <v>1.6000000000000001E-3</v>
      </c>
      <c r="E2317" t="s">
        <v>362</v>
      </c>
      <c r="F2317">
        <v>1.8000000000000001E-4</v>
      </c>
      <c r="G2317">
        <f>$A$6</f>
        <v>100</v>
      </c>
      <c r="H2317">
        <v>-1</v>
      </c>
      <c r="I2317" t="s">
        <v>446</v>
      </c>
      <c r="J2317" s="17">
        <f t="shared" si="149"/>
        <v>-358127.22707736964</v>
      </c>
      <c r="K2317" t="s">
        <v>519</v>
      </c>
    </row>
    <row r="2318" spans="1:11" ht="15" customHeight="1" x14ac:dyDescent="0.2">
      <c r="A2318" s="429" t="s">
        <v>11</v>
      </c>
      <c r="B2318" s="429"/>
      <c r="C2318" t="s">
        <v>254</v>
      </c>
      <c r="D2318" s="100">
        <v>1.6000000000000001E-3</v>
      </c>
      <c r="E2318" t="s">
        <v>363</v>
      </c>
      <c r="F2318">
        <v>1.8000000000000001E-4</v>
      </c>
      <c r="G2318">
        <f>$A$7</f>
        <v>10</v>
      </c>
      <c r="H2318">
        <v>-1</v>
      </c>
      <c r="I2318" t="s">
        <v>447</v>
      </c>
      <c r="J2318" s="17">
        <f t="shared" si="149"/>
        <v>-35812.722707736968</v>
      </c>
      <c r="K2318" t="s">
        <v>519</v>
      </c>
    </row>
    <row r="2319" spans="1:11" ht="15" customHeight="1" x14ac:dyDescent="0.2">
      <c r="A2319" s="429"/>
      <c r="B2319" s="429"/>
      <c r="C2319" t="s">
        <v>255</v>
      </c>
      <c r="D2319" s="100">
        <v>0</v>
      </c>
      <c r="E2319" t="s">
        <v>364</v>
      </c>
      <c r="F2319">
        <v>0</v>
      </c>
      <c r="G2319">
        <f>$A$7</f>
        <v>10</v>
      </c>
      <c r="H2319">
        <v>-1</v>
      </c>
      <c r="I2319" t="s">
        <v>448</v>
      </c>
      <c r="J2319" s="17">
        <f t="shared" si="149"/>
        <v>0</v>
      </c>
      <c r="K2319" t="s">
        <v>519</v>
      </c>
    </row>
    <row r="2320" spans="1:11" ht="15" customHeight="1" x14ac:dyDescent="0.2">
      <c r="A2320" s="358" t="s">
        <v>15</v>
      </c>
      <c r="B2320" s="358" t="s">
        <v>1029</v>
      </c>
      <c r="C2320" t="s">
        <v>256</v>
      </c>
      <c r="D2320" s="100">
        <v>1.6000000000000001E-3</v>
      </c>
      <c r="E2320" t="s">
        <v>365</v>
      </c>
      <c r="F2320">
        <v>1.8000000000000001E-4</v>
      </c>
      <c r="G2320">
        <f>$A$7</f>
        <v>10</v>
      </c>
      <c r="H2320">
        <v>-1</v>
      </c>
      <c r="I2320" t="s">
        <v>449</v>
      </c>
      <c r="J2320" s="17">
        <f t="shared" si="149"/>
        <v>-35812.722707736968</v>
      </c>
      <c r="K2320" t="s">
        <v>519</v>
      </c>
    </row>
    <row r="2321" spans="1:11" ht="15" customHeight="1" x14ac:dyDescent="0.2">
      <c r="A2321" s="358"/>
      <c r="B2321" s="358"/>
      <c r="C2321" t="s">
        <v>257</v>
      </c>
      <c r="D2321" s="100">
        <v>1.60467</v>
      </c>
      <c r="E2321" t="s">
        <v>366</v>
      </c>
      <c r="F2321">
        <v>1.82E-3</v>
      </c>
      <c r="G2321">
        <f>$A$6</f>
        <v>100</v>
      </c>
      <c r="H2321">
        <v>-1</v>
      </c>
      <c r="I2321" t="s">
        <v>450</v>
      </c>
      <c r="J2321" s="17">
        <f t="shared" si="149"/>
        <v>-340850321.29539108</v>
      </c>
      <c r="K2321" t="s">
        <v>519</v>
      </c>
    </row>
    <row r="2322" spans="1:11" ht="15" customHeight="1" x14ac:dyDescent="0.2">
      <c r="A2322" s="358"/>
      <c r="B2322" s="358"/>
      <c r="C2322" t="s">
        <v>258</v>
      </c>
      <c r="D2322" s="100">
        <v>0.16047</v>
      </c>
      <c r="E2322" t="s">
        <v>367</v>
      </c>
      <c r="F2322">
        <v>1.821E-2</v>
      </c>
      <c r="G2322">
        <f>$A$6</f>
        <v>100</v>
      </c>
      <c r="H2322">
        <v>-1</v>
      </c>
      <c r="I2322" t="s">
        <v>451</v>
      </c>
      <c r="J2322" s="17">
        <f t="shared" si="149"/>
        <v>-35934032.191523783</v>
      </c>
      <c r="K2322" t="s">
        <v>519</v>
      </c>
    </row>
    <row r="2323" spans="1:11" ht="15" customHeight="1" x14ac:dyDescent="0.2">
      <c r="A2323" s="81" t="s">
        <v>111</v>
      </c>
      <c r="B2323" s="62">
        <f>A2352*Variables!F$12</f>
        <v>226947.36705873575</v>
      </c>
      <c r="C2323" t="s">
        <v>326</v>
      </c>
      <c r="D2323" s="100">
        <v>1.6000000000000001E-3</v>
      </c>
      <c r="E2323" t="s">
        <v>365</v>
      </c>
      <c r="F2323">
        <v>1.82E-3</v>
      </c>
      <c r="G2323">
        <v>0</v>
      </c>
      <c r="H2323">
        <v>0</v>
      </c>
      <c r="I2323" t="s">
        <v>449</v>
      </c>
      <c r="J2323" s="17">
        <f t="shared" si="149"/>
        <v>0</v>
      </c>
      <c r="K2323" t="s">
        <v>519</v>
      </c>
    </row>
    <row r="2324" spans="1:11" ht="15" customHeight="1" x14ac:dyDescent="0.2">
      <c r="A2324" s="81" t="s">
        <v>108</v>
      </c>
      <c r="B2324" s="62">
        <f>A2353*Variables!F$12</f>
        <v>12234.575281170202</v>
      </c>
      <c r="C2324" t="s">
        <v>259</v>
      </c>
      <c r="D2324" s="100">
        <v>1.6049999999999998E-2</v>
      </c>
      <c r="E2324" t="s">
        <v>368</v>
      </c>
      <c r="F2324">
        <v>1.8000000000000001E-4</v>
      </c>
      <c r="G2324">
        <f>$A$6</f>
        <v>100</v>
      </c>
      <c r="H2324">
        <v>-1</v>
      </c>
      <c r="I2324" t="s">
        <v>452</v>
      </c>
      <c r="J2324" s="17">
        <f t="shared" si="149"/>
        <v>-3425792.7133015678</v>
      </c>
      <c r="K2324" t="s">
        <v>519</v>
      </c>
    </row>
    <row r="2325" spans="1:11" ht="15" customHeight="1" x14ac:dyDescent="0.2">
      <c r="A2325" s="81" t="s">
        <v>127</v>
      </c>
      <c r="B2325" s="62">
        <f>A2354*Variables!F$12</f>
        <v>816843.41336531809</v>
      </c>
      <c r="C2325" t="s">
        <v>260</v>
      </c>
      <c r="D2325" s="100">
        <v>0</v>
      </c>
      <c r="E2325" t="s">
        <v>368</v>
      </c>
      <c r="F2325">
        <v>0</v>
      </c>
      <c r="G2325">
        <v>0</v>
      </c>
      <c r="H2325">
        <v>0</v>
      </c>
      <c r="I2325" t="s">
        <v>452</v>
      </c>
      <c r="J2325" s="17">
        <f t="shared" si="149"/>
        <v>0</v>
      </c>
      <c r="K2325" t="s">
        <v>519</v>
      </c>
    </row>
    <row r="2326" spans="1:11" ht="15" customHeight="1" x14ac:dyDescent="0.2">
      <c r="A2326" s="98" t="s">
        <v>9</v>
      </c>
      <c r="B2326" s="62">
        <f>A2355*Variables!F$12</f>
        <v>1056025.355705224</v>
      </c>
      <c r="C2326" t="s">
        <v>327</v>
      </c>
      <c r="D2326" s="100">
        <v>1.6000000000000001E-4</v>
      </c>
      <c r="E2326" t="s">
        <v>368</v>
      </c>
      <c r="F2326">
        <v>1.82E-3</v>
      </c>
      <c r="G2326">
        <f>$A$6</f>
        <v>100</v>
      </c>
      <c r="H2326">
        <v>-1</v>
      </c>
      <c r="I2326" t="s">
        <v>452</v>
      </c>
      <c r="J2326" s="17">
        <f t="shared" si="149"/>
        <v>-220567.0184644885</v>
      </c>
      <c r="K2326" t="s">
        <v>519</v>
      </c>
    </row>
    <row r="2327" spans="1:11" ht="15" customHeight="1" x14ac:dyDescent="0.2">
      <c r="C2327" t="s">
        <v>328</v>
      </c>
      <c r="D2327" s="100">
        <v>1.6000000000000001E-4</v>
      </c>
      <c r="E2327" t="s">
        <v>368</v>
      </c>
      <c r="F2327">
        <v>1.8000000000000001E-4</v>
      </c>
      <c r="G2327">
        <v>0</v>
      </c>
      <c r="H2327">
        <v>0</v>
      </c>
      <c r="I2327" t="s">
        <v>452</v>
      </c>
      <c r="J2327" s="17">
        <f t="shared" si="149"/>
        <v>0</v>
      </c>
      <c r="K2327" t="s">
        <v>519</v>
      </c>
    </row>
    <row r="2328" spans="1:11" ht="15" customHeight="1" x14ac:dyDescent="0.2">
      <c r="C2328" t="s">
        <v>261</v>
      </c>
      <c r="D2328" s="100">
        <v>0.16047</v>
      </c>
      <c r="E2328" t="s">
        <v>369</v>
      </c>
      <c r="F2328">
        <v>1.82E-3</v>
      </c>
      <c r="G2328">
        <f>$A$6</f>
        <v>100</v>
      </c>
      <c r="H2328">
        <v>-1</v>
      </c>
      <c r="I2328" t="s">
        <v>453</v>
      </c>
      <c r="J2328" s="17">
        <f t="shared" si="149"/>
        <v>-34253608.824457653</v>
      </c>
      <c r="K2328" t="s">
        <v>519</v>
      </c>
    </row>
    <row r="2329" spans="1:11" ht="15" customHeight="1" x14ac:dyDescent="0.2">
      <c r="A2329" s="358" t="s">
        <v>1199</v>
      </c>
      <c r="C2329" t="s">
        <v>263</v>
      </c>
      <c r="D2329" s="100">
        <v>1.6000000000000001E-4</v>
      </c>
      <c r="E2329" t="s">
        <v>370</v>
      </c>
      <c r="F2329">
        <v>1.8000000000000001E-4</v>
      </c>
      <c r="G2329">
        <f>$A$6</f>
        <v>100</v>
      </c>
      <c r="H2329">
        <v>-1</v>
      </c>
      <c r="I2329" t="s">
        <v>454</v>
      </c>
      <c r="J2329" s="17">
        <f t="shared" si="149"/>
        <v>-52422.154401740161</v>
      </c>
      <c r="K2329" t="s">
        <v>519</v>
      </c>
    </row>
    <row r="2330" spans="1:11" ht="15" customHeight="1" x14ac:dyDescent="0.2">
      <c r="A2330" s="358"/>
      <c r="C2330" t="s">
        <v>262</v>
      </c>
      <c r="D2330" s="100">
        <v>1.6000000000000001E-4</v>
      </c>
      <c r="E2330" t="s">
        <v>370</v>
      </c>
      <c r="F2330">
        <v>1.8000000000000001E-4</v>
      </c>
      <c r="G2330">
        <f>$A$6</f>
        <v>100</v>
      </c>
      <c r="H2330">
        <v>-1</v>
      </c>
      <c r="I2330" t="s">
        <v>454</v>
      </c>
      <c r="J2330" s="17">
        <f t="shared" si="149"/>
        <v>-52422.154401740161</v>
      </c>
      <c r="K2330" t="s">
        <v>519</v>
      </c>
    </row>
    <row r="2331" spans="1:11" ht="15" customHeight="1" x14ac:dyDescent="0.2">
      <c r="A2331" s="358"/>
      <c r="C2331" t="s">
        <v>264</v>
      </c>
      <c r="D2331" s="100">
        <v>1.6000000000000001E-3</v>
      </c>
      <c r="E2331" t="s">
        <v>371</v>
      </c>
      <c r="F2331">
        <v>1.82E-3</v>
      </c>
      <c r="G2331">
        <f>$A$7</f>
        <v>10</v>
      </c>
      <c r="H2331">
        <v>-1</v>
      </c>
      <c r="I2331" t="s">
        <v>455</v>
      </c>
      <c r="J2331" s="17">
        <f t="shared" si="149"/>
        <v>-52627.209114011799</v>
      </c>
      <c r="K2331" t="s">
        <v>519</v>
      </c>
    </row>
    <row r="2332" spans="1:11" ht="15" customHeight="1" x14ac:dyDescent="0.2">
      <c r="A2332" s="62">
        <v>17.545590186375971</v>
      </c>
      <c r="C2332" t="s">
        <v>265</v>
      </c>
      <c r="D2332" s="100">
        <v>1.6000000000000001E-3</v>
      </c>
      <c r="E2332" t="s">
        <v>371</v>
      </c>
      <c r="F2332">
        <v>1.82E-3</v>
      </c>
      <c r="G2332">
        <f>$A$7</f>
        <v>10</v>
      </c>
      <c r="H2332">
        <v>-1</v>
      </c>
      <c r="I2332" t="s">
        <v>455</v>
      </c>
      <c r="J2332" s="17">
        <f t="shared" si="149"/>
        <v>-52627.209114011799</v>
      </c>
      <c r="K2332" t="s">
        <v>519</v>
      </c>
    </row>
    <row r="2333" spans="1:11" ht="15" customHeight="1" x14ac:dyDescent="0.2">
      <c r="A2333" s="62">
        <v>0.72500982077508669</v>
      </c>
      <c r="C2333" t="s">
        <v>266</v>
      </c>
      <c r="D2333" s="100">
        <v>1.6000000000000001E-3</v>
      </c>
      <c r="E2333" t="s">
        <v>371</v>
      </c>
      <c r="F2333">
        <v>1.8000000000000001E-4</v>
      </c>
      <c r="G2333">
        <v>0</v>
      </c>
      <c r="H2333">
        <v>0</v>
      </c>
      <c r="I2333" t="s">
        <v>455</v>
      </c>
      <c r="J2333" s="17">
        <f t="shared" si="149"/>
        <v>0</v>
      </c>
      <c r="K2333" t="s">
        <v>519</v>
      </c>
    </row>
    <row r="2334" spans="1:11" ht="15" customHeight="1" x14ac:dyDescent="0.2">
      <c r="A2334" s="62">
        <v>26.053768499112945</v>
      </c>
      <c r="C2334" t="s">
        <v>267</v>
      </c>
      <c r="D2334" s="100">
        <v>1.6000000000000001E-4</v>
      </c>
      <c r="E2334" t="s">
        <v>372</v>
      </c>
      <c r="F2334">
        <v>1.821E-2</v>
      </c>
      <c r="G2334">
        <v>0</v>
      </c>
      <c r="H2334">
        <v>0</v>
      </c>
      <c r="I2334" t="s">
        <v>456</v>
      </c>
      <c r="J2334" s="17">
        <f t="shared" si="149"/>
        <v>0</v>
      </c>
      <c r="K2334" t="s">
        <v>519</v>
      </c>
    </row>
    <row r="2335" spans="1:11" ht="15" customHeight="1" x14ac:dyDescent="0.2">
      <c r="A2335" s="62">
        <v>44.324368506264001</v>
      </c>
      <c r="C2335" t="s">
        <v>329</v>
      </c>
      <c r="D2335" s="100">
        <v>0.16047</v>
      </c>
      <c r="E2335" s="75" t="s">
        <v>373</v>
      </c>
      <c r="F2335">
        <v>1.821E-2</v>
      </c>
      <c r="G2335">
        <f>$A$7</f>
        <v>10</v>
      </c>
      <c r="H2335">
        <v>-1</v>
      </c>
      <c r="I2335" t="s">
        <v>457</v>
      </c>
      <c r="J2335" s="17">
        <f t="shared" si="149"/>
        <v>-3593403.2191523779</v>
      </c>
      <c r="K2335" t="s">
        <v>519</v>
      </c>
    </row>
    <row r="2336" spans="1:11" ht="15" customHeight="1" x14ac:dyDescent="0.2">
      <c r="A2336" s="13"/>
      <c r="B2336" s="13"/>
      <c r="C2336" t="s">
        <v>314</v>
      </c>
      <c r="D2336" s="100">
        <v>1.6000000000000001E-3</v>
      </c>
      <c r="E2336" s="75" t="s">
        <v>374</v>
      </c>
      <c r="F2336">
        <v>1.82E-3</v>
      </c>
      <c r="G2336">
        <f>$A$7</f>
        <v>10</v>
      </c>
      <c r="H2336">
        <v>-1</v>
      </c>
      <c r="I2336" t="s">
        <v>458</v>
      </c>
      <c r="J2336" s="17">
        <f t="shared" si="149"/>
        <v>-52627.209114011799</v>
      </c>
      <c r="K2336" t="s">
        <v>519</v>
      </c>
    </row>
    <row r="2337" spans="1:11" ht="15" customHeight="1" x14ac:dyDescent="0.2">
      <c r="A2337" s="62">
        <v>0.47243914479305482</v>
      </c>
      <c r="B2337" s="14"/>
      <c r="C2337" t="s">
        <v>268</v>
      </c>
      <c r="D2337" s="100">
        <v>1.6000000000000001E-3</v>
      </c>
      <c r="E2337" s="75" t="s">
        <v>374</v>
      </c>
      <c r="F2337">
        <v>1.82E-3</v>
      </c>
      <c r="G2337">
        <f>$A$7</f>
        <v>10</v>
      </c>
      <c r="H2337">
        <v>-1</v>
      </c>
      <c r="I2337" t="s">
        <v>458</v>
      </c>
      <c r="J2337" s="17">
        <f t="shared" si="149"/>
        <v>-52627.209114011799</v>
      </c>
      <c r="K2337" t="s">
        <v>519</v>
      </c>
    </row>
    <row r="2338" spans="1:11" ht="15" customHeight="1" x14ac:dyDescent="0.2">
      <c r="A2338" s="62">
        <v>3.7938857271895429E-2</v>
      </c>
      <c r="B2338" s="14"/>
      <c r="C2338" t="s">
        <v>269</v>
      </c>
      <c r="D2338" s="100">
        <v>1.6000000000000001E-3</v>
      </c>
      <c r="E2338" s="75" t="s">
        <v>374</v>
      </c>
      <c r="F2338">
        <v>1.82E-3</v>
      </c>
      <c r="G2338">
        <v>0</v>
      </c>
      <c r="H2338">
        <v>0</v>
      </c>
      <c r="I2338" t="s">
        <v>458</v>
      </c>
      <c r="J2338" s="17">
        <f t="shared" si="149"/>
        <v>0</v>
      </c>
      <c r="K2338" t="s">
        <v>519</v>
      </c>
    </row>
    <row r="2339" spans="1:11" ht="15" customHeight="1" x14ac:dyDescent="0.2">
      <c r="A2339" s="62">
        <v>1.4237254783445061</v>
      </c>
      <c r="C2339" t="s">
        <v>270</v>
      </c>
      <c r="D2339" s="100">
        <v>1.6000000000000001E-3</v>
      </c>
      <c r="E2339" s="75" t="s">
        <v>375</v>
      </c>
      <c r="F2339">
        <v>0</v>
      </c>
      <c r="G2339">
        <f>$A$6</f>
        <v>100</v>
      </c>
      <c r="H2339">
        <v>-1</v>
      </c>
      <c r="I2339" t="s">
        <v>459</v>
      </c>
      <c r="J2339" s="17">
        <f t="shared" si="149"/>
        <v>-339672.30297292169</v>
      </c>
      <c r="K2339" t="s">
        <v>519</v>
      </c>
    </row>
    <row r="2340" spans="1:11" ht="15" customHeight="1" x14ac:dyDescent="0.2">
      <c r="A2340" s="62">
        <v>0.16672776161281067</v>
      </c>
      <c r="C2340" t="s">
        <v>271</v>
      </c>
      <c r="D2340" s="100">
        <v>0.16047</v>
      </c>
      <c r="E2340" s="75" t="s">
        <v>376</v>
      </c>
      <c r="F2340">
        <v>0.18212</v>
      </c>
      <c r="G2340">
        <v>0</v>
      </c>
      <c r="H2340">
        <v>0</v>
      </c>
      <c r="I2340" t="s">
        <v>460</v>
      </c>
      <c r="J2340" s="17">
        <f t="shared" si="149"/>
        <v>0</v>
      </c>
      <c r="K2340" t="s">
        <v>519</v>
      </c>
    </row>
    <row r="2341" spans="1:11" ht="15" customHeight="1" x14ac:dyDescent="0.2">
      <c r="A2341" s="62">
        <v>0.21784525464119445</v>
      </c>
      <c r="C2341" t="s">
        <v>272</v>
      </c>
      <c r="D2341" s="100">
        <v>1.60467</v>
      </c>
      <c r="E2341" t="s">
        <v>377</v>
      </c>
      <c r="F2341">
        <v>0</v>
      </c>
      <c r="G2341">
        <v>0</v>
      </c>
      <c r="H2341">
        <v>0</v>
      </c>
      <c r="I2341" t="s">
        <v>461</v>
      </c>
      <c r="J2341" s="17">
        <f t="shared" si="149"/>
        <v>0</v>
      </c>
      <c r="K2341" t="s">
        <v>519</v>
      </c>
    </row>
    <row r="2342" spans="1:11" ht="15" customHeight="1" x14ac:dyDescent="0.2">
      <c r="A2342" s="62">
        <v>0.16672776161281067</v>
      </c>
      <c r="C2342" t="s">
        <v>273</v>
      </c>
      <c r="D2342" s="100">
        <v>1.6000000000000001E-4</v>
      </c>
      <c r="E2342" t="s">
        <v>378</v>
      </c>
      <c r="F2342">
        <v>1.8000000000000001E-4</v>
      </c>
      <c r="G2342">
        <f>$A$7</f>
        <v>10</v>
      </c>
      <c r="H2342">
        <v>-1</v>
      </c>
      <c r="I2342" t="s">
        <v>462</v>
      </c>
      <c r="J2342" s="17">
        <f t="shared" si="149"/>
        <v>-5242.2154401740154</v>
      </c>
      <c r="K2342" t="s">
        <v>519</v>
      </c>
    </row>
    <row r="2343" spans="1:11" ht="15" customHeight="1" x14ac:dyDescent="0.2">
      <c r="A2343" s="62">
        <v>2.4854042582762728</v>
      </c>
      <c r="C2343" t="s">
        <v>274</v>
      </c>
      <c r="D2343" s="100">
        <v>1.6000000000000001E-4</v>
      </c>
      <c r="E2343" t="s">
        <v>379</v>
      </c>
      <c r="F2343">
        <v>1.8000000000000001E-4</v>
      </c>
      <c r="G2343">
        <v>0</v>
      </c>
      <c r="H2343">
        <v>0</v>
      </c>
      <c r="I2343" t="s">
        <v>463</v>
      </c>
      <c r="J2343" s="17">
        <f t="shared" si="149"/>
        <v>0</v>
      </c>
      <c r="K2343" t="s">
        <v>519</v>
      </c>
    </row>
    <row r="2344" spans="1:11" ht="15" customHeight="1" x14ac:dyDescent="0.2">
      <c r="C2344" t="s">
        <v>275</v>
      </c>
      <c r="D2344" s="100">
        <v>1.60467</v>
      </c>
      <c r="E2344" t="s">
        <v>377</v>
      </c>
      <c r="F2344">
        <v>1.82E-3</v>
      </c>
      <c r="G2344">
        <f>$A$6</f>
        <v>100</v>
      </c>
      <c r="H2344">
        <v>-1</v>
      </c>
      <c r="I2344" t="s">
        <v>461</v>
      </c>
      <c r="J2344" s="17">
        <f t="shared" si="149"/>
        <v>-340850321.29539108</v>
      </c>
      <c r="K2344" t="s">
        <v>519</v>
      </c>
    </row>
    <row r="2345" spans="1:11" ht="15" customHeight="1" x14ac:dyDescent="0.2">
      <c r="A2345" s="102">
        <v>0.15164239271497559</v>
      </c>
      <c r="C2345" t="s">
        <v>276</v>
      </c>
      <c r="D2345" s="100">
        <v>1.60467</v>
      </c>
      <c r="E2345" t="s">
        <v>377</v>
      </c>
      <c r="F2345">
        <v>1.82E-3</v>
      </c>
      <c r="G2345">
        <f>$A$6</f>
        <v>100</v>
      </c>
      <c r="H2345">
        <v>-1</v>
      </c>
      <c r="I2345" t="s">
        <v>461</v>
      </c>
      <c r="J2345" s="17">
        <f t="shared" si="149"/>
        <v>-340850321.29539108</v>
      </c>
      <c r="K2345" t="s">
        <v>519</v>
      </c>
    </row>
    <row r="2346" spans="1:11" ht="15" customHeight="1" x14ac:dyDescent="0.2">
      <c r="A2346" s="102">
        <v>7.672061595503564E-2</v>
      </c>
      <c r="C2346" t="s">
        <v>277</v>
      </c>
      <c r="D2346" s="100">
        <v>1.6000000000000001E-3</v>
      </c>
      <c r="E2346" t="s">
        <v>380</v>
      </c>
      <c r="F2346">
        <v>1.8000000000000001E-4</v>
      </c>
      <c r="G2346">
        <f>$A$6</f>
        <v>100</v>
      </c>
      <c r="H2346">
        <v>-1</v>
      </c>
      <c r="I2346" t="s">
        <v>464</v>
      </c>
      <c r="J2346" s="17">
        <f t="shared" si="149"/>
        <v>-358127.22707736964</v>
      </c>
      <c r="K2346" t="s">
        <v>519</v>
      </c>
    </row>
    <row r="2347" spans="1:11" ht="15" customHeight="1" x14ac:dyDescent="0.2">
      <c r="A2347" s="102">
        <v>1.3559290269947679</v>
      </c>
      <c r="C2347" t="s">
        <v>278</v>
      </c>
      <c r="D2347" s="100">
        <v>1.60467</v>
      </c>
      <c r="E2347" t="s">
        <v>381</v>
      </c>
      <c r="F2347">
        <v>1.82117</v>
      </c>
      <c r="G2347">
        <f>$A$6</f>
        <v>100</v>
      </c>
      <c r="H2347">
        <v>-1</v>
      </c>
      <c r="I2347" t="s">
        <v>465</v>
      </c>
      <c r="J2347" s="17">
        <f t="shared" ref="J2347:J2378" si="150">((SUM(B$2283:B$2284,B$2299,B$2314,B$2323:B$2324)*D2347)+(SUM(B$2285,B$2325)*F2347))*G2347*H2347</f>
        <v>-527383466.68109912</v>
      </c>
      <c r="K2347" t="s">
        <v>519</v>
      </c>
    </row>
    <row r="2348" spans="1:11" ht="15" customHeight="1" x14ac:dyDescent="0.2">
      <c r="A2348" s="102">
        <v>212.99773422762138</v>
      </c>
      <c r="C2348" t="s">
        <v>330</v>
      </c>
      <c r="D2348" s="100">
        <v>1.6000000000000001E-4</v>
      </c>
      <c r="E2348" t="s">
        <v>382</v>
      </c>
      <c r="F2348">
        <v>1.8000000000000001E-4</v>
      </c>
      <c r="G2348">
        <f>$A$7</f>
        <v>10</v>
      </c>
      <c r="H2348">
        <v>-1</v>
      </c>
      <c r="I2348" t="s">
        <v>466</v>
      </c>
      <c r="J2348" s="17">
        <f t="shared" si="150"/>
        <v>-5242.2154401740154</v>
      </c>
      <c r="K2348" t="s">
        <v>519</v>
      </c>
    </row>
    <row r="2349" spans="1:11" ht="15" customHeight="1" x14ac:dyDescent="0.2">
      <c r="A2349" s="102">
        <v>0.13321337639333081</v>
      </c>
      <c r="C2349" t="s">
        <v>279</v>
      </c>
      <c r="D2349" s="100">
        <v>1.6000000000000001E-4</v>
      </c>
      <c r="E2349" t="s">
        <v>382</v>
      </c>
      <c r="F2349">
        <v>1.8000000000000001E-4</v>
      </c>
      <c r="G2349">
        <f>$A$7</f>
        <v>10</v>
      </c>
      <c r="H2349">
        <v>-1</v>
      </c>
      <c r="I2349" t="s">
        <v>466</v>
      </c>
      <c r="J2349" s="17">
        <f t="shared" si="150"/>
        <v>-5242.2154401740154</v>
      </c>
      <c r="K2349" t="s">
        <v>519</v>
      </c>
    </row>
    <row r="2350" spans="1:11" ht="15" customHeight="1" x14ac:dyDescent="0.2">
      <c r="A2350" s="102">
        <v>214.71523963967948</v>
      </c>
      <c r="C2350" t="s">
        <v>280</v>
      </c>
      <c r="D2350" s="100">
        <v>1.6000000000000001E-4</v>
      </c>
      <c r="E2350" t="s">
        <v>382</v>
      </c>
      <c r="F2350">
        <v>1.8000000000000001E-4</v>
      </c>
      <c r="G2350">
        <v>0</v>
      </c>
      <c r="H2350">
        <v>0</v>
      </c>
      <c r="I2350" t="s">
        <v>466</v>
      </c>
      <c r="J2350" s="17">
        <f t="shared" si="150"/>
        <v>0</v>
      </c>
      <c r="K2350" t="s">
        <v>519</v>
      </c>
    </row>
    <row r="2351" spans="1:11" ht="15" customHeight="1" x14ac:dyDescent="0.2">
      <c r="C2351" t="s">
        <v>331</v>
      </c>
      <c r="D2351" s="100">
        <v>1.6049999999999998E-2</v>
      </c>
      <c r="E2351" t="s">
        <v>383</v>
      </c>
      <c r="F2351">
        <v>1.82E-3</v>
      </c>
      <c r="G2351">
        <v>0</v>
      </c>
      <c r="H2351">
        <v>0</v>
      </c>
      <c r="I2351" t="s">
        <v>467</v>
      </c>
      <c r="J2351" s="17">
        <f t="shared" si="150"/>
        <v>0</v>
      </c>
      <c r="K2351" t="s">
        <v>519</v>
      </c>
    </row>
    <row r="2352" spans="1:11" ht="15" customHeight="1" x14ac:dyDescent="0.2">
      <c r="A2352" s="62">
        <v>28.368420882341969</v>
      </c>
      <c r="C2352" t="s">
        <v>281</v>
      </c>
      <c r="D2352" s="100">
        <v>1.6000000000000001E-4</v>
      </c>
      <c r="E2352" t="s">
        <v>384</v>
      </c>
      <c r="F2352">
        <v>1.8000000000000001E-4</v>
      </c>
      <c r="G2352">
        <f>$A$7</f>
        <v>10</v>
      </c>
      <c r="H2352">
        <v>-1</v>
      </c>
      <c r="I2352" t="s">
        <v>468</v>
      </c>
      <c r="J2352" s="17">
        <f t="shared" si="150"/>
        <v>-5242.2154401740154</v>
      </c>
      <c r="K2352" t="s">
        <v>519</v>
      </c>
    </row>
    <row r="2353" spans="1:11" ht="15" customHeight="1" x14ac:dyDescent="0.2">
      <c r="A2353" s="62">
        <v>1.5293219101462754</v>
      </c>
      <c r="C2353" t="s">
        <v>282</v>
      </c>
      <c r="D2353" s="100">
        <v>0.16047</v>
      </c>
      <c r="E2353" t="s">
        <v>385</v>
      </c>
      <c r="F2353">
        <v>1.821E-2</v>
      </c>
      <c r="G2353">
        <v>0</v>
      </c>
      <c r="H2353">
        <v>0</v>
      </c>
      <c r="I2353" t="s">
        <v>469</v>
      </c>
      <c r="J2353" s="17">
        <f t="shared" si="150"/>
        <v>0</v>
      </c>
      <c r="K2353" t="s">
        <v>519</v>
      </c>
    </row>
    <row r="2354" spans="1:11" ht="15" customHeight="1" x14ac:dyDescent="0.2">
      <c r="A2354" s="62">
        <v>102.10542667066476</v>
      </c>
      <c r="C2354" t="s">
        <v>332</v>
      </c>
      <c r="D2354" s="100">
        <v>0.16047</v>
      </c>
      <c r="E2354" t="s">
        <v>386</v>
      </c>
      <c r="F2354">
        <v>1.8000000000000001E-4</v>
      </c>
      <c r="G2354">
        <v>0</v>
      </c>
      <c r="H2354">
        <v>0</v>
      </c>
      <c r="I2354" t="s">
        <v>470</v>
      </c>
      <c r="J2354" s="17">
        <f t="shared" si="150"/>
        <v>0</v>
      </c>
      <c r="K2354" t="s">
        <v>519</v>
      </c>
    </row>
    <row r="2355" spans="1:11" ht="15" customHeight="1" x14ac:dyDescent="0.2">
      <c r="A2355" s="62">
        <v>132.003169463153</v>
      </c>
      <c r="C2355" t="s">
        <v>283</v>
      </c>
      <c r="D2355" s="100">
        <v>1.6000000000000001E-3</v>
      </c>
      <c r="E2355" t="s">
        <v>387</v>
      </c>
      <c r="F2355">
        <v>0.18212</v>
      </c>
      <c r="G2355">
        <f>$A$7</f>
        <v>10</v>
      </c>
      <c r="H2355">
        <v>-1</v>
      </c>
      <c r="I2355" t="s">
        <v>471</v>
      </c>
      <c r="J2355" s="17">
        <f t="shared" si="150"/>
        <v>-1901195.4402428854</v>
      </c>
      <c r="K2355" t="s">
        <v>519</v>
      </c>
    </row>
    <row r="2356" spans="1:11" ht="15" customHeight="1" x14ac:dyDescent="0.2">
      <c r="C2356" t="s">
        <v>284</v>
      </c>
      <c r="D2356" s="100">
        <v>1.6000000000000001E-4</v>
      </c>
      <c r="E2356" t="s">
        <v>388</v>
      </c>
      <c r="F2356">
        <v>1.8000000000000001E-4</v>
      </c>
      <c r="G2356">
        <f>$A$7</f>
        <v>10</v>
      </c>
      <c r="H2356">
        <v>-1</v>
      </c>
      <c r="I2356" t="s">
        <v>472</v>
      </c>
      <c r="J2356" s="17">
        <f t="shared" si="150"/>
        <v>-5242.2154401740154</v>
      </c>
      <c r="K2356" t="s">
        <v>519</v>
      </c>
    </row>
    <row r="2357" spans="1:11" ht="15" customHeight="1" x14ac:dyDescent="0.2">
      <c r="C2357" t="s">
        <v>285</v>
      </c>
      <c r="D2357" s="100">
        <v>1.6000000000000001E-3</v>
      </c>
      <c r="E2357" t="s">
        <v>389</v>
      </c>
      <c r="F2357">
        <v>1.821E-2</v>
      </c>
      <c r="G2357">
        <f>$A$7</f>
        <v>10</v>
      </c>
      <c r="H2357">
        <v>-1</v>
      </c>
      <c r="I2357" t="s">
        <v>473</v>
      </c>
      <c r="J2357" s="17">
        <f t="shared" si="150"/>
        <v>-220669.54582062433</v>
      </c>
      <c r="K2357" t="s">
        <v>519</v>
      </c>
    </row>
    <row r="2358" spans="1:11" ht="15" customHeight="1" x14ac:dyDescent="0.2">
      <c r="C2358" t="s">
        <v>286</v>
      </c>
      <c r="D2358" s="100">
        <v>1.6049999999999998E-2</v>
      </c>
      <c r="E2358" t="s">
        <v>390</v>
      </c>
      <c r="F2358">
        <v>1.82E-3</v>
      </c>
      <c r="G2358">
        <f>$A$6</f>
        <v>100</v>
      </c>
      <c r="H2358">
        <v>-1</v>
      </c>
      <c r="I2358" t="s">
        <v>474</v>
      </c>
      <c r="J2358" s="17">
        <f t="shared" si="150"/>
        <v>-3593937.5773643167</v>
      </c>
      <c r="K2358" t="s">
        <v>519</v>
      </c>
    </row>
    <row r="2359" spans="1:11" ht="15" customHeight="1" x14ac:dyDescent="0.2">
      <c r="C2359" t="s">
        <v>287</v>
      </c>
      <c r="D2359" s="100">
        <v>1.6000000000000001E-3</v>
      </c>
      <c r="E2359" t="s">
        <v>391</v>
      </c>
      <c r="F2359">
        <v>1.82E-3</v>
      </c>
      <c r="G2359">
        <f>$A$6</f>
        <v>100</v>
      </c>
      <c r="H2359">
        <v>-1</v>
      </c>
      <c r="I2359" t="s">
        <v>475</v>
      </c>
      <c r="J2359" s="17">
        <f t="shared" si="150"/>
        <v>-526272.09114011808</v>
      </c>
      <c r="K2359" t="s">
        <v>519</v>
      </c>
    </row>
    <row r="2360" spans="1:11" ht="15" customHeight="1" x14ac:dyDescent="0.2">
      <c r="C2360" t="s">
        <v>288</v>
      </c>
      <c r="D2360" s="100">
        <v>1.6000000000000001E-3</v>
      </c>
      <c r="E2360" t="s">
        <v>392</v>
      </c>
      <c r="F2360">
        <v>1.82E-3</v>
      </c>
      <c r="G2360">
        <f>$A$6</f>
        <v>100</v>
      </c>
      <c r="H2360">
        <v>-1</v>
      </c>
      <c r="I2360" t="s">
        <v>476</v>
      </c>
      <c r="J2360" s="17">
        <f t="shared" si="150"/>
        <v>-526272.09114011808</v>
      </c>
      <c r="K2360" t="s">
        <v>519</v>
      </c>
    </row>
    <row r="2361" spans="1:11" ht="15" customHeight="1" x14ac:dyDescent="0.2">
      <c r="C2361" t="s">
        <v>333</v>
      </c>
      <c r="D2361" s="100">
        <v>1.6000000000000001E-3</v>
      </c>
      <c r="E2361" t="s">
        <v>340</v>
      </c>
      <c r="F2361">
        <v>1.82E-3</v>
      </c>
      <c r="G2361">
        <f>$A$7</f>
        <v>10</v>
      </c>
      <c r="H2361">
        <v>-1</v>
      </c>
      <c r="I2361" t="s">
        <v>424</v>
      </c>
      <c r="J2361" s="17">
        <f t="shared" si="150"/>
        <v>-52627.209114011799</v>
      </c>
      <c r="K2361" t="s">
        <v>519</v>
      </c>
    </row>
    <row r="2362" spans="1:11" ht="15" customHeight="1" x14ac:dyDescent="0.2">
      <c r="C2362" t="s">
        <v>334</v>
      </c>
      <c r="D2362" s="100">
        <v>1.6049999999999998E-2</v>
      </c>
      <c r="E2362" t="s">
        <v>393</v>
      </c>
      <c r="F2362">
        <v>1.821E-2</v>
      </c>
      <c r="G2362">
        <v>0</v>
      </c>
      <c r="H2362">
        <v>0</v>
      </c>
      <c r="I2362" t="s">
        <v>477</v>
      </c>
      <c r="J2362" s="17">
        <f t="shared" si="150"/>
        <v>0</v>
      </c>
      <c r="K2362" t="s">
        <v>519</v>
      </c>
    </row>
    <row r="2363" spans="1:11" ht="15" customHeight="1" x14ac:dyDescent="0.2">
      <c r="C2363" t="s">
        <v>335</v>
      </c>
      <c r="D2363" s="100">
        <v>1.6000000000000001E-3</v>
      </c>
      <c r="E2363" t="s">
        <v>394</v>
      </c>
      <c r="F2363">
        <v>1.821E-2</v>
      </c>
      <c r="G2363">
        <f>$A$7</f>
        <v>10</v>
      </c>
      <c r="H2363">
        <v>-1</v>
      </c>
      <c r="I2363" t="s">
        <v>478</v>
      </c>
      <c r="J2363" s="17">
        <f t="shared" si="150"/>
        <v>-220669.54582062433</v>
      </c>
      <c r="K2363" t="s">
        <v>519</v>
      </c>
    </row>
    <row r="2364" spans="1:11" ht="15" customHeight="1" x14ac:dyDescent="0.2">
      <c r="C2364" t="s">
        <v>289</v>
      </c>
      <c r="D2364" s="100">
        <v>1.6000000000000001E-3</v>
      </c>
      <c r="E2364" t="s">
        <v>395</v>
      </c>
      <c r="F2364">
        <v>1.82E-3</v>
      </c>
      <c r="G2364">
        <f>$A$7</f>
        <v>10</v>
      </c>
      <c r="H2364">
        <v>-1</v>
      </c>
      <c r="I2364" t="s">
        <v>479</v>
      </c>
      <c r="J2364" s="17">
        <f t="shared" si="150"/>
        <v>-52627.209114011799</v>
      </c>
      <c r="K2364" t="s">
        <v>519</v>
      </c>
    </row>
    <row r="2365" spans="1:11" ht="15" customHeight="1" x14ac:dyDescent="0.2">
      <c r="C2365" t="s">
        <v>290</v>
      </c>
      <c r="D2365" s="100">
        <v>1.6000000000000001E-4</v>
      </c>
      <c r="E2365" t="s">
        <v>396</v>
      </c>
      <c r="F2365">
        <v>1.8000000000000001E-4</v>
      </c>
      <c r="G2365">
        <f>$A$7</f>
        <v>10</v>
      </c>
      <c r="H2365">
        <v>-1</v>
      </c>
      <c r="I2365" t="s">
        <v>480</v>
      </c>
      <c r="J2365" s="17">
        <f t="shared" si="150"/>
        <v>-5242.2154401740154</v>
      </c>
      <c r="K2365" t="s">
        <v>519</v>
      </c>
    </row>
    <row r="2366" spans="1:11" ht="15" customHeight="1" x14ac:dyDescent="0.2">
      <c r="C2366" t="s">
        <v>291</v>
      </c>
      <c r="D2366" s="100">
        <v>1.6000000000000001E-4</v>
      </c>
      <c r="E2366" t="s">
        <v>397</v>
      </c>
      <c r="F2366">
        <v>1.8000000000000001E-4</v>
      </c>
      <c r="G2366">
        <f>$A$8</f>
        <v>1</v>
      </c>
      <c r="H2366">
        <v>-1</v>
      </c>
      <c r="I2366" t="s">
        <v>481</v>
      </c>
      <c r="J2366" s="17">
        <f t="shared" si="150"/>
        <v>-524.22154401740158</v>
      </c>
      <c r="K2366" t="s">
        <v>519</v>
      </c>
    </row>
    <row r="2367" spans="1:11" ht="15" customHeight="1" x14ac:dyDescent="0.2">
      <c r="C2367" t="s">
        <v>292</v>
      </c>
      <c r="D2367" s="100">
        <v>0.16047</v>
      </c>
      <c r="E2367" t="s">
        <v>360</v>
      </c>
      <c r="F2367">
        <v>1.82117</v>
      </c>
      <c r="G2367">
        <f>$A$6</f>
        <v>100</v>
      </c>
      <c r="H2367">
        <v>-1</v>
      </c>
      <c r="I2367" t="s">
        <v>444</v>
      </c>
      <c r="J2367" s="17">
        <f t="shared" si="150"/>
        <v>-220786754.21016571</v>
      </c>
      <c r="K2367" t="s">
        <v>519</v>
      </c>
    </row>
    <row r="2368" spans="1:11" ht="15" customHeight="1" x14ac:dyDescent="0.2">
      <c r="C2368" t="s">
        <v>293</v>
      </c>
      <c r="D2368" s="100">
        <v>1.60467</v>
      </c>
      <c r="E2368" t="s">
        <v>398</v>
      </c>
      <c r="F2368">
        <v>0.18212</v>
      </c>
      <c r="G2368">
        <f>$A$7</f>
        <v>10</v>
      </c>
      <c r="H2368">
        <v>-1</v>
      </c>
      <c r="I2368" t="s">
        <v>482</v>
      </c>
      <c r="J2368" s="17">
        <f t="shared" si="150"/>
        <v>-35933600.360667981</v>
      </c>
      <c r="K2368" t="s">
        <v>519</v>
      </c>
    </row>
    <row r="2369" spans="1:11" ht="15" customHeight="1" x14ac:dyDescent="0.2">
      <c r="C2369" t="s">
        <v>294</v>
      </c>
      <c r="D2369" s="100">
        <v>1.6000000000000001E-4</v>
      </c>
      <c r="E2369" t="s">
        <v>399</v>
      </c>
      <c r="F2369">
        <v>1.8000000000000001E-4</v>
      </c>
      <c r="G2369">
        <f>$A$8</f>
        <v>1</v>
      </c>
      <c r="H2369">
        <v>-1</v>
      </c>
      <c r="I2369" t="s">
        <v>483</v>
      </c>
      <c r="J2369" s="17">
        <f t="shared" si="150"/>
        <v>-524.22154401740158</v>
      </c>
      <c r="K2369" t="s">
        <v>519</v>
      </c>
    </row>
    <row r="2370" spans="1:11" ht="15" customHeight="1" x14ac:dyDescent="0.2">
      <c r="C2370" t="s">
        <v>336</v>
      </c>
      <c r="D2370" s="100">
        <v>1.6000000000000001E-3</v>
      </c>
      <c r="E2370" t="s">
        <v>400</v>
      </c>
      <c r="F2370">
        <v>1.8000000000000001E-4</v>
      </c>
      <c r="G2370">
        <f>$A$6</f>
        <v>100</v>
      </c>
      <c r="H2370">
        <v>-1</v>
      </c>
      <c r="I2370" t="s">
        <v>484</v>
      </c>
      <c r="J2370" s="17">
        <f t="shared" si="150"/>
        <v>-358127.22707736964</v>
      </c>
      <c r="K2370" t="s">
        <v>519</v>
      </c>
    </row>
    <row r="2371" spans="1:11" ht="15" customHeight="1" x14ac:dyDescent="0.2">
      <c r="C2371" t="s">
        <v>295</v>
      </c>
      <c r="D2371" s="100">
        <v>1.6000000000000001E-4</v>
      </c>
      <c r="E2371" t="s">
        <v>401</v>
      </c>
      <c r="F2371">
        <v>1.8000000000000001E-4</v>
      </c>
      <c r="G2371">
        <f>$A$6</f>
        <v>100</v>
      </c>
      <c r="H2371">
        <v>-1</v>
      </c>
      <c r="I2371" t="s">
        <v>485</v>
      </c>
      <c r="J2371" s="17">
        <f t="shared" si="150"/>
        <v>-52422.154401740161</v>
      </c>
      <c r="K2371" t="s">
        <v>519</v>
      </c>
    </row>
    <row r="2372" spans="1:11" ht="15" customHeight="1" x14ac:dyDescent="0.2">
      <c r="C2372" t="s">
        <v>296</v>
      </c>
      <c r="D2372" s="100">
        <v>1.60467</v>
      </c>
      <c r="E2372" t="s">
        <v>402</v>
      </c>
      <c r="F2372">
        <v>1.82E-3</v>
      </c>
      <c r="G2372">
        <f>$A$7</f>
        <v>10</v>
      </c>
      <c r="H2372">
        <v>-1</v>
      </c>
      <c r="I2372" t="s">
        <v>486</v>
      </c>
      <c r="J2372" s="17">
        <f t="shared" si="150"/>
        <v>-34085032.12953911</v>
      </c>
      <c r="K2372" t="s">
        <v>519</v>
      </c>
    </row>
    <row r="2373" spans="1:11" ht="15" customHeight="1" x14ac:dyDescent="0.2">
      <c r="C2373" t="s">
        <v>297</v>
      </c>
      <c r="D2373" s="100">
        <v>1.6000000000000001E-4</v>
      </c>
      <c r="E2373" t="s">
        <v>403</v>
      </c>
      <c r="F2373">
        <v>1.8000000000000001E-4</v>
      </c>
      <c r="G2373">
        <f>$A$7</f>
        <v>10</v>
      </c>
      <c r="H2373">
        <v>-1</v>
      </c>
      <c r="I2373" t="s">
        <v>487</v>
      </c>
      <c r="J2373" s="17">
        <f t="shared" si="150"/>
        <v>-5242.2154401740154</v>
      </c>
      <c r="K2373" t="s">
        <v>519</v>
      </c>
    </row>
    <row r="2374" spans="1:11" ht="15" customHeight="1" x14ac:dyDescent="0.2">
      <c r="C2374" t="s">
        <v>298</v>
      </c>
      <c r="D2374" s="100">
        <v>0.16047</v>
      </c>
      <c r="E2374" t="s">
        <v>394</v>
      </c>
      <c r="F2374">
        <v>1.82E-3</v>
      </c>
      <c r="G2374">
        <f>$A$7</f>
        <v>10</v>
      </c>
      <c r="H2374">
        <v>-1</v>
      </c>
      <c r="I2374" t="s">
        <v>478</v>
      </c>
      <c r="J2374" s="17">
        <f t="shared" si="150"/>
        <v>-3425360.8824457652</v>
      </c>
      <c r="K2374" t="s">
        <v>519</v>
      </c>
    </row>
    <row r="2375" spans="1:11" ht="15" customHeight="1" x14ac:dyDescent="0.2">
      <c r="A2375" s="13"/>
      <c r="B2375" s="13"/>
      <c r="C2375" t="s">
        <v>299</v>
      </c>
      <c r="D2375" s="100">
        <v>1.6000000000000001E-4</v>
      </c>
      <c r="E2375" t="s">
        <v>404</v>
      </c>
      <c r="F2375">
        <v>1.8000000000000001E-4</v>
      </c>
      <c r="G2375">
        <f>$A$7</f>
        <v>10</v>
      </c>
      <c r="H2375">
        <v>-1</v>
      </c>
      <c r="I2375" t="s">
        <v>488</v>
      </c>
      <c r="J2375" s="17">
        <f t="shared" si="150"/>
        <v>-5242.2154401740154</v>
      </c>
      <c r="K2375" t="s">
        <v>519</v>
      </c>
    </row>
    <row r="2376" spans="1:11" ht="15" customHeight="1" x14ac:dyDescent="0.2">
      <c r="A2376" s="9"/>
      <c r="B2376" s="13"/>
      <c r="C2376" t="s">
        <v>300</v>
      </c>
      <c r="D2376" s="100">
        <v>0.16047</v>
      </c>
      <c r="E2376" t="s">
        <v>405</v>
      </c>
      <c r="F2376">
        <v>1.82E-3</v>
      </c>
      <c r="G2376">
        <f>$A$7</f>
        <v>10</v>
      </c>
      <c r="H2376">
        <v>-1</v>
      </c>
      <c r="I2376" t="s">
        <v>489</v>
      </c>
      <c r="J2376" s="17">
        <f t="shared" si="150"/>
        <v>-3425360.8824457652</v>
      </c>
      <c r="K2376" t="s">
        <v>519</v>
      </c>
    </row>
    <row r="2377" spans="1:11" ht="15" customHeight="1" x14ac:dyDescent="0.2">
      <c r="A2377" s="39"/>
      <c r="B2377" s="13"/>
      <c r="C2377" t="s">
        <v>301</v>
      </c>
      <c r="D2377" s="100">
        <v>1.6000000000000001E-3</v>
      </c>
      <c r="E2377" t="s">
        <v>406</v>
      </c>
      <c r="F2377">
        <v>1.82E-3</v>
      </c>
      <c r="G2377">
        <f>$A$6</f>
        <v>100</v>
      </c>
      <c r="H2377">
        <v>-1</v>
      </c>
      <c r="I2377" t="s">
        <v>490</v>
      </c>
      <c r="J2377" s="17">
        <f t="shared" si="150"/>
        <v>-526272.09114011808</v>
      </c>
      <c r="K2377" t="s">
        <v>519</v>
      </c>
    </row>
    <row r="2378" spans="1:11" ht="15" customHeight="1" x14ac:dyDescent="0.2">
      <c r="A2378" s="39"/>
      <c r="B2378" s="13"/>
      <c r="C2378" t="s">
        <v>302</v>
      </c>
      <c r="D2378" s="100">
        <v>1.6000000000000001E-3</v>
      </c>
      <c r="E2378" t="s">
        <v>407</v>
      </c>
      <c r="F2378">
        <v>1.8000000000000001E-4</v>
      </c>
      <c r="G2378">
        <f>$A$6</f>
        <v>100</v>
      </c>
      <c r="H2378">
        <v>-1</v>
      </c>
      <c r="I2378" t="s">
        <v>491</v>
      </c>
      <c r="J2378" s="17">
        <f t="shared" si="150"/>
        <v>-358127.22707736964</v>
      </c>
      <c r="K2378" t="s">
        <v>519</v>
      </c>
    </row>
    <row r="2379" spans="1:11" ht="15" customHeight="1" x14ac:dyDescent="0.2">
      <c r="C2379" t="s">
        <v>303</v>
      </c>
      <c r="D2379" s="100">
        <v>1.6000000000000001E-3</v>
      </c>
      <c r="E2379" t="s">
        <v>408</v>
      </c>
      <c r="F2379">
        <v>1.82E-3</v>
      </c>
      <c r="G2379">
        <f>$A$7</f>
        <v>10</v>
      </c>
      <c r="H2379">
        <v>-1</v>
      </c>
      <c r="I2379" t="s">
        <v>492</v>
      </c>
      <c r="J2379" s="17">
        <f t="shared" ref="J2379:J2388" si="151">((SUM(B$2283:B$2284,B$2299,B$2314,B$2323:B$2324)*D2379)+(SUM(B$2285,B$2325)*F2379))*G2379*H2379</f>
        <v>-52627.209114011799</v>
      </c>
      <c r="K2379" t="s">
        <v>519</v>
      </c>
    </row>
    <row r="2380" spans="1:11" ht="15" customHeight="1" x14ac:dyDescent="0.2">
      <c r="C2380" t="s">
        <v>304</v>
      </c>
      <c r="D2380" s="100">
        <v>1.60467</v>
      </c>
      <c r="E2380" t="s">
        <v>409</v>
      </c>
      <c r="F2380">
        <v>1.82E-3</v>
      </c>
      <c r="G2380">
        <f>$A$6</f>
        <v>100</v>
      </c>
      <c r="H2380">
        <v>-1</v>
      </c>
      <c r="I2380" t="s">
        <v>493</v>
      </c>
      <c r="J2380" s="17">
        <f t="shared" si="151"/>
        <v>-340850321.29539108</v>
      </c>
      <c r="K2380" t="s">
        <v>519</v>
      </c>
    </row>
    <row r="2381" spans="1:11" ht="15" customHeight="1" x14ac:dyDescent="0.2">
      <c r="C2381" t="s">
        <v>305</v>
      </c>
      <c r="D2381" s="100">
        <v>1.6000000000000001E-3</v>
      </c>
      <c r="E2381" t="s">
        <v>410</v>
      </c>
      <c r="F2381">
        <v>1.8000000000000001E-4</v>
      </c>
      <c r="G2381">
        <f>$A$7</f>
        <v>10</v>
      </c>
      <c r="H2381">
        <v>-1</v>
      </c>
      <c r="I2381" t="s">
        <v>494</v>
      </c>
      <c r="J2381" s="17">
        <f t="shared" si="151"/>
        <v>-35812.722707736968</v>
      </c>
      <c r="K2381" t="s">
        <v>519</v>
      </c>
    </row>
    <row r="2382" spans="1:11" ht="15" customHeight="1" x14ac:dyDescent="0.2">
      <c r="C2382" t="s">
        <v>306</v>
      </c>
      <c r="D2382" s="100">
        <v>1.6049999999999998E-2</v>
      </c>
      <c r="E2382" t="s">
        <v>411</v>
      </c>
      <c r="F2382">
        <v>1.821E-2</v>
      </c>
      <c r="G2382">
        <f>$A$8</f>
        <v>1</v>
      </c>
      <c r="H2382">
        <v>-1</v>
      </c>
      <c r="I2382" t="s">
        <v>495</v>
      </c>
      <c r="J2382" s="17">
        <f t="shared" si="151"/>
        <v>-52743.609444304413</v>
      </c>
      <c r="K2382" t="s">
        <v>519</v>
      </c>
    </row>
    <row r="2383" spans="1:11" ht="15" customHeight="1" x14ac:dyDescent="0.2">
      <c r="C2383" t="s">
        <v>307</v>
      </c>
      <c r="D2383" s="100">
        <v>1.6049999999999998E-2</v>
      </c>
      <c r="E2383" t="s">
        <v>411</v>
      </c>
      <c r="F2383">
        <v>1.821E-2</v>
      </c>
      <c r="G2383">
        <f>$A$8</f>
        <v>1</v>
      </c>
      <c r="H2383">
        <v>-1</v>
      </c>
      <c r="I2383" t="s">
        <v>495</v>
      </c>
      <c r="J2383" s="17">
        <f t="shared" si="151"/>
        <v>-52743.609444304413</v>
      </c>
      <c r="K2383" t="s">
        <v>519</v>
      </c>
    </row>
    <row r="2384" spans="1:11" ht="15" customHeight="1" x14ac:dyDescent="0.2">
      <c r="C2384" t="s">
        <v>337</v>
      </c>
      <c r="D2384" s="100">
        <v>1.6049999999999998E-2</v>
      </c>
      <c r="E2384" t="s">
        <v>412</v>
      </c>
      <c r="F2384">
        <v>0.18212</v>
      </c>
      <c r="G2384">
        <v>0</v>
      </c>
      <c r="H2384">
        <v>0</v>
      </c>
      <c r="I2384" t="s">
        <v>496</v>
      </c>
      <c r="J2384" s="17">
        <f t="shared" si="151"/>
        <v>0</v>
      </c>
      <c r="K2384" t="s">
        <v>519</v>
      </c>
    </row>
    <row r="2385" spans="1:14" ht="15" customHeight="1" x14ac:dyDescent="0.2">
      <c r="C2385" t="s">
        <v>308</v>
      </c>
      <c r="D2385" s="100">
        <v>1.6000000000000001E-3</v>
      </c>
      <c r="E2385" t="s">
        <v>413</v>
      </c>
      <c r="F2385">
        <v>1.82E-3</v>
      </c>
      <c r="G2385">
        <f>$A$7</f>
        <v>10</v>
      </c>
      <c r="H2385">
        <v>-1</v>
      </c>
      <c r="I2385" t="s">
        <v>497</v>
      </c>
      <c r="J2385" s="17">
        <f t="shared" si="151"/>
        <v>-52627.209114011799</v>
      </c>
      <c r="K2385" t="s">
        <v>519</v>
      </c>
    </row>
    <row r="2386" spans="1:14" ht="15" customHeight="1" x14ac:dyDescent="0.2">
      <c r="C2386" t="s">
        <v>309</v>
      </c>
      <c r="D2386" s="100">
        <v>1.6000000000000001E-3</v>
      </c>
      <c r="E2386" t="s">
        <v>413</v>
      </c>
      <c r="F2386">
        <v>1.82E-3</v>
      </c>
      <c r="G2386">
        <f>$A$7</f>
        <v>10</v>
      </c>
      <c r="H2386">
        <v>-1</v>
      </c>
      <c r="I2386" t="s">
        <v>497</v>
      </c>
      <c r="J2386" s="17">
        <f t="shared" si="151"/>
        <v>-52627.209114011799</v>
      </c>
      <c r="K2386" t="s">
        <v>519</v>
      </c>
    </row>
    <row r="2387" spans="1:14" ht="15" customHeight="1" x14ac:dyDescent="0.2">
      <c r="C2387" t="s">
        <v>310</v>
      </c>
      <c r="D2387" s="100">
        <v>1.6000000000000001E-3</v>
      </c>
      <c r="E2387" t="s">
        <v>413</v>
      </c>
      <c r="F2387">
        <v>1.82E-3</v>
      </c>
      <c r="G2387">
        <v>0</v>
      </c>
      <c r="H2387">
        <v>0</v>
      </c>
      <c r="I2387" t="s">
        <v>497</v>
      </c>
      <c r="J2387" s="17">
        <f t="shared" si="151"/>
        <v>0</v>
      </c>
      <c r="K2387" t="s">
        <v>519</v>
      </c>
    </row>
    <row r="2388" spans="1:14" ht="15" customHeight="1" x14ac:dyDescent="0.2">
      <c r="C2388" t="s">
        <v>311</v>
      </c>
      <c r="D2388" s="100">
        <v>1.6000000000000001E-3</v>
      </c>
      <c r="E2388" t="s">
        <v>414</v>
      </c>
      <c r="F2388">
        <v>1.82E-3</v>
      </c>
      <c r="G2388">
        <f>$A$7</f>
        <v>10</v>
      </c>
      <c r="H2388">
        <v>-1</v>
      </c>
      <c r="I2388" t="s">
        <v>498</v>
      </c>
      <c r="J2388" s="17">
        <f t="shared" si="151"/>
        <v>-52627.209114011799</v>
      </c>
      <c r="K2388" t="s">
        <v>519</v>
      </c>
    </row>
    <row r="2389" spans="1:14" ht="15" customHeight="1" x14ac:dyDescent="0.2">
      <c r="A2389" s="13"/>
      <c r="B2389" s="13"/>
      <c r="C2389" s="15"/>
      <c r="D2389" s="15"/>
      <c r="E2389" s="15"/>
    </row>
    <row r="2390" spans="1:14" ht="15" customHeight="1" x14ac:dyDescent="0.2">
      <c r="A2390" s="39"/>
      <c r="B2390" s="13"/>
      <c r="C2390" s="60"/>
      <c r="D2390" s="60"/>
      <c r="E2390" s="60"/>
    </row>
    <row r="2391" spans="1:14" ht="15" customHeight="1" x14ac:dyDescent="0.2">
      <c r="A2391" s="39"/>
      <c r="B2391" s="13"/>
      <c r="C2391" s="59"/>
      <c r="D2391" s="59"/>
      <c r="E2391" s="59"/>
    </row>
    <row r="2392" spans="1:14" ht="15" customHeight="1" x14ac:dyDescent="0.2">
      <c r="A2392" s="478" t="s">
        <v>526</v>
      </c>
      <c r="B2392" s="478"/>
      <c r="C2392" s="478"/>
      <c r="D2392" s="478"/>
      <c r="E2392" s="478"/>
      <c r="F2392" s="478"/>
      <c r="G2392" s="478"/>
      <c r="H2392" s="478"/>
      <c r="I2392" s="478"/>
      <c r="J2392" s="478"/>
      <c r="K2392" s="478"/>
      <c r="L2392" s="478"/>
      <c r="M2392" s="478"/>
      <c r="N2392" s="478"/>
    </row>
    <row r="2393" spans="1:14" ht="15" customHeight="1" x14ac:dyDescent="0.2">
      <c r="A2393" s="479"/>
      <c r="B2393" s="479"/>
      <c r="C2393" s="479"/>
      <c r="D2393" s="479"/>
      <c r="E2393" s="479"/>
      <c r="F2393" s="479"/>
      <c r="G2393" s="479"/>
      <c r="H2393" s="479"/>
      <c r="I2393" s="479"/>
      <c r="J2393" s="479"/>
      <c r="K2393" s="479"/>
      <c r="L2393" s="479"/>
      <c r="M2393" s="479"/>
      <c r="N2393" s="479"/>
    </row>
    <row r="2394" spans="1:14" x14ac:dyDescent="0.2">
      <c r="A2394" s="474" t="s">
        <v>13</v>
      </c>
      <c r="B2394" s="475"/>
      <c r="C2394" s="364" t="s">
        <v>523</v>
      </c>
      <c r="D2394" s="364"/>
      <c r="E2394" s="364"/>
      <c r="F2394" s="79" t="s">
        <v>206</v>
      </c>
      <c r="G2394" s="79" t="s">
        <v>529</v>
      </c>
      <c r="H2394" s="328" t="s">
        <v>421</v>
      </c>
      <c r="I2394" s="329"/>
      <c r="J2394" s="330"/>
      <c r="K2394" s="381" t="s">
        <v>28</v>
      </c>
      <c r="L2394" s="381"/>
      <c r="M2394" s="376" t="s">
        <v>420</v>
      </c>
      <c r="N2394" s="376"/>
    </row>
    <row r="2395" spans="1:14" x14ac:dyDescent="0.2">
      <c r="A2395" s="476"/>
      <c r="B2395" s="477"/>
      <c r="C2395" s="61" t="s">
        <v>522</v>
      </c>
      <c r="D2395" s="61"/>
      <c r="E2395" s="61"/>
      <c r="F2395" s="87" t="s">
        <v>527</v>
      </c>
      <c r="G2395" t="s">
        <v>528</v>
      </c>
      <c r="H2395" s="331"/>
      <c r="I2395" s="332"/>
      <c r="J2395" s="333"/>
      <c r="K2395" s="381"/>
      <c r="L2395" s="381"/>
      <c r="M2395" s="376"/>
      <c r="N2395" s="376"/>
    </row>
    <row r="2396" spans="1:14" x14ac:dyDescent="0.2">
      <c r="A2396" s="358" t="s">
        <v>15</v>
      </c>
      <c r="B2396" s="358" t="s">
        <v>1029</v>
      </c>
      <c r="C2396" s="6" t="s">
        <v>317</v>
      </c>
      <c r="D2396" s="58" t="s">
        <v>319</v>
      </c>
      <c r="E2396" s="58" t="s">
        <v>5</v>
      </c>
      <c r="F2396" s="58" t="s">
        <v>319</v>
      </c>
      <c r="G2396" s="58" t="s">
        <v>319</v>
      </c>
      <c r="H2396" s="64" t="s">
        <v>0</v>
      </c>
      <c r="I2396" s="64" t="s">
        <v>499</v>
      </c>
      <c r="J2396" s="64" t="s">
        <v>5</v>
      </c>
      <c r="K2396" s="64" t="s">
        <v>0</v>
      </c>
      <c r="L2396" s="58" t="s">
        <v>5</v>
      </c>
      <c r="M2396" s="64" t="s">
        <v>0</v>
      </c>
      <c r="N2396" s="58" t="s">
        <v>5</v>
      </c>
    </row>
    <row r="2397" spans="1:14" x14ac:dyDescent="0.2">
      <c r="A2397" s="358"/>
      <c r="B2397" s="358"/>
      <c r="C2397" t="s">
        <v>225</v>
      </c>
      <c r="D2397" s="100">
        <v>1.6000000000000001E-4</v>
      </c>
      <c r="E2397" t="s">
        <v>338</v>
      </c>
      <c r="F2397" s="8">
        <v>7.2027900000000002E-5</v>
      </c>
      <c r="G2397">
        <v>5.3299999999999997E-3</v>
      </c>
      <c r="H2397">
        <f>$A$6</f>
        <v>100</v>
      </c>
      <c r="I2397">
        <v>-1</v>
      </c>
      <c r="J2397" t="s">
        <v>422</v>
      </c>
      <c r="K2397" s="17">
        <f t="shared" ref="K2397:K2428" si="152">((SUM(B$2399:B$2405,B$2418:B$2421,B$2434:B$2438,B$2451:B$2455,B$2467:B$2470)*D2397)+(SUM(B$2406,B$2422,B$2439,B$2456)*F2397)+(SUM(B$2417,B$2433,B$2450)*G2397))*H2397*I2397</f>
        <v>-378640.70276588359</v>
      </c>
      <c r="L2397" t="s">
        <v>519</v>
      </c>
      <c r="M2397" s="69">
        <f>SUM(K2397:K2502)</f>
        <v>-24739742463.67178</v>
      </c>
      <c r="N2397" t="s">
        <v>538</v>
      </c>
    </row>
    <row r="2398" spans="1:14" x14ac:dyDescent="0.2">
      <c r="A2398" s="358"/>
      <c r="B2398" s="358"/>
      <c r="C2398" t="s">
        <v>226</v>
      </c>
      <c r="D2398" s="100">
        <v>1.6000000000000001E-4</v>
      </c>
      <c r="E2398" t="s">
        <v>339</v>
      </c>
      <c r="F2398" s="8">
        <v>7.2027900000000002E-5</v>
      </c>
      <c r="G2398">
        <v>0.53305000000000002</v>
      </c>
      <c r="H2398">
        <f>$A$7</f>
        <v>10</v>
      </c>
      <c r="I2398">
        <v>-1</v>
      </c>
      <c r="J2398" t="s">
        <v>423</v>
      </c>
      <c r="K2398" s="17">
        <f t="shared" si="152"/>
        <v>-3624588.1404810078</v>
      </c>
      <c r="L2398" t="s">
        <v>519</v>
      </c>
    </row>
    <row r="2399" spans="1:14" ht="15" customHeight="1" x14ac:dyDescent="0.2">
      <c r="A2399" s="81" t="s">
        <v>128</v>
      </c>
      <c r="B2399" s="62">
        <f>A2477*Variables!F$12</f>
        <v>282403.28148850962</v>
      </c>
      <c r="C2399" t="s">
        <v>227</v>
      </c>
      <c r="D2399" s="100">
        <v>1.6000000000000001E-3</v>
      </c>
      <c r="E2399" t="s">
        <v>340</v>
      </c>
      <c r="F2399">
        <v>7.2000000000000005E-4</v>
      </c>
      <c r="G2399">
        <v>5.3304799999999997</v>
      </c>
      <c r="H2399">
        <f>$A$7</f>
        <v>10</v>
      </c>
      <c r="I2399">
        <v>-1</v>
      </c>
      <c r="J2399" t="s">
        <v>424</v>
      </c>
      <c r="K2399" s="17">
        <f t="shared" si="152"/>
        <v>-36245741.021038309</v>
      </c>
      <c r="L2399" t="s">
        <v>519</v>
      </c>
    </row>
    <row r="2400" spans="1:14" ht="15" customHeight="1" x14ac:dyDescent="0.2">
      <c r="A2400" s="81" t="s">
        <v>129</v>
      </c>
      <c r="B2400" s="62">
        <f>A2478*Variables!F$12</f>
        <v>1267.0735129947143</v>
      </c>
      <c r="C2400" t="s">
        <v>228</v>
      </c>
      <c r="D2400" s="100">
        <v>0.16047</v>
      </c>
      <c r="E2400" t="s">
        <v>341</v>
      </c>
      <c r="F2400">
        <v>7.2029999999999997E-2</v>
      </c>
      <c r="G2400">
        <v>5.3304799999999997</v>
      </c>
      <c r="H2400">
        <f>$A$7</f>
        <v>10</v>
      </c>
      <c r="I2400">
        <v>-1</v>
      </c>
      <c r="J2400" t="s">
        <v>425</v>
      </c>
      <c r="K2400" s="17">
        <f t="shared" si="152"/>
        <v>-37868802.297671109</v>
      </c>
      <c r="L2400" t="s">
        <v>519</v>
      </c>
    </row>
    <row r="2401" spans="1:12" ht="15" customHeight="1" x14ac:dyDescent="0.2">
      <c r="A2401" s="103" t="s">
        <v>130</v>
      </c>
      <c r="B2401" s="62">
        <f>A2479*Variables!F$12</f>
        <v>1309.1700807898224</v>
      </c>
      <c r="C2401" t="s">
        <v>229</v>
      </c>
      <c r="D2401" s="100">
        <v>1.6049999999999998E-2</v>
      </c>
      <c r="E2401" t="s">
        <v>342</v>
      </c>
      <c r="F2401">
        <v>7.1999999999999998E-3</v>
      </c>
      <c r="G2401">
        <v>5.33E-2</v>
      </c>
      <c r="H2401">
        <f>$A$6</f>
        <v>100</v>
      </c>
      <c r="I2401">
        <v>-1</v>
      </c>
      <c r="J2401" t="s">
        <v>426</v>
      </c>
      <c r="K2401" s="17">
        <f t="shared" si="152"/>
        <v>-5261659.9095901037</v>
      </c>
      <c r="L2401" t="s">
        <v>519</v>
      </c>
    </row>
    <row r="2402" spans="1:12" ht="15" customHeight="1" x14ac:dyDescent="0.2">
      <c r="A2402" s="103" t="s">
        <v>131</v>
      </c>
      <c r="B2402" s="62">
        <f>A2480*Variables!F$12</f>
        <v>1309.1700807898224</v>
      </c>
      <c r="C2402" t="s">
        <v>230</v>
      </c>
      <c r="D2402" s="100">
        <v>0.16047</v>
      </c>
      <c r="E2402" t="s">
        <v>343</v>
      </c>
      <c r="F2402">
        <v>7.2029999999999997E-2</v>
      </c>
      <c r="G2402">
        <v>53.3048</v>
      </c>
      <c r="H2402">
        <f>$A$6</f>
        <v>100</v>
      </c>
      <c r="I2402">
        <v>-1</v>
      </c>
      <c r="J2402" t="s">
        <v>427</v>
      </c>
      <c r="K2402" s="17">
        <f t="shared" si="152"/>
        <v>-3639330945.2781067</v>
      </c>
      <c r="L2402" t="s">
        <v>519</v>
      </c>
    </row>
    <row r="2403" spans="1:12" ht="15" customHeight="1" x14ac:dyDescent="0.2">
      <c r="A2403" s="103" t="s">
        <v>132</v>
      </c>
      <c r="B2403" s="62">
        <f>A2481*Variables!F$12</f>
        <v>1309.1700807898224</v>
      </c>
      <c r="C2403" t="s">
        <v>231</v>
      </c>
      <c r="D2403" s="100">
        <v>1.60467</v>
      </c>
      <c r="E2403" t="s">
        <v>344</v>
      </c>
      <c r="F2403">
        <v>0.72028000000000003</v>
      </c>
      <c r="G2403">
        <v>0.53305000000000002</v>
      </c>
      <c r="H2403">
        <f>$A$7</f>
        <v>10</v>
      </c>
      <c r="I2403">
        <v>-1</v>
      </c>
      <c r="J2403" t="s">
        <v>428</v>
      </c>
      <c r="K2403" s="17">
        <f t="shared" si="152"/>
        <v>-20016904.386103656</v>
      </c>
      <c r="L2403" t="s">
        <v>519</v>
      </c>
    </row>
    <row r="2404" spans="1:12" ht="15" customHeight="1" x14ac:dyDescent="0.2">
      <c r="A2404" s="103" t="s">
        <v>133</v>
      </c>
      <c r="B2404" s="62">
        <f>A2482*Variables!F$12</f>
        <v>1309.1700807898224</v>
      </c>
      <c r="C2404" t="s">
        <v>232</v>
      </c>
      <c r="D2404" s="100">
        <v>1.6000000000000001E-4</v>
      </c>
      <c r="E2404" t="s">
        <v>345</v>
      </c>
      <c r="F2404" s="8">
        <v>7.2027900000000002E-5</v>
      </c>
      <c r="G2404">
        <v>5.3299999999999997E-3</v>
      </c>
      <c r="H2404">
        <f>$A$7</f>
        <v>10</v>
      </c>
      <c r="I2404">
        <v>-1</v>
      </c>
      <c r="J2404" t="s">
        <v>429</v>
      </c>
      <c r="K2404" s="17">
        <f t="shared" si="152"/>
        <v>-37864.070276588362</v>
      </c>
      <c r="L2404" t="s">
        <v>519</v>
      </c>
    </row>
    <row r="2405" spans="1:12" ht="15" customHeight="1" x14ac:dyDescent="0.2">
      <c r="A2405" s="103" t="s">
        <v>108</v>
      </c>
      <c r="B2405" s="62">
        <f>A2483*Variables!F$12</f>
        <v>11193.246741296924</v>
      </c>
      <c r="C2405" t="s">
        <v>233</v>
      </c>
      <c r="D2405" s="100">
        <v>1.6000000000000001E-4</v>
      </c>
      <c r="E2405" t="s">
        <v>345</v>
      </c>
      <c r="F2405" s="8">
        <v>7.2027900000000002E-5</v>
      </c>
      <c r="G2405">
        <v>5.3299999999999997E-3</v>
      </c>
      <c r="H2405">
        <f>$A$7</f>
        <v>10</v>
      </c>
      <c r="I2405">
        <v>-1</v>
      </c>
      <c r="J2405" t="s">
        <v>429</v>
      </c>
      <c r="K2405" s="17">
        <f t="shared" si="152"/>
        <v>-37864.070276588362</v>
      </c>
      <c r="L2405" t="s">
        <v>519</v>
      </c>
    </row>
    <row r="2406" spans="1:12" ht="15" customHeight="1" x14ac:dyDescent="0.2">
      <c r="A2406" s="103" t="s">
        <v>137</v>
      </c>
      <c r="B2406" s="62">
        <f>A2484*Variables!F$12</f>
        <v>1423879.6527446446</v>
      </c>
      <c r="C2406" t="s">
        <v>320</v>
      </c>
      <c r="D2406" s="100">
        <v>0</v>
      </c>
      <c r="E2406" t="s">
        <v>344</v>
      </c>
      <c r="F2406">
        <v>0.72028000000000003</v>
      </c>
      <c r="G2406">
        <v>0</v>
      </c>
      <c r="H2406">
        <f>$A$6</f>
        <v>100</v>
      </c>
      <c r="I2406">
        <v>-1</v>
      </c>
      <c r="J2406" t="s">
        <v>428</v>
      </c>
      <c r="K2406" s="17">
        <f t="shared" si="152"/>
        <v>-114907273.26884139</v>
      </c>
      <c r="L2406" t="s">
        <v>519</v>
      </c>
    </row>
    <row r="2407" spans="1:12" ht="15" customHeight="1" x14ac:dyDescent="0.2">
      <c r="A2407" s="98" t="s">
        <v>9</v>
      </c>
      <c r="B2407" s="62">
        <f>A2485*Variables!F$12</f>
        <v>1723979.9348106051</v>
      </c>
      <c r="C2407" t="s">
        <v>321</v>
      </c>
      <c r="D2407" s="100">
        <v>0</v>
      </c>
      <c r="E2407" t="s">
        <v>344</v>
      </c>
      <c r="F2407">
        <v>0.72028000000000003</v>
      </c>
      <c r="G2407">
        <v>0</v>
      </c>
      <c r="H2407">
        <f>$A$6</f>
        <v>100</v>
      </c>
      <c r="I2407">
        <v>-1</v>
      </c>
      <c r="J2407" t="s">
        <v>428</v>
      </c>
      <c r="K2407" s="17">
        <f t="shared" si="152"/>
        <v>-114907273.26884139</v>
      </c>
      <c r="L2407" t="s">
        <v>519</v>
      </c>
    </row>
    <row r="2408" spans="1:12" x14ac:dyDescent="0.2">
      <c r="A2408" s="13"/>
      <c r="B2408" s="13"/>
      <c r="C2408" t="s">
        <v>234</v>
      </c>
      <c r="D2408" s="100">
        <v>0</v>
      </c>
      <c r="E2408" t="s">
        <v>344</v>
      </c>
      <c r="F2408">
        <v>0.72028000000000003</v>
      </c>
      <c r="G2408">
        <v>0</v>
      </c>
      <c r="H2408">
        <v>0</v>
      </c>
      <c r="I2408">
        <v>0</v>
      </c>
      <c r="J2408" t="s">
        <v>428</v>
      </c>
      <c r="K2408" s="17">
        <f t="shared" si="152"/>
        <v>0</v>
      </c>
      <c r="L2408" t="s">
        <v>519</v>
      </c>
    </row>
    <row r="2409" spans="1:12" x14ac:dyDescent="0.2">
      <c r="A2409" s="13"/>
      <c r="B2409" s="13"/>
      <c r="C2409" t="s">
        <v>235</v>
      </c>
      <c r="D2409" s="100">
        <v>0.16047</v>
      </c>
      <c r="E2409" t="s">
        <v>346</v>
      </c>
      <c r="F2409">
        <v>7.2029999999999997E-2</v>
      </c>
      <c r="G2409">
        <v>5.3304799999999997</v>
      </c>
      <c r="H2409">
        <f>$A$8</f>
        <v>1</v>
      </c>
      <c r="I2409">
        <v>1</v>
      </c>
      <c r="J2409" t="s">
        <v>430</v>
      </c>
      <c r="K2409" s="17">
        <f t="shared" si="152"/>
        <v>3786880.2297671111</v>
      </c>
      <c r="L2409" t="s">
        <v>519</v>
      </c>
    </row>
    <row r="2410" spans="1:12" x14ac:dyDescent="0.2">
      <c r="A2410" s="13"/>
      <c r="B2410" s="13"/>
      <c r="C2410" t="s">
        <v>236</v>
      </c>
      <c r="D2410" s="100">
        <v>1.6000000000000001E-4</v>
      </c>
      <c r="E2410" t="s">
        <v>347</v>
      </c>
      <c r="F2410" s="8">
        <v>7.2027900000000002E-5</v>
      </c>
      <c r="G2410">
        <v>5.3299999999999997E-3</v>
      </c>
      <c r="H2410">
        <f>$A$7</f>
        <v>10</v>
      </c>
      <c r="I2410">
        <v>-1</v>
      </c>
      <c r="J2410" t="s">
        <v>431</v>
      </c>
      <c r="K2410" s="17">
        <f t="shared" si="152"/>
        <v>-37864.070276588362</v>
      </c>
      <c r="L2410" t="s">
        <v>519</v>
      </c>
    </row>
    <row r="2411" spans="1:12" x14ac:dyDescent="0.2">
      <c r="A2411" s="13"/>
      <c r="B2411" s="13"/>
      <c r="C2411" t="s">
        <v>237</v>
      </c>
      <c r="D2411" s="100">
        <v>0.16047</v>
      </c>
      <c r="E2411" t="s">
        <v>348</v>
      </c>
      <c r="F2411">
        <v>7.2029999999999997E-2</v>
      </c>
      <c r="G2411">
        <v>5.3304799999999997</v>
      </c>
      <c r="H2411">
        <f>$A$6</f>
        <v>100</v>
      </c>
      <c r="I2411">
        <v>-1</v>
      </c>
      <c r="J2411" t="s">
        <v>432</v>
      </c>
      <c r="K2411" s="17">
        <f t="shared" si="152"/>
        <v>-378688022.97671109</v>
      </c>
      <c r="L2411" t="s">
        <v>519</v>
      </c>
    </row>
    <row r="2412" spans="1:12" x14ac:dyDescent="0.2">
      <c r="A2412" s="470" t="s">
        <v>78</v>
      </c>
      <c r="B2412" s="471"/>
      <c r="C2412" t="s">
        <v>238</v>
      </c>
      <c r="D2412" s="100">
        <v>0</v>
      </c>
      <c r="E2412" t="s">
        <v>349</v>
      </c>
      <c r="F2412">
        <v>0</v>
      </c>
      <c r="G2412">
        <v>5.3299999999999997E-3</v>
      </c>
      <c r="H2412">
        <f>$A$7</f>
        <v>10</v>
      </c>
      <c r="I2412">
        <v>-1</v>
      </c>
      <c r="J2412" t="s">
        <v>433</v>
      </c>
      <c r="K2412" s="17">
        <f t="shared" si="152"/>
        <v>-36226.103415048798</v>
      </c>
      <c r="L2412" t="s">
        <v>519</v>
      </c>
    </row>
    <row r="2413" spans="1:12" x14ac:dyDescent="0.2">
      <c r="A2413" s="472"/>
      <c r="B2413" s="473"/>
      <c r="C2413" t="s">
        <v>239</v>
      </c>
      <c r="D2413" s="100">
        <v>1.6000000000000001E-3</v>
      </c>
      <c r="E2413" t="s">
        <v>348</v>
      </c>
      <c r="F2413">
        <v>7.2000000000000005E-4</v>
      </c>
      <c r="G2413">
        <v>5.3304799999999997</v>
      </c>
      <c r="H2413">
        <f>$A$6</f>
        <v>100</v>
      </c>
      <c r="I2413">
        <v>-1</v>
      </c>
      <c r="J2413" t="s">
        <v>432</v>
      </c>
      <c r="K2413" s="17">
        <f t="shared" si="152"/>
        <v>-362457410.21038312</v>
      </c>
      <c r="L2413" t="s">
        <v>519</v>
      </c>
    </row>
    <row r="2414" spans="1:12" x14ac:dyDescent="0.2">
      <c r="A2414" s="436" t="s">
        <v>15</v>
      </c>
      <c r="B2414" s="436" t="s">
        <v>1029</v>
      </c>
      <c r="C2414" t="s">
        <v>240</v>
      </c>
      <c r="D2414" s="100">
        <v>0</v>
      </c>
      <c r="E2414" t="s">
        <v>348</v>
      </c>
      <c r="F2414">
        <v>0</v>
      </c>
      <c r="G2414">
        <v>5.3304799999999997</v>
      </c>
      <c r="H2414">
        <f>$A$6</f>
        <v>100</v>
      </c>
      <c r="I2414">
        <v>-1</v>
      </c>
      <c r="J2414" t="s">
        <v>432</v>
      </c>
      <c r="K2414" s="17">
        <f t="shared" si="152"/>
        <v>-362293658.03348839</v>
      </c>
      <c r="L2414" t="s">
        <v>519</v>
      </c>
    </row>
    <row r="2415" spans="1:12" x14ac:dyDescent="0.2">
      <c r="A2415" s="437"/>
      <c r="B2415" s="437"/>
      <c r="C2415" t="s">
        <v>241</v>
      </c>
      <c r="D2415" s="100">
        <v>0</v>
      </c>
      <c r="E2415" t="s">
        <v>350</v>
      </c>
      <c r="F2415">
        <v>0</v>
      </c>
      <c r="G2415">
        <v>0</v>
      </c>
      <c r="H2415">
        <f>$A$6</f>
        <v>100</v>
      </c>
      <c r="I2415">
        <v>-1</v>
      </c>
      <c r="J2415" t="s">
        <v>434</v>
      </c>
      <c r="K2415" s="17">
        <f t="shared" si="152"/>
        <v>0</v>
      </c>
      <c r="L2415" t="s">
        <v>519</v>
      </c>
    </row>
    <row r="2416" spans="1:12" x14ac:dyDescent="0.2">
      <c r="A2416" s="438"/>
      <c r="B2416" s="438"/>
      <c r="C2416" t="s">
        <v>242</v>
      </c>
      <c r="D2416" s="100">
        <v>0</v>
      </c>
      <c r="E2416" t="s">
        <v>351</v>
      </c>
      <c r="F2416">
        <v>0</v>
      </c>
      <c r="G2416">
        <v>5.33E-2</v>
      </c>
      <c r="H2416">
        <f>$A$8</f>
        <v>1</v>
      </c>
      <c r="I2416">
        <v>1</v>
      </c>
      <c r="J2416" t="s">
        <v>435</v>
      </c>
      <c r="K2416" s="17">
        <f t="shared" si="152"/>
        <v>36226.103415048798</v>
      </c>
      <c r="L2416" t="s">
        <v>519</v>
      </c>
    </row>
    <row r="2417" spans="1:12" ht="15" customHeight="1" x14ac:dyDescent="0.2">
      <c r="A2417" s="81" t="s">
        <v>79</v>
      </c>
      <c r="B2417" s="104">
        <f>A2487*Variables!F$12</f>
        <v>679663.22442633391</v>
      </c>
      <c r="C2417" t="s">
        <v>243</v>
      </c>
      <c r="D2417" s="100">
        <v>1.6000000000000001E-3</v>
      </c>
      <c r="E2417" t="s">
        <v>352</v>
      </c>
      <c r="F2417">
        <v>7.1999999999999998E-3</v>
      </c>
      <c r="G2417">
        <v>0.53305000000000002</v>
      </c>
      <c r="H2417">
        <f>$A$6</f>
        <v>100</v>
      </c>
      <c r="I2417">
        <v>-1</v>
      </c>
      <c r="J2417" t="s">
        <v>436</v>
      </c>
      <c r="K2417" s="17">
        <f t="shared" si="152"/>
        <v>-37427017.353393301</v>
      </c>
      <c r="L2417" t="s">
        <v>519</v>
      </c>
    </row>
    <row r="2418" spans="1:12" ht="15" customHeight="1" x14ac:dyDescent="0.2">
      <c r="A2418" s="81" t="s">
        <v>134</v>
      </c>
      <c r="B2418" s="104">
        <f>A2488*Variables!F$12</f>
        <v>238.11917704467612</v>
      </c>
      <c r="C2418" t="s">
        <v>244</v>
      </c>
      <c r="D2418" s="100">
        <v>1.6000000000000001E-3</v>
      </c>
      <c r="E2418" t="s">
        <v>353</v>
      </c>
      <c r="F2418">
        <v>7.2000000000000005E-4</v>
      </c>
      <c r="G2418">
        <v>5.33E-2</v>
      </c>
      <c r="H2418">
        <v>0</v>
      </c>
      <c r="I2418">
        <v>0</v>
      </c>
      <c r="J2418" t="s">
        <v>437</v>
      </c>
      <c r="K2418" s="17">
        <f t="shared" si="152"/>
        <v>0</v>
      </c>
      <c r="L2418" t="s">
        <v>519</v>
      </c>
    </row>
    <row r="2419" spans="1:12" ht="15" customHeight="1" x14ac:dyDescent="0.2">
      <c r="A2419" s="81" t="s">
        <v>108</v>
      </c>
      <c r="B2419" s="104">
        <f>A2489*Variables!F$12</f>
        <v>833.7753116818194</v>
      </c>
      <c r="C2419" t="s">
        <v>245</v>
      </c>
      <c r="D2419" s="100">
        <v>1.6000000000000001E-4</v>
      </c>
      <c r="E2419" t="s">
        <v>351</v>
      </c>
      <c r="F2419" s="8">
        <v>7.2027900000000002E-5</v>
      </c>
      <c r="G2419">
        <v>5.33E-2</v>
      </c>
      <c r="H2419">
        <f t="shared" ref="H2419:H2424" si="153">$A$7</f>
        <v>10</v>
      </c>
      <c r="I2419">
        <v>-1</v>
      </c>
      <c r="J2419" t="s">
        <v>435</v>
      </c>
      <c r="K2419" s="17">
        <f t="shared" si="152"/>
        <v>-363899.0010120275</v>
      </c>
      <c r="L2419" t="s">
        <v>519</v>
      </c>
    </row>
    <row r="2420" spans="1:12" ht="15" customHeight="1" x14ac:dyDescent="0.2">
      <c r="A2420" s="81" t="s">
        <v>135</v>
      </c>
      <c r="B2420" s="104">
        <f>A2490*Variables!F$12</f>
        <v>143.04216019028993</v>
      </c>
      <c r="C2420" t="s">
        <v>246</v>
      </c>
      <c r="D2420" s="100">
        <v>1.6049999999999998E-2</v>
      </c>
      <c r="E2420" t="s">
        <v>354</v>
      </c>
      <c r="F2420">
        <v>7.1999999999999998E-3</v>
      </c>
      <c r="G2420">
        <v>5.3304799999999997</v>
      </c>
      <c r="H2420">
        <f t="shared" si="153"/>
        <v>10</v>
      </c>
      <c r="I2420">
        <v>-1</v>
      </c>
      <c r="J2420" t="s">
        <v>438</v>
      </c>
      <c r="K2420" s="17">
        <f t="shared" si="152"/>
        <v>-36393270.760157362</v>
      </c>
      <c r="L2420" t="s">
        <v>519</v>
      </c>
    </row>
    <row r="2421" spans="1:12" ht="15" customHeight="1" x14ac:dyDescent="0.2">
      <c r="A2421" s="81" t="s">
        <v>136</v>
      </c>
      <c r="B2421" s="104">
        <f>A2491*Variables!F$12</f>
        <v>73.427476056617124</v>
      </c>
      <c r="C2421" t="s">
        <v>247</v>
      </c>
      <c r="D2421" s="100">
        <v>1.60467</v>
      </c>
      <c r="E2421" t="s">
        <v>354</v>
      </c>
      <c r="F2421">
        <v>0.72028000000000003</v>
      </c>
      <c r="G2421">
        <v>0.53305000000000002</v>
      </c>
      <c r="H2421">
        <f t="shared" si="153"/>
        <v>10</v>
      </c>
      <c r="I2421">
        <v>-1</v>
      </c>
      <c r="J2421" t="s">
        <v>438</v>
      </c>
      <c r="K2421" s="17">
        <f t="shared" si="152"/>
        <v>-20016904.386103656</v>
      </c>
      <c r="L2421" t="s">
        <v>519</v>
      </c>
    </row>
    <row r="2422" spans="1:12" ht="15" customHeight="1" x14ac:dyDescent="0.2">
      <c r="A2422" s="81" t="s">
        <v>137</v>
      </c>
      <c r="B2422" s="104">
        <f>A2492*Variables!F$12</f>
        <v>142363.51975426992</v>
      </c>
      <c r="C2422" t="s">
        <v>248</v>
      </c>
      <c r="D2422" s="100">
        <v>1.60467</v>
      </c>
      <c r="E2422" t="s">
        <v>350</v>
      </c>
      <c r="F2422">
        <v>0.72028000000000003</v>
      </c>
      <c r="G2422">
        <v>5.3304799999999997</v>
      </c>
      <c r="H2422">
        <f t="shared" si="153"/>
        <v>10</v>
      </c>
      <c r="I2422">
        <v>-1</v>
      </c>
      <c r="J2422" t="s">
        <v>434</v>
      </c>
      <c r="K2422" s="17">
        <f t="shared" si="152"/>
        <v>-52623320.01583302</v>
      </c>
      <c r="L2422" t="s">
        <v>519</v>
      </c>
    </row>
    <row r="2423" spans="1:12" ht="15" customHeight="1" x14ac:dyDescent="0.2">
      <c r="A2423" s="98" t="s">
        <v>9</v>
      </c>
      <c r="B2423" s="104">
        <f>A2493*Variables!F$12</f>
        <v>823315.10830557719</v>
      </c>
      <c r="C2423" t="s">
        <v>322</v>
      </c>
      <c r="D2423" s="100">
        <v>1.60467</v>
      </c>
      <c r="E2423" t="s">
        <v>355</v>
      </c>
      <c r="F2423">
        <v>0.72028000000000003</v>
      </c>
      <c r="G2423">
        <v>53.3048</v>
      </c>
      <c r="H2423">
        <f t="shared" si="153"/>
        <v>10</v>
      </c>
      <c r="I2423">
        <v>-1</v>
      </c>
      <c r="J2423" t="s">
        <v>439</v>
      </c>
      <c r="K2423" s="17">
        <f t="shared" si="152"/>
        <v>-378687612.24597263</v>
      </c>
      <c r="L2423" t="s">
        <v>519</v>
      </c>
    </row>
    <row r="2424" spans="1:12" x14ac:dyDescent="0.2">
      <c r="A2424" s="13"/>
      <c r="B2424" s="13"/>
      <c r="C2424" t="s">
        <v>249</v>
      </c>
      <c r="D2424" s="100">
        <v>0.16047</v>
      </c>
      <c r="E2424" t="s">
        <v>356</v>
      </c>
      <c r="F2424">
        <v>7.2029999999999997E-2</v>
      </c>
      <c r="G2424">
        <v>5.3304799999999997</v>
      </c>
      <c r="H2424">
        <f t="shared" si="153"/>
        <v>10</v>
      </c>
      <c r="I2424">
        <v>-1</v>
      </c>
      <c r="J2424" t="s">
        <v>440</v>
      </c>
      <c r="K2424" s="17">
        <f t="shared" si="152"/>
        <v>-37868802.297671109</v>
      </c>
      <c r="L2424" t="s">
        <v>519</v>
      </c>
    </row>
    <row r="2425" spans="1:12" x14ac:dyDescent="0.2">
      <c r="A2425" s="38"/>
      <c r="B2425" s="13"/>
      <c r="C2425" t="s">
        <v>323</v>
      </c>
      <c r="D2425" s="100">
        <v>1.6000000000000001E-3</v>
      </c>
      <c r="E2425" t="s">
        <v>357</v>
      </c>
      <c r="F2425">
        <v>7.2000000000000005E-4</v>
      </c>
      <c r="G2425">
        <v>5.33E-2</v>
      </c>
      <c r="H2425">
        <f>$A$6</f>
        <v>100</v>
      </c>
      <c r="I2425">
        <v>-1</v>
      </c>
      <c r="J2425" t="s">
        <v>441</v>
      </c>
      <c r="K2425" s="17">
        <f t="shared" si="152"/>
        <v>-3786362.5183996004</v>
      </c>
      <c r="L2425" t="s">
        <v>519</v>
      </c>
    </row>
    <row r="2426" spans="1:12" x14ac:dyDescent="0.2">
      <c r="A2426" s="13"/>
      <c r="B2426" s="14"/>
      <c r="C2426" t="s">
        <v>324</v>
      </c>
      <c r="D2426" s="100">
        <v>1.6000000000000001E-3</v>
      </c>
      <c r="E2426" t="s">
        <v>357</v>
      </c>
      <c r="F2426">
        <v>7.2000000000000005E-4</v>
      </c>
      <c r="G2426">
        <v>5.33E-2</v>
      </c>
      <c r="H2426">
        <f>$A$6</f>
        <v>100</v>
      </c>
      <c r="I2426">
        <v>-1</v>
      </c>
      <c r="J2426" t="s">
        <v>441</v>
      </c>
      <c r="K2426" s="17">
        <f t="shared" si="152"/>
        <v>-3786362.5183996004</v>
      </c>
      <c r="L2426" t="s">
        <v>519</v>
      </c>
    </row>
    <row r="2427" spans="1:12" x14ac:dyDescent="0.2">
      <c r="A2427" s="13"/>
      <c r="B2427" s="13"/>
      <c r="C2427" t="s">
        <v>250</v>
      </c>
      <c r="D2427" s="100">
        <v>1.6000000000000001E-3</v>
      </c>
      <c r="E2427" t="s">
        <v>358</v>
      </c>
      <c r="F2427">
        <v>7.2000000000000005E-4</v>
      </c>
      <c r="G2427">
        <v>5.3304799999999997</v>
      </c>
      <c r="H2427">
        <f>$A$7</f>
        <v>10</v>
      </c>
      <c r="I2427">
        <v>1</v>
      </c>
      <c r="J2427" t="s">
        <v>442</v>
      </c>
      <c r="K2427" s="17">
        <f t="shared" si="152"/>
        <v>36245741.021038309</v>
      </c>
      <c r="L2427" t="s">
        <v>519</v>
      </c>
    </row>
    <row r="2428" spans="1:12" x14ac:dyDescent="0.2">
      <c r="A2428" s="435" t="s">
        <v>73</v>
      </c>
      <c r="B2428" s="435"/>
      <c r="C2428" t="s">
        <v>251</v>
      </c>
      <c r="D2428" s="100">
        <v>0</v>
      </c>
      <c r="E2428" t="s">
        <v>359</v>
      </c>
      <c r="F2428">
        <v>0</v>
      </c>
      <c r="G2428">
        <v>5.3299999999999997E-3</v>
      </c>
      <c r="H2428">
        <f>$A$6</f>
        <v>100</v>
      </c>
      <c r="I2428">
        <v>-1</v>
      </c>
      <c r="J2428" t="s">
        <v>443</v>
      </c>
      <c r="K2428" s="17">
        <f t="shared" si="152"/>
        <v>-362261.03415048798</v>
      </c>
      <c r="L2428" t="s">
        <v>519</v>
      </c>
    </row>
    <row r="2429" spans="1:12" x14ac:dyDescent="0.2">
      <c r="A2429" s="435"/>
      <c r="B2429" s="435"/>
      <c r="C2429" t="s">
        <v>252</v>
      </c>
      <c r="D2429" s="100">
        <v>0.16047</v>
      </c>
      <c r="E2429" t="s">
        <v>360</v>
      </c>
      <c r="F2429">
        <v>7.2029999999999997E-2</v>
      </c>
      <c r="G2429">
        <v>53.3048</v>
      </c>
      <c r="H2429">
        <f>$A$7</f>
        <v>10</v>
      </c>
      <c r="I2429">
        <v>-1</v>
      </c>
      <c r="J2429" t="s">
        <v>444</v>
      </c>
      <c r="K2429" s="17">
        <f t="shared" ref="K2429:K2460" si="154">((SUM(B$2399:B$2405,B$2418:B$2421,B$2434:B$2438,B$2451:B$2455,B$2467:B$2470)*D2429)+(SUM(B$2406,B$2422,B$2439,B$2456)*F2429)+(SUM(B$2417,B$2433,B$2450)*G2429))*H2429*I2429</f>
        <v>-363933094.52781069</v>
      </c>
      <c r="L2429" t="s">
        <v>519</v>
      </c>
    </row>
    <row r="2430" spans="1:12" x14ac:dyDescent="0.2">
      <c r="A2430" s="358" t="s">
        <v>15</v>
      </c>
      <c r="B2430" s="358" t="s">
        <v>1029</v>
      </c>
      <c r="C2430" t="s">
        <v>253</v>
      </c>
      <c r="D2430" s="100">
        <v>1.6049999999999998E-2</v>
      </c>
      <c r="E2430" t="s">
        <v>361</v>
      </c>
      <c r="F2430">
        <v>7.1999999999999998E-3</v>
      </c>
      <c r="G2430">
        <v>53.3048</v>
      </c>
      <c r="H2430">
        <f>$A$7</f>
        <v>10</v>
      </c>
      <c r="I2430">
        <v>-1</v>
      </c>
      <c r="J2430" t="s">
        <v>445</v>
      </c>
      <c r="K2430" s="17">
        <f t="shared" si="154"/>
        <v>-362457562.99029696</v>
      </c>
      <c r="L2430" t="s">
        <v>519</v>
      </c>
    </row>
    <row r="2431" spans="1:12" x14ac:dyDescent="0.2">
      <c r="A2431" s="358"/>
      <c r="B2431" s="358"/>
      <c r="C2431" t="s">
        <v>325</v>
      </c>
      <c r="D2431" s="100">
        <v>1.6000000000000001E-3</v>
      </c>
      <c r="E2431" t="s">
        <v>362</v>
      </c>
      <c r="F2431">
        <v>7.2000000000000005E-4</v>
      </c>
      <c r="G2431">
        <v>5.33E-2</v>
      </c>
      <c r="H2431">
        <f>$A$6</f>
        <v>100</v>
      </c>
      <c r="I2431">
        <v>-1</v>
      </c>
      <c r="J2431" t="s">
        <v>446</v>
      </c>
      <c r="K2431" s="17">
        <f t="shared" si="154"/>
        <v>-3786362.5183996004</v>
      </c>
      <c r="L2431" t="s">
        <v>519</v>
      </c>
    </row>
    <row r="2432" spans="1:12" x14ac:dyDescent="0.2">
      <c r="A2432" s="358"/>
      <c r="B2432" s="358"/>
      <c r="C2432" t="s">
        <v>254</v>
      </c>
      <c r="D2432" s="100">
        <v>1.6000000000000001E-3</v>
      </c>
      <c r="E2432" t="s">
        <v>363</v>
      </c>
      <c r="F2432">
        <v>7.2000000000000005E-4</v>
      </c>
      <c r="G2432">
        <v>5.33E-2</v>
      </c>
      <c r="H2432">
        <f>$A$7</f>
        <v>10</v>
      </c>
      <c r="I2432">
        <v>-1</v>
      </c>
      <c r="J2432" t="s">
        <v>447</v>
      </c>
      <c r="K2432" s="17">
        <f t="shared" si="154"/>
        <v>-378636.25183995999</v>
      </c>
      <c r="L2432" t="s">
        <v>519</v>
      </c>
    </row>
    <row r="2433" spans="1:12" ht="15" customHeight="1" x14ac:dyDescent="0.2">
      <c r="A2433" s="81" t="s">
        <v>80</v>
      </c>
      <c r="B2433" s="104">
        <f>A2495*Variables!F$12</f>
        <v>2.4462798282248118E-2</v>
      </c>
      <c r="C2433" t="s">
        <v>255</v>
      </c>
      <c r="D2433" s="100">
        <v>0</v>
      </c>
      <c r="E2433" t="s">
        <v>364</v>
      </c>
      <c r="F2433">
        <v>0</v>
      </c>
      <c r="G2433">
        <v>5.33E-2</v>
      </c>
      <c r="H2433">
        <f>$A$7</f>
        <v>10</v>
      </c>
      <c r="I2433">
        <v>-1</v>
      </c>
      <c r="J2433" t="s">
        <v>448</v>
      </c>
      <c r="K2433" s="17">
        <f t="shared" si="154"/>
        <v>-362261.03415048798</v>
      </c>
      <c r="L2433" t="s">
        <v>519</v>
      </c>
    </row>
    <row r="2434" spans="1:12" ht="15" customHeight="1" x14ac:dyDescent="0.2">
      <c r="A2434" s="81" t="s">
        <v>108</v>
      </c>
      <c r="B2434" s="104">
        <f>A2496*Variables!F$12</f>
        <v>21.48393241177239</v>
      </c>
      <c r="C2434" t="s">
        <v>256</v>
      </c>
      <c r="D2434" s="100">
        <v>1.6000000000000001E-3</v>
      </c>
      <c r="E2434" t="s">
        <v>365</v>
      </c>
      <c r="F2434">
        <v>7.2000000000000005E-4</v>
      </c>
      <c r="G2434">
        <v>53.3048</v>
      </c>
      <c r="H2434">
        <f>$A$7</f>
        <v>10</v>
      </c>
      <c r="I2434">
        <v>-1</v>
      </c>
      <c r="J2434" t="s">
        <v>449</v>
      </c>
      <c r="K2434" s="17">
        <f t="shared" si="154"/>
        <v>-362310033.25117791</v>
      </c>
      <c r="L2434" t="s">
        <v>519</v>
      </c>
    </row>
    <row r="2435" spans="1:12" ht="15" customHeight="1" x14ac:dyDescent="0.2">
      <c r="A2435" s="81" t="s">
        <v>140</v>
      </c>
      <c r="B2435" s="104">
        <f>A2497*Variables!F$12</f>
        <v>2.156623108956909</v>
      </c>
      <c r="C2435" t="s">
        <v>257</v>
      </c>
      <c r="D2435" s="100">
        <v>1.60467</v>
      </c>
      <c r="E2435" t="s">
        <v>366</v>
      </c>
      <c r="F2435">
        <v>0.72028000000000003</v>
      </c>
      <c r="G2435">
        <v>0.53305000000000002</v>
      </c>
      <c r="H2435">
        <f>$A$6</f>
        <v>100</v>
      </c>
      <c r="I2435">
        <v>-1</v>
      </c>
      <c r="J2435" t="s">
        <v>450</v>
      </c>
      <c r="K2435" s="17">
        <f t="shared" si="154"/>
        <v>-200169043.86103657</v>
      </c>
      <c r="L2435" t="s">
        <v>519</v>
      </c>
    </row>
    <row r="2436" spans="1:12" ht="15" customHeight="1" x14ac:dyDescent="0.2">
      <c r="A2436" s="81" t="s">
        <v>141</v>
      </c>
      <c r="B2436" s="104">
        <f>A2498*Variables!F$12</f>
        <v>834.22919856134661</v>
      </c>
      <c r="C2436" t="s">
        <v>258</v>
      </c>
      <c r="D2436" s="100">
        <v>0.16047</v>
      </c>
      <c r="E2436" t="s">
        <v>367</v>
      </c>
      <c r="F2436">
        <v>7.2029999999999997E-2</v>
      </c>
      <c r="G2436">
        <v>5.3299999999999997E-3</v>
      </c>
      <c r="H2436">
        <f>$A$6</f>
        <v>100</v>
      </c>
      <c r="I2436">
        <v>-1</v>
      </c>
      <c r="J2436" t="s">
        <v>451</v>
      </c>
      <c r="K2436" s="17">
        <f t="shared" si="154"/>
        <v>-16756625.977373173</v>
      </c>
      <c r="L2436" t="s">
        <v>519</v>
      </c>
    </row>
    <row r="2437" spans="1:12" ht="15" customHeight="1" x14ac:dyDescent="0.2">
      <c r="A2437" s="81" t="s">
        <v>142</v>
      </c>
      <c r="B2437" s="104">
        <f>A2499*Variables!F$12</f>
        <v>830.49149369327836</v>
      </c>
      <c r="C2437" t="s">
        <v>326</v>
      </c>
      <c r="D2437" s="100">
        <v>1.6000000000000001E-3</v>
      </c>
      <c r="E2437" t="s">
        <v>365</v>
      </c>
      <c r="F2437">
        <v>7.2000000000000005E-4</v>
      </c>
      <c r="G2437">
        <v>53.3048</v>
      </c>
      <c r="H2437">
        <v>0</v>
      </c>
      <c r="I2437">
        <v>0</v>
      </c>
      <c r="J2437" t="s">
        <v>449</v>
      </c>
      <c r="K2437" s="17">
        <f t="shared" si="154"/>
        <v>0</v>
      </c>
      <c r="L2437" t="s">
        <v>519</v>
      </c>
    </row>
    <row r="2438" spans="1:12" ht="15" customHeight="1" x14ac:dyDescent="0.2">
      <c r="A2438" s="81" t="s">
        <v>143</v>
      </c>
      <c r="B2438" s="104">
        <f>A2500*Variables!F$12</f>
        <v>673.80050653031844</v>
      </c>
      <c r="C2438" t="s">
        <v>259</v>
      </c>
      <c r="D2438" s="100">
        <v>1.6049999999999998E-2</v>
      </c>
      <c r="E2438" t="s">
        <v>368</v>
      </c>
      <c r="F2438">
        <v>7.1999999999999998E-3</v>
      </c>
      <c r="G2438">
        <v>0.53305000000000002</v>
      </c>
      <c r="H2438">
        <f>$A$6</f>
        <v>100</v>
      </c>
      <c r="I2438">
        <v>-1</v>
      </c>
      <c r="J2438" t="s">
        <v>452</v>
      </c>
      <c r="K2438" s="17">
        <f t="shared" si="154"/>
        <v>-37868551.304279901</v>
      </c>
      <c r="L2438" t="s">
        <v>519</v>
      </c>
    </row>
    <row r="2439" spans="1:12" ht="15" customHeight="1" x14ac:dyDescent="0.2">
      <c r="A2439" s="81" t="s">
        <v>137</v>
      </c>
      <c r="B2439" s="104">
        <f>A2501*Variables!F$12</f>
        <v>2793.4171214182352</v>
      </c>
      <c r="C2439" t="s">
        <v>260</v>
      </c>
      <c r="D2439" s="100">
        <v>0</v>
      </c>
      <c r="E2439" t="s">
        <v>368</v>
      </c>
      <c r="F2439">
        <v>0</v>
      </c>
      <c r="G2439">
        <v>0</v>
      </c>
      <c r="H2439">
        <v>0</v>
      </c>
      <c r="I2439">
        <v>0</v>
      </c>
      <c r="J2439" t="s">
        <v>452</v>
      </c>
      <c r="K2439" s="17">
        <f t="shared" si="154"/>
        <v>0</v>
      </c>
      <c r="L2439" t="s">
        <v>519</v>
      </c>
    </row>
    <row r="2440" spans="1:12" ht="15" customHeight="1" x14ac:dyDescent="0.2">
      <c r="A2440" s="98" t="s">
        <v>9</v>
      </c>
      <c r="B2440" s="104">
        <f>A2502*Variables!F$12</f>
        <v>5155.6033385221899</v>
      </c>
      <c r="C2440" t="s">
        <v>327</v>
      </c>
      <c r="D2440" s="100">
        <v>1.6000000000000001E-4</v>
      </c>
      <c r="E2440" t="s">
        <v>368</v>
      </c>
      <c r="F2440" s="8">
        <v>7.2027900000000002E-5</v>
      </c>
      <c r="G2440">
        <v>5.3304799999999997</v>
      </c>
      <c r="H2440">
        <f>$A$6</f>
        <v>100</v>
      </c>
      <c r="I2440">
        <v>-1</v>
      </c>
      <c r="J2440" t="s">
        <v>452</v>
      </c>
      <c r="K2440" s="17">
        <f t="shared" si="154"/>
        <v>-362310037.70210379</v>
      </c>
      <c r="L2440" t="s">
        <v>519</v>
      </c>
    </row>
    <row r="2441" spans="1:12" x14ac:dyDescent="0.2">
      <c r="A2441" s="13"/>
      <c r="B2441" s="13"/>
      <c r="C2441" t="s">
        <v>328</v>
      </c>
      <c r="D2441" s="100">
        <v>1.6000000000000001E-4</v>
      </c>
      <c r="E2441" t="s">
        <v>368</v>
      </c>
      <c r="F2441" s="8">
        <v>7.2027900000000002E-5</v>
      </c>
      <c r="G2441">
        <v>5.3304799999999997</v>
      </c>
      <c r="H2441">
        <v>0</v>
      </c>
      <c r="I2441">
        <v>0</v>
      </c>
      <c r="J2441" t="s">
        <v>452</v>
      </c>
      <c r="K2441" s="17">
        <f t="shared" si="154"/>
        <v>0</v>
      </c>
      <c r="L2441" t="s">
        <v>519</v>
      </c>
    </row>
    <row r="2442" spans="1:12" x14ac:dyDescent="0.2">
      <c r="A2442" s="38"/>
      <c r="B2442" s="14"/>
      <c r="C2442" t="s">
        <v>261</v>
      </c>
      <c r="D2442" s="100">
        <v>0.16047</v>
      </c>
      <c r="E2442" t="s">
        <v>369</v>
      </c>
      <c r="F2442">
        <v>7.2029999999999997E-2</v>
      </c>
      <c r="G2442">
        <v>5.3299999999999997E-3</v>
      </c>
      <c r="H2442">
        <f>$A$6</f>
        <v>100</v>
      </c>
      <c r="I2442">
        <v>-1</v>
      </c>
      <c r="J2442" t="s">
        <v>453</v>
      </c>
      <c r="K2442" s="17">
        <f t="shared" si="154"/>
        <v>-16756625.977373173</v>
      </c>
      <c r="L2442" t="s">
        <v>519</v>
      </c>
    </row>
    <row r="2443" spans="1:12" x14ac:dyDescent="0.2">
      <c r="A2443" s="13"/>
      <c r="B2443" s="13"/>
      <c r="C2443" t="s">
        <v>263</v>
      </c>
      <c r="D2443" s="100">
        <v>1.6000000000000001E-4</v>
      </c>
      <c r="E2443" t="s">
        <v>370</v>
      </c>
      <c r="F2443" s="8">
        <v>7.2027900000000002E-5</v>
      </c>
      <c r="G2443">
        <v>0.53305000000000002</v>
      </c>
      <c r="H2443">
        <f>$A$6</f>
        <v>100</v>
      </c>
      <c r="I2443">
        <v>-1</v>
      </c>
      <c r="J2443" t="s">
        <v>454</v>
      </c>
      <c r="K2443" s="17">
        <f t="shared" si="154"/>
        <v>-36245881.404810078</v>
      </c>
      <c r="L2443" t="s">
        <v>519</v>
      </c>
    </row>
    <row r="2444" spans="1:12" x14ac:dyDescent="0.2">
      <c r="A2444" s="13"/>
      <c r="B2444" s="13"/>
      <c r="C2444" t="s">
        <v>262</v>
      </c>
      <c r="D2444" s="100">
        <v>1.6000000000000001E-4</v>
      </c>
      <c r="E2444" t="s">
        <v>370</v>
      </c>
      <c r="F2444" s="8">
        <v>7.2027900000000002E-5</v>
      </c>
      <c r="G2444">
        <v>5.3304799999999997</v>
      </c>
      <c r="H2444">
        <f>$A$6</f>
        <v>100</v>
      </c>
      <c r="I2444">
        <v>-1</v>
      </c>
      <c r="J2444" t="s">
        <v>454</v>
      </c>
      <c r="K2444" s="17">
        <f t="shared" si="154"/>
        <v>-362310037.70210379</v>
      </c>
      <c r="L2444" t="s">
        <v>519</v>
      </c>
    </row>
    <row r="2445" spans="1:12" x14ac:dyDescent="0.2">
      <c r="A2445" s="434" t="s">
        <v>74</v>
      </c>
      <c r="B2445" s="434"/>
      <c r="C2445" t="s">
        <v>264</v>
      </c>
      <c r="D2445" s="100">
        <v>1.6000000000000001E-3</v>
      </c>
      <c r="E2445" t="s">
        <v>371</v>
      </c>
      <c r="F2445">
        <v>7.2000000000000005E-4</v>
      </c>
      <c r="G2445">
        <v>0.53305000000000002</v>
      </c>
      <c r="H2445">
        <f>$A$7</f>
        <v>10</v>
      </c>
      <c r="I2445">
        <v>-1</v>
      </c>
      <c r="J2445" t="s">
        <v>455</v>
      </c>
      <c r="K2445" s="17">
        <f t="shared" si="154"/>
        <v>-3639325.39130894</v>
      </c>
      <c r="L2445" t="s">
        <v>519</v>
      </c>
    </row>
    <row r="2446" spans="1:12" x14ac:dyDescent="0.2">
      <c r="A2446" s="434"/>
      <c r="B2446" s="434"/>
      <c r="C2446" t="s">
        <v>265</v>
      </c>
      <c r="D2446" s="100">
        <v>1.6000000000000001E-3</v>
      </c>
      <c r="E2446" t="s">
        <v>371</v>
      </c>
      <c r="F2446">
        <v>7.2000000000000005E-4</v>
      </c>
      <c r="G2446">
        <v>5.33E-2</v>
      </c>
      <c r="H2446">
        <f>$A$7</f>
        <v>10</v>
      </c>
      <c r="I2446">
        <v>-1</v>
      </c>
      <c r="J2446" t="s">
        <v>455</v>
      </c>
      <c r="K2446" s="17">
        <f t="shared" si="154"/>
        <v>-378636.25183995999</v>
      </c>
      <c r="L2446" t="s">
        <v>519</v>
      </c>
    </row>
    <row r="2447" spans="1:12" x14ac:dyDescent="0.2">
      <c r="A2447" s="358" t="s">
        <v>15</v>
      </c>
      <c r="B2447" s="358" t="s">
        <v>1029</v>
      </c>
      <c r="C2447" t="s">
        <v>266</v>
      </c>
      <c r="D2447" s="100">
        <v>1.6000000000000001E-3</v>
      </c>
      <c r="E2447" t="s">
        <v>371</v>
      </c>
      <c r="F2447">
        <v>7.2000000000000005E-4</v>
      </c>
      <c r="G2447">
        <v>5.33E-2</v>
      </c>
      <c r="H2447">
        <v>0</v>
      </c>
      <c r="I2447">
        <v>0</v>
      </c>
      <c r="J2447" t="s">
        <v>455</v>
      </c>
      <c r="K2447" s="17">
        <f t="shared" si="154"/>
        <v>0</v>
      </c>
      <c r="L2447" t="s">
        <v>519</v>
      </c>
    </row>
    <row r="2448" spans="1:12" x14ac:dyDescent="0.2">
      <c r="A2448" s="358"/>
      <c r="B2448" s="358"/>
      <c r="C2448" t="s">
        <v>267</v>
      </c>
      <c r="D2448" s="100">
        <v>1.6000000000000001E-4</v>
      </c>
      <c r="E2448" t="s">
        <v>372</v>
      </c>
      <c r="F2448" s="8">
        <v>7.2027900000000002E-5</v>
      </c>
      <c r="G2448">
        <v>5.33E-2</v>
      </c>
      <c r="H2448">
        <v>0</v>
      </c>
      <c r="I2448">
        <v>0</v>
      </c>
      <c r="J2448" t="s">
        <v>456</v>
      </c>
      <c r="K2448" s="17">
        <f t="shared" si="154"/>
        <v>0</v>
      </c>
      <c r="L2448" t="s">
        <v>519</v>
      </c>
    </row>
    <row r="2449" spans="1:12" x14ac:dyDescent="0.2">
      <c r="A2449" s="358"/>
      <c r="B2449" s="358"/>
      <c r="C2449" t="s">
        <v>329</v>
      </c>
      <c r="D2449" s="100">
        <v>0.16047</v>
      </c>
      <c r="E2449" s="75" t="s">
        <v>373</v>
      </c>
      <c r="F2449">
        <v>7.2029999999999997E-2</v>
      </c>
      <c r="G2449">
        <v>0.53305000000000002</v>
      </c>
      <c r="H2449">
        <f>$A$7</f>
        <v>10</v>
      </c>
      <c r="I2449">
        <v>-1</v>
      </c>
      <c r="J2449" t="s">
        <v>457</v>
      </c>
      <c r="K2449" s="17">
        <f t="shared" si="154"/>
        <v>-5262386.6679417361</v>
      </c>
      <c r="L2449" t="s">
        <v>519</v>
      </c>
    </row>
    <row r="2450" spans="1:12" ht="15" customHeight="1" x14ac:dyDescent="0.2">
      <c r="A2450" s="81" t="s">
        <v>81</v>
      </c>
      <c r="B2450" s="104">
        <f>A2504*Variables!F$12</f>
        <v>0.98028626742883573</v>
      </c>
      <c r="C2450" t="s">
        <v>314</v>
      </c>
      <c r="D2450" s="100">
        <v>1.6000000000000001E-3</v>
      </c>
      <c r="E2450" s="75" t="s">
        <v>374</v>
      </c>
      <c r="F2450">
        <v>7.2000000000000005E-4</v>
      </c>
      <c r="G2450">
        <v>5.33E-2</v>
      </c>
      <c r="H2450">
        <f>$A$7</f>
        <v>10</v>
      </c>
      <c r="I2450">
        <v>-1</v>
      </c>
      <c r="J2450" t="s">
        <v>458</v>
      </c>
      <c r="K2450" s="17">
        <f t="shared" si="154"/>
        <v>-378636.25183995999</v>
      </c>
      <c r="L2450" t="s">
        <v>519</v>
      </c>
    </row>
    <row r="2451" spans="1:12" ht="15" customHeight="1" x14ac:dyDescent="0.2">
      <c r="A2451" s="81" t="s">
        <v>144</v>
      </c>
      <c r="B2451" s="104">
        <f>A2505*Variables!F$12</f>
        <v>6.0334163012233034E-5</v>
      </c>
      <c r="C2451" t="s">
        <v>268</v>
      </c>
      <c r="D2451" s="100">
        <v>1.6000000000000001E-3</v>
      </c>
      <c r="E2451" s="75" t="s">
        <v>374</v>
      </c>
      <c r="F2451">
        <v>7.2000000000000005E-4</v>
      </c>
      <c r="G2451">
        <v>5.33E-2</v>
      </c>
      <c r="H2451">
        <f>$A$7</f>
        <v>10</v>
      </c>
      <c r="I2451">
        <v>-1</v>
      </c>
      <c r="J2451" t="s">
        <v>458</v>
      </c>
      <c r="K2451" s="17">
        <f t="shared" si="154"/>
        <v>-378636.25183995999</v>
      </c>
      <c r="L2451" t="s">
        <v>519</v>
      </c>
    </row>
    <row r="2452" spans="1:12" ht="15" customHeight="1" x14ac:dyDescent="0.2">
      <c r="A2452" s="81" t="s">
        <v>108</v>
      </c>
      <c r="B2452" s="104">
        <f>A2506*Variables!F$12</f>
        <v>21.48393241177239</v>
      </c>
      <c r="C2452" t="s">
        <v>269</v>
      </c>
      <c r="D2452" s="100">
        <v>1.6000000000000001E-3</v>
      </c>
      <c r="E2452" s="75" t="s">
        <v>374</v>
      </c>
      <c r="F2452">
        <v>7.2000000000000005E-4</v>
      </c>
      <c r="G2452">
        <v>5.33E-2</v>
      </c>
      <c r="H2452">
        <v>0</v>
      </c>
      <c r="I2452">
        <v>0</v>
      </c>
      <c r="J2452" t="s">
        <v>458</v>
      </c>
      <c r="K2452" s="17">
        <f t="shared" si="154"/>
        <v>0</v>
      </c>
      <c r="L2452" t="s">
        <v>519</v>
      </c>
    </row>
    <row r="2453" spans="1:12" ht="15" customHeight="1" x14ac:dyDescent="0.2">
      <c r="A2453" s="81" t="s">
        <v>145</v>
      </c>
      <c r="B2453" s="104">
        <f>A2507*Variables!F$12</f>
        <v>2.156623108956909</v>
      </c>
      <c r="C2453" t="s">
        <v>270</v>
      </c>
      <c r="D2453" s="100">
        <v>1.6000000000000001E-3</v>
      </c>
      <c r="E2453" s="75" t="s">
        <v>375</v>
      </c>
      <c r="F2453">
        <v>7.2000000000000005E-4</v>
      </c>
      <c r="G2453">
        <v>0.53305000000000002</v>
      </c>
      <c r="H2453">
        <f>$A$6</f>
        <v>100</v>
      </c>
      <c r="I2453">
        <v>-1</v>
      </c>
      <c r="J2453" t="s">
        <v>459</v>
      </c>
      <c r="K2453" s="17">
        <f t="shared" si="154"/>
        <v>-36393253.913089402</v>
      </c>
      <c r="L2453" t="s">
        <v>519</v>
      </c>
    </row>
    <row r="2454" spans="1:12" ht="15" customHeight="1" x14ac:dyDescent="0.2">
      <c r="A2454" s="81" t="s">
        <v>142</v>
      </c>
      <c r="B2454" s="104">
        <f>A2508*Variables!F$12</f>
        <v>830.49149369327836</v>
      </c>
      <c r="C2454" t="s">
        <v>271</v>
      </c>
      <c r="D2454" s="100">
        <v>0.16047</v>
      </c>
      <c r="E2454" s="75" t="s">
        <v>376</v>
      </c>
      <c r="F2454">
        <v>7.2029999999999997E-2</v>
      </c>
      <c r="G2454">
        <v>5.3299999999999997E-3</v>
      </c>
      <c r="H2454">
        <v>0</v>
      </c>
      <c r="I2454">
        <v>0</v>
      </c>
      <c r="J2454" t="s">
        <v>460</v>
      </c>
      <c r="K2454" s="17">
        <f t="shared" si="154"/>
        <v>0</v>
      </c>
      <c r="L2454" t="s">
        <v>519</v>
      </c>
    </row>
    <row r="2455" spans="1:12" ht="15" customHeight="1" x14ac:dyDescent="0.2">
      <c r="A2455" s="81" t="s">
        <v>143</v>
      </c>
      <c r="B2455" s="104">
        <f>A2509*Variables!F$12</f>
        <v>673.80050653031844</v>
      </c>
      <c r="C2455" t="s">
        <v>272</v>
      </c>
      <c r="D2455" s="100">
        <v>1.60467</v>
      </c>
      <c r="E2455" t="s">
        <v>377</v>
      </c>
      <c r="F2455">
        <v>7.2029999999999997E-2</v>
      </c>
      <c r="G2455">
        <v>5.33E-2</v>
      </c>
      <c r="H2455">
        <v>0</v>
      </c>
      <c r="I2455">
        <v>0</v>
      </c>
      <c r="J2455" t="s">
        <v>461</v>
      </c>
      <c r="K2455" s="17">
        <f t="shared" si="154"/>
        <v>0</v>
      </c>
      <c r="L2455" t="s">
        <v>519</v>
      </c>
    </row>
    <row r="2456" spans="1:12" ht="15" customHeight="1" x14ac:dyDescent="0.2">
      <c r="A2456" s="81" t="s">
        <v>137</v>
      </c>
      <c r="B2456" s="104">
        <f>A2510*Variables!F$12</f>
        <v>26277.361465931011</v>
      </c>
      <c r="C2456" t="s">
        <v>273</v>
      </c>
      <c r="D2456" s="100">
        <v>1.6000000000000001E-4</v>
      </c>
      <c r="E2456" t="s">
        <v>378</v>
      </c>
      <c r="F2456" s="8">
        <v>7.2027900000000002E-5</v>
      </c>
      <c r="G2456">
        <v>53.3048</v>
      </c>
      <c r="H2456">
        <f>$A$7</f>
        <v>10</v>
      </c>
      <c r="I2456">
        <v>-1</v>
      </c>
      <c r="J2456" t="s">
        <v>462</v>
      </c>
      <c r="K2456" s="17">
        <f t="shared" si="154"/>
        <v>-362295296.00035</v>
      </c>
      <c r="L2456" t="s">
        <v>519</v>
      </c>
    </row>
    <row r="2457" spans="1:12" ht="15" customHeight="1" x14ac:dyDescent="0.2">
      <c r="A2457" s="98" t="s">
        <v>9</v>
      </c>
      <c r="B2457" s="104">
        <f>A2511*Variables!F$12</f>
        <v>27806.274368276929</v>
      </c>
      <c r="C2457" t="s">
        <v>274</v>
      </c>
      <c r="D2457" s="100">
        <v>1.6000000000000001E-4</v>
      </c>
      <c r="E2457" t="s">
        <v>379</v>
      </c>
      <c r="F2457" s="8">
        <v>7.2027900000000002E-5</v>
      </c>
      <c r="G2457">
        <v>0.53305000000000002</v>
      </c>
      <c r="H2457">
        <v>0</v>
      </c>
      <c r="I2457">
        <v>0</v>
      </c>
      <c r="J2457" t="s">
        <v>463</v>
      </c>
      <c r="K2457" s="17">
        <f t="shared" si="154"/>
        <v>0</v>
      </c>
      <c r="L2457" t="s">
        <v>519</v>
      </c>
    </row>
    <row r="2458" spans="1:12" x14ac:dyDescent="0.2">
      <c r="A2458" s="13"/>
      <c r="B2458" s="13"/>
      <c r="C2458" t="s">
        <v>275</v>
      </c>
      <c r="D2458" s="100">
        <v>1.60467</v>
      </c>
      <c r="E2458" t="s">
        <v>377</v>
      </c>
      <c r="F2458">
        <v>0.72028000000000003</v>
      </c>
      <c r="G2458">
        <v>5.3304799999999997</v>
      </c>
      <c r="H2458">
        <f>$A$6</f>
        <v>100</v>
      </c>
      <c r="I2458">
        <v>-1</v>
      </c>
      <c r="J2458" t="s">
        <v>461</v>
      </c>
      <c r="K2458" s="17">
        <f t="shared" si="154"/>
        <v>-526233200.15833026</v>
      </c>
      <c r="L2458" t="s">
        <v>519</v>
      </c>
    </row>
    <row r="2459" spans="1:12" x14ac:dyDescent="0.2">
      <c r="A2459" s="13"/>
      <c r="B2459" s="13"/>
      <c r="C2459" t="s">
        <v>276</v>
      </c>
      <c r="D2459" s="100">
        <v>1.60467</v>
      </c>
      <c r="E2459" t="s">
        <v>377</v>
      </c>
      <c r="F2459">
        <v>0.72028000000000003</v>
      </c>
      <c r="G2459">
        <v>5.3304799999999997</v>
      </c>
      <c r="H2459">
        <f>$A$6</f>
        <v>100</v>
      </c>
      <c r="I2459">
        <v>-1</v>
      </c>
      <c r="J2459" t="s">
        <v>461</v>
      </c>
      <c r="K2459" s="17">
        <f t="shared" si="154"/>
        <v>-526233200.15833026</v>
      </c>
      <c r="L2459" t="s">
        <v>519</v>
      </c>
    </row>
    <row r="2460" spans="1:12" x14ac:dyDescent="0.2">
      <c r="A2460" s="38"/>
      <c r="B2460" s="14"/>
      <c r="C2460" t="s">
        <v>277</v>
      </c>
      <c r="D2460" s="100">
        <v>1.6000000000000001E-3</v>
      </c>
      <c r="E2460" t="s">
        <v>380</v>
      </c>
      <c r="F2460">
        <v>7.2000000000000005E-4</v>
      </c>
      <c r="G2460">
        <v>5.33E-2</v>
      </c>
      <c r="H2460">
        <f>$A$6</f>
        <v>100</v>
      </c>
      <c r="I2460">
        <v>-1</v>
      </c>
      <c r="J2460" t="s">
        <v>464</v>
      </c>
      <c r="K2460" s="17">
        <f t="shared" si="154"/>
        <v>-3786362.5183996004</v>
      </c>
      <c r="L2460" t="s">
        <v>519</v>
      </c>
    </row>
    <row r="2461" spans="1:12" x14ac:dyDescent="0.2">
      <c r="A2461" s="13"/>
      <c r="B2461" s="13"/>
      <c r="C2461" t="s">
        <v>278</v>
      </c>
      <c r="D2461" s="100">
        <v>1.60467</v>
      </c>
      <c r="E2461" t="s">
        <v>381</v>
      </c>
      <c r="F2461">
        <v>0.72028000000000003</v>
      </c>
      <c r="G2461">
        <v>0.53305000000000002</v>
      </c>
      <c r="H2461">
        <f>$A$6</f>
        <v>100</v>
      </c>
      <c r="I2461">
        <v>-1</v>
      </c>
      <c r="J2461" t="s">
        <v>465</v>
      </c>
      <c r="K2461" s="17">
        <f t="shared" ref="K2461:K2492" si="155">((SUM(B$2399:B$2405,B$2418:B$2421,B$2434:B$2438,B$2451:B$2455,B$2467:B$2470)*D2461)+(SUM(B$2406,B$2422,B$2439,B$2456)*F2461)+(SUM(B$2417,B$2433,B$2450)*G2461))*H2461*I2461</f>
        <v>-200169043.86103657</v>
      </c>
      <c r="L2461" t="s">
        <v>519</v>
      </c>
    </row>
    <row r="2462" spans="1:12" x14ac:dyDescent="0.2">
      <c r="A2462" s="433" t="s">
        <v>54</v>
      </c>
      <c r="B2462" s="433"/>
      <c r="C2462" t="s">
        <v>330</v>
      </c>
      <c r="D2462" s="100">
        <v>1.6000000000000001E-4</v>
      </c>
      <c r="E2462" t="s">
        <v>382</v>
      </c>
      <c r="F2462" s="8">
        <v>7.2027900000000002E-5</v>
      </c>
      <c r="G2462">
        <v>5.3304799999999997</v>
      </c>
      <c r="H2462">
        <f>$A$7</f>
        <v>10</v>
      </c>
      <c r="I2462">
        <v>-1</v>
      </c>
      <c r="J2462" t="s">
        <v>466</v>
      </c>
      <c r="K2462" s="17">
        <f t="shared" si="155"/>
        <v>-36231003.770210378</v>
      </c>
      <c r="L2462" t="s">
        <v>519</v>
      </c>
    </row>
    <row r="2463" spans="1:12" x14ac:dyDescent="0.2">
      <c r="A2463" s="433"/>
      <c r="B2463" s="433"/>
      <c r="C2463" t="s">
        <v>279</v>
      </c>
      <c r="D2463" s="100">
        <v>1.6000000000000001E-4</v>
      </c>
      <c r="E2463" t="s">
        <v>382</v>
      </c>
      <c r="F2463" s="8">
        <v>7.2027900000000002E-5</v>
      </c>
      <c r="G2463">
        <v>5.3304799999999997</v>
      </c>
      <c r="H2463">
        <f>$A$7</f>
        <v>10</v>
      </c>
      <c r="I2463">
        <v>-1</v>
      </c>
      <c r="J2463" t="s">
        <v>466</v>
      </c>
      <c r="K2463" s="17">
        <f t="shared" si="155"/>
        <v>-36231003.770210378</v>
      </c>
      <c r="L2463" t="s">
        <v>519</v>
      </c>
    </row>
    <row r="2464" spans="1:12" x14ac:dyDescent="0.2">
      <c r="A2464" s="358" t="s">
        <v>15</v>
      </c>
      <c r="B2464" s="358" t="s">
        <v>1029</v>
      </c>
      <c r="C2464" t="s">
        <v>280</v>
      </c>
      <c r="D2464" s="100">
        <v>1.6000000000000001E-4</v>
      </c>
      <c r="E2464" t="s">
        <v>382</v>
      </c>
      <c r="F2464" s="8">
        <v>7.2027900000000002E-5</v>
      </c>
      <c r="G2464">
        <v>5.3304799999999997</v>
      </c>
      <c r="H2464">
        <v>0</v>
      </c>
      <c r="I2464">
        <v>0</v>
      </c>
      <c r="J2464" t="s">
        <v>466</v>
      </c>
      <c r="K2464" s="17">
        <f t="shared" si="155"/>
        <v>0</v>
      </c>
      <c r="L2464" t="s">
        <v>519</v>
      </c>
    </row>
    <row r="2465" spans="1:12" x14ac:dyDescent="0.2">
      <c r="A2465" s="358"/>
      <c r="B2465" s="358"/>
      <c r="C2465" t="s">
        <v>331</v>
      </c>
      <c r="D2465" s="100">
        <v>1.6049999999999998E-2</v>
      </c>
      <c r="E2465" t="s">
        <v>383</v>
      </c>
      <c r="F2465" s="8">
        <v>7.2027900000000002E-5</v>
      </c>
      <c r="G2465">
        <v>5.33E-2</v>
      </c>
      <c r="H2465">
        <v>0</v>
      </c>
      <c r="I2465">
        <v>0</v>
      </c>
      <c r="J2465" t="s">
        <v>467</v>
      </c>
      <c r="K2465" s="17">
        <f t="shared" si="155"/>
        <v>0</v>
      </c>
      <c r="L2465" t="s">
        <v>519</v>
      </c>
    </row>
    <row r="2466" spans="1:12" x14ac:dyDescent="0.2">
      <c r="A2466" s="358"/>
      <c r="B2466" s="358"/>
      <c r="C2466" t="s">
        <v>281</v>
      </c>
      <c r="D2466" s="100">
        <v>1.6000000000000001E-4</v>
      </c>
      <c r="E2466" t="s">
        <v>384</v>
      </c>
      <c r="F2466" s="8">
        <v>7.2027900000000002E-5</v>
      </c>
      <c r="G2466">
        <v>5.3299999999999997E-3</v>
      </c>
      <c r="H2466">
        <f>$A$7</f>
        <v>10</v>
      </c>
      <c r="I2466">
        <v>-1</v>
      </c>
      <c r="J2466" t="s">
        <v>468</v>
      </c>
      <c r="K2466" s="17">
        <f t="shared" si="155"/>
        <v>-37864.070276588362</v>
      </c>
      <c r="L2466" t="s">
        <v>519</v>
      </c>
    </row>
    <row r="2467" spans="1:12" ht="15" customHeight="1" x14ac:dyDescent="0.2">
      <c r="A2467" s="81" t="s">
        <v>108</v>
      </c>
      <c r="B2467" s="104">
        <f>A2513*Variables!F$12</f>
        <v>21.48393241177239</v>
      </c>
      <c r="C2467" t="s">
        <v>282</v>
      </c>
      <c r="D2467" s="100">
        <v>0.16047</v>
      </c>
      <c r="E2467" t="s">
        <v>385</v>
      </c>
      <c r="F2467">
        <v>7.2029999999999997E-2</v>
      </c>
      <c r="G2467">
        <v>5.3299999999999997E-3</v>
      </c>
      <c r="H2467">
        <v>0</v>
      </c>
      <c r="I2467">
        <v>0</v>
      </c>
      <c r="J2467" t="s">
        <v>469</v>
      </c>
      <c r="K2467" s="17">
        <f t="shared" si="155"/>
        <v>0</v>
      </c>
      <c r="L2467" t="s">
        <v>519</v>
      </c>
    </row>
    <row r="2468" spans="1:12" ht="15" customHeight="1" x14ac:dyDescent="0.2">
      <c r="A2468" s="81" t="s">
        <v>134</v>
      </c>
      <c r="B2468" s="104">
        <f>A2514*Variables!F$12</f>
        <v>238.11917704467612</v>
      </c>
      <c r="C2468" t="s">
        <v>332</v>
      </c>
      <c r="D2468" s="100">
        <v>0.16047</v>
      </c>
      <c r="E2468" t="s">
        <v>386</v>
      </c>
      <c r="F2468" s="8">
        <v>7.2027900000000002E-5</v>
      </c>
      <c r="G2468">
        <v>5.33E-2</v>
      </c>
      <c r="H2468">
        <v>0</v>
      </c>
      <c r="I2468">
        <v>0</v>
      </c>
      <c r="J2468" t="s">
        <v>470</v>
      </c>
      <c r="K2468" s="17">
        <f t="shared" si="155"/>
        <v>0</v>
      </c>
      <c r="L2468" t="s">
        <v>519</v>
      </c>
    </row>
    <row r="2469" spans="1:12" ht="15" customHeight="1" x14ac:dyDescent="0.2">
      <c r="A2469" s="81" t="s">
        <v>146</v>
      </c>
      <c r="B2469" s="104">
        <f>A2515*Variables!F$12</f>
        <v>19.335539170595151</v>
      </c>
      <c r="C2469" t="s">
        <v>283</v>
      </c>
      <c r="D2469" s="100">
        <v>1.6000000000000001E-3</v>
      </c>
      <c r="E2469" t="s">
        <v>387</v>
      </c>
      <c r="F2469">
        <v>7.2000000000000005E-4</v>
      </c>
      <c r="G2469">
        <v>0.53305000000000002</v>
      </c>
      <c r="H2469">
        <f>$A$7</f>
        <v>10</v>
      </c>
      <c r="I2469">
        <v>-1</v>
      </c>
      <c r="J2469" t="s">
        <v>471</v>
      </c>
      <c r="K2469" s="17">
        <f t="shared" si="155"/>
        <v>-3639325.39130894</v>
      </c>
      <c r="L2469" t="s">
        <v>519</v>
      </c>
    </row>
    <row r="2470" spans="1:12" ht="15" customHeight="1" x14ac:dyDescent="0.2">
      <c r="A2470" s="81" t="s">
        <v>147</v>
      </c>
      <c r="B2470" s="104">
        <f>A2516*Variables!F$12</f>
        <v>2.1483932411772391</v>
      </c>
      <c r="C2470" t="s">
        <v>284</v>
      </c>
      <c r="D2470" s="100">
        <v>1.6000000000000001E-4</v>
      </c>
      <c r="E2470" t="s">
        <v>388</v>
      </c>
      <c r="F2470" s="8">
        <v>7.2027900000000002E-5</v>
      </c>
      <c r="G2470">
        <v>5.3299999999999997E-3</v>
      </c>
      <c r="H2470">
        <f>$A$7</f>
        <v>10</v>
      </c>
      <c r="I2470">
        <v>-1</v>
      </c>
      <c r="J2470" t="s">
        <v>472</v>
      </c>
      <c r="K2470" s="17">
        <f t="shared" si="155"/>
        <v>-37864.070276588362</v>
      </c>
      <c r="L2470" t="s">
        <v>519</v>
      </c>
    </row>
    <row r="2471" spans="1:12" ht="15" customHeight="1" x14ac:dyDescent="0.2">
      <c r="A2471" s="98" t="s">
        <v>9</v>
      </c>
      <c r="B2471" s="104">
        <f>A2517*Variables!F$12</f>
        <v>281.08704186822092</v>
      </c>
      <c r="C2471" t="s">
        <v>285</v>
      </c>
      <c r="D2471" s="100">
        <v>1.6000000000000001E-3</v>
      </c>
      <c r="E2471" t="s">
        <v>389</v>
      </c>
      <c r="F2471">
        <v>7.2000000000000005E-4</v>
      </c>
      <c r="G2471">
        <v>0.53305000000000002</v>
      </c>
      <c r="H2471">
        <f>$A$7</f>
        <v>10</v>
      </c>
      <c r="I2471">
        <v>-1</v>
      </c>
      <c r="J2471" t="s">
        <v>473</v>
      </c>
      <c r="K2471" s="17">
        <f t="shared" si="155"/>
        <v>-3639325.39130894</v>
      </c>
      <c r="L2471" t="s">
        <v>519</v>
      </c>
    </row>
    <row r="2472" spans="1:12" x14ac:dyDescent="0.2">
      <c r="A2472" s="13"/>
      <c r="B2472" s="13"/>
      <c r="C2472" t="s">
        <v>286</v>
      </c>
      <c r="D2472" s="100">
        <v>1.6049999999999998E-2</v>
      </c>
      <c r="E2472" t="s">
        <v>390</v>
      </c>
      <c r="F2472">
        <v>7.1999999999999998E-3</v>
      </c>
      <c r="G2472">
        <v>5.3304799999999997</v>
      </c>
      <c r="H2472">
        <f>$A$6</f>
        <v>100</v>
      </c>
      <c r="I2472">
        <v>-1</v>
      </c>
      <c r="J2472" t="s">
        <v>474</v>
      </c>
      <c r="K2472" s="17">
        <f t="shared" si="155"/>
        <v>-363932707.60157365</v>
      </c>
      <c r="L2472" t="s">
        <v>519</v>
      </c>
    </row>
    <row r="2473" spans="1:12" x14ac:dyDescent="0.2">
      <c r="A2473" s="13"/>
      <c r="B2473" s="13"/>
      <c r="C2473" t="s">
        <v>287</v>
      </c>
      <c r="D2473" s="100">
        <v>1.6000000000000001E-3</v>
      </c>
      <c r="E2473" t="s">
        <v>391</v>
      </c>
      <c r="F2473">
        <v>7.2000000000000005E-4</v>
      </c>
      <c r="G2473">
        <v>53.3048</v>
      </c>
      <c r="H2473">
        <f>$A$6</f>
        <v>100</v>
      </c>
      <c r="I2473">
        <v>-1</v>
      </c>
      <c r="J2473" t="s">
        <v>475</v>
      </c>
      <c r="K2473" s="17">
        <f t="shared" si="155"/>
        <v>-3623100332.5117788</v>
      </c>
      <c r="L2473" t="s">
        <v>519</v>
      </c>
    </row>
    <row r="2474" spans="1:12" x14ac:dyDescent="0.2">
      <c r="A2474" s="358" t="s">
        <v>1199</v>
      </c>
      <c r="B2474" s="13"/>
      <c r="C2474" t="s">
        <v>288</v>
      </c>
      <c r="D2474" s="100">
        <v>1.6000000000000001E-3</v>
      </c>
      <c r="E2474" t="s">
        <v>392</v>
      </c>
      <c r="F2474">
        <v>7.2000000000000005E-4</v>
      </c>
      <c r="G2474">
        <v>5.3299999999999997E-3</v>
      </c>
      <c r="H2474">
        <f>$A$6</f>
        <v>100</v>
      </c>
      <c r="I2474">
        <v>-1</v>
      </c>
      <c r="J2474" t="s">
        <v>476</v>
      </c>
      <c r="K2474" s="17">
        <f t="shared" si="155"/>
        <v>-526013.21104520874</v>
      </c>
      <c r="L2474" t="s">
        <v>519</v>
      </c>
    </row>
    <row r="2475" spans="1:12" x14ac:dyDescent="0.2">
      <c r="A2475" s="358"/>
      <c r="B2475" s="13"/>
      <c r="C2475" t="s">
        <v>333</v>
      </c>
      <c r="D2475" s="100">
        <v>1.6000000000000001E-3</v>
      </c>
      <c r="E2475" t="s">
        <v>340</v>
      </c>
      <c r="F2475">
        <v>7.2000000000000005E-4</v>
      </c>
      <c r="G2475">
        <v>5.3304799999999997</v>
      </c>
      <c r="H2475">
        <f>$A$7</f>
        <v>10</v>
      </c>
      <c r="I2475">
        <v>-1</v>
      </c>
      <c r="J2475" t="s">
        <v>424</v>
      </c>
      <c r="K2475" s="17">
        <f t="shared" si="155"/>
        <v>-36245741.021038309</v>
      </c>
      <c r="L2475" t="s">
        <v>519</v>
      </c>
    </row>
    <row r="2476" spans="1:12" x14ac:dyDescent="0.2">
      <c r="A2476" s="358"/>
      <c r="B2476" s="13"/>
      <c r="C2476" t="s">
        <v>334</v>
      </c>
      <c r="D2476" s="100">
        <v>1.6049999999999998E-2</v>
      </c>
      <c r="E2476" t="s">
        <v>393</v>
      </c>
      <c r="F2476">
        <v>7.1999999999999998E-3</v>
      </c>
      <c r="G2476">
        <v>0.53305000000000002</v>
      </c>
      <c r="H2476">
        <v>0</v>
      </c>
      <c r="I2476">
        <v>0</v>
      </c>
      <c r="J2476" t="s">
        <v>477</v>
      </c>
      <c r="K2476" s="17">
        <f t="shared" si="155"/>
        <v>0</v>
      </c>
      <c r="L2476" t="s">
        <v>519</v>
      </c>
    </row>
    <row r="2477" spans="1:12" x14ac:dyDescent="0.2">
      <c r="A2477" s="62">
        <v>35.300410186063701</v>
      </c>
      <c r="B2477" s="13"/>
      <c r="C2477" t="s">
        <v>335</v>
      </c>
      <c r="D2477" s="100">
        <v>1.6000000000000001E-3</v>
      </c>
      <c r="E2477" t="s">
        <v>394</v>
      </c>
      <c r="F2477">
        <v>7.1999999999999998E-3</v>
      </c>
      <c r="G2477">
        <v>5.33E-2</v>
      </c>
      <c r="H2477">
        <f>$A$7</f>
        <v>10</v>
      </c>
      <c r="I2477">
        <v>-1</v>
      </c>
      <c r="J2477" t="s">
        <v>478</v>
      </c>
      <c r="K2477" s="17">
        <f t="shared" si="155"/>
        <v>-482012.59587034991</v>
      </c>
      <c r="L2477" t="s">
        <v>519</v>
      </c>
    </row>
    <row r="2478" spans="1:12" x14ac:dyDescent="0.2">
      <c r="A2478" s="62">
        <v>0.1583841891243393</v>
      </c>
      <c r="B2478" s="13"/>
      <c r="C2478" t="s">
        <v>289</v>
      </c>
      <c r="D2478" s="100">
        <v>1.6000000000000001E-3</v>
      </c>
      <c r="E2478" t="s">
        <v>395</v>
      </c>
      <c r="F2478">
        <v>7.2000000000000005E-4</v>
      </c>
      <c r="G2478">
        <v>5.3304799999999997</v>
      </c>
      <c r="H2478">
        <f>$A$7</f>
        <v>10</v>
      </c>
      <c r="I2478">
        <v>-1</v>
      </c>
      <c r="J2478" t="s">
        <v>479</v>
      </c>
      <c r="K2478" s="17">
        <f t="shared" si="155"/>
        <v>-36245741.021038309</v>
      </c>
      <c r="L2478" t="s">
        <v>519</v>
      </c>
    </row>
    <row r="2479" spans="1:12" x14ac:dyDescent="0.2">
      <c r="A2479" s="62">
        <v>0.16364626009872779</v>
      </c>
      <c r="B2479" s="13"/>
      <c r="C2479" t="s">
        <v>290</v>
      </c>
      <c r="D2479" s="100">
        <v>1.6000000000000001E-4</v>
      </c>
      <c r="E2479" t="s">
        <v>396</v>
      </c>
      <c r="F2479" s="8">
        <v>7.2027900000000002E-5</v>
      </c>
      <c r="G2479">
        <v>0.53305000000000002</v>
      </c>
      <c r="H2479">
        <f>$A$7</f>
        <v>10</v>
      </c>
      <c r="I2479">
        <v>-1</v>
      </c>
      <c r="J2479" t="s">
        <v>480</v>
      </c>
      <c r="K2479" s="17">
        <f t="shared" si="155"/>
        <v>-3624588.1404810078</v>
      </c>
      <c r="L2479" t="s">
        <v>519</v>
      </c>
    </row>
    <row r="2480" spans="1:12" x14ac:dyDescent="0.2">
      <c r="A2480" s="62">
        <v>0.16364626009872779</v>
      </c>
      <c r="B2480" s="13"/>
      <c r="C2480" t="s">
        <v>291</v>
      </c>
      <c r="D2480" s="100">
        <v>1.6000000000000001E-4</v>
      </c>
      <c r="E2480" t="s">
        <v>397</v>
      </c>
      <c r="F2480" s="8">
        <v>7.2027900000000002E-5</v>
      </c>
      <c r="G2480">
        <v>5.3299999999999997E-3</v>
      </c>
      <c r="H2480">
        <f>$A$8</f>
        <v>1</v>
      </c>
      <c r="I2480">
        <v>-1</v>
      </c>
      <c r="J2480" t="s">
        <v>481</v>
      </c>
      <c r="K2480" s="17">
        <f t="shared" si="155"/>
        <v>-3786.4070276588359</v>
      </c>
      <c r="L2480" t="s">
        <v>519</v>
      </c>
    </row>
    <row r="2481" spans="1:12" x14ac:dyDescent="0.2">
      <c r="A2481" s="62">
        <v>0.16364626009872779</v>
      </c>
      <c r="B2481" s="13"/>
      <c r="C2481" t="s">
        <v>292</v>
      </c>
      <c r="D2481" s="100">
        <v>0.16047</v>
      </c>
      <c r="E2481" t="s">
        <v>360</v>
      </c>
      <c r="F2481">
        <v>0.72028000000000003</v>
      </c>
      <c r="G2481">
        <v>5.33E-2</v>
      </c>
      <c r="H2481">
        <f>$A$6</f>
        <v>100</v>
      </c>
      <c r="I2481">
        <v>-1</v>
      </c>
      <c r="J2481" t="s">
        <v>444</v>
      </c>
      <c r="K2481" s="17">
        <f t="shared" si="155"/>
        <v>-123433202.16389461</v>
      </c>
      <c r="L2481" t="s">
        <v>519</v>
      </c>
    </row>
    <row r="2482" spans="1:12" x14ac:dyDescent="0.2">
      <c r="A2482" s="62">
        <v>0.16364626009872779</v>
      </c>
      <c r="B2482" s="13"/>
      <c r="C2482" t="s">
        <v>293</v>
      </c>
      <c r="D2482" s="100">
        <v>1.60467</v>
      </c>
      <c r="E2482" t="s">
        <v>398</v>
      </c>
      <c r="F2482">
        <v>7.2029999999999997E-2</v>
      </c>
      <c r="G2482">
        <v>5.33E-2</v>
      </c>
      <c r="H2482">
        <f>$A$7</f>
        <v>10</v>
      </c>
      <c r="I2482">
        <v>-1</v>
      </c>
      <c r="J2482" t="s">
        <v>482</v>
      </c>
      <c r="K2482" s="17">
        <f t="shared" si="155"/>
        <v>-6414592.5587179717</v>
      </c>
      <c r="L2482" t="s">
        <v>519</v>
      </c>
    </row>
    <row r="2483" spans="1:12" x14ac:dyDescent="0.2">
      <c r="A2483" s="62">
        <v>1.3991558426621153</v>
      </c>
      <c r="B2483" s="13"/>
      <c r="C2483" t="s">
        <v>294</v>
      </c>
      <c r="D2483" s="100">
        <v>1.6000000000000001E-4</v>
      </c>
      <c r="E2483" t="s">
        <v>399</v>
      </c>
      <c r="F2483" s="8">
        <v>7.2027900000000002E-5</v>
      </c>
      <c r="G2483">
        <v>5.33E-2</v>
      </c>
      <c r="H2483">
        <f>$A$8</f>
        <v>1</v>
      </c>
      <c r="I2483">
        <v>-1</v>
      </c>
      <c r="J2483" t="s">
        <v>483</v>
      </c>
      <c r="K2483" s="17">
        <f t="shared" si="155"/>
        <v>-36389.900101202751</v>
      </c>
      <c r="L2483" t="s">
        <v>519</v>
      </c>
    </row>
    <row r="2484" spans="1:12" x14ac:dyDescent="0.2">
      <c r="A2484" s="62">
        <v>177.98495659308057</v>
      </c>
      <c r="B2484" s="13"/>
      <c r="C2484" t="s">
        <v>336</v>
      </c>
      <c r="D2484" s="100">
        <v>1.6000000000000001E-3</v>
      </c>
      <c r="E2484" t="s">
        <v>400</v>
      </c>
      <c r="F2484">
        <v>7.2000000000000005E-4</v>
      </c>
      <c r="G2484">
        <v>5.33E-2</v>
      </c>
      <c r="H2484">
        <f>$A$6</f>
        <v>100</v>
      </c>
      <c r="I2484">
        <v>-1</v>
      </c>
      <c r="J2484" t="s">
        <v>484</v>
      </c>
      <c r="K2484" s="17">
        <f t="shared" si="155"/>
        <v>-3786362.5183996004</v>
      </c>
      <c r="L2484" t="s">
        <v>519</v>
      </c>
    </row>
    <row r="2485" spans="1:12" x14ac:dyDescent="0.2">
      <c r="A2485" s="62">
        <v>215.49749185132563</v>
      </c>
      <c r="B2485" s="13"/>
      <c r="C2485" t="s">
        <v>295</v>
      </c>
      <c r="D2485" s="100">
        <v>1.6000000000000001E-4</v>
      </c>
      <c r="E2485" t="s">
        <v>401</v>
      </c>
      <c r="F2485" s="8">
        <v>7.2027900000000002E-5</v>
      </c>
      <c r="G2485">
        <v>53.3048</v>
      </c>
      <c r="H2485">
        <f>$A$6</f>
        <v>100</v>
      </c>
      <c r="I2485">
        <v>-1</v>
      </c>
      <c r="J2485" t="s">
        <v>485</v>
      </c>
      <c r="K2485" s="17">
        <f t="shared" si="155"/>
        <v>-3622952960.0034995</v>
      </c>
      <c r="L2485" t="s">
        <v>519</v>
      </c>
    </row>
    <row r="2486" spans="1:12" x14ac:dyDescent="0.2">
      <c r="A2486" s="13"/>
      <c r="B2486" s="13"/>
      <c r="C2486" t="s">
        <v>296</v>
      </c>
      <c r="D2486" s="100">
        <v>1.60467</v>
      </c>
      <c r="E2486" t="s">
        <v>402</v>
      </c>
      <c r="F2486">
        <v>0.72028000000000003</v>
      </c>
      <c r="G2486">
        <v>5.33E-2</v>
      </c>
      <c r="H2486">
        <f>$A$7</f>
        <v>10</v>
      </c>
      <c r="I2486">
        <v>-1</v>
      </c>
      <c r="J2486" t="s">
        <v>486</v>
      </c>
      <c r="K2486" s="17">
        <f t="shared" si="155"/>
        <v>-16756215.246634673</v>
      </c>
      <c r="L2486" t="s">
        <v>519</v>
      </c>
    </row>
    <row r="2487" spans="1:12" x14ac:dyDescent="0.2">
      <c r="A2487" s="104">
        <v>84.957903053291744</v>
      </c>
      <c r="B2487" s="13"/>
      <c r="C2487" t="s">
        <v>297</v>
      </c>
      <c r="D2487" s="100">
        <v>1.6000000000000001E-4</v>
      </c>
      <c r="E2487" t="s">
        <v>403</v>
      </c>
      <c r="F2487" s="8">
        <v>7.2027900000000002E-5</v>
      </c>
      <c r="G2487">
        <v>0.53305000000000002</v>
      </c>
      <c r="H2487">
        <f>$A$7</f>
        <v>10</v>
      </c>
      <c r="I2487">
        <v>-1</v>
      </c>
      <c r="J2487" t="s">
        <v>487</v>
      </c>
      <c r="K2487" s="17">
        <f t="shared" si="155"/>
        <v>-3624588.1404810078</v>
      </c>
      <c r="L2487" t="s">
        <v>519</v>
      </c>
    </row>
    <row r="2488" spans="1:12" x14ac:dyDescent="0.2">
      <c r="A2488" s="104">
        <v>2.9764897130584514E-2</v>
      </c>
      <c r="B2488" s="13"/>
      <c r="C2488" t="s">
        <v>298</v>
      </c>
      <c r="D2488" s="100">
        <v>0.16047</v>
      </c>
      <c r="E2488" t="s">
        <v>394</v>
      </c>
      <c r="F2488" s="8">
        <v>7.2027900000000002E-5</v>
      </c>
      <c r="G2488">
        <v>5.3299999999999997E-3</v>
      </c>
      <c r="H2488">
        <f>$A$7</f>
        <v>10</v>
      </c>
      <c r="I2488">
        <v>-1</v>
      </c>
      <c r="J2488" t="s">
        <v>478</v>
      </c>
      <c r="K2488" s="17">
        <f t="shared" si="155"/>
        <v>-527707.02990725625</v>
      </c>
      <c r="L2488" t="s">
        <v>519</v>
      </c>
    </row>
    <row r="2489" spans="1:12" x14ac:dyDescent="0.2">
      <c r="A2489" s="104">
        <v>0.10422191396022742</v>
      </c>
      <c r="B2489" s="13"/>
      <c r="C2489" t="s">
        <v>299</v>
      </c>
      <c r="D2489" s="100">
        <v>1.6000000000000001E-4</v>
      </c>
      <c r="E2489" t="s">
        <v>404</v>
      </c>
      <c r="F2489" s="8">
        <v>7.2027900000000002E-5</v>
      </c>
      <c r="G2489">
        <v>5.3299999999999997E-3</v>
      </c>
      <c r="H2489">
        <f>$A$7</f>
        <v>10</v>
      </c>
      <c r="I2489">
        <v>-1</v>
      </c>
      <c r="J2489" t="s">
        <v>488</v>
      </c>
      <c r="K2489" s="17">
        <f t="shared" si="155"/>
        <v>-37864.070276588362</v>
      </c>
      <c r="L2489" t="s">
        <v>519</v>
      </c>
    </row>
    <row r="2490" spans="1:12" x14ac:dyDescent="0.2">
      <c r="A2490" s="104">
        <v>1.7880270023786241E-2</v>
      </c>
      <c r="B2490" s="13"/>
      <c r="C2490" t="s">
        <v>300</v>
      </c>
      <c r="D2490" s="100">
        <v>0.16047</v>
      </c>
      <c r="E2490" t="s">
        <v>405</v>
      </c>
      <c r="F2490">
        <v>7.2029999999999997E-2</v>
      </c>
      <c r="G2490">
        <v>5.3299999999999997E-3</v>
      </c>
      <c r="H2490">
        <f>$A$7</f>
        <v>10</v>
      </c>
      <c r="I2490">
        <v>-1</v>
      </c>
      <c r="J2490" t="s">
        <v>489</v>
      </c>
      <c r="K2490" s="17">
        <f t="shared" si="155"/>
        <v>-1675662.5977373172</v>
      </c>
      <c r="L2490" t="s">
        <v>519</v>
      </c>
    </row>
    <row r="2491" spans="1:12" x14ac:dyDescent="0.2">
      <c r="A2491" s="104">
        <v>9.1784345070771399E-3</v>
      </c>
      <c r="B2491" s="13"/>
      <c r="C2491" t="s">
        <v>301</v>
      </c>
      <c r="D2491" s="100">
        <v>1.6000000000000001E-3</v>
      </c>
      <c r="E2491" t="s">
        <v>406</v>
      </c>
      <c r="F2491">
        <v>7.2000000000000005E-4</v>
      </c>
      <c r="G2491">
        <v>53.3048</v>
      </c>
      <c r="H2491">
        <f>$A$6</f>
        <v>100</v>
      </c>
      <c r="I2491">
        <v>-1</v>
      </c>
      <c r="J2491" t="s">
        <v>490</v>
      </c>
      <c r="K2491" s="17">
        <f t="shared" si="155"/>
        <v>-3623100332.5117788</v>
      </c>
      <c r="L2491" t="s">
        <v>519</v>
      </c>
    </row>
    <row r="2492" spans="1:12" x14ac:dyDescent="0.2">
      <c r="A2492" s="104">
        <v>17.795439969283741</v>
      </c>
      <c r="B2492" s="13"/>
      <c r="C2492" t="s">
        <v>302</v>
      </c>
      <c r="D2492" s="100">
        <v>1.6000000000000001E-3</v>
      </c>
      <c r="E2492" t="s">
        <v>407</v>
      </c>
      <c r="F2492">
        <v>7.2000000000000005E-4</v>
      </c>
      <c r="G2492">
        <v>5.33E-2</v>
      </c>
      <c r="H2492">
        <f>$A$6</f>
        <v>100</v>
      </c>
      <c r="I2492">
        <v>-1</v>
      </c>
      <c r="J2492" t="s">
        <v>491</v>
      </c>
      <c r="K2492" s="17">
        <f t="shared" si="155"/>
        <v>-3786362.5183996004</v>
      </c>
      <c r="L2492" t="s">
        <v>519</v>
      </c>
    </row>
    <row r="2493" spans="1:12" x14ac:dyDescent="0.2">
      <c r="A2493" s="104">
        <v>102.91438853819714</v>
      </c>
      <c r="B2493" s="13"/>
      <c r="C2493" t="s">
        <v>303</v>
      </c>
      <c r="D2493" s="100">
        <v>1.6000000000000001E-3</v>
      </c>
      <c r="E2493" t="s">
        <v>408</v>
      </c>
      <c r="F2493">
        <v>7.2000000000000005E-4</v>
      </c>
      <c r="G2493">
        <v>0.53305000000000002</v>
      </c>
      <c r="H2493">
        <f>$A$7</f>
        <v>10</v>
      </c>
      <c r="I2493">
        <v>-1</v>
      </c>
      <c r="J2493" t="s">
        <v>492</v>
      </c>
      <c r="K2493" s="17">
        <f t="shared" ref="K2493:K2502" si="156">((SUM(B$2399:B$2405,B$2418:B$2421,B$2434:B$2438,B$2451:B$2455,B$2467:B$2470)*D2493)+(SUM(B$2406,B$2422,B$2439,B$2456)*F2493)+(SUM(B$2417,B$2433,B$2450)*G2493))*H2493*I2493</f>
        <v>-3639325.39130894</v>
      </c>
      <c r="L2493" t="s">
        <v>519</v>
      </c>
    </row>
    <row r="2494" spans="1:12" x14ac:dyDescent="0.2">
      <c r="A2494" s="13"/>
      <c r="B2494" s="13"/>
      <c r="C2494" t="s">
        <v>304</v>
      </c>
      <c r="D2494" s="100">
        <v>1.60467</v>
      </c>
      <c r="E2494" t="s">
        <v>409</v>
      </c>
      <c r="F2494">
        <v>0.72028000000000003</v>
      </c>
      <c r="G2494">
        <v>53.3048</v>
      </c>
      <c r="H2494">
        <f>$A$6</f>
        <v>100</v>
      </c>
      <c r="I2494">
        <v>-1</v>
      </c>
      <c r="J2494" t="s">
        <v>493</v>
      </c>
      <c r="K2494" s="17">
        <f t="shared" si="156"/>
        <v>-3786876122.4597259</v>
      </c>
      <c r="L2494" t="s">
        <v>519</v>
      </c>
    </row>
    <row r="2495" spans="1:12" x14ac:dyDescent="0.2">
      <c r="A2495" s="104">
        <v>3.0578497852810149E-6</v>
      </c>
      <c r="B2495" s="13"/>
      <c r="C2495" t="s">
        <v>305</v>
      </c>
      <c r="D2495" s="100">
        <v>1.6000000000000001E-3</v>
      </c>
      <c r="E2495" t="s">
        <v>410</v>
      </c>
      <c r="F2495">
        <v>7.2000000000000005E-4</v>
      </c>
      <c r="G2495">
        <v>5.33E-2</v>
      </c>
      <c r="H2495">
        <f>$A$7</f>
        <v>10</v>
      </c>
      <c r="I2495">
        <v>-1</v>
      </c>
      <c r="J2495" t="s">
        <v>494</v>
      </c>
      <c r="K2495" s="17">
        <f t="shared" si="156"/>
        <v>-378636.25183995999</v>
      </c>
      <c r="L2495" t="s">
        <v>519</v>
      </c>
    </row>
    <row r="2496" spans="1:12" x14ac:dyDescent="0.2">
      <c r="A2496" s="104">
        <v>2.6854915514715489E-3</v>
      </c>
      <c r="B2496" s="13"/>
      <c r="C2496" t="s">
        <v>306</v>
      </c>
      <c r="D2496" s="100">
        <v>1.6049999999999998E-2</v>
      </c>
      <c r="E2496" t="s">
        <v>411</v>
      </c>
      <c r="F2496">
        <v>7.2000000000000005E-4</v>
      </c>
      <c r="G2496">
        <v>5.33E-2</v>
      </c>
      <c r="H2496">
        <f>$A$8</f>
        <v>1</v>
      </c>
      <c r="I2496">
        <v>-1</v>
      </c>
      <c r="J2496" t="s">
        <v>495</v>
      </c>
      <c r="K2496" s="17">
        <f t="shared" si="156"/>
        <v>-42278.96469286205</v>
      </c>
      <c r="L2496" t="s">
        <v>519</v>
      </c>
    </row>
    <row r="2497" spans="1:12" x14ac:dyDescent="0.2">
      <c r="A2497" s="104">
        <v>2.6957788861961361E-4</v>
      </c>
      <c r="B2497" s="13"/>
      <c r="C2497" t="s">
        <v>307</v>
      </c>
      <c r="D2497" s="100">
        <v>1.6049999999999998E-2</v>
      </c>
      <c r="E2497" t="s">
        <v>411</v>
      </c>
      <c r="F2497">
        <v>7.2000000000000005E-4</v>
      </c>
      <c r="G2497">
        <v>5.33E-2</v>
      </c>
      <c r="H2497">
        <f>$A$8</f>
        <v>1</v>
      </c>
      <c r="I2497">
        <v>-1</v>
      </c>
      <c r="J2497" t="s">
        <v>495</v>
      </c>
      <c r="K2497" s="17">
        <f t="shared" si="156"/>
        <v>-42278.96469286205</v>
      </c>
      <c r="L2497" t="s">
        <v>519</v>
      </c>
    </row>
    <row r="2498" spans="1:12" x14ac:dyDescent="0.2">
      <c r="A2498" s="104">
        <v>0.10427864982016832</v>
      </c>
      <c r="B2498" s="13"/>
      <c r="C2498" t="s">
        <v>337</v>
      </c>
      <c r="D2498" s="100">
        <v>1.6049999999999998E-2</v>
      </c>
      <c r="E2498" t="s">
        <v>412</v>
      </c>
      <c r="F2498">
        <v>0.72028000000000003</v>
      </c>
      <c r="G2498">
        <v>53.3048</v>
      </c>
      <c r="H2498">
        <v>0</v>
      </c>
      <c r="I2498">
        <v>0</v>
      </c>
      <c r="J2498" t="s">
        <v>496</v>
      </c>
      <c r="K2498" s="17">
        <f t="shared" si="156"/>
        <v>0</v>
      </c>
      <c r="L2498" t="s">
        <v>519</v>
      </c>
    </row>
    <row r="2499" spans="1:12" x14ac:dyDescent="0.2">
      <c r="A2499" s="104">
        <v>0.10381143671165979</v>
      </c>
      <c r="B2499" s="13"/>
      <c r="C2499" t="s">
        <v>308</v>
      </c>
      <c r="D2499" s="100">
        <v>1.6000000000000001E-3</v>
      </c>
      <c r="E2499" t="s">
        <v>413</v>
      </c>
      <c r="F2499">
        <v>7.2000000000000005E-4</v>
      </c>
      <c r="G2499">
        <v>5.3299999999999997E-3</v>
      </c>
      <c r="H2499">
        <f>$A$7</f>
        <v>10</v>
      </c>
      <c r="I2499">
        <v>-1</v>
      </c>
      <c r="J2499" t="s">
        <v>497</v>
      </c>
      <c r="K2499" s="17">
        <f t="shared" si="156"/>
        <v>-52601.321104520874</v>
      </c>
      <c r="L2499" t="s">
        <v>519</v>
      </c>
    </row>
    <row r="2500" spans="1:12" x14ac:dyDescent="0.2">
      <c r="A2500" s="104">
        <v>8.4225063316289803E-2</v>
      </c>
      <c r="B2500" s="13"/>
      <c r="C2500" t="s">
        <v>309</v>
      </c>
      <c r="D2500" s="100">
        <v>1.6000000000000001E-3</v>
      </c>
      <c r="E2500" t="s">
        <v>413</v>
      </c>
      <c r="F2500">
        <v>7.2000000000000005E-4</v>
      </c>
      <c r="G2500">
        <v>5.3299999999999997E-3</v>
      </c>
      <c r="H2500">
        <f>$A$7</f>
        <v>10</v>
      </c>
      <c r="I2500">
        <v>-1</v>
      </c>
      <c r="J2500" t="s">
        <v>497</v>
      </c>
      <c r="K2500" s="17">
        <f t="shared" si="156"/>
        <v>-52601.321104520874</v>
      </c>
      <c r="L2500" t="s">
        <v>519</v>
      </c>
    </row>
    <row r="2501" spans="1:12" x14ac:dyDescent="0.2">
      <c r="A2501" s="104">
        <v>0.34917714017727941</v>
      </c>
      <c r="B2501" s="13"/>
      <c r="C2501" t="s">
        <v>310</v>
      </c>
      <c r="D2501" s="100">
        <v>1.6000000000000001E-3</v>
      </c>
      <c r="E2501" t="s">
        <v>413</v>
      </c>
      <c r="F2501">
        <v>7.2000000000000005E-4</v>
      </c>
      <c r="G2501">
        <v>5.3299999999999997E-3</v>
      </c>
      <c r="H2501">
        <v>0</v>
      </c>
      <c r="I2501">
        <v>0</v>
      </c>
      <c r="J2501" t="s">
        <v>497</v>
      </c>
      <c r="K2501" s="17">
        <f t="shared" si="156"/>
        <v>0</v>
      </c>
      <c r="L2501" t="s">
        <v>519</v>
      </c>
    </row>
    <row r="2502" spans="1:12" x14ac:dyDescent="0.2">
      <c r="A2502" s="104">
        <v>0.64445041731527375</v>
      </c>
      <c r="B2502" s="13"/>
      <c r="C2502" t="s">
        <v>311</v>
      </c>
      <c r="D2502" s="100">
        <v>1.6000000000000001E-3</v>
      </c>
      <c r="E2502" t="s">
        <v>414</v>
      </c>
      <c r="F2502">
        <v>7.2000000000000005E-4</v>
      </c>
      <c r="G2502">
        <v>5.33E-2</v>
      </c>
      <c r="H2502">
        <f>$A$7</f>
        <v>10</v>
      </c>
      <c r="I2502">
        <v>-1</v>
      </c>
      <c r="J2502" t="s">
        <v>498</v>
      </c>
      <c r="K2502" s="17">
        <f t="shared" si="156"/>
        <v>-378636.25183995999</v>
      </c>
      <c r="L2502" t="s">
        <v>519</v>
      </c>
    </row>
    <row r="2503" spans="1:12" x14ac:dyDescent="0.2">
      <c r="A2503" s="13"/>
      <c r="B2503" s="13"/>
      <c r="C2503" s="52"/>
      <c r="D2503" s="52"/>
      <c r="E2503" s="52"/>
    </row>
    <row r="2504" spans="1:12" x14ac:dyDescent="0.2">
      <c r="A2504" s="104">
        <v>1.2253578342860447E-4</v>
      </c>
      <c r="B2504" s="13"/>
      <c r="C2504" s="52"/>
      <c r="D2504" s="52"/>
      <c r="E2504" s="52"/>
    </row>
    <row r="2505" spans="1:12" ht="15" customHeight="1" x14ac:dyDescent="0.2">
      <c r="A2505" s="104">
        <v>7.5417703765291292E-9</v>
      </c>
      <c r="B2505" s="13"/>
      <c r="C2505" s="52"/>
      <c r="D2505" s="52"/>
      <c r="E2505" s="52"/>
    </row>
    <row r="2506" spans="1:12" ht="15" customHeight="1" x14ac:dyDescent="0.2">
      <c r="A2506" s="104">
        <v>2.6854915514715489E-3</v>
      </c>
    </row>
    <row r="2507" spans="1:12" ht="15" customHeight="1" x14ac:dyDescent="0.2">
      <c r="A2507" s="104">
        <v>2.6957788861961361E-4</v>
      </c>
    </row>
    <row r="2508" spans="1:12" x14ac:dyDescent="0.2">
      <c r="A2508" s="104">
        <v>0.10381143671165979</v>
      </c>
    </row>
    <row r="2509" spans="1:12" x14ac:dyDescent="0.2">
      <c r="A2509" s="104">
        <v>8.4225063316289803E-2</v>
      </c>
    </row>
    <row r="2510" spans="1:12" x14ac:dyDescent="0.2">
      <c r="A2510" s="104">
        <v>3.2846701832413765</v>
      </c>
    </row>
    <row r="2511" spans="1:12" x14ac:dyDescent="0.2">
      <c r="A2511" s="104">
        <v>3.4757842960346159</v>
      </c>
    </row>
    <row r="2513" spans="1:1" x14ac:dyDescent="0.2">
      <c r="A2513" s="104">
        <v>2.6854915514715489E-3</v>
      </c>
    </row>
    <row r="2514" spans="1:1" x14ac:dyDescent="0.2">
      <c r="A2514" s="104">
        <v>2.9764897130584514E-2</v>
      </c>
    </row>
    <row r="2515" spans="1:1" x14ac:dyDescent="0.2">
      <c r="A2515" s="104">
        <v>2.4169423963243939E-3</v>
      </c>
    </row>
    <row r="2516" spans="1:1" x14ac:dyDescent="0.2">
      <c r="A2516" s="104">
        <v>2.6854915514715487E-4</v>
      </c>
    </row>
    <row r="2517" spans="1:1" x14ac:dyDescent="0.2">
      <c r="A2517" s="104">
        <v>3.5135880233527615E-2</v>
      </c>
    </row>
  </sheetData>
  <mergeCells count="208">
    <mergeCell ref="S1:AF2"/>
    <mergeCell ref="S3:AA4"/>
    <mergeCell ref="AB3:AF4"/>
    <mergeCell ref="AN3:AQ4"/>
    <mergeCell ref="AH1:AU2"/>
    <mergeCell ref="AH3:AM4"/>
    <mergeCell ref="A2412:B2413"/>
    <mergeCell ref="A2394:B2395"/>
    <mergeCell ref="C2394:E2394"/>
    <mergeCell ref="H2394:J2395"/>
    <mergeCell ref="K2394:L2395"/>
    <mergeCell ref="M2394:N2395"/>
    <mergeCell ref="A2392:N2393"/>
    <mergeCell ref="A2396:A2398"/>
    <mergeCell ref="B2396:B2398"/>
    <mergeCell ref="A2320:A2322"/>
    <mergeCell ref="B2320:B2322"/>
    <mergeCell ref="A2288:B2289"/>
    <mergeCell ref="G2280:I2281"/>
    <mergeCell ref="J2280:K2281"/>
    <mergeCell ref="L2280:M2281"/>
    <mergeCell ref="A2278:M2279"/>
    <mergeCell ref="A2195:A2197"/>
    <mergeCell ref="B2195:B2197"/>
    <mergeCell ref="A2464:A2466"/>
    <mergeCell ref="B2464:B2466"/>
    <mergeCell ref="A2462:B2463"/>
    <mergeCell ref="A2445:B2446"/>
    <mergeCell ref="A2428:B2429"/>
    <mergeCell ref="A2414:A2416"/>
    <mergeCell ref="B2414:B2416"/>
    <mergeCell ref="A2430:A2432"/>
    <mergeCell ref="B2430:B2432"/>
    <mergeCell ref="A2447:A2449"/>
    <mergeCell ref="B2447:B2449"/>
    <mergeCell ref="F1941:H1942"/>
    <mergeCell ref="I1941:J1942"/>
    <mergeCell ref="K1941:L1942"/>
    <mergeCell ref="C2280:E2280"/>
    <mergeCell ref="A2318:B2319"/>
    <mergeCell ref="A2165:L2166"/>
    <mergeCell ref="A2180:B2181"/>
    <mergeCell ref="A2183:A2185"/>
    <mergeCell ref="B2183:B2185"/>
    <mergeCell ref="A2192:B2193"/>
    <mergeCell ref="A2167:A2169"/>
    <mergeCell ref="B2167:B2169"/>
    <mergeCell ref="A2206:B2207"/>
    <mergeCell ref="A2209:A2211"/>
    <mergeCell ref="B2209:B2211"/>
    <mergeCell ref="A2290:A2292"/>
    <mergeCell ref="B2290:B2292"/>
    <mergeCell ref="A2304:B2305"/>
    <mergeCell ref="A2306:A2308"/>
    <mergeCell ref="B2306:B2308"/>
    <mergeCell ref="A2280:A2282"/>
    <mergeCell ref="B2280:B2282"/>
    <mergeCell ref="A1824:S1825"/>
    <mergeCell ref="A1827:L1828"/>
    <mergeCell ref="A1829:A1830"/>
    <mergeCell ref="B1829:B1830"/>
    <mergeCell ref="C1829:E1829"/>
    <mergeCell ref="F1829:H1830"/>
    <mergeCell ref="I1829:J1830"/>
    <mergeCell ref="K1829:L1830"/>
    <mergeCell ref="A1713:A1715"/>
    <mergeCell ref="B1713:B1715"/>
    <mergeCell ref="C1713:E1713"/>
    <mergeCell ref="I1713:K1714"/>
    <mergeCell ref="L1713:M1714"/>
    <mergeCell ref="N1713:O1714"/>
    <mergeCell ref="A1711:O1712"/>
    <mergeCell ref="N1487:O1488"/>
    <mergeCell ref="A1485:O1486"/>
    <mergeCell ref="A1600:A1602"/>
    <mergeCell ref="B1600:B1602"/>
    <mergeCell ref="C1600:E1600"/>
    <mergeCell ref="I1600:K1601"/>
    <mergeCell ref="L1600:M1601"/>
    <mergeCell ref="N1600:O1601"/>
    <mergeCell ref="A1598:O1599"/>
    <mergeCell ref="A1487:A1489"/>
    <mergeCell ref="B1487:B1489"/>
    <mergeCell ref="C1487:E1487"/>
    <mergeCell ref="I1487:K1488"/>
    <mergeCell ref="L1487:M1488"/>
    <mergeCell ref="A1372:P1373"/>
    <mergeCell ref="A1374:A1376"/>
    <mergeCell ref="B1374:B1376"/>
    <mergeCell ref="C1374:E1374"/>
    <mergeCell ref="H1374:J1375"/>
    <mergeCell ref="K1374:L1375"/>
    <mergeCell ref="M1374:N1375"/>
    <mergeCell ref="I1261:K1262"/>
    <mergeCell ref="L1261:M1262"/>
    <mergeCell ref="N1261:O1262"/>
    <mergeCell ref="A1259:O1260"/>
    <mergeCell ref="A1261:A1263"/>
    <mergeCell ref="B1261:B1263"/>
    <mergeCell ref="C1261:E1261"/>
    <mergeCell ref="M1034:N1035"/>
    <mergeCell ref="O1034:P1035"/>
    <mergeCell ref="A1032:P1033"/>
    <mergeCell ref="A1147:A1149"/>
    <mergeCell ref="B1147:B1149"/>
    <mergeCell ref="C1147:E1147"/>
    <mergeCell ref="H1147:J1148"/>
    <mergeCell ref="K1147:L1148"/>
    <mergeCell ref="M1147:N1148"/>
    <mergeCell ref="A1145:N1146"/>
    <mergeCell ref="A1034:A1036"/>
    <mergeCell ref="B1034:B1036"/>
    <mergeCell ref="C1034:E1034"/>
    <mergeCell ref="J1034:L1035"/>
    <mergeCell ref="A921:A923"/>
    <mergeCell ref="B921:B923"/>
    <mergeCell ref="C921:E921"/>
    <mergeCell ref="K921:L922"/>
    <mergeCell ref="M921:N922"/>
    <mergeCell ref="H921:J922"/>
    <mergeCell ref="A919:N920"/>
    <mergeCell ref="O696:P697"/>
    <mergeCell ref="A694:P695"/>
    <mergeCell ref="A807:N808"/>
    <mergeCell ref="A809:A811"/>
    <mergeCell ref="B809:B811"/>
    <mergeCell ref="C809:E809"/>
    <mergeCell ref="H809:J810"/>
    <mergeCell ref="K809:L810"/>
    <mergeCell ref="M809:N810"/>
    <mergeCell ref="A696:A698"/>
    <mergeCell ref="B696:B698"/>
    <mergeCell ref="C696:E696"/>
    <mergeCell ref="J696:L697"/>
    <mergeCell ref="M696:N697"/>
    <mergeCell ref="F18:H18"/>
    <mergeCell ref="C18:E18"/>
    <mergeCell ref="L18:M19"/>
    <mergeCell ref="C19:E19"/>
    <mergeCell ref="A1:O2"/>
    <mergeCell ref="A18:A20"/>
    <mergeCell ref="B18:B20"/>
    <mergeCell ref="C131:E131"/>
    <mergeCell ref="N131:O132"/>
    <mergeCell ref="A4:C4"/>
    <mergeCell ref="K131:M132"/>
    <mergeCell ref="F19:H19"/>
    <mergeCell ref="N18:O19"/>
    <mergeCell ref="A16:O17"/>
    <mergeCell ref="I18:K19"/>
    <mergeCell ref="A13:O14"/>
    <mergeCell ref="I356:K357"/>
    <mergeCell ref="L356:M357"/>
    <mergeCell ref="N356:O357"/>
    <mergeCell ref="A129:Q130"/>
    <mergeCell ref="A244:A246"/>
    <mergeCell ref="B244:B246"/>
    <mergeCell ref="C244:E244"/>
    <mergeCell ref="C245:E245"/>
    <mergeCell ref="J244:L245"/>
    <mergeCell ref="M244:N245"/>
    <mergeCell ref="O244:P245"/>
    <mergeCell ref="A242:P243"/>
    <mergeCell ref="P131:Q132"/>
    <mergeCell ref="A356:A358"/>
    <mergeCell ref="B356:B358"/>
    <mergeCell ref="C356:E356"/>
    <mergeCell ref="A354:O355"/>
    <mergeCell ref="B131:B133"/>
    <mergeCell ref="A131:A133"/>
    <mergeCell ref="I469:K470"/>
    <mergeCell ref="L469:M470"/>
    <mergeCell ref="N469:O470"/>
    <mergeCell ref="A467:O468"/>
    <mergeCell ref="A469:A471"/>
    <mergeCell ref="B469:B471"/>
    <mergeCell ref="C469:E469"/>
    <mergeCell ref="O582:P583"/>
    <mergeCell ref="A580:P581"/>
    <mergeCell ref="A582:A584"/>
    <mergeCell ref="B582:B584"/>
    <mergeCell ref="C582:E582"/>
    <mergeCell ref="J582:L583"/>
    <mergeCell ref="M582:N583"/>
    <mergeCell ref="A1836:A1837"/>
    <mergeCell ref="A1952:A1953"/>
    <mergeCell ref="A2071:A2073"/>
    <mergeCell ref="A2218:A2220"/>
    <mergeCell ref="A2229:A2231"/>
    <mergeCell ref="A2235:A2237"/>
    <mergeCell ref="A2243:A2245"/>
    <mergeCell ref="A2329:A2331"/>
    <mergeCell ref="A2474:A2476"/>
    <mergeCell ref="A1939:L1940"/>
    <mergeCell ref="A2054:A2056"/>
    <mergeCell ref="B2054:B2056"/>
    <mergeCell ref="C2054:E2054"/>
    <mergeCell ref="G2054:I2055"/>
    <mergeCell ref="J2054:K2055"/>
    <mergeCell ref="L2054:M2055"/>
    <mergeCell ref="A2052:M2053"/>
    <mergeCell ref="C2167:E2167"/>
    <mergeCell ref="F2167:H2168"/>
    <mergeCell ref="I2167:J2168"/>
    <mergeCell ref="K2167:L2168"/>
    <mergeCell ref="A1941:A1942"/>
    <mergeCell ref="B1941:B1942"/>
    <mergeCell ref="C1941:E194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84C64-5CE1-EE48-8C3F-64181BA90B41}">
  <sheetPr codeName="Sheet4"/>
  <dimension ref="A1:AQ359"/>
  <sheetViews>
    <sheetView zoomScale="160" zoomScaleNormal="160" workbookViewId="0">
      <selection activeCell="B16" sqref="B16"/>
    </sheetView>
  </sheetViews>
  <sheetFormatPr baseColWidth="10" defaultRowHeight="15" x14ac:dyDescent="0.2"/>
  <cols>
    <col min="1" max="1" width="30.5" customWidth="1"/>
    <col min="2" max="3" width="20.1640625" customWidth="1"/>
    <col min="4" max="4" width="34.5" customWidth="1"/>
    <col min="5" max="5" width="31.6640625" customWidth="1"/>
    <col min="7" max="7" width="19.6640625" customWidth="1"/>
    <col min="13" max="13" width="20.6640625" customWidth="1"/>
    <col min="14" max="14" width="18.83203125" customWidth="1"/>
    <col min="15" max="15" width="16.1640625" customWidth="1"/>
    <col min="17" max="17" width="9.83203125" customWidth="1"/>
    <col min="24" max="24" width="11.6640625" bestFit="1" customWidth="1"/>
    <col min="31" max="31" width="21.6640625" customWidth="1"/>
    <col min="32" max="32" width="21.83203125" customWidth="1"/>
    <col min="33" max="33" width="16.33203125" bestFit="1" customWidth="1"/>
    <col min="34" max="34" width="12" customWidth="1"/>
    <col min="37" max="37" width="11.6640625" bestFit="1" customWidth="1"/>
    <col min="40" max="40" width="14.33203125" customWidth="1"/>
    <col min="41" max="41" width="15.6640625" customWidth="1"/>
    <col min="42" max="42" width="20.5" customWidth="1"/>
  </cols>
  <sheetData>
    <row r="1" spans="1:43" x14ac:dyDescent="0.2">
      <c r="A1" s="317" t="s">
        <v>315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W1" s="458" t="s">
        <v>1012</v>
      </c>
      <c r="X1" s="459"/>
      <c r="Y1" s="459"/>
      <c r="Z1" s="459"/>
      <c r="AA1" s="459"/>
      <c r="AB1" s="459"/>
      <c r="AC1" s="459"/>
      <c r="AD1" s="459"/>
      <c r="AE1" s="459"/>
      <c r="AF1" s="459"/>
      <c r="AG1" s="459"/>
      <c r="AH1" s="460"/>
      <c r="AJ1" s="458" t="s">
        <v>1017</v>
      </c>
      <c r="AK1" s="459"/>
      <c r="AL1" s="459"/>
      <c r="AM1" s="459"/>
      <c r="AN1" s="459"/>
      <c r="AO1" s="459"/>
      <c r="AP1" s="459"/>
      <c r="AQ1" s="460"/>
    </row>
    <row r="2" spans="1:43" ht="16" thickBot="1" x14ac:dyDescent="0.25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W2" s="490"/>
      <c r="X2" s="357"/>
      <c r="Y2" s="357"/>
      <c r="Z2" s="357"/>
      <c r="AA2" s="357"/>
      <c r="AB2" s="357"/>
      <c r="AC2" s="357"/>
      <c r="AD2" s="357"/>
      <c r="AE2" s="357"/>
      <c r="AF2" s="357"/>
      <c r="AG2" s="357"/>
      <c r="AH2" s="491"/>
      <c r="AJ2" s="490"/>
      <c r="AK2" s="357"/>
      <c r="AL2" s="357"/>
      <c r="AM2" s="357"/>
      <c r="AN2" s="357"/>
      <c r="AO2" s="357"/>
      <c r="AP2" s="357"/>
      <c r="AQ2" s="491"/>
    </row>
    <row r="3" spans="1:43" ht="15" customHeight="1" x14ac:dyDescent="0.2">
      <c r="B3" s="56"/>
      <c r="C3" s="56"/>
      <c r="D3" s="56"/>
      <c r="E3" s="56"/>
      <c r="F3" s="56"/>
      <c r="W3" s="440" t="s">
        <v>1084</v>
      </c>
      <c r="X3" s="441"/>
      <c r="Y3" s="441"/>
      <c r="Z3" s="441"/>
      <c r="AA3" s="441"/>
      <c r="AB3" s="441"/>
      <c r="AC3" s="442"/>
      <c r="AD3" s="446" t="s">
        <v>1014</v>
      </c>
      <c r="AE3" s="447"/>
      <c r="AF3" s="447"/>
      <c r="AG3" s="447"/>
      <c r="AH3" s="448"/>
      <c r="AJ3" s="440" t="s">
        <v>1084</v>
      </c>
      <c r="AK3" s="441"/>
      <c r="AL3" s="441"/>
      <c r="AM3" s="442"/>
      <c r="AN3" s="446" t="s">
        <v>1014</v>
      </c>
      <c r="AO3" s="447"/>
      <c r="AP3" s="447"/>
      <c r="AQ3" s="448"/>
    </row>
    <row r="4" spans="1:43" ht="15" customHeight="1" thickBot="1" x14ac:dyDescent="0.25">
      <c r="B4" s="492" t="s">
        <v>500</v>
      </c>
      <c r="C4" s="493"/>
      <c r="D4" s="494"/>
      <c r="E4" s="56"/>
      <c r="F4" s="56"/>
      <c r="G4" s="129"/>
      <c r="H4" s="129"/>
      <c r="I4" s="129"/>
      <c r="J4" s="129"/>
      <c r="K4" s="129"/>
      <c r="L4" s="129"/>
      <c r="M4" s="129"/>
      <c r="W4" s="443"/>
      <c r="X4" s="444"/>
      <c r="Y4" s="444"/>
      <c r="Z4" s="444"/>
      <c r="AA4" s="444"/>
      <c r="AB4" s="444"/>
      <c r="AC4" s="445"/>
      <c r="AD4" s="449"/>
      <c r="AE4" s="450"/>
      <c r="AF4" s="450"/>
      <c r="AG4" s="450"/>
      <c r="AH4" s="451"/>
      <c r="AJ4" s="443"/>
      <c r="AK4" s="444"/>
      <c r="AL4" s="444"/>
      <c r="AM4" s="445"/>
      <c r="AN4" s="449"/>
      <c r="AO4" s="450"/>
      <c r="AP4" s="450"/>
      <c r="AQ4" s="451"/>
    </row>
    <row r="5" spans="1:43" x14ac:dyDescent="0.2">
      <c r="B5" s="83" t="s">
        <v>0</v>
      </c>
      <c r="C5" s="84" t="s">
        <v>3</v>
      </c>
      <c r="D5" s="84" t="s">
        <v>5</v>
      </c>
      <c r="E5" s="56"/>
      <c r="F5" s="56"/>
      <c r="G5" s="129"/>
      <c r="H5" s="129"/>
      <c r="I5" s="129"/>
      <c r="J5" s="129"/>
      <c r="K5" s="129"/>
      <c r="L5" s="129"/>
      <c r="M5" s="129"/>
      <c r="W5" s="109" t="s">
        <v>979</v>
      </c>
      <c r="X5" s="109" t="s">
        <v>507</v>
      </c>
      <c r="Y5" s="109" t="s">
        <v>663</v>
      </c>
      <c r="Z5" s="109" t="s">
        <v>982</v>
      </c>
      <c r="AA5" s="109" t="s">
        <v>1054</v>
      </c>
      <c r="AB5" s="109" t="s">
        <v>980</v>
      </c>
      <c r="AC5" s="109" t="s">
        <v>981</v>
      </c>
      <c r="AE5" s="228" t="s">
        <v>1059</v>
      </c>
      <c r="AF5" s="228" t="s">
        <v>1058</v>
      </c>
      <c r="AG5" s="228" t="s">
        <v>1060</v>
      </c>
      <c r="AH5" s="228" t="s">
        <v>1061</v>
      </c>
      <c r="AJ5" s="228" t="s">
        <v>991</v>
      </c>
      <c r="AK5" s="228" t="s">
        <v>1086</v>
      </c>
      <c r="AL5" s="228" t="s">
        <v>529</v>
      </c>
      <c r="AM5" s="228" t="s">
        <v>1087</v>
      </c>
      <c r="AO5" s="228" t="s">
        <v>1059</v>
      </c>
      <c r="AP5" s="228" t="s">
        <v>1058</v>
      </c>
      <c r="AQ5" s="228" t="s">
        <v>1061</v>
      </c>
    </row>
    <row r="6" spans="1:43" x14ac:dyDescent="0.2">
      <c r="B6" s="238">
        <f>Variables!F4</f>
        <v>100</v>
      </c>
      <c r="C6" s="85" t="s">
        <v>312</v>
      </c>
      <c r="D6" s="85" t="s">
        <v>1020</v>
      </c>
      <c r="E6" s="56"/>
      <c r="F6" s="56"/>
      <c r="J6" s="127"/>
      <c r="K6" s="127"/>
      <c r="L6" s="127"/>
      <c r="M6" s="128"/>
      <c r="W6" s="17">
        <f>$C$39*F26*L26*M26</f>
        <v>-7689.5226501506131</v>
      </c>
      <c r="X6" s="17">
        <f>(SUM($C$27:$C$37)+SUM(C$140:C$141,C$146:C$147,C$150:C$153))*I26*L26*M26</f>
        <v>-112825.81676771201</v>
      </c>
      <c r="Y6">
        <f>($C$38+SUM(C$142:C$143,C$145))*J26*L26*M26</f>
        <v>-18159.217767696511</v>
      </c>
      <c r="Z6" s="17">
        <f>($C$26+C$148)*K26*L26*M26</f>
        <v>-7787.4392184410435</v>
      </c>
      <c r="AA6" s="17">
        <f>$C$40*H26*L26*M26</f>
        <v>-58193.933078523194</v>
      </c>
      <c r="AB6" s="17">
        <f>C$144*H140*L140*M140</f>
        <v>-685.56269375388786</v>
      </c>
      <c r="AC6" s="17">
        <f>C$149*I140*L140*M140</f>
        <v>-783.20185882013084</v>
      </c>
      <c r="AD6" s="86" t="s">
        <v>979</v>
      </c>
      <c r="AE6" s="17">
        <f>$C$39</f>
        <v>452324.86177356547</v>
      </c>
      <c r="AF6" s="8">
        <f>Variables!F55</f>
        <v>277800000000</v>
      </c>
      <c r="AG6" s="8">
        <f>AF6/$B$14</f>
        <v>9260000000</v>
      </c>
      <c r="AH6" s="17">
        <f>AG6/$B$15</f>
        <v>1.1156626506024097</v>
      </c>
      <c r="AJ6" s="17">
        <f>C$258*F254*K254*L254</f>
        <v>-44.540510245369923</v>
      </c>
      <c r="AK6" s="17">
        <f>C$254*H254*K254*L254</f>
        <v>-491302.00148314063</v>
      </c>
      <c r="AL6" s="17">
        <f>C$255*J254*K254*L254</f>
        <v>-13467.938320228777</v>
      </c>
      <c r="AM6" s="17">
        <f>SUM(C$256:C$257)*I254*K254*L254</f>
        <v>-1171.9722818936777</v>
      </c>
      <c r="AN6" s="86" t="s">
        <v>991</v>
      </c>
      <c r="AO6" s="17">
        <f>C$258</f>
        <v>2783.7818903356201</v>
      </c>
      <c r="AP6" s="8">
        <f>Variables!F61</f>
        <v>2570000000000</v>
      </c>
      <c r="AQ6" s="17">
        <f>AP6/$B$15</f>
        <v>309.63855421686748</v>
      </c>
    </row>
    <row r="7" spans="1:43" x14ac:dyDescent="0.2">
      <c r="B7" s="238">
        <f>Variables!F5</f>
        <v>10</v>
      </c>
      <c r="C7" s="85" t="s">
        <v>313</v>
      </c>
      <c r="D7" s="85" t="s">
        <v>1020</v>
      </c>
      <c r="E7" s="56"/>
      <c r="F7" s="56"/>
      <c r="J7" s="65"/>
      <c r="K7" s="65"/>
      <c r="L7" s="65"/>
      <c r="P7" s="80"/>
      <c r="Q7" s="47"/>
      <c r="R7" s="47"/>
      <c r="W7" s="17">
        <f t="shared" ref="W7:W70" si="0">$C$39*F27*L27*M27</f>
        <v>-768.95226501506136</v>
      </c>
      <c r="X7" s="17">
        <f t="shared" ref="X7:X70" si="1">(SUM($C$27:$C$37)+SUM(C$140:C$141,C$146:C$147,C$150:C$153))*I27*L27*M27</f>
        <v>-11282.581676771202</v>
      </c>
      <c r="Y7">
        <f t="shared" ref="Y7:Y70" si="2">($C$38+SUM(C$142:C$143,C$145))*J27*L27*M27</f>
        <v>-1815.9217767696512</v>
      </c>
      <c r="Z7" s="17">
        <f t="shared" ref="Z7:Z70" si="3">($C$26+C$148)*K27*L27*M27</f>
        <v>-778.74392184410442</v>
      </c>
      <c r="AA7" s="17">
        <f t="shared" ref="AA7:AA70" si="4">$C$40*H27*L27*M27</f>
        <v>-581993.92171682534</v>
      </c>
      <c r="AB7" s="17">
        <f t="shared" ref="AB7:AB70" si="5">C$144*H141*L141*M141</f>
        <v>-68.55626937538878</v>
      </c>
      <c r="AC7" s="17">
        <f t="shared" ref="AC7:AC70" si="6">C$149*I141*L141*M141</f>
        <v>-78.320185882013078</v>
      </c>
      <c r="AD7" s="86" t="s">
        <v>507</v>
      </c>
      <c r="AE7" s="17">
        <f>(SUM($C$27:$C$37)+SUM(C$140:C$141,C$146:C$147,C$150:C$153))</f>
        <v>3639542.4763778066</v>
      </c>
      <c r="AF7" s="8">
        <f>Variables!F49</f>
        <v>836200000000</v>
      </c>
      <c r="AG7" s="8">
        <f t="shared" ref="AG7:AG12" si="7">AF7/$B$14</f>
        <v>27873333333.333332</v>
      </c>
      <c r="AH7" s="17">
        <f t="shared" ref="AH7:AH12" si="8">AG7/$B$15</f>
        <v>3.3582329317269073</v>
      </c>
      <c r="AJ7" s="17">
        <f t="shared" ref="AJ7:AJ70" si="9">C$258*F255*K255*L255</f>
        <v>-4.4540510245369926</v>
      </c>
      <c r="AK7" s="17">
        <f t="shared" ref="AK7:AK70" si="10">C$254*H255*K255*L255</f>
        <v>-4917114.1981770992</v>
      </c>
      <c r="AL7" s="17">
        <f t="shared" ref="AL7:AL70" si="11">C$255*J255*K255*L255</f>
        <v>-134692.0172907683</v>
      </c>
      <c r="AM7" s="17">
        <f t="shared" ref="AM7:AM70" si="12">SUM(C$256:C$257)*I255*K255*L255</f>
        <v>-117.19722818936776</v>
      </c>
      <c r="AN7" s="86" t="s">
        <v>1086</v>
      </c>
      <c r="AO7" s="17">
        <f>C$254</f>
        <v>6823638.9094880642</v>
      </c>
      <c r="AP7" s="8">
        <f>Variables!F73</f>
        <v>3620000000000</v>
      </c>
      <c r="AQ7" s="17">
        <f t="shared" ref="AQ7:AQ9" si="13">AP7/$B$15</f>
        <v>436.14457831325302</v>
      </c>
    </row>
    <row r="8" spans="1:43" x14ac:dyDescent="0.2">
      <c r="B8" s="238">
        <f>Variables!F6</f>
        <v>1</v>
      </c>
      <c r="C8" s="85" t="s">
        <v>316</v>
      </c>
      <c r="D8" s="85" t="s">
        <v>1020</v>
      </c>
      <c r="E8" s="56"/>
      <c r="F8" s="56"/>
      <c r="J8" s="8"/>
      <c r="K8" s="8"/>
      <c r="L8" s="8"/>
      <c r="P8" s="80"/>
      <c r="Q8" s="47"/>
      <c r="S8" s="47"/>
      <c r="W8" s="17">
        <f t="shared" si="0"/>
        <v>-7734.755136327969</v>
      </c>
      <c r="X8" s="17">
        <f t="shared" si="1"/>
        <v>-111369.99977716088</v>
      </c>
      <c r="Y8">
        <f t="shared" si="2"/>
        <v>-17740.158896134286</v>
      </c>
      <c r="Z8" s="17">
        <f t="shared" si="3"/>
        <v>-7607.7290826308672</v>
      </c>
      <c r="AA8" s="17">
        <f t="shared" si="4"/>
        <v>-5819917.3807956148</v>
      </c>
      <c r="AB8" s="17">
        <f t="shared" si="5"/>
        <v>-669.74201620572126</v>
      </c>
      <c r="AC8" s="17">
        <f t="shared" si="6"/>
        <v>-765.12796977043547</v>
      </c>
      <c r="AD8" s="86" t="s">
        <v>663</v>
      </c>
      <c r="AE8" s="17">
        <f>($C$38+SUM(C$142:C$143,C$145))</f>
        <v>1396862.9052074242</v>
      </c>
      <c r="AF8" s="8">
        <f>Variables!F48</f>
        <v>64400000000</v>
      </c>
      <c r="AG8" s="8">
        <f t="shared" si="7"/>
        <v>2146666666.6666667</v>
      </c>
      <c r="AH8" s="17">
        <f t="shared" si="8"/>
        <v>0.25863453815261045</v>
      </c>
      <c r="AJ8" s="17">
        <f t="shared" si="9"/>
        <v>-44.54051024536993</v>
      </c>
      <c r="AK8" s="17">
        <f t="shared" si="10"/>
        <v>-491690266.53709048</v>
      </c>
      <c r="AL8" s="17">
        <f t="shared" si="11"/>
        <v>-1346915.1192722907</v>
      </c>
      <c r="AM8" s="17">
        <f t="shared" si="12"/>
        <v>-1144.9267676961315</v>
      </c>
      <c r="AN8" s="86" t="s">
        <v>993</v>
      </c>
      <c r="AO8" s="17">
        <f>C$255</f>
        <v>25268.176961029603</v>
      </c>
      <c r="AP8" s="8">
        <f>Variables!F65</f>
        <v>1100000000000</v>
      </c>
      <c r="AQ8" s="17">
        <f t="shared" si="13"/>
        <v>132.53012048192772</v>
      </c>
    </row>
    <row r="9" spans="1:43" x14ac:dyDescent="0.2">
      <c r="B9" s="16">
        <f>PSI_OC!A9</f>
        <v>510949606.0462392</v>
      </c>
      <c r="C9" s="85" t="s">
        <v>27</v>
      </c>
      <c r="D9" s="85" t="s">
        <v>518</v>
      </c>
      <c r="E9" s="56"/>
      <c r="F9" s="56"/>
      <c r="W9" s="17">
        <f t="shared" si="0"/>
        <v>-7734.755136327969</v>
      </c>
      <c r="X9" s="17">
        <f t="shared" si="1"/>
        <v>-111369.99977716088</v>
      </c>
      <c r="Y9">
        <f t="shared" si="2"/>
        <v>-1771501.5363840552</v>
      </c>
      <c r="Z9" s="17">
        <f t="shared" si="3"/>
        <v>-759694.64744822565</v>
      </c>
      <c r="AA9" s="17">
        <f t="shared" si="4"/>
        <v>-5819917.3807956148</v>
      </c>
      <c r="AB9" s="17">
        <f t="shared" si="5"/>
        <v>-66879.277555283115</v>
      </c>
      <c r="AC9" s="17">
        <f t="shared" si="6"/>
        <v>-76404.35364274538</v>
      </c>
      <c r="AD9" s="86" t="s">
        <v>982</v>
      </c>
      <c r="AE9" s="17">
        <f>($C$26+C$148)</f>
        <v>599033.78603392653</v>
      </c>
      <c r="AF9" s="8">
        <f>Variables!F53</f>
        <v>20800000000</v>
      </c>
      <c r="AG9" s="8">
        <f t="shared" si="7"/>
        <v>693333333.33333337</v>
      </c>
      <c r="AH9" s="17">
        <f t="shared" si="8"/>
        <v>8.3534136546184745E-2</v>
      </c>
      <c r="AJ9" s="17">
        <f t="shared" si="9"/>
        <v>-4467.1347994215694</v>
      </c>
      <c r="AK9" s="17">
        <f t="shared" si="10"/>
        <v>-491690266.53709048</v>
      </c>
      <c r="AL9" s="17">
        <f t="shared" si="11"/>
        <v>-1346915.1192722907</v>
      </c>
      <c r="AM9" s="17">
        <f t="shared" si="12"/>
        <v>-114330.40368442785</v>
      </c>
      <c r="AN9" s="86" t="s">
        <v>1091</v>
      </c>
      <c r="AO9" s="17">
        <f>SUM(C$256:C$257)</f>
        <v>90151.713991821365</v>
      </c>
      <c r="AP9" s="8">
        <f>Variables!F69</f>
        <v>450000000000</v>
      </c>
      <c r="AQ9" s="17">
        <f t="shared" si="13"/>
        <v>54.216867469879517</v>
      </c>
    </row>
    <row r="10" spans="1:43" x14ac:dyDescent="0.2">
      <c r="B10" s="5">
        <f>475000000000</f>
        <v>475000000000</v>
      </c>
      <c r="C10" s="85" t="s">
        <v>1081</v>
      </c>
      <c r="D10" s="85" t="s">
        <v>530</v>
      </c>
      <c r="E10" s="56"/>
      <c r="F10" s="56"/>
      <c r="W10" s="17">
        <f t="shared" si="0"/>
        <v>-774380.1633563441</v>
      </c>
      <c r="X10" s="17">
        <f t="shared" si="1"/>
        <v>-1113699.9977716089</v>
      </c>
      <c r="Y10">
        <f t="shared" si="2"/>
        <v>-1771222.163803014</v>
      </c>
      <c r="Z10" s="17">
        <f t="shared" si="3"/>
        <v>-759574.84069101885</v>
      </c>
      <c r="AA10" s="17">
        <f t="shared" si="4"/>
        <v>-581939.33078523201</v>
      </c>
      <c r="AB10" s="17">
        <f t="shared" si="5"/>
        <v>-66868.730436917685</v>
      </c>
      <c r="AC10" s="17">
        <f t="shared" si="6"/>
        <v>-76392.304383378912</v>
      </c>
      <c r="AD10" s="86" t="s">
        <v>1054</v>
      </c>
      <c r="AE10" s="17">
        <f>$C$40</f>
        <v>109181.86318672269</v>
      </c>
      <c r="AF10" s="8">
        <f>Variables!F65</f>
        <v>1100000000000</v>
      </c>
      <c r="AG10" s="8">
        <f t="shared" si="7"/>
        <v>36666666666.666664</v>
      </c>
      <c r="AH10" s="17">
        <f t="shared" si="8"/>
        <v>4.4176706827309236</v>
      </c>
      <c r="AJ10" s="17">
        <f t="shared" si="9"/>
        <v>-4467.9699339886693</v>
      </c>
      <c r="AK10" s="17">
        <f t="shared" si="10"/>
        <v>-4919843.653740895</v>
      </c>
      <c r="AL10" s="17">
        <f t="shared" si="11"/>
        <v>-134679.38320228781</v>
      </c>
      <c r="AM10" s="17">
        <f t="shared" si="12"/>
        <v>-114312.3733416295</v>
      </c>
    </row>
    <row r="11" spans="1:43" x14ac:dyDescent="0.2">
      <c r="B11" s="5">
        <f>2010000000</f>
        <v>2010000000</v>
      </c>
      <c r="C11" s="85" t="s">
        <v>1082</v>
      </c>
      <c r="D11" s="85" t="s">
        <v>530</v>
      </c>
      <c r="E11" s="56"/>
      <c r="F11" s="56"/>
      <c r="W11" s="17">
        <f t="shared" si="0"/>
        <v>-7689.5226501506131</v>
      </c>
      <c r="X11" s="17">
        <f t="shared" si="1"/>
        <v>-1113772788.6211364</v>
      </c>
      <c r="Y11">
        <f t="shared" si="2"/>
        <v>-17715015.363840554</v>
      </c>
      <c r="Z11" s="17">
        <f t="shared" si="3"/>
        <v>-7596946.474482256</v>
      </c>
      <c r="AA11" s="17">
        <f t="shared" si="4"/>
        <v>-581991738.07956159</v>
      </c>
      <c r="AB11" s="17">
        <f t="shared" si="5"/>
        <v>-668792.77555283112</v>
      </c>
      <c r="AC11" s="17">
        <f t="shared" si="6"/>
        <v>-764043.53642745374</v>
      </c>
      <c r="AD11" s="86" t="s">
        <v>980</v>
      </c>
      <c r="AE11" s="17">
        <f>C$144</f>
        <v>52735.591827222146</v>
      </c>
      <c r="AF11" s="8">
        <f>Variables!F52</f>
        <v>1890000000</v>
      </c>
      <c r="AG11" s="8">
        <f t="shared" si="7"/>
        <v>63000000</v>
      </c>
      <c r="AH11" s="17">
        <f t="shared" si="8"/>
        <v>7.590361445783133E-3</v>
      </c>
      <c r="AJ11" s="17">
        <f t="shared" si="9"/>
        <v>-44671.347994215692</v>
      </c>
      <c r="AK11" s="17">
        <f t="shared" si="10"/>
        <v>-4916902665.3709049</v>
      </c>
      <c r="AL11" s="17">
        <f t="shared" si="11"/>
        <v>-134691511.92722908</v>
      </c>
      <c r="AM11" s="17">
        <f t="shared" si="12"/>
        <v>-1143304.0368442785</v>
      </c>
    </row>
    <row r="12" spans="1:43" x14ac:dyDescent="0.2">
      <c r="B12" s="5">
        <v>1.45</v>
      </c>
      <c r="C12" s="85" t="s">
        <v>1027</v>
      </c>
      <c r="D12" s="85" t="s">
        <v>1028</v>
      </c>
      <c r="E12" s="56"/>
      <c r="F12" s="56"/>
      <c r="W12" s="17">
        <f t="shared" si="0"/>
        <v>-7734.755136327969</v>
      </c>
      <c r="X12" s="17">
        <f t="shared" si="1"/>
        <v>-111369.99977716088</v>
      </c>
      <c r="Y12">
        <f t="shared" si="2"/>
        <v>-1771501.5363840552</v>
      </c>
      <c r="Z12" s="17">
        <f t="shared" si="3"/>
        <v>-7607.7290826308672</v>
      </c>
      <c r="AA12" s="17">
        <f t="shared" si="4"/>
        <v>-581993.92171682534</v>
      </c>
      <c r="AB12" s="17">
        <f t="shared" si="5"/>
        <v>-668813.86978956219</v>
      </c>
      <c r="AC12" s="17">
        <f t="shared" si="6"/>
        <v>-765.12796977043547</v>
      </c>
      <c r="AD12" s="86" t="s">
        <v>981</v>
      </c>
      <c r="AE12" s="17">
        <f>C$149</f>
        <v>60246.296832317756</v>
      </c>
      <c r="AF12" s="8">
        <f>Variables!F56</f>
        <v>24300000000</v>
      </c>
      <c r="AG12" s="8">
        <f t="shared" si="7"/>
        <v>810000000</v>
      </c>
      <c r="AH12" s="17">
        <f t="shared" si="8"/>
        <v>9.7590361445783133E-2</v>
      </c>
      <c r="AJ12" s="17">
        <f t="shared" si="9"/>
        <v>-44670.512859648596</v>
      </c>
      <c r="AK12" s="17">
        <f t="shared" si="10"/>
        <v>-4917114.1981770992</v>
      </c>
      <c r="AL12" s="17">
        <f t="shared" si="11"/>
        <v>-134692.0172907683</v>
      </c>
      <c r="AM12" s="17">
        <f t="shared" si="12"/>
        <v>-114330.40368442785</v>
      </c>
    </row>
    <row r="13" spans="1:43" x14ac:dyDescent="0.2">
      <c r="B13" s="5">
        <v>1.58</v>
      </c>
      <c r="C13" s="85" t="s">
        <v>1027</v>
      </c>
      <c r="D13" s="85" t="s">
        <v>1080</v>
      </c>
      <c r="E13" s="56"/>
      <c r="F13" s="56"/>
      <c r="W13" s="17">
        <f t="shared" si="0"/>
        <v>-768.95226501506136</v>
      </c>
      <c r="X13" s="17">
        <f t="shared" si="1"/>
        <v>-11282.581676771202</v>
      </c>
      <c r="Y13">
        <f t="shared" si="2"/>
        <v>-1815.9217767696512</v>
      </c>
      <c r="Z13" s="17">
        <f t="shared" si="3"/>
        <v>-778.74392184410442</v>
      </c>
      <c r="AA13" s="17">
        <f t="shared" si="4"/>
        <v>-5819.3933078523196</v>
      </c>
      <c r="AB13" s="17">
        <f t="shared" si="5"/>
        <v>-68.55626937538878</v>
      </c>
      <c r="AC13" s="17">
        <f t="shared" si="6"/>
        <v>-78.320185882013078</v>
      </c>
      <c r="AJ13" s="17">
        <f t="shared" si="9"/>
        <v>-4.4540510245369926</v>
      </c>
      <c r="AK13" s="17">
        <f t="shared" si="10"/>
        <v>-491984.36537408945</v>
      </c>
      <c r="AL13" s="17">
        <f t="shared" si="11"/>
        <v>-1346.7938320228777</v>
      </c>
      <c r="AM13" s="17">
        <f t="shared" si="12"/>
        <v>-117.19722818936776</v>
      </c>
    </row>
    <row r="14" spans="1:43" x14ac:dyDescent="0.2">
      <c r="B14" s="5">
        <v>30</v>
      </c>
      <c r="C14" s="85" t="s">
        <v>1056</v>
      </c>
      <c r="D14" s="85" t="s">
        <v>64</v>
      </c>
      <c r="E14" s="56"/>
      <c r="F14" s="56"/>
      <c r="W14" s="17">
        <f t="shared" si="0"/>
        <v>-768.95226501506136</v>
      </c>
      <c r="X14" s="17">
        <f t="shared" si="1"/>
        <v>-11282.581676771202</v>
      </c>
      <c r="Y14">
        <f t="shared" si="2"/>
        <v>-1815.9217767696512</v>
      </c>
      <c r="Z14" s="17">
        <f t="shared" si="3"/>
        <v>-778.74392184410442</v>
      </c>
      <c r="AA14" s="17">
        <f t="shared" si="4"/>
        <v>-5819.3933078523196</v>
      </c>
      <c r="AB14" s="17">
        <f t="shared" si="5"/>
        <v>-68.55626937538878</v>
      </c>
      <c r="AC14" s="17">
        <f t="shared" si="6"/>
        <v>-78.320185882013078</v>
      </c>
      <c r="AJ14" s="17">
        <f t="shared" si="9"/>
        <v>-4.4540510245369926</v>
      </c>
      <c r="AK14" s="17">
        <f t="shared" si="10"/>
        <v>-491984.36537408945</v>
      </c>
      <c r="AL14" s="17">
        <f t="shared" si="11"/>
        <v>-1346.7938320228777</v>
      </c>
      <c r="AM14" s="17">
        <f t="shared" si="12"/>
        <v>-117.19722818936776</v>
      </c>
    </row>
    <row r="15" spans="1:43" x14ac:dyDescent="0.2">
      <c r="B15" s="291">
        <f>Variables!F9</f>
        <v>8300000000</v>
      </c>
      <c r="C15" s="292" t="s">
        <v>535</v>
      </c>
      <c r="D15" s="85" t="s">
        <v>1057</v>
      </c>
      <c r="W15" s="17">
        <f t="shared" si="0"/>
        <v>-77347.551363279694</v>
      </c>
      <c r="X15" s="17">
        <f t="shared" si="1"/>
        <v>-111377278.86211364</v>
      </c>
      <c r="Y15">
        <f t="shared" si="2"/>
        <v>0</v>
      </c>
      <c r="Z15" s="17">
        <f t="shared" si="3"/>
        <v>0</v>
      </c>
      <c r="AA15" s="17">
        <f t="shared" si="4"/>
        <v>0</v>
      </c>
      <c r="AB15" s="17">
        <f t="shared" si="5"/>
        <v>0</v>
      </c>
      <c r="AC15" s="17">
        <f t="shared" si="6"/>
        <v>0</v>
      </c>
      <c r="AJ15" s="17">
        <f t="shared" si="9"/>
        <v>0</v>
      </c>
      <c r="AK15" s="17">
        <f t="shared" si="10"/>
        <v>-4919843.653740895</v>
      </c>
      <c r="AL15" s="17">
        <f t="shared" si="11"/>
        <v>0</v>
      </c>
      <c r="AM15" s="17">
        <f t="shared" si="12"/>
        <v>-1171.9722818936777</v>
      </c>
    </row>
    <row r="16" spans="1:43" x14ac:dyDescent="0.2">
      <c r="W16" s="17">
        <f t="shared" si="0"/>
        <v>-774380.1633563441</v>
      </c>
      <c r="X16" s="17">
        <f t="shared" si="1"/>
        <v>-111377278.86211364</v>
      </c>
      <c r="Y16">
        <f t="shared" si="2"/>
        <v>0</v>
      </c>
      <c r="Z16" s="17">
        <f t="shared" si="3"/>
        <v>0</v>
      </c>
      <c r="AA16" s="17">
        <f t="shared" si="4"/>
        <v>0</v>
      </c>
      <c r="AB16" s="17">
        <f t="shared" si="5"/>
        <v>0</v>
      </c>
      <c r="AC16" s="17">
        <f t="shared" si="6"/>
        <v>0</v>
      </c>
      <c r="AJ16" s="17">
        <f t="shared" si="9"/>
        <v>0</v>
      </c>
      <c r="AK16" s="17">
        <f t="shared" si="10"/>
        <v>-49171141.981770992</v>
      </c>
      <c r="AL16" s="17">
        <f t="shared" si="11"/>
        <v>0</v>
      </c>
      <c r="AM16" s="17">
        <f t="shared" si="12"/>
        <v>-1171.9722818936777</v>
      </c>
    </row>
    <row r="17" spans="1:39" ht="16" thickBot="1" x14ac:dyDescent="0.25">
      <c r="W17" s="17">
        <f t="shared" si="0"/>
        <v>0</v>
      </c>
      <c r="X17" s="17">
        <f t="shared" si="1"/>
        <v>0</v>
      </c>
      <c r="Y17">
        <f t="shared" si="2"/>
        <v>0</v>
      </c>
      <c r="Z17" s="17">
        <f t="shared" si="3"/>
        <v>0</v>
      </c>
      <c r="AA17" s="17">
        <f t="shared" si="4"/>
        <v>0</v>
      </c>
      <c r="AB17" s="17">
        <f t="shared" si="5"/>
        <v>0</v>
      </c>
      <c r="AC17" s="17">
        <f t="shared" si="6"/>
        <v>0</v>
      </c>
      <c r="AJ17" s="17">
        <f t="shared" si="9"/>
        <v>0</v>
      </c>
      <c r="AK17" s="17">
        <f t="shared" si="10"/>
        <v>0</v>
      </c>
      <c r="AL17" s="17">
        <f t="shared" si="11"/>
        <v>0</v>
      </c>
      <c r="AM17" s="17">
        <f t="shared" si="12"/>
        <v>0</v>
      </c>
    </row>
    <row r="18" spans="1:39" x14ac:dyDescent="0.2">
      <c r="A18" s="484" t="s">
        <v>1021</v>
      </c>
      <c r="B18" s="485"/>
      <c r="C18" s="485"/>
      <c r="D18" s="485"/>
      <c r="E18" s="485"/>
      <c r="F18" s="485"/>
      <c r="G18" s="485"/>
      <c r="H18" s="485"/>
      <c r="I18" s="485"/>
      <c r="J18" s="485"/>
      <c r="K18" s="485"/>
      <c r="L18" s="485"/>
      <c r="M18" s="485"/>
      <c r="N18" s="485"/>
      <c r="O18" s="485"/>
      <c r="P18" s="485"/>
      <c r="Q18" s="485"/>
      <c r="R18" s="485"/>
      <c r="S18" s="485"/>
      <c r="T18" s="485"/>
      <c r="U18" s="486"/>
      <c r="W18" s="17">
        <f t="shared" si="0"/>
        <v>77456.109330105348</v>
      </c>
      <c r="X18" s="17">
        <f t="shared" si="1"/>
        <v>1113772.7886211365</v>
      </c>
      <c r="Y18">
        <f t="shared" si="2"/>
        <v>177150.15363840552</v>
      </c>
      <c r="Z18" s="17">
        <f t="shared" si="3"/>
        <v>75969.464744822559</v>
      </c>
      <c r="AA18" s="17">
        <f t="shared" si="4"/>
        <v>581991.7380795615</v>
      </c>
      <c r="AB18" s="17">
        <f t="shared" si="5"/>
        <v>6687.9277555283115</v>
      </c>
      <c r="AC18" s="17">
        <f t="shared" si="6"/>
        <v>7640.4353642745373</v>
      </c>
      <c r="AJ18" s="17">
        <f t="shared" si="9"/>
        <v>446.71347994215694</v>
      </c>
      <c r="AK18" s="17">
        <f t="shared" si="10"/>
        <v>4916909.4890098143</v>
      </c>
      <c r="AL18" s="17">
        <f t="shared" si="11"/>
        <v>134691.51192722906</v>
      </c>
      <c r="AM18" s="17">
        <f t="shared" si="12"/>
        <v>11433.040368442784</v>
      </c>
    </row>
    <row r="19" spans="1:39" ht="16" thickBot="1" x14ac:dyDescent="0.25">
      <c r="A19" s="487"/>
      <c r="B19" s="488"/>
      <c r="C19" s="488"/>
      <c r="D19" s="488"/>
      <c r="E19" s="488"/>
      <c r="F19" s="488"/>
      <c r="G19" s="488"/>
      <c r="H19" s="488"/>
      <c r="I19" s="488"/>
      <c r="J19" s="488"/>
      <c r="K19" s="488"/>
      <c r="L19" s="488"/>
      <c r="M19" s="488"/>
      <c r="N19" s="488"/>
      <c r="O19" s="488"/>
      <c r="P19" s="488"/>
      <c r="Q19" s="488"/>
      <c r="R19" s="488"/>
      <c r="S19" s="488"/>
      <c r="T19" s="488"/>
      <c r="U19" s="489"/>
      <c r="W19" s="17">
        <f t="shared" si="0"/>
        <v>-768.95226501506136</v>
      </c>
      <c r="X19" s="17">
        <f t="shared" si="1"/>
        <v>-111377278.86211364</v>
      </c>
      <c r="Y19">
        <f t="shared" si="2"/>
        <v>-1815.9217767696512</v>
      </c>
      <c r="Z19" s="17">
        <f t="shared" si="3"/>
        <v>-778.74392184410442</v>
      </c>
      <c r="AA19" s="17">
        <f t="shared" si="4"/>
        <v>-5819.3933078523196</v>
      </c>
      <c r="AB19" s="17">
        <f t="shared" si="5"/>
        <v>-68.55626937538878</v>
      </c>
      <c r="AC19" s="17">
        <f t="shared" si="6"/>
        <v>-78.320185882013078</v>
      </c>
      <c r="AJ19" s="17">
        <f t="shared" si="9"/>
        <v>-4.4540510245369926</v>
      </c>
      <c r="AK19" s="17">
        <f t="shared" si="10"/>
        <v>-49130.200148314063</v>
      </c>
      <c r="AL19" s="17">
        <f t="shared" si="11"/>
        <v>-1346.7938320228777</v>
      </c>
      <c r="AM19" s="17">
        <f t="shared" si="12"/>
        <v>-117.19722818936776</v>
      </c>
    </row>
    <row r="20" spans="1:39" x14ac:dyDescent="0.2">
      <c r="W20" s="17">
        <f t="shared" si="0"/>
        <v>-774380.1633563441</v>
      </c>
      <c r="X20" s="17">
        <f t="shared" si="1"/>
        <v>-111377278.86211364</v>
      </c>
      <c r="Y20">
        <f t="shared" si="2"/>
        <v>-17715015.363840554</v>
      </c>
      <c r="Z20" s="17">
        <f t="shared" si="3"/>
        <v>-7596946.474482256</v>
      </c>
      <c r="AA20" s="17">
        <f t="shared" si="4"/>
        <v>-58199173.807956152</v>
      </c>
      <c r="AB20" s="17">
        <f t="shared" si="5"/>
        <v>-668792.77555283112</v>
      </c>
      <c r="AC20" s="17">
        <f t="shared" si="6"/>
        <v>-764043.53642745374</v>
      </c>
      <c r="AJ20" s="17">
        <f t="shared" si="9"/>
        <v>-44671.347994215692</v>
      </c>
      <c r="AK20" s="17">
        <f t="shared" si="10"/>
        <v>-4916902665.3709049</v>
      </c>
      <c r="AL20" s="17">
        <f t="shared" si="11"/>
        <v>-13469151.192722905</v>
      </c>
      <c r="AM20" s="17">
        <f t="shared" si="12"/>
        <v>-1143304.0368442785</v>
      </c>
    </row>
    <row r="21" spans="1:39" x14ac:dyDescent="0.2">
      <c r="A21" s="351" t="s">
        <v>1063</v>
      </c>
      <c r="B21" s="351"/>
      <c r="C21" s="351"/>
      <c r="D21" s="351"/>
      <c r="E21" s="351"/>
      <c r="F21" s="351"/>
      <c r="G21" s="351"/>
      <c r="H21" s="351"/>
      <c r="I21" s="351"/>
      <c r="J21" s="351"/>
      <c r="K21" s="351"/>
      <c r="L21" s="351"/>
      <c r="M21" s="351"/>
      <c r="N21" s="351"/>
      <c r="O21" s="351"/>
      <c r="P21" s="351"/>
      <c r="Q21" s="351"/>
      <c r="R21" s="351"/>
      <c r="S21" s="351"/>
      <c r="W21" s="17">
        <f t="shared" si="0"/>
        <v>0</v>
      </c>
      <c r="X21" s="17">
        <f t="shared" si="1"/>
        <v>0</v>
      </c>
      <c r="Y21">
        <f t="shared" si="2"/>
        <v>0</v>
      </c>
      <c r="Z21" s="17">
        <f t="shared" si="3"/>
        <v>0</v>
      </c>
      <c r="AA21" s="17">
        <f t="shared" si="4"/>
        <v>-5819.3933078523196</v>
      </c>
      <c r="AB21" s="17">
        <f t="shared" si="5"/>
        <v>0</v>
      </c>
      <c r="AC21" s="17">
        <f t="shared" si="6"/>
        <v>0</v>
      </c>
      <c r="AJ21" s="17">
        <f t="shared" si="9"/>
        <v>0</v>
      </c>
      <c r="AK21" s="17">
        <f t="shared" si="10"/>
        <v>0</v>
      </c>
      <c r="AL21" s="17">
        <f t="shared" si="11"/>
        <v>-1346.7938320228777</v>
      </c>
      <c r="AM21" s="17">
        <f t="shared" si="12"/>
        <v>0</v>
      </c>
    </row>
    <row r="22" spans="1:39" x14ac:dyDescent="0.2">
      <c r="A22" s="352"/>
      <c r="B22" s="352"/>
      <c r="C22" s="352"/>
      <c r="D22" s="352"/>
      <c r="E22" s="352"/>
      <c r="F22" s="352"/>
      <c r="G22" s="352"/>
      <c r="H22" s="352"/>
      <c r="I22" s="352"/>
      <c r="J22" s="352"/>
      <c r="K22" s="352"/>
      <c r="L22" s="352"/>
      <c r="M22" s="352"/>
      <c r="N22" s="352"/>
      <c r="O22" s="351"/>
      <c r="P22" s="351"/>
      <c r="Q22" s="351"/>
      <c r="R22" s="351"/>
      <c r="S22" s="352"/>
      <c r="W22" s="17">
        <f t="shared" si="0"/>
        <v>-77347.551363279694</v>
      </c>
      <c r="X22" s="17">
        <f t="shared" si="1"/>
        <v>-1113699.9977716089</v>
      </c>
      <c r="Y22">
        <f t="shared" si="2"/>
        <v>-177401.58896134287</v>
      </c>
      <c r="Z22" s="17">
        <f t="shared" si="3"/>
        <v>-76077.290826308672</v>
      </c>
      <c r="AA22" s="17">
        <f t="shared" si="4"/>
        <v>-58199173.807956152</v>
      </c>
      <c r="AB22" s="17">
        <f t="shared" si="5"/>
        <v>-6697.420162057213</v>
      </c>
      <c r="AC22" s="17">
        <f t="shared" si="6"/>
        <v>-764043.53642745374</v>
      </c>
      <c r="AJ22" s="17">
        <f t="shared" si="9"/>
        <v>-445.40510245369927</v>
      </c>
      <c r="AK22" s="17">
        <f t="shared" si="10"/>
        <v>-4916902665.3709049</v>
      </c>
      <c r="AL22" s="17">
        <f t="shared" si="11"/>
        <v>-13469151.192722905</v>
      </c>
      <c r="AM22" s="17">
        <f t="shared" si="12"/>
        <v>-11449.267676961314</v>
      </c>
    </row>
    <row r="23" spans="1:39" x14ac:dyDescent="0.2">
      <c r="A23" s="353" t="s">
        <v>8</v>
      </c>
      <c r="B23" s="353" t="s">
        <v>1024</v>
      </c>
      <c r="C23" s="348" t="s">
        <v>1023</v>
      </c>
      <c r="D23" s="353" t="s">
        <v>658</v>
      </c>
      <c r="E23" s="325" t="s">
        <v>661</v>
      </c>
      <c r="F23" s="326"/>
      <c r="G23" s="327"/>
      <c r="H23" s="79" t="s">
        <v>529</v>
      </c>
      <c r="I23" s="79" t="s">
        <v>507</v>
      </c>
      <c r="J23" s="131" t="s">
        <v>663</v>
      </c>
      <c r="K23" s="131" t="s">
        <v>664</v>
      </c>
      <c r="L23" s="328" t="s">
        <v>421</v>
      </c>
      <c r="M23" s="329"/>
      <c r="N23" s="329"/>
      <c r="O23" s="39"/>
      <c r="P23" s="39"/>
      <c r="Q23" s="129"/>
      <c r="R23" s="129"/>
      <c r="W23" s="17">
        <f t="shared" si="0"/>
        <v>0</v>
      </c>
      <c r="X23" s="17">
        <f t="shared" si="1"/>
        <v>0</v>
      </c>
      <c r="Y23">
        <f t="shared" si="2"/>
        <v>0</v>
      </c>
      <c r="Z23" s="17">
        <f t="shared" si="3"/>
        <v>0</v>
      </c>
      <c r="AA23" s="17">
        <f t="shared" si="4"/>
        <v>-58199173.807956152</v>
      </c>
      <c r="AB23" s="17">
        <f t="shared" si="5"/>
        <v>0</v>
      </c>
      <c r="AC23" s="17">
        <f t="shared" si="6"/>
        <v>-764043.53642745374</v>
      </c>
      <c r="AJ23" s="17">
        <f t="shared" si="9"/>
        <v>0</v>
      </c>
      <c r="AK23" s="17">
        <f t="shared" si="10"/>
        <v>-4916902665.3709049</v>
      </c>
      <c r="AL23" s="17">
        <f t="shared" si="11"/>
        <v>-13469151.192722905</v>
      </c>
      <c r="AM23" s="17">
        <f t="shared" si="12"/>
        <v>0</v>
      </c>
    </row>
    <row r="24" spans="1:39" x14ac:dyDescent="0.2">
      <c r="A24" s="353"/>
      <c r="B24" s="353"/>
      <c r="C24" s="349"/>
      <c r="D24" s="353"/>
      <c r="E24" s="196" t="s">
        <v>660</v>
      </c>
      <c r="F24" s="197"/>
      <c r="G24" s="198"/>
      <c r="H24" t="s">
        <v>528</v>
      </c>
      <c r="I24" s="135" t="s">
        <v>506</v>
      </c>
      <c r="J24" s="136" t="s">
        <v>502</v>
      </c>
      <c r="K24" s="137" t="s">
        <v>510</v>
      </c>
      <c r="L24" s="331"/>
      <c r="M24" s="332"/>
      <c r="N24" s="332"/>
      <c r="O24" s="39"/>
      <c r="P24" s="39"/>
      <c r="Q24" s="129"/>
      <c r="R24" s="129"/>
      <c r="W24" s="17">
        <f t="shared" si="0"/>
        <v>0</v>
      </c>
      <c r="X24" s="17">
        <f t="shared" si="1"/>
        <v>0</v>
      </c>
      <c r="Y24">
        <f t="shared" si="2"/>
        <v>0</v>
      </c>
      <c r="Z24" s="17">
        <f t="shared" si="3"/>
        <v>0</v>
      </c>
      <c r="AA24" s="17">
        <f t="shared" si="4"/>
        <v>0</v>
      </c>
      <c r="AB24" s="17">
        <f t="shared" si="5"/>
        <v>0</v>
      </c>
      <c r="AC24" s="17">
        <f t="shared" si="6"/>
        <v>0</v>
      </c>
      <c r="AJ24" s="17">
        <f t="shared" si="9"/>
        <v>0</v>
      </c>
      <c r="AK24" s="17">
        <f t="shared" si="10"/>
        <v>0</v>
      </c>
      <c r="AL24" s="17">
        <f t="shared" si="11"/>
        <v>0</v>
      </c>
      <c r="AM24" s="17">
        <f t="shared" si="12"/>
        <v>0</v>
      </c>
    </row>
    <row r="25" spans="1:39" x14ac:dyDescent="0.2">
      <c r="A25" s="353"/>
      <c r="B25" s="353"/>
      <c r="C25" s="350"/>
      <c r="D25" s="353"/>
      <c r="E25" s="6" t="s">
        <v>317</v>
      </c>
      <c r="F25" s="58" t="s">
        <v>319</v>
      </c>
      <c r="G25" s="58" t="s">
        <v>5</v>
      </c>
      <c r="H25" s="58" t="s">
        <v>319</v>
      </c>
      <c r="I25" s="58" t="s">
        <v>319</v>
      </c>
      <c r="J25" s="58" t="s">
        <v>319</v>
      </c>
      <c r="K25" s="58" t="s">
        <v>319</v>
      </c>
      <c r="L25" s="64" t="s">
        <v>0</v>
      </c>
      <c r="M25" s="64" t="s">
        <v>499</v>
      </c>
      <c r="N25" s="247" t="s">
        <v>5</v>
      </c>
      <c r="O25" s="248"/>
      <c r="P25" s="128"/>
      <c r="Q25" s="248"/>
      <c r="R25" s="128"/>
      <c r="W25" s="17">
        <f t="shared" si="0"/>
        <v>0</v>
      </c>
      <c r="X25" s="17">
        <f t="shared" si="1"/>
        <v>0</v>
      </c>
      <c r="Y25">
        <f t="shared" si="2"/>
        <v>0</v>
      </c>
      <c r="Z25" s="17">
        <f t="shared" si="3"/>
        <v>0</v>
      </c>
      <c r="AA25" s="17">
        <f t="shared" si="4"/>
        <v>5819.3933078523196</v>
      </c>
      <c r="AB25" s="17">
        <f t="shared" si="5"/>
        <v>0</v>
      </c>
      <c r="AC25" s="17">
        <f t="shared" si="6"/>
        <v>763.92304383378917</v>
      </c>
      <c r="AJ25" s="17">
        <f t="shared" si="9"/>
        <v>0</v>
      </c>
      <c r="AK25" s="17">
        <f t="shared" si="10"/>
        <v>4916909.4890098143</v>
      </c>
      <c r="AL25" s="17">
        <f t="shared" si="11"/>
        <v>1346.793832022878</v>
      </c>
      <c r="AM25" s="17">
        <f t="shared" si="12"/>
        <v>0</v>
      </c>
    </row>
    <row r="26" spans="1:39" x14ac:dyDescent="0.2">
      <c r="A26" t="s">
        <v>1032</v>
      </c>
      <c r="B26" s="239">
        <v>370000000</v>
      </c>
      <c r="C26" s="36">
        <f>B26*$B$12*($B$9/$B$10)</f>
        <v>577104.13398696284</v>
      </c>
      <c r="D26" s="137" t="s">
        <v>510</v>
      </c>
      <c r="E26" t="s">
        <v>225</v>
      </c>
      <c r="F26">
        <v>1.7000000000000001E-4</v>
      </c>
      <c r="G26" t="s">
        <v>338</v>
      </c>
      <c r="H26">
        <v>5.3299999999999997E-3</v>
      </c>
      <c r="I26">
        <v>3.1E-4</v>
      </c>
      <c r="J26" s="88">
        <v>1.2999999999999999E-4</v>
      </c>
      <c r="K26">
        <v>1.2999999999999999E-4</v>
      </c>
      <c r="L26">
        <f>PSI_OC!$A$6</f>
        <v>100</v>
      </c>
      <c r="M26">
        <v>-1</v>
      </c>
      <c r="N26" t="s">
        <v>422</v>
      </c>
      <c r="O26" s="17"/>
      <c r="Q26" s="8"/>
      <c r="W26" s="17">
        <f t="shared" si="0"/>
        <v>-7689.5226501506131</v>
      </c>
      <c r="X26" s="17">
        <f t="shared" si="1"/>
        <v>-1113699.9977716089</v>
      </c>
      <c r="Y26">
        <f t="shared" si="2"/>
        <v>-17715015.363840554</v>
      </c>
      <c r="Z26" s="17">
        <f t="shared" si="3"/>
        <v>-75971860.879966691</v>
      </c>
      <c r="AA26" s="17">
        <f t="shared" si="4"/>
        <v>-5819939.2171682538</v>
      </c>
      <c r="AB26" s="17">
        <f t="shared" si="5"/>
        <v>-6688138.6978956219</v>
      </c>
      <c r="AC26" s="17">
        <f t="shared" si="6"/>
        <v>-7640676.3494618675</v>
      </c>
      <c r="AJ26" s="17">
        <f t="shared" si="9"/>
        <v>-445.40510245369927</v>
      </c>
      <c r="AK26" s="17">
        <f t="shared" si="10"/>
        <v>-491690948.90098143</v>
      </c>
      <c r="AL26" s="17">
        <f t="shared" si="11"/>
        <v>-1346920.1729076831</v>
      </c>
      <c r="AM26" s="17">
        <f t="shared" si="12"/>
        <v>-1143304.0368442785</v>
      </c>
    </row>
    <row r="27" spans="1:39" x14ac:dyDescent="0.2">
      <c r="A27" t="s">
        <v>1033</v>
      </c>
      <c r="B27" s="239">
        <v>170000000</v>
      </c>
      <c r="C27" s="36">
        <f t="shared" ref="C27:C39" si="14">B27*$B$12*($B$9/$B$10)</f>
        <v>265155.95345346938</v>
      </c>
      <c r="D27" s="135" t="s">
        <v>506</v>
      </c>
      <c r="E27" t="s">
        <v>226</v>
      </c>
      <c r="F27">
        <v>1.7000000000000001E-4</v>
      </c>
      <c r="G27" t="s">
        <v>339</v>
      </c>
      <c r="H27">
        <v>0.53305000000000002</v>
      </c>
      <c r="I27">
        <v>3.1E-4</v>
      </c>
      <c r="J27" s="88">
        <v>1.2999999999999999E-4</v>
      </c>
      <c r="K27">
        <v>1.2999999999999999E-4</v>
      </c>
      <c r="L27">
        <f>PSI_OC!$A$7</f>
        <v>10</v>
      </c>
      <c r="M27">
        <v>-1</v>
      </c>
      <c r="N27" t="s">
        <v>423</v>
      </c>
      <c r="O27" s="17"/>
      <c r="W27" s="17">
        <f t="shared" si="0"/>
        <v>0</v>
      </c>
      <c r="X27" s="17">
        <f t="shared" si="1"/>
        <v>0</v>
      </c>
      <c r="Y27">
        <f t="shared" si="2"/>
        <v>0</v>
      </c>
      <c r="Z27" s="17">
        <f t="shared" si="3"/>
        <v>0</v>
      </c>
      <c r="AA27" s="17">
        <f t="shared" si="4"/>
        <v>0</v>
      </c>
      <c r="AB27" s="17">
        <f t="shared" si="5"/>
        <v>0</v>
      </c>
      <c r="AC27" s="17">
        <f t="shared" si="6"/>
        <v>0</v>
      </c>
      <c r="AJ27" s="17">
        <f t="shared" si="9"/>
        <v>0</v>
      </c>
      <c r="AK27" s="17">
        <f t="shared" si="10"/>
        <v>0</v>
      </c>
      <c r="AL27" s="17">
        <f t="shared" si="11"/>
        <v>0</v>
      </c>
      <c r="AM27" s="17">
        <f t="shared" si="12"/>
        <v>0</v>
      </c>
    </row>
    <row r="28" spans="1:39" x14ac:dyDescent="0.2">
      <c r="A28" t="s">
        <v>1034</v>
      </c>
      <c r="B28" s="239">
        <v>240000000</v>
      </c>
      <c r="C28" s="36">
        <f t="shared" si="14"/>
        <v>374337.81664019206</v>
      </c>
      <c r="D28" s="135" t="s">
        <v>506</v>
      </c>
      <c r="E28" t="s">
        <v>227</v>
      </c>
      <c r="F28">
        <v>1.7099999999999999E-3</v>
      </c>
      <c r="G28" t="s">
        <v>340</v>
      </c>
      <c r="H28">
        <v>5.3304799999999997</v>
      </c>
      <c r="I28">
        <v>3.0599999999999998E-3</v>
      </c>
      <c r="J28" s="88">
        <v>1.2700000000000001E-3</v>
      </c>
      <c r="K28">
        <v>1.2700000000000001E-3</v>
      </c>
      <c r="L28">
        <f>PSI_OC!$A$7</f>
        <v>10</v>
      </c>
      <c r="M28">
        <v>-1</v>
      </c>
      <c r="N28" t="s">
        <v>424</v>
      </c>
      <c r="O28" s="17"/>
      <c r="V28" s="234"/>
      <c r="W28" s="17">
        <f t="shared" si="0"/>
        <v>-7734.755136327969</v>
      </c>
      <c r="X28" s="17">
        <f t="shared" si="1"/>
        <v>-11137727.886211365</v>
      </c>
      <c r="Y28">
        <f t="shared" si="2"/>
        <v>-17740.158896134286</v>
      </c>
      <c r="Z28" s="17">
        <f t="shared" si="3"/>
        <v>-778.74392184410442</v>
      </c>
      <c r="AA28" s="17">
        <f t="shared" si="4"/>
        <v>-58193.933078523194</v>
      </c>
      <c r="AB28" s="17">
        <f t="shared" si="5"/>
        <v>-68.55626937538878</v>
      </c>
      <c r="AC28" s="17">
        <f t="shared" si="6"/>
        <v>-78.320185882013078</v>
      </c>
      <c r="AJ28" s="17">
        <f t="shared" si="9"/>
        <v>-4.4540510245369926</v>
      </c>
      <c r="AK28" s="17">
        <f t="shared" si="10"/>
        <v>-491984.36537408945</v>
      </c>
      <c r="AL28" s="17">
        <f t="shared" si="11"/>
        <v>-13467.938320228779</v>
      </c>
      <c r="AM28" s="17">
        <f t="shared" si="12"/>
        <v>-1144.9267676961315</v>
      </c>
    </row>
    <row r="29" spans="1:39" x14ac:dyDescent="0.2">
      <c r="A29" t="s">
        <v>1035</v>
      </c>
      <c r="B29" s="239">
        <v>140000000</v>
      </c>
      <c r="C29" s="36">
        <f t="shared" si="14"/>
        <v>218363.72637344539</v>
      </c>
      <c r="D29" s="135" t="s">
        <v>506</v>
      </c>
      <c r="E29" t="s">
        <v>228</v>
      </c>
      <c r="F29">
        <v>1.7099999999999999E-3</v>
      </c>
      <c r="G29" t="s">
        <v>341</v>
      </c>
      <c r="H29">
        <v>5.3304799999999997</v>
      </c>
      <c r="I29">
        <v>3.0599999999999998E-3</v>
      </c>
      <c r="J29" s="88">
        <v>0.12681999999999999</v>
      </c>
      <c r="K29">
        <v>0.12681999999999999</v>
      </c>
      <c r="L29">
        <f>PSI_OC!$A$7</f>
        <v>10</v>
      </c>
      <c r="M29">
        <v>-1</v>
      </c>
      <c r="N29" t="s">
        <v>425</v>
      </c>
      <c r="O29" s="17"/>
      <c r="W29" s="17">
        <f t="shared" si="0"/>
        <v>-7745791.8629552443</v>
      </c>
      <c r="X29" s="17">
        <f t="shared" si="1"/>
        <v>-1113699.9977716086</v>
      </c>
      <c r="Y29">
        <f t="shared" si="2"/>
        <v>-177122.2163803014</v>
      </c>
      <c r="Z29" s="17">
        <f t="shared" si="3"/>
        <v>-75957.484069101891</v>
      </c>
      <c r="AA29" s="17">
        <f t="shared" si="4"/>
        <v>-5819917.3807956148</v>
      </c>
      <c r="AB29" s="17">
        <f t="shared" si="5"/>
        <v>-6686.8730436917676</v>
      </c>
      <c r="AC29" s="17">
        <f t="shared" si="6"/>
        <v>-7639.2304383378914</v>
      </c>
      <c r="AJ29" s="17">
        <f t="shared" si="9"/>
        <v>-446.79699339886696</v>
      </c>
      <c r="AK29" s="17">
        <f t="shared" si="10"/>
        <v>-491690266.53709048</v>
      </c>
      <c r="AL29" s="17">
        <f t="shared" si="11"/>
        <v>-1346915.1192722907</v>
      </c>
      <c r="AM29" s="17">
        <f t="shared" si="12"/>
        <v>-11431.23733416295</v>
      </c>
    </row>
    <row r="30" spans="1:39" x14ac:dyDescent="0.2">
      <c r="A30" t="s">
        <v>1036</v>
      </c>
      <c r="B30" s="239">
        <v>110000000</v>
      </c>
      <c r="C30" s="36">
        <f t="shared" si="14"/>
        <v>171571.49929342137</v>
      </c>
      <c r="D30" s="135" t="s">
        <v>506</v>
      </c>
      <c r="E30" t="s">
        <v>229</v>
      </c>
      <c r="F30">
        <v>1.712E-2</v>
      </c>
      <c r="G30" t="s">
        <v>342</v>
      </c>
      <c r="H30">
        <v>5.33E-2</v>
      </c>
      <c r="I30">
        <v>3.0599999999999998E-3</v>
      </c>
      <c r="J30" s="88">
        <v>1.268E-2</v>
      </c>
      <c r="K30">
        <v>1.268E-2</v>
      </c>
      <c r="L30">
        <f>PSI_OC!$A$6</f>
        <v>100</v>
      </c>
      <c r="M30">
        <v>-1</v>
      </c>
      <c r="N30" t="s">
        <v>426</v>
      </c>
      <c r="O30" s="17"/>
      <c r="W30" s="17">
        <f t="shared" si="0"/>
        <v>-77438.016335634413</v>
      </c>
      <c r="X30" s="17">
        <f t="shared" si="1"/>
        <v>-11282.581676771202</v>
      </c>
      <c r="Y30">
        <f t="shared" si="2"/>
        <v>-17715574.109002639</v>
      </c>
      <c r="Z30" s="17">
        <f t="shared" si="3"/>
        <v>-7597186.08799667</v>
      </c>
      <c r="AA30" s="17">
        <f t="shared" si="4"/>
        <v>-581993.92171682534</v>
      </c>
      <c r="AB30" s="17">
        <f t="shared" si="5"/>
        <v>-668813.86978956219</v>
      </c>
      <c r="AC30" s="17">
        <f t="shared" si="6"/>
        <v>-764067.63494618679</v>
      </c>
      <c r="AJ30" s="17">
        <f t="shared" si="9"/>
        <v>-44670.512859648596</v>
      </c>
      <c r="AK30" s="17">
        <f t="shared" si="10"/>
        <v>-4917114.1981770992</v>
      </c>
      <c r="AL30" s="17">
        <f t="shared" si="11"/>
        <v>-134692.0172907683</v>
      </c>
      <c r="AM30" s="17">
        <f t="shared" si="12"/>
        <v>-1143340.0975298753</v>
      </c>
    </row>
    <row r="31" spans="1:39" x14ac:dyDescent="0.2">
      <c r="A31" t="s">
        <v>1037</v>
      </c>
      <c r="B31" s="239">
        <v>140000000</v>
      </c>
      <c r="C31" s="36">
        <f t="shared" si="14"/>
        <v>218363.72637344539</v>
      </c>
      <c r="D31" s="135" t="s">
        <v>506</v>
      </c>
      <c r="E31" t="s">
        <v>230</v>
      </c>
      <c r="F31">
        <v>1.7000000000000001E-4</v>
      </c>
      <c r="G31" t="s">
        <v>343</v>
      </c>
      <c r="H31">
        <v>53.3048</v>
      </c>
      <c r="I31">
        <v>3.0602</v>
      </c>
      <c r="J31" s="88">
        <v>0.12681999999999999</v>
      </c>
      <c r="K31">
        <v>0.12681999999999999</v>
      </c>
      <c r="L31">
        <f>PSI_OC!$A$6</f>
        <v>100</v>
      </c>
      <c r="M31">
        <v>-1</v>
      </c>
      <c r="N31" t="s">
        <v>427</v>
      </c>
      <c r="O31" s="17"/>
      <c r="W31" s="17">
        <f t="shared" si="0"/>
        <v>-774561.09330105351</v>
      </c>
      <c r="X31" s="17">
        <f t="shared" si="1"/>
        <v>-11137727.886211365</v>
      </c>
      <c r="Y31">
        <f t="shared" si="2"/>
        <v>-17715574.109002639</v>
      </c>
      <c r="Z31" s="17">
        <f t="shared" si="3"/>
        <v>-7597186.08799667</v>
      </c>
      <c r="AA31" s="17">
        <f t="shared" si="4"/>
        <v>-5819917.3807956148</v>
      </c>
      <c r="AB31" s="17">
        <f t="shared" si="5"/>
        <v>-668813.86978956219</v>
      </c>
      <c r="AC31" s="17">
        <f t="shared" si="6"/>
        <v>-764067.63494618679</v>
      </c>
      <c r="AJ31" s="17">
        <f t="shared" si="9"/>
        <v>-44670.512859648596</v>
      </c>
      <c r="AK31" s="17">
        <f t="shared" si="10"/>
        <v>-4917114.1981770992</v>
      </c>
      <c r="AL31" s="17">
        <f t="shared" si="11"/>
        <v>-1346915.1192722907</v>
      </c>
      <c r="AM31" s="17">
        <f t="shared" si="12"/>
        <v>-1143340.0975298753</v>
      </c>
    </row>
    <row r="32" spans="1:39" x14ac:dyDescent="0.2">
      <c r="A32" t="s">
        <v>1038</v>
      </c>
      <c r="B32" s="239">
        <v>290000000</v>
      </c>
      <c r="C32" s="36">
        <f t="shared" si="14"/>
        <v>452324.86177356547</v>
      </c>
      <c r="D32" s="135" t="s">
        <v>506</v>
      </c>
      <c r="E32" t="s">
        <v>231</v>
      </c>
      <c r="F32">
        <v>1.7099999999999999E-3</v>
      </c>
      <c r="G32" t="s">
        <v>344</v>
      </c>
      <c r="H32">
        <v>0.53305000000000002</v>
      </c>
      <c r="I32">
        <v>3.0599999999999998E-3</v>
      </c>
      <c r="J32" s="88">
        <v>0.12681999999999999</v>
      </c>
      <c r="K32">
        <v>1.2700000000000001E-3</v>
      </c>
      <c r="L32">
        <f>PSI_OC!$A$7</f>
        <v>10</v>
      </c>
      <c r="M32">
        <v>-1</v>
      </c>
      <c r="N32" t="s">
        <v>428</v>
      </c>
      <c r="O32" s="17"/>
      <c r="W32" s="17">
        <f t="shared" si="0"/>
        <v>-774561.09330105351</v>
      </c>
      <c r="X32" s="17">
        <f t="shared" si="1"/>
        <v>-1113699.9977716086</v>
      </c>
      <c r="Y32">
        <f t="shared" si="2"/>
        <v>-17715574.109002639</v>
      </c>
      <c r="Z32" s="17">
        <f t="shared" si="3"/>
        <v>-7597186.08799667</v>
      </c>
      <c r="AA32" s="17">
        <f t="shared" si="4"/>
        <v>-58199173.807956159</v>
      </c>
      <c r="AB32" s="17">
        <f t="shared" si="5"/>
        <v>-668813.86978956219</v>
      </c>
      <c r="AC32" s="17">
        <f t="shared" si="6"/>
        <v>-764067.63494618679</v>
      </c>
      <c r="AJ32" s="17">
        <f t="shared" si="9"/>
        <v>-44670.512859648596</v>
      </c>
      <c r="AK32" s="17">
        <f t="shared" si="10"/>
        <v>-491690266.53709048</v>
      </c>
      <c r="AL32" s="17">
        <f t="shared" si="11"/>
        <v>-13469151.192722907</v>
      </c>
      <c r="AM32" s="17">
        <f t="shared" si="12"/>
        <v>-1143340.0975298753</v>
      </c>
    </row>
    <row r="33" spans="1:39" x14ac:dyDescent="0.2">
      <c r="A33" t="s">
        <v>1039</v>
      </c>
      <c r="B33" s="239">
        <v>100000000</v>
      </c>
      <c r="C33" s="36">
        <f t="shared" si="14"/>
        <v>155974.0902667467</v>
      </c>
      <c r="D33" s="135" t="s">
        <v>506</v>
      </c>
      <c r="E33" t="s">
        <v>232</v>
      </c>
      <c r="F33">
        <v>1.7000000000000001E-4</v>
      </c>
      <c r="G33" t="s">
        <v>345</v>
      </c>
      <c r="H33">
        <v>5.3299999999999997E-3</v>
      </c>
      <c r="I33">
        <v>3.1E-4</v>
      </c>
      <c r="J33" s="88">
        <v>1.2999999999999999E-4</v>
      </c>
      <c r="K33">
        <v>1.2999999999999999E-4</v>
      </c>
      <c r="L33">
        <f>PSI_OC!$A$7</f>
        <v>10</v>
      </c>
      <c r="M33">
        <v>-1</v>
      </c>
      <c r="N33" t="s">
        <v>429</v>
      </c>
      <c r="O33" s="17"/>
      <c r="W33" s="17">
        <f t="shared" si="0"/>
        <v>-768.95226501506136</v>
      </c>
      <c r="X33" s="17">
        <f t="shared" si="1"/>
        <v>-11282.581676771202</v>
      </c>
      <c r="Y33">
        <f t="shared" si="2"/>
        <v>-1771501.5363840552</v>
      </c>
      <c r="Z33" s="17">
        <f t="shared" si="3"/>
        <v>-759694.64744822565</v>
      </c>
      <c r="AA33" s="17">
        <f t="shared" si="4"/>
        <v>-5819917.3807956148</v>
      </c>
      <c r="AB33" s="17">
        <f t="shared" si="5"/>
        <v>-66879.277555283115</v>
      </c>
      <c r="AC33" s="17">
        <f t="shared" si="6"/>
        <v>-76404.35364274538</v>
      </c>
      <c r="AJ33" s="17">
        <f t="shared" si="9"/>
        <v>-4467.1347994215694</v>
      </c>
      <c r="AK33" s="17">
        <f t="shared" si="10"/>
        <v>-4917114.1981770992</v>
      </c>
      <c r="AL33" s="17">
        <f t="shared" si="11"/>
        <v>-1346915.1192722907</v>
      </c>
      <c r="AM33" s="17">
        <f t="shared" si="12"/>
        <v>-114330.40368442785</v>
      </c>
    </row>
    <row r="34" spans="1:39" x14ac:dyDescent="0.2">
      <c r="A34" t="s">
        <v>1040</v>
      </c>
      <c r="B34" s="239">
        <v>610000000</v>
      </c>
      <c r="C34" s="36">
        <f t="shared" si="14"/>
        <v>951441.9506271549</v>
      </c>
      <c r="D34" s="135" t="s">
        <v>506</v>
      </c>
      <c r="E34" t="s">
        <v>233</v>
      </c>
      <c r="F34">
        <v>1.7000000000000001E-4</v>
      </c>
      <c r="G34" t="s">
        <v>345</v>
      </c>
      <c r="H34">
        <v>5.3299999999999997E-3</v>
      </c>
      <c r="I34">
        <v>3.1E-4</v>
      </c>
      <c r="J34" s="88">
        <v>1.2999999999999999E-4</v>
      </c>
      <c r="K34">
        <v>1.2999999999999999E-4</v>
      </c>
      <c r="L34">
        <f>PSI_OC!$A$7</f>
        <v>10</v>
      </c>
      <c r="M34">
        <v>-1</v>
      </c>
      <c r="N34" t="s">
        <v>429</v>
      </c>
      <c r="O34" s="17"/>
      <c r="W34" s="17">
        <f t="shared" si="0"/>
        <v>-77347.551363279694</v>
      </c>
      <c r="X34" s="17">
        <f t="shared" si="1"/>
        <v>-1113699.9977716089</v>
      </c>
      <c r="Y34">
        <f t="shared" si="2"/>
        <v>-177401.58896134287</v>
      </c>
      <c r="Z34" s="17">
        <f t="shared" si="3"/>
        <v>-76077.290826308672</v>
      </c>
      <c r="AA34" s="17">
        <f t="shared" si="4"/>
        <v>-581939.33078523201</v>
      </c>
      <c r="AB34" s="17">
        <f t="shared" si="5"/>
        <v>-6697.420162057213</v>
      </c>
      <c r="AC34" s="17">
        <f t="shared" si="6"/>
        <v>-7651.2796977043554</v>
      </c>
      <c r="AJ34" s="17">
        <f t="shared" si="9"/>
        <v>-445.40510245369927</v>
      </c>
      <c r="AK34" s="17">
        <f t="shared" si="10"/>
        <v>-4919843.653740895</v>
      </c>
      <c r="AL34" s="17">
        <f t="shared" si="11"/>
        <v>-134679.38320228781</v>
      </c>
      <c r="AM34" s="17">
        <f t="shared" si="12"/>
        <v>-11449.267676961314</v>
      </c>
    </row>
    <row r="35" spans="1:39" x14ac:dyDescent="0.2">
      <c r="A35" t="s">
        <v>1041</v>
      </c>
      <c r="B35" s="239">
        <v>30000000</v>
      </c>
      <c r="C35" s="36">
        <f t="shared" si="14"/>
        <v>46792.227080024008</v>
      </c>
      <c r="D35" s="135" t="s">
        <v>506</v>
      </c>
      <c r="E35" t="s">
        <v>320</v>
      </c>
      <c r="F35">
        <v>1.7099999999999999E-3</v>
      </c>
      <c r="G35" t="s">
        <v>344</v>
      </c>
      <c r="H35">
        <v>0</v>
      </c>
      <c r="I35">
        <v>0.30602000000000001</v>
      </c>
      <c r="J35" s="88">
        <v>0</v>
      </c>
      <c r="K35">
        <v>0</v>
      </c>
      <c r="L35">
        <f>PSI_OC!$A$6</f>
        <v>100</v>
      </c>
      <c r="M35">
        <v>-1</v>
      </c>
      <c r="N35" t="s">
        <v>428</v>
      </c>
      <c r="O35" s="17"/>
      <c r="W35" s="17">
        <f t="shared" si="0"/>
        <v>-77347.551363279694</v>
      </c>
      <c r="X35" s="17">
        <f t="shared" si="1"/>
        <v>-1113699.9977716089</v>
      </c>
      <c r="Y35">
        <f t="shared" si="2"/>
        <v>-177401.58896134287</v>
      </c>
      <c r="Z35" s="17">
        <f t="shared" si="3"/>
        <v>-76077.290826308672</v>
      </c>
      <c r="AA35" s="17">
        <f t="shared" si="4"/>
        <v>-581939.33078523201</v>
      </c>
      <c r="AB35" s="17">
        <f t="shared" si="5"/>
        <v>-6697.420162057213</v>
      </c>
      <c r="AC35" s="17">
        <f t="shared" si="6"/>
        <v>-7651.2796977043554</v>
      </c>
      <c r="AJ35" s="17">
        <f t="shared" si="9"/>
        <v>-445.40510245369927</v>
      </c>
      <c r="AK35" s="17">
        <f t="shared" si="10"/>
        <v>-4919843.653740895</v>
      </c>
      <c r="AL35" s="17">
        <f t="shared" si="11"/>
        <v>-134679.38320228781</v>
      </c>
      <c r="AM35" s="17">
        <f t="shared" si="12"/>
        <v>-11449.267676961314</v>
      </c>
    </row>
    <row r="36" spans="1:39" x14ac:dyDescent="0.2">
      <c r="A36" t="s">
        <v>1042</v>
      </c>
      <c r="B36" s="239">
        <v>100000000</v>
      </c>
      <c r="C36" s="36">
        <f t="shared" si="14"/>
        <v>155974.0902667467</v>
      </c>
      <c r="D36" s="135" t="s">
        <v>506</v>
      </c>
      <c r="E36" t="s">
        <v>321</v>
      </c>
      <c r="F36">
        <v>1.712E-2</v>
      </c>
      <c r="G36" t="s">
        <v>344</v>
      </c>
      <c r="H36">
        <v>0</v>
      </c>
      <c r="I36">
        <v>0.30602000000000001</v>
      </c>
      <c r="J36" s="88">
        <v>0</v>
      </c>
      <c r="K36">
        <v>0</v>
      </c>
      <c r="L36">
        <f>PSI_OC!$A$6</f>
        <v>100</v>
      </c>
      <c r="M36">
        <v>-1</v>
      </c>
      <c r="N36" t="s">
        <v>428</v>
      </c>
      <c r="O36" s="17"/>
      <c r="W36" s="17">
        <f t="shared" si="0"/>
        <v>7734.755136327969</v>
      </c>
      <c r="X36" s="17">
        <f t="shared" si="1"/>
        <v>11137727.886211365</v>
      </c>
      <c r="Y36">
        <f t="shared" si="2"/>
        <v>17740.158896134286</v>
      </c>
      <c r="Z36" s="17">
        <f t="shared" si="3"/>
        <v>7607.7290826308672</v>
      </c>
      <c r="AA36" s="17">
        <f t="shared" si="4"/>
        <v>5819917.3807956148</v>
      </c>
      <c r="AB36" s="17">
        <f t="shared" si="5"/>
        <v>669.74201620572126</v>
      </c>
      <c r="AC36" s="17">
        <f t="shared" si="6"/>
        <v>765.12796977043547</v>
      </c>
      <c r="AJ36" s="17">
        <f t="shared" si="9"/>
        <v>44.54051024536993</v>
      </c>
      <c r="AK36" s="17">
        <f t="shared" si="10"/>
        <v>491984.36537408945</v>
      </c>
      <c r="AL36" s="17">
        <f t="shared" si="11"/>
        <v>1346915.1192722907</v>
      </c>
      <c r="AM36" s="17">
        <f t="shared" si="12"/>
        <v>1144.9267676961315</v>
      </c>
    </row>
    <row r="37" spans="1:39" x14ac:dyDescent="0.2">
      <c r="A37" t="s">
        <v>1043</v>
      </c>
      <c r="B37" s="239">
        <v>110000000</v>
      </c>
      <c r="C37" s="36">
        <f t="shared" si="14"/>
        <v>171571.49929342137</v>
      </c>
      <c r="D37" s="135" t="s">
        <v>506</v>
      </c>
      <c r="E37" t="s">
        <v>234</v>
      </c>
      <c r="F37">
        <v>1.712E-2</v>
      </c>
      <c r="G37" t="s">
        <v>344</v>
      </c>
      <c r="H37">
        <v>0</v>
      </c>
      <c r="I37">
        <v>0.30602000000000001</v>
      </c>
      <c r="J37" s="88">
        <v>0</v>
      </c>
      <c r="K37">
        <v>0</v>
      </c>
      <c r="L37">
        <v>0</v>
      </c>
      <c r="M37">
        <v>0</v>
      </c>
      <c r="N37" t="s">
        <v>428</v>
      </c>
      <c r="O37" s="17"/>
      <c r="W37" s="17">
        <f t="shared" si="0"/>
        <v>0</v>
      </c>
      <c r="X37" s="17">
        <f t="shared" si="1"/>
        <v>-112825.81676771201</v>
      </c>
      <c r="Y37">
        <f t="shared" si="2"/>
        <v>0</v>
      </c>
      <c r="Z37" s="17">
        <f t="shared" si="3"/>
        <v>0</v>
      </c>
      <c r="AA37" s="17">
        <f t="shared" si="4"/>
        <v>-58193.933078523194</v>
      </c>
      <c r="AB37" s="17">
        <f t="shared" si="5"/>
        <v>0</v>
      </c>
      <c r="AC37" s="17">
        <f t="shared" si="6"/>
        <v>0</v>
      </c>
      <c r="AJ37" s="17">
        <f t="shared" si="9"/>
        <v>0</v>
      </c>
      <c r="AK37" s="17">
        <f t="shared" si="10"/>
        <v>-49171141.981770992</v>
      </c>
      <c r="AL37" s="17">
        <f t="shared" si="11"/>
        <v>-13467.938320228777</v>
      </c>
      <c r="AM37" s="17">
        <f t="shared" si="12"/>
        <v>0</v>
      </c>
    </row>
    <row r="38" spans="1:39" x14ac:dyDescent="0.2">
      <c r="A38" t="s">
        <v>1044</v>
      </c>
      <c r="B38" s="239">
        <v>610000000</v>
      </c>
      <c r="C38" s="36">
        <f t="shared" si="14"/>
        <v>951441.9506271549</v>
      </c>
      <c r="D38" s="136" t="s">
        <v>502</v>
      </c>
      <c r="E38" t="s">
        <v>235</v>
      </c>
      <c r="F38">
        <v>0.17124</v>
      </c>
      <c r="G38" t="s">
        <v>346</v>
      </c>
      <c r="H38">
        <v>5.3304799999999997</v>
      </c>
      <c r="I38">
        <v>0.30602000000000001</v>
      </c>
      <c r="J38" s="88">
        <v>0.12681999999999999</v>
      </c>
      <c r="K38">
        <v>0.12681999999999999</v>
      </c>
      <c r="L38">
        <f>PSI_OC!$A$8</f>
        <v>1</v>
      </c>
      <c r="M38">
        <v>1</v>
      </c>
      <c r="N38" t="s">
        <v>430</v>
      </c>
      <c r="O38" s="17"/>
      <c r="W38" s="17">
        <f t="shared" si="0"/>
        <v>-77438.016335634413</v>
      </c>
      <c r="X38" s="17">
        <f t="shared" si="1"/>
        <v>-111377278.86211364</v>
      </c>
      <c r="Y38">
        <f t="shared" si="2"/>
        <v>-1771501.5363840552</v>
      </c>
      <c r="Z38" s="17">
        <f t="shared" si="3"/>
        <v>-759694.64744822565</v>
      </c>
      <c r="AA38" s="17">
        <f t="shared" si="4"/>
        <v>-58199173.807956159</v>
      </c>
      <c r="AB38" s="17">
        <f t="shared" si="5"/>
        <v>-66879.277555283115</v>
      </c>
      <c r="AC38" s="17">
        <f t="shared" si="6"/>
        <v>-76404.35364274538</v>
      </c>
      <c r="AJ38" s="17">
        <f t="shared" si="9"/>
        <v>-4467.1347994215694</v>
      </c>
      <c r="AK38" s="17">
        <f t="shared" si="10"/>
        <v>-491690266.53709048</v>
      </c>
      <c r="AL38" s="17">
        <f t="shared" si="11"/>
        <v>-13469151.192722907</v>
      </c>
      <c r="AM38" s="17">
        <f t="shared" si="12"/>
        <v>-114330.40368442785</v>
      </c>
    </row>
    <row r="39" spans="1:39" x14ac:dyDescent="0.2">
      <c r="A39" t="s">
        <v>1045</v>
      </c>
      <c r="B39" s="239">
        <v>290000000</v>
      </c>
      <c r="C39" s="36">
        <f t="shared" si="14"/>
        <v>452324.86177356547</v>
      </c>
      <c r="D39" s="199" t="s">
        <v>660</v>
      </c>
      <c r="E39" t="s">
        <v>236</v>
      </c>
      <c r="F39">
        <v>1.7000000000000001E-4</v>
      </c>
      <c r="G39" t="s">
        <v>347</v>
      </c>
      <c r="H39">
        <v>5.3299999999999997E-3</v>
      </c>
      <c r="I39">
        <v>3.0602</v>
      </c>
      <c r="J39" s="88">
        <v>1.2999999999999999E-4</v>
      </c>
      <c r="K39">
        <v>1.2999999999999999E-4</v>
      </c>
      <c r="L39">
        <f>PSI_OC!$A$7</f>
        <v>10</v>
      </c>
      <c r="M39">
        <v>-1</v>
      </c>
      <c r="N39" t="s">
        <v>431</v>
      </c>
      <c r="O39" s="17"/>
      <c r="W39" s="17">
        <f t="shared" si="0"/>
        <v>-7734.755136327969</v>
      </c>
      <c r="X39" s="17">
        <f t="shared" si="1"/>
        <v>-11137727.886211365</v>
      </c>
      <c r="Y39">
        <f t="shared" si="2"/>
        <v>-177122.2163803014</v>
      </c>
      <c r="Z39" s="17">
        <f t="shared" si="3"/>
        <v>-75957.484069101891</v>
      </c>
      <c r="AA39" s="17">
        <f t="shared" si="4"/>
        <v>-58199173.807956159</v>
      </c>
      <c r="AB39" s="17">
        <f t="shared" si="5"/>
        <v>-6686.8730436917676</v>
      </c>
      <c r="AC39" s="17">
        <f t="shared" si="6"/>
        <v>-7639.2304383378914</v>
      </c>
      <c r="AJ39" s="17">
        <f t="shared" si="9"/>
        <v>-446.79699339886696</v>
      </c>
      <c r="AK39" s="17">
        <f t="shared" si="10"/>
        <v>-491690266.53709048</v>
      </c>
      <c r="AL39" s="17">
        <f t="shared" si="11"/>
        <v>-13469151.192722907</v>
      </c>
      <c r="AM39" s="17">
        <f t="shared" si="12"/>
        <v>-11431.23733416295</v>
      </c>
    </row>
    <row r="40" spans="1:39" x14ac:dyDescent="0.2">
      <c r="A40" t="s">
        <v>1046</v>
      </c>
      <c r="B40" s="239">
        <v>70000000</v>
      </c>
      <c r="C40" s="36">
        <f>B40*$B$12*($B$9/$B$10)</f>
        <v>109181.86318672269</v>
      </c>
      <c r="D40" s="1" t="s">
        <v>528</v>
      </c>
      <c r="E40" t="s">
        <v>237</v>
      </c>
      <c r="F40">
        <v>1.712E-2</v>
      </c>
      <c r="G40" t="s">
        <v>348</v>
      </c>
      <c r="H40">
        <v>5.3304799999999997</v>
      </c>
      <c r="I40">
        <v>0.30602000000000001</v>
      </c>
      <c r="J40" s="88">
        <v>0.12681999999999999</v>
      </c>
      <c r="K40">
        <v>0.12681999999999999</v>
      </c>
      <c r="L40">
        <f>PSI_OC!$A$6</f>
        <v>100</v>
      </c>
      <c r="M40">
        <v>-1</v>
      </c>
      <c r="N40" t="s">
        <v>432</v>
      </c>
      <c r="O40" s="17"/>
      <c r="W40" s="17">
        <f t="shared" si="0"/>
        <v>-7689.5226501506131</v>
      </c>
      <c r="X40" s="17">
        <f t="shared" si="1"/>
        <v>-112825.81676771201</v>
      </c>
      <c r="Y40">
        <f t="shared" si="2"/>
        <v>-177401.58896134287</v>
      </c>
      <c r="Z40" s="17">
        <f t="shared" si="3"/>
        <v>-76077.290826308672</v>
      </c>
      <c r="AA40" s="17">
        <f t="shared" si="4"/>
        <v>-581939.33078523201</v>
      </c>
      <c r="AB40" s="17">
        <f t="shared" si="5"/>
        <v>-6697.420162057213</v>
      </c>
      <c r="AC40" s="17">
        <f t="shared" si="6"/>
        <v>-7651.2796977043554</v>
      </c>
      <c r="AJ40" s="17">
        <f t="shared" si="9"/>
        <v>-445.40510245369927</v>
      </c>
      <c r="AK40" s="17">
        <f t="shared" si="10"/>
        <v>-4919843.653740895</v>
      </c>
      <c r="AL40" s="17">
        <f t="shared" si="11"/>
        <v>-134679.38320228781</v>
      </c>
      <c r="AM40" s="17">
        <f t="shared" si="12"/>
        <v>-11449.267676961314</v>
      </c>
    </row>
    <row r="41" spans="1:39" x14ac:dyDescent="0.2">
      <c r="C41" s="36"/>
      <c r="D41" s="237"/>
      <c r="E41" t="s">
        <v>238</v>
      </c>
      <c r="F41">
        <v>0</v>
      </c>
      <c r="G41" t="s">
        <v>349</v>
      </c>
      <c r="H41">
        <v>5.3299999999999997E-3</v>
      </c>
      <c r="I41">
        <v>0</v>
      </c>
      <c r="J41" s="88">
        <v>0</v>
      </c>
      <c r="K41">
        <v>0</v>
      </c>
      <c r="L41">
        <f>PSI_OC!$A$7</f>
        <v>10</v>
      </c>
      <c r="M41">
        <v>-1</v>
      </c>
      <c r="N41" t="s">
        <v>433</v>
      </c>
      <c r="O41" s="17"/>
      <c r="W41" s="17">
        <f t="shared" si="0"/>
        <v>-768.95226501506136</v>
      </c>
      <c r="X41" s="17">
        <f t="shared" si="1"/>
        <v>-111369.99977716088</v>
      </c>
      <c r="Y41">
        <f t="shared" si="2"/>
        <v>-17740.158896134286</v>
      </c>
      <c r="Z41" s="17">
        <f t="shared" si="3"/>
        <v>-7607.7290826308672</v>
      </c>
      <c r="AA41" s="17">
        <f t="shared" si="4"/>
        <v>-58193.933078523194</v>
      </c>
      <c r="AB41" s="17">
        <f t="shared" si="5"/>
        <v>-669.74201620572126</v>
      </c>
      <c r="AC41" s="17">
        <f t="shared" si="6"/>
        <v>-765.12796977043547</v>
      </c>
      <c r="AJ41" s="17">
        <f t="shared" si="9"/>
        <v>-44.54051024536993</v>
      </c>
      <c r="AK41" s="17">
        <f t="shared" si="10"/>
        <v>-4917114.1981770992</v>
      </c>
      <c r="AL41" s="17">
        <f t="shared" si="11"/>
        <v>-13467.938320228779</v>
      </c>
      <c r="AM41" s="17">
        <f t="shared" si="12"/>
        <v>-1144.9267676961315</v>
      </c>
    </row>
    <row r="42" spans="1:39" x14ac:dyDescent="0.2">
      <c r="A42" s="234"/>
      <c r="B42" s="240"/>
      <c r="C42" s="36"/>
      <c r="D42" s="141"/>
      <c r="E42" t="s">
        <v>239</v>
      </c>
      <c r="F42">
        <v>1.7099999999999999E-3</v>
      </c>
      <c r="G42" t="s">
        <v>348</v>
      </c>
      <c r="H42">
        <v>5.3304799999999997</v>
      </c>
      <c r="I42">
        <v>3.0599999999999998E-3</v>
      </c>
      <c r="J42" s="88">
        <v>1.2700000000000001E-3</v>
      </c>
      <c r="K42">
        <v>1.2700000000000001E-3</v>
      </c>
      <c r="L42">
        <f>PSI_OC!$A$6</f>
        <v>100</v>
      </c>
      <c r="M42">
        <v>-1</v>
      </c>
      <c r="N42" t="s">
        <v>432</v>
      </c>
      <c r="O42" s="17"/>
      <c r="W42" s="17">
        <f t="shared" si="0"/>
        <v>0</v>
      </c>
      <c r="X42" s="17">
        <f t="shared" si="1"/>
        <v>0</v>
      </c>
      <c r="Y42">
        <f t="shared" si="2"/>
        <v>0</v>
      </c>
      <c r="Z42" s="17">
        <f t="shared" si="3"/>
        <v>0</v>
      </c>
      <c r="AA42" s="17">
        <f t="shared" si="4"/>
        <v>-58193.933078523194</v>
      </c>
      <c r="AB42" s="17">
        <f t="shared" si="5"/>
        <v>0</v>
      </c>
      <c r="AC42" s="17">
        <f t="shared" si="6"/>
        <v>0</v>
      </c>
      <c r="AJ42" s="17">
        <f t="shared" si="9"/>
        <v>0</v>
      </c>
      <c r="AK42" s="17">
        <f t="shared" si="10"/>
        <v>-491984.36537408945</v>
      </c>
      <c r="AL42" s="17">
        <f t="shared" si="11"/>
        <v>-13467.938320228779</v>
      </c>
      <c r="AM42" s="17">
        <f t="shared" si="12"/>
        <v>0</v>
      </c>
    </row>
    <row r="43" spans="1:39" x14ac:dyDescent="0.2">
      <c r="B43" s="239"/>
      <c r="C43" s="36"/>
      <c r="D43" s="237"/>
      <c r="E43" t="s">
        <v>240</v>
      </c>
      <c r="F43">
        <v>0</v>
      </c>
      <c r="G43" t="s">
        <v>348</v>
      </c>
      <c r="H43">
        <v>5.3304799999999997</v>
      </c>
      <c r="I43">
        <v>0</v>
      </c>
      <c r="J43" s="88">
        <v>0</v>
      </c>
      <c r="K43">
        <v>0</v>
      </c>
      <c r="L43">
        <f>PSI_OC!$A$6</f>
        <v>100</v>
      </c>
      <c r="M43">
        <v>-1</v>
      </c>
      <c r="N43" t="s">
        <v>432</v>
      </c>
      <c r="O43" s="17"/>
      <c r="V43" s="234"/>
      <c r="W43" s="17">
        <f t="shared" si="0"/>
        <v>-768.95226501506136</v>
      </c>
      <c r="X43" s="17">
        <f t="shared" si="1"/>
        <v>-11137727.886211365</v>
      </c>
      <c r="Y43">
        <f t="shared" si="2"/>
        <v>-17740.158896134286</v>
      </c>
      <c r="Z43" s="17">
        <f t="shared" si="3"/>
        <v>-7607.7290826308672</v>
      </c>
      <c r="AA43" s="17">
        <f t="shared" si="4"/>
        <v>-58199173.807956159</v>
      </c>
      <c r="AB43" s="17">
        <f t="shared" si="5"/>
        <v>-669.74201620572126</v>
      </c>
      <c r="AC43" s="17">
        <f t="shared" si="6"/>
        <v>-765.12796977043547</v>
      </c>
      <c r="AJ43" s="17">
        <f t="shared" si="9"/>
        <v>-44.54051024536993</v>
      </c>
      <c r="AK43" s="17">
        <f t="shared" si="10"/>
        <v>-49169094.89009814</v>
      </c>
      <c r="AL43" s="17">
        <f t="shared" si="11"/>
        <v>-13469151.192722907</v>
      </c>
      <c r="AM43" s="17">
        <f t="shared" si="12"/>
        <v>-1144.9267676961315</v>
      </c>
    </row>
    <row r="44" spans="1:39" x14ac:dyDescent="0.2">
      <c r="A44" s="234"/>
      <c r="B44" s="240"/>
      <c r="C44" s="36"/>
      <c r="E44" t="s">
        <v>241</v>
      </c>
      <c r="F44">
        <v>0</v>
      </c>
      <c r="G44" t="s">
        <v>350</v>
      </c>
      <c r="H44">
        <v>0</v>
      </c>
      <c r="I44">
        <v>0</v>
      </c>
      <c r="J44" s="88">
        <v>0</v>
      </c>
      <c r="K44">
        <v>0</v>
      </c>
      <c r="L44">
        <f>PSI_OC!$A$6</f>
        <v>100</v>
      </c>
      <c r="M44">
        <v>-1</v>
      </c>
      <c r="N44" t="s">
        <v>434</v>
      </c>
      <c r="O44" s="17"/>
      <c r="V44" s="234"/>
      <c r="W44" s="17">
        <f t="shared" si="0"/>
        <v>-77347.551363279694</v>
      </c>
      <c r="X44" s="17">
        <f t="shared" si="1"/>
        <v>-1113699.9977716089</v>
      </c>
      <c r="Y44">
        <f t="shared" si="2"/>
        <v>-177155741.09002638</v>
      </c>
      <c r="Z44" s="17">
        <f t="shared" si="3"/>
        <v>-75971860.879966691</v>
      </c>
      <c r="AA44" s="17">
        <f t="shared" si="4"/>
        <v>-5819939.2171682538</v>
      </c>
      <c r="AB44" s="17">
        <f t="shared" si="5"/>
        <v>-6688138.6978956219</v>
      </c>
      <c r="AC44" s="17">
        <f t="shared" si="6"/>
        <v>-7640676.3494618675</v>
      </c>
      <c r="AJ44" s="17">
        <f t="shared" si="9"/>
        <v>-446705.128596486</v>
      </c>
      <c r="AK44" s="17">
        <f t="shared" si="10"/>
        <v>-4919843.653740895</v>
      </c>
      <c r="AL44" s="17">
        <f t="shared" si="11"/>
        <v>-1346920.1729076831</v>
      </c>
      <c r="AM44" s="17">
        <f t="shared" si="12"/>
        <v>-11433400.975298753</v>
      </c>
    </row>
    <row r="45" spans="1:39" x14ac:dyDescent="0.2">
      <c r="B45" s="36"/>
      <c r="C45" s="36"/>
      <c r="D45" s="236"/>
      <c r="E45" t="s">
        <v>242</v>
      </c>
      <c r="F45">
        <v>0</v>
      </c>
      <c r="G45" t="s">
        <v>351</v>
      </c>
      <c r="H45">
        <v>5.33E-2</v>
      </c>
      <c r="I45">
        <v>0</v>
      </c>
      <c r="J45" s="88">
        <v>0</v>
      </c>
      <c r="K45">
        <v>0</v>
      </c>
      <c r="L45">
        <f>PSI_OC!$A$8</f>
        <v>1</v>
      </c>
      <c r="M45">
        <v>1</v>
      </c>
      <c r="N45" t="s">
        <v>435</v>
      </c>
      <c r="O45" s="17"/>
      <c r="W45" s="17">
        <f t="shared" si="0"/>
        <v>-774380.1633563441</v>
      </c>
      <c r="X45" s="17">
        <f t="shared" si="1"/>
        <v>-1113699.9977716089</v>
      </c>
      <c r="Y45">
        <f t="shared" si="2"/>
        <v>-17715015.363840554</v>
      </c>
      <c r="Z45" s="17">
        <f t="shared" si="3"/>
        <v>-7596946.474482256</v>
      </c>
      <c r="AA45" s="17">
        <f t="shared" si="4"/>
        <v>-58193.933078523194</v>
      </c>
      <c r="AB45" s="17">
        <f t="shared" si="5"/>
        <v>-668792.77555283112</v>
      </c>
      <c r="AC45" s="17">
        <f t="shared" si="6"/>
        <v>-764043.53642745374</v>
      </c>
      <c r="AJ45" s="17">
        <f t="shared" si="9"/>
        <v>-44671.347994215692</v>
      </c>
      <c r="AK45" s="17">
        <f t="shared" si="10"/>
        <v>-491302.00148314063</v>
      </c>
      <c r="AL45" s="17">
        <f t="shared" si="11"/>
        <v>-13467.938320228777</v>
      </c>
      <c r="AM45" s="17">
        <f t="shared" si="12"/>
        <v>-1143304.0368442785</v>
      </c>
    </row>
    <row r="46" spans="1:39" x14ac:dyDescent="0.2">
      <c r="B46" s="36"/>
      <c r="C46" s="36"/>
      <c r="E46" t="s">
        <v>243</v>
      </c>
      <c r="F46">
        <v>1.7000000000000001E-4</v>
      </c>
      <c r="G46" t="s">
        <v>352</v>
      </c>
      <c r="H46">
        <v>0.53305000000000002</v>
      </c>
      <c r="I46">
        <v>3.0599999999999998E-3</v>
      </c>
      <c r="J46" s="88">
        <v>0.12681999999999999</v>
      </c>
      <c r="K46">
        <v>1.26824</v>
      </c>
      <c r="L46">
        <f>PSI_OC!$A$6</f>
        <v>100</v>
      </c>
      <c r="M46">
        <v>-1</v>
      </c>
      <c r="N46" t="s">
        <v>436</v>
      </c>
      <c r="O46" s="17"/>
      <c r="W46" s="17">
        <f t="shared" si="0"/>
        <v>0</v>
      </c>
      <c r="X46" s="17">
        <f t="shared" si="1"/>
        <v>0</v>
      </c>
      <c r="Y46">
        <f t="shared" si="2"/>
        <v>0</v>
      </c>
      <c r="Z46" s="17">
        <f t="shared" si="3"/>
        <v>0</v>
      </c>
      <c r="AA46" s="17">
        <f t="shared" si="4"/>
        <v>0</v>
      </c>
      <c r="AB46" s="17">
        <f t="shared" si="5"/>
        <v>0</v>
      </c>
      <c r="AC46" s="17">
        <f t="shared" si="6"/>
        <v>0</v>
      </c>
      <c r="AJ46" s="17">
        <f t="shared" si="9"/>
        <v>0</v>
      </c>
      <c r="AK46" s="17">
        <f t="shared" si="10"/>
        <v>0</v>
      </c>
      <c r="AL46" s="17">
        <f t="shared" si="11"/>
        <v>0</v>
      </c>
      <c r="AM46" s="17">
        <f t="shared" si="12"/>
        <v>0</v>
      </c>
    </row>
    <row r="47" spans="1:39" x14ac:dyDescent="0.2">
      <c r="B47" s="36"/>
      <c r="C47" s="36"/>
      <c r="E47" t="s">
        <v>244</v>
      </c>
      <c r="F47">
        <v>1.712E-2</v>
      </c>
      <c r="G47" t="s">
        <v>353</v>
      </c>
      <c r="H47">
        <v>5.33E-2</v>
      </c>
      <c r="I47">
        <v>3.0599999999999998E-3</v>
      </c>
      <c r="J47" s="88">
        <v>1.2700000000000001E-3</v>
      </c>
      <c r="K47">
        <v>1.2700000000000001E-3</v>
      </c>
      <c r="L47">
        <v>0</v>
      </c>
      <c r="M47">
        <v>0</v>
      </c>
      <c r="N47" t="s">
        <v>437</v>
      </c>
      <c r="O47" s="17"/>
      <c r="V47" s="234"/>
      <c r="W47" s="17">
        <f t="shared" si="0"/>
        <v>-7689.5226501506131</v>
      </c>
      <c r="X47" s="17">
        <f t="shared" si="1"/>
        <v>-1113699.9977716089</v>
      </c>
      <c r="Y47">
        <f t="shared" si="2"/>
        <v>-1771222.163803014</v>
      </c>
      <c r="Z47" s="17">
        <f t="shared" si="3"/>
        <v>-759574.84069101885</v>
      </c>
      <c r="AA47" s="17">
        <f t="shared" si="4"/>
        <v>-5819939.2171682538</v>
      </c>
      <c r="AB47" s="17">
        <f t="shared" si="5"/>
        <v>-66868.730436917685</v>
      </c>
      <c r="AC47" s="17">
        <f t="shared" si="6"/>
        <v>-76392.304383378912</v>
      </c>
      <c r="AJ47" s="17">
        <f t="shared" si="9"/>
        <v>-4467.9699339886693</v>
      </c>
      <c r="AK47" s="17">
        <f t="shared" si="10"/>
        <v>-491690948.90098143</v>
      </c>
      <c r="AL47" s="17">
        <f t="shared" si="11"/>
        <v>-1346920.1729076831</v>
      </c>
      <c r="AM47" s="17">
        <f t="shared" si="12"/>
        <v>-114312.3733416295</v>
      </c>
    </row>
    <row r="48" spans="1:39" x14ac:dyDescent="0.2">
      <c r="B48" s="36"/>
      <c r="C48" s="36"/>
      <c r="D48" s="236"/>
      <c r="E48" t="s">
        <v>245</v>
      </c>
      <c r="F48">
        <v>1.7099999999999999E-3</v>
      </c>
      <c r="G48" t="s">
        <v>351</v>
      </c>
      <c r="H48">
        <v>5.33E-2</v>
      </c>
      <c r="I48">
        <v>0.30602000000000001</v>
      </c>
      <c r="J48" s="88">
        <v>1.2700000000000001E-3</v>
      </c>
      <c r="K48">
        <v>1.2999999999999999E-4</v>
      </c>
      <c r="L48">
        <f>PSI_OC!$A$7</f>
        <v>10</v>
      </c>
      <c r="M48">
        <v>-1</v>
      </c>
      <c r="N48" t="s">
        <v>435</v>
      </c>
      <c r="O48" s="17"/>
      <c r="W48" s="17">
        <f t="shared" si="0"/>
        <v>0</v>
      </c>
      <c r="X48" s="17">
        <f t="shared" si="1"/>
        <v>0</v>
      </c>
      <c r="Y48">
        <f t="shared" si="2"/>
        <v>0</v>
      </c>
      <c r="Z48" s="17">
        <f t="shared" si="3"/>
        <v>0</v>
      </c>
      <c r="AA48" s="17">
        <f t="shared" si="4"/>
        <v>0</v>
      </c>
      <c r="AB48" s="17">
        <f t="shared" si="5"/>
        <v>0</v>
      </c>
      <c r="AC48" s="17">
        <f t="shared" si="6"/>
        <v>0</v>
      </c>
      <c r="AJ48" s="17">
        <f t="shared" si="9"/>
        <v>0</v>
      </c>
      <c r="AK48" s="17">
        <f t="shared" si="10"/>
        <v>0</v>
      </c>
      <c r="AL48" s="17">
        <f t="shared" si="11"/>
        <v>0</v>
      </c>
      <c r="AM48" s="17">
        <f t="shared" si="12"/>
        <v>0</v>
      </c>
    </row>
    <row r="49" spans="2:39" x14ac:dyDescent="0.2">
      <c r="B49" s="36"/>
      <c r="C49" s="36"/>
      <c r="D49" s="236"/>
      <c r="E49" t="s">
        <v>246</v>
      </c>
      <c r="F49">
        <v>1.71244</v>
      </c>
      <c r="G49" t="s">
        <v>354</v>
      </c>
      <c r="H49">
        <v>5.3304799999999997</v>
      </c>
      <c r="I49">
        <v>3.0599999999999999E-2</v>
      </c>
      <c r="J49" s="88">
        <v>1.268E-2</v>
      </c>
      <c r="K49">
        <v>1.268E-2</v>
      </c>
      <c r="L49">
        <f>PSI_OC!$A$7</f>
        <v>10</v>
      </c>
      <c r="M49">
        <v>-1</v>
      </c>
      <c r="N49" t="s">
        <v>438</v>
      </c>
      <c r="O49" s="17"/>
      <c r="W49" s="17">
        <f t="shared" si="0"/>
        <v>-77347.551363279694</v>
      </c>
      <c r="X49" s="17">
        <f t="shared" si="1"/>
        <v>-111377278.86211364</v>
      </c>
      <c r="Y49">
        <f t="shared" si="2"/>
        <v>-18159.217767696511</v>
      </c>
      <c r="Z49" s="17">
        <f t="shared" si="3"/>
        <v>-7787.4392184410435</v>
      </c>
      <c r="AA49" s="17">
        <f t="shared" si="4"/>
        <v>-58199173.807956152</v>
      </c>
      <c r="AB49" s="17">
        <f t="shared" si="5"/>
        <v>-685.56269375388786</v>
      </c>
      <c r="AC49" s="17">
        <f t="shared" si="6"/>
        <v>-783.20185882013084</v>
      </c>
      <c r="AJ49" s="17">
        <f t="shared" si="9"/>
        <v>-44.540510245369923</v>
      </c>
      <c r="AK49" s="17">
        <f t="shared" si="10"/>
        <v>-491690948.90098143</v>
      </c>
      <c r="AL49" s="17">
        <f t="shared" si="11"/>
        <v>-13469151.192722905</v>
      </c>
      <c r="AM49" s="17">
        <f t="shared" si="12"/>
        <v>-1171.9722818936777</v>
      </c>
    </row>
    <row r="50" spans="2:39" x14ac:dyDescent="0.2">
      <c r="B50" s="36"/>
      <c r="C50" s="36"/>
      <c r="D50" s="237"/>
      <c r="E50" t="s">
        <v>247</v>
      </c>
      <c r="F50">
        <v>1.712E-2</v>
      </c>
      <c r="G50" t="s">
        <v>354</v>
      </c>
      <c r="H50">
        <v>0.53305000000000002</v>
      </c>
      <c r="I50">
        <v>3.1E-4</v>
      </c>
      <c r="J50" s="88">
        <v>1.26824</v>
      </c>
      <c r="K50">
        <v>1.26824</v>
      </c>
      <c r="L50">
        <f>PSI_OC!$A$7</f>
        <v>10</v>
      </c>
      <c r="M50">
        <v>-1</v>
      </c>
      <c r="N50" t="s">
        <v>438</v>
      </c>
      <c r="O50" s="17"/>
      <c r="V50" s="234"/>
      <c r="W50" s="17">
        <f t="shared" si="0"/>
        <v>0</v>
      </c>
      <c r="X50" s="17">
        <f t="shared" si="1"/>
        <v>0</v>
      </c>
      <c r="Y50">
        <f t="shared" si="2"/>
        <v>0</v>
      </c>
      <c r="Z50" s="17">
        <f t="shared" si="3"/>
        <v>0</v>
      </c>
      <c r="AA50" s="17">
        <f t="shared" si="4"/>
        <v>0</v>
      </c>
      <c r="AB50" s="17">
        <f t="shared" si="5"/>
        <v>0</v>
      </c>
      <c r="AC50" s="17">
        <f t="shared" si="6"/>
        <v>0</v>
      </c>
      <c r="AJ50" s="17">
        <f t="shared" si="9"/>
        <v>0</v>
      </c>
      <c r="AK50" s="17">
        <f t="shared" si="10"/>
        <v>0</v>
      </c>
      <c r="AL50" s="17">
        <f t="shared" si="11"/>
        <v>0</v>
      </c>
      <c r="AM50" s="17">
        <f t="shared" si="12"/>
        <v>0</v>
      </c>
    </row>
    <row r="51" spans="2:39" x14ac:dyDescent="0.2">
      <c r="B51" s="36"/>
      <c r="C51" s="36"/>
      <c r="D51" s="141"/>
      <c r="E51" t="s">
        <v>248</v>
      </c>
      <c r="F51">
        <v>0.17124</v>
      </c>
      <c r="G51" t="s">
        <v>350</v>
      </c>
      <c r="H51">
        <v>5.3304799999999997</v>
      </c>
      <c r="I51">
        <v>0.30602000000000001</v>
      </c>
      <c r="J51" s="88">
        <v>1.26824</v>
      </c>
      <c r="K51">
        <v>1.26824</v>
      </c>
      <c r="L51">
        <f>PSI_OC!$A$7</f>
        <v>10</v>
      </c>
      <c r="M51">
        <v>-1</v>
      </c>
      <c r="N51" t="s">
        <v>434</v>
      </c>
      <c r="O51" s="17"/>
      <c r="W51" s="17">
        <f t="shared" si="0"/>
        <v>-77347.551363279694</v>
      </c>
      <c r="X51" s="17">
        <f t="shared" si="1"/>
        <v>-112825.81676771201</v>
      </c>
      <c r="Y51">
        <f t="shared" si="2"/>
        <v>-17715015.363840554</v>
      </c>
      <c r="Z51" s="17">
        <f t="shared" si="3"/>
        <v>-7596946.474482256</v>
      </c>
      <c r="AA51" s="17">
        <f t="shared" si="4"/>
        <v>-58193.933078523194</v>
      </c>
      <c r="AB51" s="17">
        <f t="shared" si="5"/>
        <v>-668792.77555283112</v>
      </c>
      <c r="AC51" s="17">
        <f t="shared" si="6"/>
        <v>-764043.53642745374</v>
      </c>
      <c r="AJ51" s="17">
        <f t="shared" si="9"/>
        <v>-44671.347994215692</v>
      </c>
      <c r="AK51" s="17">
        <f t="shared" si="10"/>
        <v>-4919843.653740895</v>
      </c>
      <c r="AL51" s="17">
        <f t="shared" si="11"/>
        <v>-13467.938320228777</v>
      </c>
      <c r="AM51" s="17">
        <f t="shared" si="12"/>
        <v>-1143304.0368442785</v>
      </c>
    </row>
    <row r="52" spans="2:39" x14ac:dyDescent="0.2">
      <c r="B52" s="36"/>
      <c r="C52" s="36"/>
      <c r="E52" t="s">
        <v>322</v>
      </c>
      <c r="F52">
        <v>0.17124</v>
      </c>
      <c r="G52" t="s">
        <v>355</v>
      </c>
      <c r="H52">
        <v>53.3048</v>
      </c>
      <c r="I52">
        <v>3.0599999999999999E-2</v>
      </c>
      <c r="J52" s="88">
        <v>1.26824</v>
      </c>
      <c r="K52">
        <v>1.26824</v>
      </c>
      <c r="L52">
        <f>PSI_OC!$A$7</f>
        <v>10</v>
      </c>
      <c r="M52">
        <v>-1</v>
      </c>
      <c r="N52" t="s">
        <v>439</v>
      </c>
      <c r="O52" s="17"/>
      <c r="V52" s="234"/>
      <c r="W52" s="17">
        <f t="shared" si="0"/>
        <v>-7689.5226501506131</v>
      </c>
      <c r="X52" s="17">
        <f t="shared" si="1"/>
        <v>-112825.81676771201</v>
      </c>
      <c r="Y52">
        <f t="shared" si="2"/>
        <v>-18159.217767696511</v>
      </c>
      <c r="Z52" s="17">
        <f t="shared" si="3"/>
        <v>-7787.4392184410435</v>
      </c>
      <c r="AA52" s="17">
        <f t="shared" si="4"/>
        <v>-5819939.2171682538</v>
      </c>
      <c r="AB52" s="17">
        <f t="shared" si="5"/>
        <v>-685.56269375388786</v>
      </c>
      <c r="AC52" s="17">
        <f t="shared" si="6"/>
        <v>-783.20185882013084</v>
      </c>
      <c r="AJ52" s="17">
        <f t="shared" si="9"/>
        <v>-44.540510245369923</v>
      </c>
      <c r="AK52" s="17">
        <f t="shared" si="10"/>
        <v>-4919843.653740895</v>
      </c>
      <c r="AL52" s="17">
        <f t="shared" si="11"/>
        <v>-1346920.1729076831</v>
      </c>
      <c r="AM52" s="17">
        <f t="shared" si="12"/>
        <v>-1171.9722818936777</v>
      </c>
    </row>
    <row r="53" spans="2:39" x14ac:dyDescent="0.2">
      <c r="B53" s="36"/>
      <c r="C53" s="36"/>
      <c r="D53" s="236"/>
      <c r="E53" t="s">
        <v>249</v>
      </c>
      <c r="F53">
        <v>1.7000000000000001E-4</v>
      </c>
      <c r="G53" t="s">
        <v>356</v>
      </c>
      <c r="H53">
        <v>5.3304799999999997</v>
      </c>
      <c r="I53">
        <v>3.1E-4</v>
      </c>
      <c r="J53" s="88">
        <v>0.12681999999999999</v>
      </c>
      <c r="K53">
        <v>0.12681999999999999</v>
      </c>
      <c r="L53">
        <f>PSI_OC!$A$7</f>
        <v>10</v>
      </c>
      <c r="M53">
        <v>-1</v>
      </c>
      <c r="N53" t="s">
        <v>440</v>
      </c>
      <c r="O53" s="17"/>
      <c r="W53" s="17">
        <f t="shared" si="0"/>
        <v>-7689.5226501506131</v>
      </c>
      <c r="X53" s="17">
        <f t="shared" si="1"/>
        <v>-1113699.9977716089</v>
      </c>
      <c r="Y53">
        <f t="shared" si="2"/>
        <v>-18159.217767696511</v>
      </c>
      <c r="Z53" s="17">
        <f t="shared" si="3"/>
        <v>-7787.4392184410435</v>
      </c>
      <c r="AA53" s="17">
        <f t="shared" si="4"/>
        <v>-58199173.807956152</v>
      </c>
      <c r="AB53" s="17">
        <f t="shared" si="5"/>
        <v>-685.56269375388786</v>
      </c>
      <c r="AC53" s="17">
        <f t="shared" si="6"/>
        <v>-783.20185882013084</v>
      </c>
      <c r="AJ53" s="17">
        <f t="shared" si="9"/>
        <v>-44.540510245369923</v>
      </c>
      <c r="AK53" s="17">
        <f t="shared" si="10"/>
        <v>-49171141.981770992</v>
      </c>
      <c r="AL53" s="17">
        <f t="shared" si="11"/>
        <v>-13469151.192722905</v>
      </c>
      <c r="AM53" s="17">
        <f t="shared" si="12"/>
        <v>-1171.9722818936777</v>
      </c>
    </row>
    <row r="54" spans="2:39" x14ac:dyDescent="0.2">
      <c r="B54" s="36"/>
      <c r="C54" s="36"/>
      <c r="D54" s="236"/>
      <c r="E54" t="s">
        <v>323</v>
      </c>
      <c r="F54">
        <v>1.7099999999999999E-3</v>
      </c>
      <c r="G54" t="s">
        <v>357</v>
      </c>
      <c r="H54">
        <v>5.33E-2</v>
      </c>
      <c r="I54">
        <v>3.0599999999999998E-3</v>
      </c>
      <c r="J54" s="88">
        <v>1.2700000000000001E-3</v>
      </c>
      <c r="K54">
        <v>1.2700000000000001E-3</v>
      </c>
      <c r="L54">
        <f>PSI_OC!$A$6</f>
        <v>100</v>
      </c>
      <c r="M54">
        <v>-1</v>
      </c>
      <c r="N54" t="s">
        <v>441</v>
      </c>
      <c r="O54" s="17"/>
      <c r="W54" s="17">
        <f t="shared" si="0"/>
        <v>-7734.755136327969</v>
      </c>
      <c r="X54" s="17">
        <f t="shared" si="1"/>
        <v>-1113699.9977716086</v>
      </c>
      <c r="Y54">
        <f t="shared" si="2"/>
        <v>-17740.158896134286</v>
      </c>
      <c r="Z54" s="17">
        <f t="shared" si="3"/>
        <v>-7607.7290826308672</v>
      </c>
      <c r="AA54" s="17">
        <f t="shared" si="4"/>
        <v>-581993.92171682534</v>
      </c>
      <c r="AB54" s="17">
        <f t="shared" si="5"/>
        <v>-669.74201620572126</v>
      </c>
      <c r="AC54" s="17">
        <f t="shared" si="6"/>
        <v>-765.12796977043547</v>
      </c>
      <c r="AJ54" s="17">
        <f t="shared" si="9"/>
        <v>-44.54051024536993</v>
      </c>
      <c r="AK54" s="17">
        <f t="shared" si="10"/>
        <v>-4917114.1981770992</v>
      </c>
      <c r="AL54" s="17">
        <f t="shared" si="11"/>
        <v>-134692.0172907683</v>
      </c>
      <c r="AM54" s="17">
        <f t="shared" si="12"/>
        <v>-1144.9267676961315</v>
      </c>
    </row>
    <row r="55" spans="2:39" x14ac:dyDescent="0.2">
      <c r="B55" s="36"/>
      <c r="C55" s="36"/>
      <c r="E55" t="s">
        <v>324</v>
      </c>
      <c r="F55">
        <v>1.7099999999999999E-3</v>
      </c>
      <c r="G55" t="s">
        <v>357</v>
      </c>
      <c r="H55">
        <v>5.33E-2</v>
      </c>
      <c r="I55">
        <v>3.0599999999999998E-3</v>
      </c>
      <c r="J55" s="88">
        <v>1.2700000000000001E-3</v>
      </c>
      <c r="K55">
        <v>1.2700000000000001E-3</v>
      </c>
      <c r="L55">
        <f>PSI_OC!$A$6</f>
        <v>100</v>
      </c>
      <c r="M55">
        <v>-1</v>
      </c>
      <c r="N55" t="s">
        <v>441</v>
      </c>
      <c r="O55" s="17"/>
      <c r="W55" s="17">
        <f t="shared" si="0"/>
        <v>-7734.755136327969</v>
      </c>
      <c r="X55" s="17">
        <f t="shared" si="1"/>
        <v>-111369.99977716088</v>
      </c>
      <c r="Y55">
        <f t="shared" si="2"/>
        <v>-17740.158896134286</v>
      </c>
      <c r="Z55" s="17">
        <f t="shared" si="3"/>
        <v>-7607.7290826308672</v>
      </c>
      <c r="AA55" s="17">
        <f t="shared" si="4"/>
        <v>-58193.933078523194</v>
      </c>
      <c r="AB55" s="17">
        <f t="shared" si="5"/>
        <v>-669.74201620572126</v>
      </c>
      <c r="AC55" s="17">
        <f t="shared" si="6"/>
        <v>-765.12796977043547</v>
      </c>
      <c r="AJ55" s="17">
        <f t="shared" si="9"/>
        <v>-44.54051024536993</v>
      </c>
      <c r="AK55" s="17">
        <f t="shared" si="10"/>
        <v>-491984.36537408945</v>
      </c>
      <c r="AL55" s="17">
        <f t="shared" si="11"/>
        <v>-13467.938320228779</v>
      </c>
      <c r="AM55" s="17">
        <f t="shared" si="12"/>
        <v>-1144.9267676961315</v>
      </c>
    </row>
    <row r="56" spans="2:39" x14ac:dyDescent="0.2">
      <c r="B56" s="36"/>
      <c r="C56" s="36"/>
      <c r="D56" s="236"/>
      <c r="E56" t="s">
        <v>250</v>
      </c>
      <c r="F56">
        <v>1.7099999999999999E-3</v>
      </c>
      <c r="G56" t="s">
        <v>358</v>
      </c>
      <c r="H56">
        <v>5.3304799999999997</v>
      </c>
      <c r="I56">
        <v>0.30602000000000001</v>
      </c>
      <c r="J56" s="88">
        <v>1.2700000000000001E-3</v>
      </c>
      <c r="K56">
        <v>1.2700000000000001E-3</v>
      </c>
      <c r="L56">
        <f>PSI_OC!$A$7</f>
        <v>10</v>
      </c>
      <c r="M56">
        <v>1</v>
      </c>
      <c r="N56" t="s">
        <v>442</v>
      </c>
      <c r="O56" s="17"/>
      <c r="W56" s="17">
        <f t="shared" si="0"/>
        <v>0</v>
      </c>
      <c r="X56" s="17">
        <f t="shared" si="1"/>
        <v>0</v>
      </c>
      <c r="Y56">
        <f t="shared" si="2"/>
        <v>0</v>
      </c>
      <c r="Z56" s="17">
        <f t="shared" si="3"/>
        <v>0</v>
      </c>
      <c r="AA56" s="17">
        <f t="shared" si="4"/>
        <v>0</v>
      </c>
      <c r="AB56" s="17">
        <f t="shared" si="5"/>
        <v>0</v>
      </c>
      <c r="AC56" s="17">
        <f t="shared" si="6"/>
        <v>0</v>
      </c>
      <c r="AJ56" s="17">
        <f t="shared" si="9"/>
        <v>0</v>
      </c>
      <c r="AK56" s="17">
        <f t="shared" si="10"/>
        <v>0</v>
      </c>
      <c r="AL56" s="17">
        <f t="shared" si="11"/>
        <v>0</v>
      </c>
      <c r="AM56" s="17">
        <f t="shared" si="12"/>
        <v>0</v>
      </c>
    </row>
    <row r="57" spans="2:39" x14ac:dyDescent="0.2">
      <c r="B57" s="36"/>
      <c r="C57" s="36"/>
      <c r="D57" s="141"/>
      <c r="E57" t="s">
        <v>251</v>
      </c>
      <c r="F57">
        <v>0</v>
      </c>
      <c r="G57" t="s">
        <v>359</v>
      </c>
      <c r="H57">
        <v>5.3299999999999997E-3</v>
      </c>
      <c r="I57">
        <v>3.1E-4</v>
      </c>
      <c r="J57" s="88">
        <v>0</v>
      </c>
      <c r="K57">
        <v>0</v>
      </c>
      <c r="L57">
        <f>PSI_OC!$A$6</f>
        <v>100</v>
      </c>
      <c r="M57">
        <v>-1</v>
      </c>
      <c r="N57" t="s">
        <v>443</v>
      </c>
      <c r="O57" s="17"/>
      <c r="W57" s="17">
        <f t="shared" si="0"/>
        <v>0</v>
      </c>
      <c r="X57" s="17">
        <f t="shared" si="1"/>
        <v>0</v>
      </c>
      <c r="Y57">
        <f t="shared" si="2"/>
        <v>0</v>
      </c>
      <c r="Z57" s="17">
        <f t="shared" si="3"/>
        <v>0</v>
      </c>
      <c r="AA57" s="17">
        <f t="shared" si="4"/>
        <v>0</v>
      </c>
      <c r="AB57" s="17">
        <f t="shared" si="5"/>
        <v>0</v>
      </c>
      <c r="AC57" s="17">
        <f t="shared" si="6"/>
        <v>0</v>
      </c>
      <c r="AJ57" s="17">
        <f t="shared" si="9"/>
        <v>0</v>
      </c>
      <c r="AK57" s="17">
        <f t="shared" si="10"/>
        <v>0</v>
      </c>
      <c r="AL57" s="17">
        <f t="shared" si="11"/>
        <v>0</v>
      </c>
      <c r="AM57" s="17">
        <f t="shared" si="12"/>
        <v>0</v>
      </c>
    </row>
    <row r="58" spans="2:39" x14ac:dyDescent="0.2">
      <c r="B58" s="36"/>
      <c r="C58" s="36"/>
      <c r="E58" t="s">
        <v>252</v>
      </c>
      <c r="F58">
        <v>1.712E-2</v>
      </c>
      <c r="G58" t="s">
        <v>360</v>
      </c>
      <c r="H58">
        <v>53.3048</v>
      </c>
      <c r="I58">
        <v>3.0602</v>
      </c>
      <c r="J58" s="88">
        <v>0.12681999999999999</v>
      </c>
      <c r="K58">
        <v>0.12681999999999999</v>
      </c>
      <c r="L58">
        <f>PSI_OC!$A$7</f>
        <v>10</v>
      </c>
      <c r="M58">
        <v>-1</v>
      </c>
      <c r="N58" t="s">
        <v>444</v>
      </c>
      <c r="O58" s="17"/>
      <c r="W58" s="17">
        <f t="shared" si="0"/>
        <v>-77438.016335634413</v>
      </c>
      <c r="X58" s="17">
        <f t="shared" si="1"/>
        <v>-11137727.886211365</v>
      </c>
      <c r="Y58">
        <f t="shared" si="2"/>
        <v>-1771501.5363840552</v>
      </c>
      <c r="Z58" s="17">
        <f t="shared" si="3"/>
        <v>-759694.64744822565</v>
      </c>
      <c r="AA58" s="17">
        <f t="shared" si="4"/>
        <v>-581993.92171682534</v>
      </c>
      <c r="AB58" s="17">
        <f t="shared" si="5"/>
        <v>-66879.277555283115</v>
      </c>
      <c r="AC58" s="17">
        <f t="shared" si="6"/>
        <v>-76404.35364274538</v>
      </c>
      <c r="AJ58" s="17">
        <f t="shared" si="9"/>
        <v>-4467.1347994215694</v>
      </c>
      <c r="AK58" s="17">
        <f t="shared" si="10"/>
        <v>-491984.36537408945</v>
      </c>
      <c r="AL58" s="17">
        <f t="shared" si="11"/>
        <v>-134692.0172907683</v>
      </c>
      <c r="AM58" s="17">
        <f t="shared" si="12"/>
        <v>-114330.40368442785</v>
      </c>
    </row>
    <row r="59" spans="2:39" x14ac:dyDescent="0.2">
      <c r="B59" s="36"/>
      <c r="C59" s="36"/>
      <c r="D59" s="237"/>
      <c r="E59" t="s">
        <v>253</v>
      </c>
      <c r="F59">
        <v>1.7099999999999999E-3</v>
      </c>
      <c r="G59" t="s">
        <v>361</v>
      </c>
      <c r="H59">
        <v>53.3048</v>
      </c>
      <c r="I59">
        <v>0.30602000000000001</v>
      </c>
      <c r="J59" s="88">
        <v>1.268E-2</v>
      </c>
      <c r="K59">
        <v>1.268E-2</v>
      </c>
      <c r="L59">
        <f>PSI_OC!$A$7</f>
        <v>10</v>
      </c>
      <c r="M59">
        <v>-1</v>
      </c>
      <c r="N59" t="s">
        <v>445</v>
      </c>
      <c r="O59" s="17"/>
      <c r="W59" s="17">
        <f t="shared" si="0"/>
        <v>-7734.755136327969</v>
      </c>
      <c r="X59" s="17">
        <f t="shared" si="1"/>
        <v>-111369.99977716088</v>
      </c>
      <c r="Y59">
        <f t="shared" si="2"/>
        <v>-17740.158896134286</v>
      </c>
      <c r="Z59" s="17">
        <f t="shared" si="3"/>
        <v>-7607.7290826308672</v>
      </c>
      <c r="AA59" s="17">
        <f t="shared" si="4"/>
        <v>-58193.933078523194</v>
      </c>
      <c r="AB59" s="17">
        <f t="shared" si="5"/>
        <v>-669.74201620572126</v>
      </c>
      <c r="AC59" s="17">
        <f t="shared" si="6"/>
        <v>-765.12796977043547</v>
      </c>
      <c r="AJ59" s="17">
        <f t="shared" si="9"/>
        <v>-44.54051024536993</v>
      </c>
      <c r="AK59" s="17">
        <f t="shared" si="10"/>
        <v>-4917114.1981770992</v>
      </c>
      <c r="AL59" s="17">
        <f t="shared" si="11"/>
        <v>-13467.938320228779</v>
      </c>
      <c r="AM59" s="17">
        <f t="shared" si="12"/>
        <v>-1144.9267676961315</v>
      </c>
    </row>
    <row r="60" spans="2:39" x14ac:dyDescent="0.2">
      <c r="B60" s="36"/>
      <c r="C60" s="36"/>
      <c r="D60" s="236"/>
      <c r="E60" t="s">
        <v>325</v>
      </c>
      <c r="F60">
        <v>1.7000000000000001E-4</v>
      </c>
      <c r="G60" t="s">
        <v>362</v>
      </c>
      <c r="H60">
        <v>5.33E-2</v>
      </c>
      <c r="I60">
        <v>3.1E-4</v>
      </c>
      <c r="J60" s="88">
        <v>1.2700000000000001E-3</v>
      </c>
      <c r="K60">
        <v>1.2700000000000001E-3</v>
      </c>
      <c r="L60">
        <f>PSI_OC!$A$6</f>
        <v>100</v>
      </c>
      <c r="M60">
        <v>-1</v>
      </c>
      <c r="N60" t="s">
        <v>446</v>
      </c>
      <c r="O60" s="17"/>
      <c r="W60" s="17">
        <f t="shared" si="0"/>
        <v>-7734.755136327969</v>
      </c>
      <c r="X60" s="17">
        <f t="shared" si="1"/>
        <v>-111369.99977716088</v>
      </c>
      <c r="Y60">
        <f t="shared" si="2"/>
        <v>-17740.158896134286</v>
      </c>
      <c r="Z60" s="17">
        <f t="shared" si="3"/>
        <v>-7607.7290826308672</v>
      </c>
      <c r="AA60" s="17">
        <f t="shared" si="4"/>
        <v>-58193.933078523194</v>
      </c>
      <c r="AB60" s="17">
        <f t="shared" si="5"/>
        <v>-669.74201620572126</v>
      </c>
      <c r="AC60" s="17">
        <f t="shared" si="6"/>
        <v>-765.12796977043547</v>
      </c>
      <c r="AJ60" s="17">
        <f t="shared" si="9"/>
        <v>-44.54051024536993</v>
      </c>
      <c r="AK60" s="17">
        <f t="shared" si="10"/>
        <v>-4917114.1981770992</v>
      </c>
      <c r="AL60" s="17">
        <f t="shared" si="11"/>
        <v>-13467.938320228779</v>
      </c>
      <c r="AM60" s="17">
        <f t="shared" si="12"/>
        <v>-1144.9267676961315</v>
      </c>
    </row>
    <row r="61" spans="2:39" x14ac:dyDescent="0.2">
      <c r="B61" s="36"/>
      <c r="C61" s="36"/>
      <c r="E61" t="s">
        <v>254</v>
      </c>
      <c r="F61">
        <v>1.7000000000000001E-4</v>
      </c>
      <c r="G61" t="s">
        <v>363</v>
      </c>
      <c r="H61">
        <v>5.33E-2</v>
      </c>
      <c r="I61">
        <v>3.0599999999999998E-3</v>
      </c>
      <c r="J61" s="88">
        <v>1.2700000000000001E-3</v>
      </c>
      <c r="K61">
        <v>1.2700000000000001E-3</v>
      </c>
      <c r="L61">
        <f>PSI_OC!$A$7</f>
        <v>10</v>
      </c>
      <c r="M61">
        <v>-1</v>
      </c>
      <c r="N61" t="s">
        <v>447</v>
      </c>
      <c r="O61" s="17"/>
      <c r="W61" s="17">
        <f t="shared" si="0"/>
        <v>0</v>
      </c>
      <c r="X61" s="17">
        <f t="shared" si="1"/>
        <v>0</v>
      </c>
      <c r="Y61">
        <f t="shared" si="2"/>
        <v>0</v>
      </c>
      <c r="Z61" s="17">
        <f t="shared" si="3"/>
        <v>0</v>
      </c>
      <c r="AA61" s="17">
        <f t="shared" si="4"/>
        <v>0</v>
      </c>
      <c r="AB61" s="17">
        <f t="shared" si="5"/>
        <v>0</v>
      </c>
      <c r="AC61" s="17">
        <f t="shared" si="6"/>
        <v>0</v>
      </c>
      <c r="AJ61" s="17">
        <f t="shared" si="9"/>
        <v>0</v>
      </c>
      <c r="AK61" s="17">
        <f t="shared" si="10"/>
        <v>0</v>
      </c>
      <c r="AL61" s="17">
        <f t="shared" si="11"/>
        <v>0</v>
      </c>
      <c r="AM61" s="17">
        <f t="shared" si="12"/>
        <v>0</v>
      </c>
    </row>
    <row r="62" spans="2:39" x14ac:dyDescent="0.2">
      <c r="B62" s="36"/>
      <c r="C62" s="36"/>
      <c r="D62" s="236"/>
      <c r="E62" t="s">
        <v>255</v>
      </c>
      <c r="F62">
        <v>0</v>
      </c>
      <c r="G62" t="s">
        <v>364</v>
      </c>
      <c r="H62">
        <v>5.33E-2</v>
      </c>
      <c r="I62">
        <v>0</v>
      </c>
      <c r="J62" s="88">
        <v>0</v>
      </c>
      <c r="K62">
        <v>0</v>
      </c>
      <c r="L62">
        <f>PSI_OC!$A$7</f>
        <v>10</v>
      </c>
      <c r="M62">
        <v>-1</v>
      </c>
      <c r="N62" t="s">
        <v>448</v>
      </c>
      <c r="O62" s="17"/>
      <c r="W62" s="17">
        <f t="shared" si="0"/>
        <v>0</v>
      </c>
      <c r="X62" s="17">
        <f t="shared" si="1"/>
        <v>0</v>
      </c>
      <c r="Y62">
        <f t="shared" si="2"/>
        <v>-177401.58896134287</v>
      </c>
      <c r="Z62" s="17">
        <f t="shared" si="3"/>
        <v>-76077.290826308672</v>
      </c>
      <c r="AA62" s="17">
        <f t="shared" si="4"/>
        <v>-5819939.2171682538</v>
      </c>
      <c r="AB62" s="17">
        <f t="shared" si="5"/>
        <v>-6697.420162057213</v>
      </c>
      <c r="AC62" s="17">
        <f t="shared" si="6"/>
        <v>-7651.2796977043554</v>
      </c>
      <c r="AJ62" s="17">
        <f t="shared" si="9"/>
        <v>-445.40510245369927</v>
      </c>
      <c r="AK62" s="17">
        <f t="shared" si="10"/>
        <v>-4919843.653740895</v>
      </c>
      <c r="AL62" s="17">
        <f t="shared" si="11"/>
        <v>-1346920.1729076831</v>
      </c>
      <c r="AM62" s="17">
        <f t="shared" si="12"/>
        <v>-11449.267676961314</v>
      </c>
    </row>
    <row r="63" spans="2:39" x14ac:dyDescent="0.2">
      <c r="B63" s="36"/>
      <c r="C63" s="36"/>
      <c r="E63" t="s">
        <v>256</v>
      </c>
      <c r="F63">
        <v>1.7000000000000001E-4</v>
      </c>
      <c r="G63" t="s">
        <v>365</v>
      </c>
      <c r="H63">
        <v>53.3048</v>
      </c>
      <c r="I63">
        <v>0.30602000000000001</v>
      </c>
      <c r="J63" s="88">
        <v>1.2700000000000001E-3</v>
      </c>
      <c r="K63">
        <v>1.2700000000000001E-3</v>
      </c>
      <c r="L63">
        <f>PSI_OC!$A$7</f>
        <v>10</v>
      </c>
      <c r="M63">
        <v>-1</v>
      </c>
      <c r="N63" t="s">
        <v>449</v>
      </c>
      <c r="O63" s="17"/>
      <c r="W63" s="17">
        <f t="shared" si="0"/>
        <v>0</v>
      </c>
      <c r="X63" s="17">
        <f t="shared" si="1"/>
        <v>0</v>
      </c>
      <c r="Y63">
        <f t="shared" si="2"/>
        <v>0</v>
      </c>
      <c r="Z63" s="17">
        <f t="shared" si="3"/>
        <v>0</v>
      </c>
      <c r="AA63" s="17">
        <f t="shared" si="4"/>
        <v>0</v>
      </c>
      <c r="AB63" s="17">
        <f t="shared" si="5"/>
        <v>0</v>
      </c>
      <c r="AC63" s="17">
        <f t="shared" si="6"/>
        <v>0</v>
      </c>
      <c r="AJ63" s="17">
        <f t="shared" si="9"/>
        <v>0</v>
      </c>
      <c r="AK63" s="17">
        <f t="shared" si="10"/>
        <v>0</v>
      </c>
      <c r="AL63" s="17">
        <f t="shared" si="11"/>
        <v>0</v>
      </c>
      <c r="AM63" s="17">
        <f t="shared" si="12"/>
        <v>0</v>
      </c>
    </row>
    <row r="64" spans="2:39" x14ac:dyDescent="0.2">
      <c r="B64" s="36"/>
      <c r="C64" s="36"/>
      <c r="D64" s="236"/>
      <c r="E64" t="s">
        <v>257</v>
      </c>
      <c r="F64">
        <v>1.7099999999999999E-3</v>
      </c>
      <c r="G64" t="s">
        <v>366</v>
      </c>
      <c r="H64">
        <v>0.53305000000000002</v>
      </c>
      <c r="I64">
        <v>3.0599999999999998E-3</v>
      </c>
      <c r="J64" s="88">
        <v>1.26824</v>
      </c>
      <c r="K64">
        <v>1.26824</v>
      </c>
      <c r="L64">
        <f>PSI_OC!$A$6</f>
        <v>100</v>
      </c>
      <c r="M64">
        <v>-1</v>
      </c>
      <c r="N64" t="s">
        <v>450</v>
      </c>
      <c r="O64" s="17"/>
      <c r="W64" s="17">
        <f t="shared" si="0"/>
        <v>0</v>
      </c>
      <c r="X64" s="17">
        <f t="shared" si="1"/>
        <v>0</v>
      </c>
      <c r="Y64">
        <f t="shared" si="2"/>
        <v>0</v>
      </c>
      <c r="Z64" s="17">
        <f t="shared" si="3"/>
        <v>0</v>
      </c>
      <c r="AA64" s="17">
        <f t="shared" si="4"/>
        <v>0</v>
      </c>
      <c r="AB64" s="17">
        <f t="shared" si="5"/>
        <v>0</v>
      </c>
      <c r="AC64" s="17">
        <f t="shared" si="6"/>
        <v>0</v>
      </c>
      <c r="AJ64" s="17">
        <f t="shared" si="9"/>
        <v>0</v>
      </c>
      <c r="AK64" s="17">
        <f t="shared" si="10"/>
        <v>0</v>
      </c>
      <c r="AL64" s="17">
        <f t="shared" si="11"/>
        <v>0</v>
      </c>
      <c r="AM64" s="17">
        <f t="shared" si="12"/>
        <v>0</v>
      </c>
    </row>
    <row r="65" spans="2:39" x14ac:dyDescent="0.2">
      <c r="B65" s="36"/>
      <c r="C65" s="36"/>
      <c r="D65" s="236"/>
      <c r="E65" t="s">
        <v>258</v>
      </c>
      <c r="F65">
        <v>1.712E-2</v>
      </c>
      <c r="G65" t="s">
        <v>367</v>
      </c>
      <c r="H65">
        <v>5.3299999999999997E-3</v>
      </c>
      <c r="I65">
        <v>3.0599999999999998E-3</v>
      </c>
      <c r="J65" s="88">
        <v>0.12681999999999999</v>
      </c>
      <c r="K65">
        <v>0.12681999999999999</v>
      </c>
      <c r="L65">
        <f>PSI_OC!$A$6</f>
        <v>100</v>
      </c>
      <c r="M65">
        <v>-1</v>
      </c>
      <c r="N65" t="s">
        <v>451</v>
      </c>
      <c r="O65" s="17"/>
      <c r="W65" s="17">
        <f t="shared" si="0"/>
        <v>-768.95226501506136</v>
      </c>
      <c r="X65" s="17">
        <f t="shared" si="1"/>
        <v>-111377278.86211364</v>
      </c>
      <c r="Y65">
        <f t="shared" si="2"/>
        <v>-1815.9217767696512</v>
      </c>
      <c r="Z65" s="17">
        <f t="shared" si="3"/>
        <v>-778.74392184410442</v>
      </c>
      <c r="AA65" s="17">
        <f t="shared" si="4"/>
        <v>-58199173.807956159</v>
      </c>
      <c r="AB65" s="17">
        <f t="shared" si="5"/>
        <v>-68.55626937538878</v>
      </c>
      <c r="AC65" s="17">
        <f t="shared" si="6"/>
        <v>-78.320185882013078</v>
      </c>
      <c r="AJ65" s="17">
        <f t="shared" si="9"/>
        <v>-4.4540510245369926</v>
      </c>
      <c r="AK65" s="17">
        <f t="shared" si="10"/>
        <v>-491690266.53709048</v>
      </c>
      <c r="AL65" s="17">
        <f t="shared" si="11"/>
        <v>-13469151.192722907</v>
      </c>
      <c r="AM65" s="17">
        <f t="shared" si="12"/>
        <v>-117.19722818936776</v>
      </c>
    </row>
    <row r="66" spans="2:39" x14ac:dyDescent="0.2">
      <c r="B66" s="36"/>
      <c r="C66" s="36"/>
      <c r="D66" s="141"/>
      <c r="E66" t="s">
        <v>326</v>
      </c>
      <c r="F66">
        <v>1.7099999999999999E-3</v>
      </c>
      <c r="G66" t="s">
        <v>365</v>
      </c>
      <c r="H66">
        <v>53.3048</v>
      </c>
      <c r="I66">
        <v>3.0599999999999998E-3</v>
      </c>
      <c r="J66" s="88">
        <v>1.2700000000000001E-3</v>
      </c>
      <c r="K66">
        <v>1.2700000000000001E-3</v>
      </c>
      <c r="L66">
        <v>0</v>
      </c>
      <c r="M66">
        <v>0</v>
      </c>
      <c r="N66" t="s">
        <v>449</v>
      </c>
      <c r="O66" s="17"/>
      <c r="W66" s="17">
        <f t="shared" si="0"/>
        <v>0</v>
      </c>
      <c r="X66" s="17">
        <f t="shared" si="1"/>
        <v>0</v>
      </c>
      <c r="Y66">
        <f t="shared" si="2"/>
        <v>0</v>
      </c>
      <c r="Z66" s="17">
        <f t="shared" si="3"/>
        <v>0</v>
      </c>
      <c r="AA66" s="17">
        <f t="shared" si="4"/>
        <v>0</v>
      </c>
      <c r="AB66" s="17">
        <f t="shared" si="5"/>
        <v>0</v>
      </c>
      <c r="AC66" s="17">
        <f t="shared" si="6"/>
        <v>0</v>
      </c>
      <c r="AJ66" s="17">
        <f t="shared" si="9"/>
        <v>0</v>
      </c>
      <c r="AK66" s="17">
        <f t="shared" si="10"/>
        <v>0</v>
      </c>
      <c r="AL66" s="17">
        <f t="shared" si="11"/>
        <v>0</v>
      </c>
      <c r="AM66" s="17">
        <f t="shared" si="12"/>
        <v>0</v>
      </c>
    </row>
    <row r="67" spans="2:39" x14ac:dyDescent="0.2">
      <c r="E67" t="s">
        <v>259</v>
      </c>
      <c r="F67">
        <v>1.7000000000000001E-4</v>
      </c>
      <c r="G67" t="s">
        <v>368</v>
      </c>
      <c r="H67">
        <v>0.53305000000000002</v>
      </c>
      <c r="I67">
        <v>3.0599999999999998E-3</v>
      </c>
      <c r="J67" s="88">
        <v>1.268E-2</v>
      </c>
      <c r="K67">
        <v>1.268E-2</v>
      </c>
      <c r="L67">
        <f>PSI_OC!$A$6</f>
        <v>100</v>
      </c>
      <c r="M67">
        <v>-1</v>
      </c>
      <c r="N67" t="s">
        <v>452</v>
      </c>
      <c r="O67" s="17"/>
      <c r="W67" s="17">
        <f t="shared" si="0"/>
        <v>-77347.551363279694</v>
      </c>
      <c r="X67" s="17">
        <f t="shared" si="1"/>
        <v>-1113699.9977716089</v>
      </c>
      <c r="Y67">
        <f t="shared" si="2"/>
        <v>-177155741.09002638</v>
      </c>
      <c r="Z67" s="17">
        <f t="shared" si="3"/>
        <v>-75971860.879966691</v>
      </c>
      <c r="AA67" s="17">
        <f t="shared" si="4"/>
        <v>-58199173.807956152</v>
      </c>
      <c r="AB67" s="17">
        <f t="shared" si="5"/>
        <v>-6688138.6978956219</v>
      </c>
      <c r="AC67" s="17">
        <f t="shared" si="6"/>
        <v>-7640676.3494618675</v>
      </c>
      <c r="AJ67" s="17">
        <f t="shared" si="9"/>
        <v>-446705.128596486</v>
      </c>
      <c r="AK67" s="17">
        <f t="shared" si="10"/>
        <v>-4919843.653740895</v>
      </c>
      <c r="AL67" s="17">
        <f t="shared" si="11"/>
        <v>-13469151.192722905</v>
      </c>
      <c r="AM67" s="17">
        <f t="shared" si="12"/>
        <v>-11433400.975298753</v>
      </c>
    </row>
    <row r="68" spans="2:39" x14ac:dyDescent="0.2">
      <c r="E68" t="s">
        <v>260</v>
      </c>
      <c r="F68">
        <v>0</v>
      </c>
      <c r="G68" t="s">
        <v>368</v>
      </c>
      <c r="H68">
        <v>0</v>
      </c>
      <c r="I68">
        <v>3.0599999999999998E-3</v>
      </c>
      <c r="J68" s="88">
        <v>0</v>
      </c>
      <c r="K68">
        <v>0</v>
      </c>
      <c r="L68">
        <v>0</v>
      </c>
      <c r="M68">
        <v>0</v>
      </c>
      <c r="N68" t="s">
        <v>452</v>
      </c>
      <c r="O68" s="17"/>
      <c r="W68" s="17">
        <f t="shared" si="0"/>
        <v>-77347.551363279694</v>
      </c>
      <c r="X68" s="17">
        <f t="shared" si="1"/>
        <v>-1113699.9977716089</v>
      </c>
      <c r="Y68">
        <f t="shared" si="2"/>
        <v>-177155741.09002638</v>
      </c>
      <c r="Z68" s="17">
        <f t="shared" si="3"/>
        <v>-75971860.879966691</v>
      </c>
      <c r="AA68" s="17">
        <f t="shared" si="4"/>
        <v>-58199173.807956152</v>
      </c>
      <c r="AB68" s="17">
        <f t="shared" si="5"/>
        <v>-6688138.6978956219</v>
      </c>
      <c r="AC68" s="17">
        <f t="shared" si="6"/>
        <v>-7640676.3494618675</v>
      </c>
      <c r="AJ68" s="17">
        <f t="shared" si="9"/>
        <v>-446705.128596486</v>
      </c>
      <c r="AK68" s="17">
        <f t="shared" si="10"/>
        <v>-4919843.653740895</v>
      </c>
      <c r="AL68" s="17">
        <f t="shared" si="11"/>
        <v>-13469151.192722905</v>
      </c>
      <c r="AM68" s="17">
        <f t="shared" si="12"/>
        <v>-11433400.975298753</v>
      </c>
    </row>
    <row r="69" spans="2:39" x14ac:dyDescent="0.2">
      <c r="E69" t="s">
        <v>327</v>
      </c>
      <c r="F69">
        <v>1.7099999999999999E-3</v>
      </c>
      <c r="G69" t="s">
        <v>368</v>
      </c>
      <c r="H69">
        <v>5.3304799999999997</v>
      </c>
      <c r="I69">
        <v>0.30602000000000001</v>
      </c>
      <c r="J69" s="88">
        <v>1.2999999999999999E-4</v>
      </c>
      <c r="K69">
        <v>1.2999999999999999E-4</v>
      </c>
      <c r="L69">
        <f>PSI_OC!$A$6</f>
        <v>100</v>
      </c>
      <c r="M69">
        <v>-1</v>
      </c>
      <c r="N69" t="s">
        <v>452</v>
      </c>
      <c r="O69" s="17"/>
      <c r="W69" s="17">
        <f t="shared" si="0"/>
        <v>-7689.5226501506131</v>
      </c>
      <c r="X69" s="17">
        <f t="shared" si="1"/>
        <v>-112825.81676771201</v>
      </c>
      <c r="Y69">
        <f t="shared" si="2"/>
        <v>-177401.58896134287</v>
      </c>
      <c r="Z69" s="17">
        <f t="shared" si="3"/>
        <v>-76077.290826308672</v>
      </c>
      <c r="AA69" s="17">
        <f t="shared" si="4"/>
        <v>-581939.33078523201</v>
      </c>
      <c r="AB69" s="17">
        <f t="shared" si="5"/>
        <v>-6697.420162057213</v>
      </c>
      <c r="AC69" s="17">
        <f t="shared" si="6"/>
        <v>-7651.2796977043554</v>
      </c>
      <c r="AJ69" s="17">
        <f t="shared" si="9"/>
        <v>-445.40510245369927</v>
      </c>
      <c r="AK69" s="17">
        <f t="shared" si="10"/>
        <v>-49171141.981770992</v>
      </c>
      <c r="AL69" s="17">
        <f t="shared" si="11"/>
        <v>-134679.38320228781</v>
      </c>
      <c r="AM69" s="17">
        <f t="shared" si="12"/>
        <v>-11449.267676961314</v>
      </c>
    </row>
    <row r="70" spans="2:39" x14ac:dyDescent="0.2">
      <c r="E70" t="s">
        <v>328</v>
      </c>
      <c r="F70">
        <v>1.7000000000000001E-4</v>
      </c>
      <c r="G70" t="s">
        <v>368</v>
      </c>
      <c r="H70">
        <v>5.3304799999999997</v>
      </c>
      <c r="I70">
        <v>0.30602000000000001</v>
      </c>
      <c r="J70" s="88">
        <v>1.2999999999999999E-4</v>
      </c>
      <c r="K70">
        <v>1.2999999999999999E-4</v>
      </c>
      <c r="L70">
        <v>0</v>
      </c>
      <c r="M70">
        <v>0</v>
      </c>
      <c r="N70" t="s">
        <v>452</v>
      </c>
      <c r="O70" s="17"/>
      <c r="W70" s="17">
        <f t="shared" si="0"/>
        <v>-77457918.629552454</v>
      </c>
      <c r="X70" s="17">
        <f t="shared" si="1"/>
        <v>-1113772788.6211364</v>
      </c>
      <c r="Y70">
        <f t="shared" si="2"/>
        <v>-177155741.09002638</v>
      </c>
      <c r="Z70" s="17">
        <f t="shared" si="3"/>
        <v>-75971860.879966691</v>
      </c>
      <c r="AA70" s="17">
        <f t="shared" si="4"/>
        <v>-5819939.2171682538</v>
      </c>
      <c r="AB70" s="17">
        <f t="shared" si="5"/>
        <v>-6688138.6978956219</v>
      </c>
      <c r="AC70" s="17">
        <f t="shared" si="6"/>
        <v>-7640676.3494618675</v>
      </c>
      <c r="AJ70" s="17">
        <f t="shared" si="9"/>
        <v>-446705.128596486</v>
      </c>
      <c r="AK70" s="17">
        <f t="shared" si="10"/>
        <v>-4919843.653740895</v>
      </c>
      <c r="AL70" s="17">
        <f t="shared" si="11"/>
        <v>-1346920.1729076831</v>
      </c>
      <c r="AM70" s="17">
        <f t="shared" si="12"/>
        <v>-11433400.975298753</v>
      </c>
    </row>
    <row r="71" spans="2:39" x14ac:dyDescent="0.2">
      <c r="E71" t="s">
        <v>261</v>
      </c>
      <c r="F71">
        <v>1.7099999999999999E-3</v>
      </c>
      <c r="G71" t="s">
        <v>369</v>
      </c>
      <c r="H71">
        <v>5.3299999999999997E-3</v>
      </c>
      <c r="I71">
        <v>3.1E-4</v>
      </c>
      <c r="J71" s="88">
        <v>0.12681999999999999</v>
      </c>
      <c r="K71">
        <v>0.12681999999999999</v>
      </c>
      <c r="L71">
        <f>PSI_OC!$A$6</f>
        <v>100</v>
      </c>
      <c r="M71">
        <v>-1</v>
      </c>
      <c r="N71" t="s">
        <v>453</v>
      </c>
      <c r="O71" s="17"/>
      <c r="W71" s="17">
        <f t="shared" ref="W71:W111" si="15">$C$39*F91*L91*M91</f>
        <v>-768.95226501506136</v>
      </c>
      <c r="X71" s="17">
        <f t="shared" ref="X71:X111" si="16">(SUM($C$27:$C$37)+SUM(C$140:C$141,C$146:C$147,C$150:C$153))*I91*L91*M91</f>
        <v>-11282.581676771202</v>
      </c>
      <c r="Y71">
        <f t="shared" ref="Y71:Y111" si="17">($C$38+SUM(C$142:C$143,C$145))*J91*L91*M91</f>
        <v>-1815.9217767696512</v>
      </c>
      <c r="Z71" s="17">
        <f t="shared" ref="Z71:Z111" si="18">($C$26+C$148)*K91*L91*M91</f>
        <v>-778.74392184410442</v>
      </c>
      <c r="AA71" s="17">
        <f t="shared" ref="AA71:AA111" si="19">$C$40*H91*L91*M91</f>
        <v>-5819917.3807956148</v>
      </c>
      <c r="AB71" s="17">
        <f t="shared" ref="AB71:AB111" si="20">C$144*H205*L205*M205</f>
        <v>-68.55626937538878</v>
      </c>
      <c r="AC71" s="17">
        <f t="shared" ref="AC71:AC111" si="21">C$149*I205*L205*M205</f>
        <v>-78.320185882013078</v>
      </c>
      <c r="AJ71" s="17">
        <f t="shared" ref="AJ71:AJ111" si="22">C$258*F319*K319*L319</f>
        <v>-4.4540510245369926</v>
      </c>
      <c r="AK71" s="17">
        <f t="shared" ref="AK71:AK111" si="23">C$254*H319*K319*L319</f>
        <v>-4917114.1981770992</v>
      </c>
      <c r="AL71" s="17">
        <f t="shared" ref="AL71:AL111" si="24">C$255*J319*K319*L319</f>
        <v>-1346915.1192722907</v>
      </c>
      <c r="AM71" s="17">
        <f t="shared" ref="AM71:AM111" si="25">SUM(C$256:C$257)*I319*K319*L319</f>
        <v>-117.19722818936776</v>
      </c>
    </row>
    <row r="72" spans="2:39" x14ac:dyDescent="0.2">
      <c r="E72" t="s">
        <v>263</v>
      </c>
      <c r="F72">
        <v>1.7000000000000001E-4</v>
      </c>
      <c r="G72" t="s">
        <v>370</v>
      </c>
      <c r="H72">
        <v>0.53305000000000002</v>
      </c>
      <c r="I72">
        <v>3.1E-4</v>
      </c>
      <c r="J72" s="88">
        <v>1.2999999999999999E-4</v>
      </c>
      <c r="K72">
        <v>1.2999999999999999E-4</v>
      </c>
      <c r="L72">
        <f>PSI_OC!$A$6</f>
        <v>100</v>
      </c>
      <c r="M72">
        <v>-1</v>
      </c>
      <c r="N72" t="s">
        <v>454</v>
      </c>
      <c r="O72" s="17"/>
      <c r="W72" s="17">
        <f t="shared" si="15"/>
        <v>-768.95226501506136</v>
      </c>
      <c r="X72" s="17">
        <f t="shared" si="16"/>
        <v>-11282.581676771202</v>
      </c>
      <c r="Y72">
        <f t="shared" si="17"/>
        <v>-1815.9217767696512</v>
      </c>
      <c r="Z72" s="17">
        <f t="shared" si="18"/>
        <v>-778.74392184410442</v>
      </c>
      <c r="AA72" s="17">
        <f t="shared" si="19"/>
        <v>-5819917.3807956148</v>
      </c>
      <c r="AB72" s="17">
        <f t="shared" si="20"/>
        <v>-68.55626937538878</v>
      </c>
      <c r="AC72" s="17">
        <f t="shared" si="21"/>
        <v>-78.320185882013078</v>
      </c>
      <c r="AJ72" s="17">
        <f t="shared" si="22"/>
        <v>-4.4540510245369926</v>
      </c>
      <c r="AK72" s="17">
        <f t="shared" si="23"/>
        <v>-4917114.1981770992</v>
      </c>
      <c r="AL72" s="17">
        <f t="shared" si="24"/>
        <v>-1346915.1192722907</v>
      </c>
      <c r="AM72" s="17">
        <f t="shared" si="25"/>
        <v>-117.19722818936776</v>
      </c>
    </row>
    <row r="73" spans="2:39" x14ac:dyDescent="0.2">
      <c r="E73" t="s">
        <v>262</v>
      </c>
      <c r="F73">
        <v>1.7000000000000001E-4</v>
      </c>
      <c r="G73" t="s">
        <v>370</v>
      </c>
      <c r="H73">
        <v>5.3304799999999997</v>
      </c>
      <c r="I73">
        <v>3.0599999999999998E-3</v>
      </c>
      <c r="J73" s="88">
        <v>1.2999999999999999E-4</v>
      </c>
      <c r="K73">
        <v>1.2999999999999999E-4</v>
      </c>
      <c r="L73">
        <f>PSI_OC!$A$6</f>
        <v>100</v>
      </c>
      <c r="M73">
        <v>-1</v>
      </c>
      <c r="N73" t="s">
        <v>454</v>
      </c>
      <c r="O73" s="17"/>
      <c r="W73" s="17">
        <f t="shared" si="15"/>
        <v>0</v>
      </c>
      <c r="X73" s="17">
        <f t="shared" si="16"/>
        <v>0</v>
      </c>
      <c r="Y73">
        <f t="shared" si="17"/>
        <v>0</v>
      </c>
      <c r="Z73" s="17">
        <f t="shared" si="18"/>
        <v>0</v>
      </c>
      <c r="AA73" s="17">
        <f t="shared" si="19"/>
        <v>0</v>
      </c>
      <c r="AB73" s="17">
        <f t="shared" si="20"/>
        <v>0</v>
      </c>
      <c r="AC73" s="17">
        <f t="shared" si="21"/>
        <v>0</v>
      </c>
      <c r="AJ73" s="17">
        <f t="shared" si="22"/>
        <v>0</v>
      </c>
      <c r="AK73" s="17">
        <f t="shared" si="23"/>
        <v>0</v>
      </c>
      <c r="AL73" s="17">
        <f t="shared" si="24"/>
        <v>0</v>
      </c>
      <c r="AM73" s="17">
        <f t="shared" si="25"/>
        <v>0</v>
      </c>
    </row>
    <row r="74" spans="2:39" x14ac:dyDescent="0.2">
      <c r="E74" t="s">
        <v>264</v>
      </c>
      <c r="F74">
        <v>1.7099999999999999E-3</v>
      </c>
      <c r="G74" t="s">
        <v>371</v>
      </c>
      <c r="H74">
        <v>0.53305000000000002</v>
      </c>
      <c r="I74">
        <v>3.0599999999999999E-2</v>
      </c>
      <c r="J74" s="88">
        <v>1.2700000000000001E-3</v>
      </c>
      <c r="K74">
        <v>1.2700000000000001E-3</v>
      </c>
      <c r="L74">
        <f>PSI_OC!$A$7</f>
        <v>10</v>
      </c>
      <c r="M74">
        <v>-1</v>
      </c>
      <c r="N74" t="s">
        <v>455</v>
      </c>
      <c r="O74" s="17"/>
      <c r="W74" s="17">
        <f t="shared" si="15"/>
        <v>0</v>
      </c>
      <c r="X74" s="17">
        <f t="shared" si="16"/>
        <v>0</v>
      </c>
      <c r="Y74">
        <f t="shared" si="17"/>
        <v>0</v>
      </c>
      <c r="Z74" s="17">
        <f t="shared" si="18"/>
        <v>0</v>
      </c>
      <c r="AA74" s="17">
        <f t="shared" si="19"/>
        <v>0</v>
      </c>
      <c r="AB74" s="17">
        <f t="shared" si="20"/>
        <v>0</v>
      </c>
      <c r="AC74" s="17">
        <f t="shared" si="21"/>
        <v>0</v>
      </c>
      <c r="AJ74" s="17">
        <f t="shared" si="22"/>
        <v>0</v>
      </c>
      <c r="AK74" s="17">
        <f t="shared" si="23"/>
        <v>0</v>
      </c>
      <c r="AL74" s="17">
        <f t="shared" si="24"/>
        <v>0</v>
      </c>
      <c r="AM74" s="17">
        <f t="shared" si="25"/>
        <v>0</v>
      </c>
    </row>
    <row r="75" spans="2:39" x14ac:dyDescent="0.2">
      <c r="E75" t="s">
        <v>265</v>
      </c>
      <c r="F75">
        <v>1.7099999999999999E-3</v>
      </c>
      <c r="G75" t="s">
        <v>371</v>
      </c>
      <c r="H75">
        <v>5.33E-2</v>
      </c>
      <c r="I75">
        <v>3.0599999999999998E-3</v>
      </c>
      <c r="J75" s="88">
        <v>1.2700000000000001E-3</v>
      </c>
      <c r="K75">
        <v>1.2700000000000001E-3</v>
      </c>
      <c r="L75">
        <f>PSI_OC!$A$7</f>
        <v>10</v>
      </c>
      <c r="M75">
        <v>-1</v>
      </c>
      <c r="N75" t="s">
        <v>455</v>
      </c>
      <c r="O75" s="17"/>
      <c r="W75" s="17">
        <f t="shared" si="15"/>
        <v>-768.95226501506136</v>
      </c>
      <c r="X75" s="17">
        <f t="shared" si="16"/>
        <v>-11282.581676771202</v>
      </c>
      <c r="Y75">
        <f t="shared" si="17"/>
        <v>-1815.9217767696512</v>
      </c>
      <c r="Z75" s="17">
        <f t="shared" si="18"/>
        <v>-778.74392184410442</v>
      </c>
      <c r="AA75" s="17">
        <f t="shared" si="19"/>
        <v>-5819.3933078523196</v>
      </c>
      <c r="AB75" s="17">
        <f t="shared" si="20"/>
        <v>-68.55626937538878</v>
      </c>
      <c r="AC75" s="17">
        <f t="shared" si="21"/>
        <v>-78.320185882013078</v>
      </c>
      <c r="AJ75" s="17">
        <f t="shared" si="22"/>
        <v>-4.4540510245369926</v>
      </c>
      <c r="AK75" s="17">
        <f t="shared" si="23"/>
        <v>-49130.200148314063</v>
      </c>
      <c r="AL75" s="17">
        <f t="shared" si="24"/>
        <v>-1346.7938320228777</v>
      </c>
      <c r="AM75" s="17">
        <f t="shared" si="25"/>
        <v>-117.19722818936776</v>
      </c>
    </row>
    <row r="76" spans="2:39" x14ac:dyDescent="0.2">
      <c r="E76" t="s">
        <v>266</v>
      </c>
      <c r="F76">
        <v>1.7000000000000001E-4</v>
      </c>
      <c r="G76" t="s">
        <v>371</v>
      </c>
      <c r="H76">
        <v>5.33E-2</v>
      </c>
      <c r="I76">
        <v>3.0599999999999999E-2</v>
      </c>
      <c r="J76" s="88">
        <v>1.2700000000000001E-3</v>
      </c>
      <c r="K76">
        <v>1.2700000000000001E-3</v>
      </c>
      <c r="L76">
        <v>0</v>
      </c>
      <c r="M76">
        <v>0</v>
      </c>
      <c r="N76" t="s">
        <v>455</v>
      </c>
      <c r="O76" s="17"/>
      <c r="W76" s="17">
        <f t="shared" si="15"/>
        <v>0</v>
      </c>
      <c r="X76" s="17">
        <f t="shared" si="16"/>
        <v>0</v>
      </c>
      <c r="Y76">
        <f t="shared" si="17"/>
        <v>0</v>
      </c>
      <c r="Z76" s="17">
        <f t="shared" si="18"/>
        <v>0</v>
      </c>
      <c r="AA76" s="17">
        <f t="shared" si="19"/>
        <v>0</v>
      </c>
      <c r="AB76" s="17">
        <f t="shared" si="20"/>
        <v>0</v>
      </c>
      <c r="AC76" s="17">
        <f t="shared" si="21"/>
        <v>0</v>
      </c>
      <c r="AJ76" s="17">
        <f t="shared" si="22"/>
        <v>0</v>
      </c>
      <c r="AK76" s="17">
        <f t="shared" si="23"/>
        <v>0</v>
      </c>
      <c r="AL76" s="17">
        <f t="shared" si="24"/>
        <v>0</v>
      </c>
      <c r="AM76" s="17">
        <f t="shared" si="25"/>
        <v>0</v>
      </c>
    </row>
    <row r="77" spans="2:39" x14ac:dyDescent="0.2">
      <c r="E77" t="s">
        <v>267</v>
      </c>
      <c r="F77">
        <v>1.712E-2</v>
      </c>
      <c r="G77" t="s">
        <v>372</v>
      </c>
      <c r="H77">
        <v>5.33E-2</v>
      </c>
      <c r="I77">
        <v>3.0599999999999998E-3</v>
      </c>
      <c r="J77" s="88">
        <v>1.2999999999999999E-4</v>
      </c>
      <c r="K77">
        <v>1.2999999999999999E-4</v>
      </c>
      <c r="L77">
        <v>0</v>
      </c>
      <c r="M77">
        <v>0</v>
      </c>
      <c r="N77" t="s">
        <v>456</v>
      </c>
      <c r="O77" s="17"/>
      <c r="W77" s="17">
        <f t="shared" si="15"/>
        <v>0</v>
      </c>
      <c r="X77" s="17">
        <f t="shared" si="16"/>
        <v>0</v>
      </c>
      <c r="Y77">
        <f t="shared" si="17"/>
        <v>0</v>
      </c>
      <c r="Z77" s="17">
        <f t="shared" si="18"/>
        <v>0</v>
      </c>
      <c r="AA77" s="17">
        <f t="shared" si="19"/>
        <v>0</v>
      </c>
      <c r="AB77" s="17">
        <f t="shared" si="20"/>
        <v>0</v>
      </c>
      <c r="AC77" s="17">
        <f t="shared" si="21"/>
        <v>0</v>
      </c>
      <c r="AJ77" s="17">
        <f t="shared" si="22"/>
        <v>0</v>
      </c>
      <c r="AK77" s="17">
        <f t="shared" si="23"/>
        <v>0</v>
      </c>
      <c r="AL77" s="17">
        <f t="shared" si="24"/>
        <v>0</v>
      </c>
      <c r="AM77" s="17">
        <f t="shared" si="25"/>
        <v>0</v>
      </c>
    </row>
    <row r="78" spans="2:39" x14ac:dyDescent="0.2">
      <c r="E78" t="s">
        <v>329</v>
      </c>
      <c r="F78">
        <v>1.712E-2</v>
      </c>
      <c r="G78" s="75" t="s">
        <v>373</v>
      </c>
      <c r="H78">
        <v>0.53305000000000002</v>
      </c>
      <c r="I78">
        <v>0.30602000000000001</v>
      </c>
      <c r="J78" s="88">
        <v>0.12681999999999999</v>
      </c>
      <c r="K78">
        <v>0.12681999999999999</v>
      </c>
      <c r="L78">
        <f>PSI_OC!$A$7</f>
        <v>10</v>
      </c>
      <c r="M78">
        <v>-1</v>
      </c>
      <c r="N78" t="s">
        <v>457</v>
      </c>
      <c r="O78" s="17"/>
      <c r="W78" s="17">
        <f t="shared" si="15"/>
        <v>-7734.755136327969</v>
      </c>
      <c r="X78" s="17">
        <f t="shared" si="16"/>
        <v>-111369.99977716088</v>
      </c>
      <c r="Y78">
        <f t="shared" si="17"/>
        <v>-17740.158896134286</v>
      </c>
      <c r="Z78" s="17">
        <f t="shared" si="18"/>
        <v>-7607.7290826308672</v>
      </c>
      <c r="AA78" s="17">
        <f t="shared" si="19"/>
        <v>-581993.92171682534</v>
      </c>
      <c r="AB78" s="17">
        <f t="shared" si="20"/>
        <v>-669.74201620572126</v>
      </c>
      <c r="AC78" s="17">
        <f t="shared" si="21"/>
        <v>-76404.35364274538</v>
      </c>
      <c r="AJ78" s="17">
        <f t="shared" si="22"/>
        <v>-44.54051024536993</v>
      </c>
      <c r="AK78" s="17">
        <f t="shared" si="23"/>
        <v>-491984.36537408945</v>
      </c>
      <c r="AL78" s="17">
        <f t="shared" si="24"/>
        <v>-134692.0172907683</v>
      </c>
      <c r="AM78" s="17">
        <f t="shared" si="25"/>
        <v>-1144.9267676961315</v>
      </c>
    </row>
    <row r="79" spans="2:39" x14ac:dyDescent="0.2">
      <c r="E79" t="s">
        <v>314</v>
      </c>
      <c r="F79">
        <v>1.7099999999999999E-3</v>
      </c>
      <c r="G79" s="75" t="s">
        <v>374</v>
      </c>
      <c r="H79">
        <v>5.33E-2</v>
      </c>
      <c r="I79">
        <v>3.0599999999999998E-3</v>
      </c>
      <c r="J79" s="88">
        <v>1.2700000000000001E-3</v>
      </c>
      <c r="K79">
        <v>1.2700000000000001E-3</v>
      </c>
      <c r="L79">
        <f>PSI_OC!$A$7</f>
        <v>10</v>
      </c>
      <c r="M79">
        <v>-1</v>
      </c>
      <c r="N79" t="s">
        <v>458</v>
      </c>
      <c r="O79" s="17"/>
      <c r="W79" s="17">
        <f t="shared" si="15"/>
        <v>-768.95226501506136</v>
      </c>
      <c r="X79" s="17">
        <f t="shared" si="16"/>
        <v>-111377278.86211364</v>
      </c>
      <c r="Y79">
        <f t="shared" si="17"/>
        <v>-1815.9217767696512</v>
      </c>
      <c r="Z79" s="17">
        <f t="shared" si="18"/>
        <v>-778.74392184410442</v>
      </c>
      <c r="AA79" s="17">
        <f t="shared" si="19"/>
        <v>-5819.3933078523196</v>
      </c>
      <c r="AB79" s="17">
        <f t="shared" si="20"/>
        <v>-68.55626937538878</v>
      </c>
      <c r="AC79" s="17">
        <f t="shared" si="21"/>
        <v>-78.320185882013078</v>
      </c>
      <c r="AJ79" s="17">
        <f t="shared" si="22"/>
        <v>-4.4540510245369926</v>
      </c>
      <c r="AK79" s="17">
        <f t="shared" si="23"/>
        <v>-49130.200148314063</v>
      </c>
      <c r="AL79" s="17">
        <f t="shared" si="24"/>
        <v>-1346.7938320228777</v>
      </c>
      <c r="AM79" s="17">
        <f t="shared" si="25"/>
        <v>-117.19722818936776</v>
      </c>
    </row>
    <row r="80" spans="2:39" x14ac:dyDescent="0.2">
      <c r="E80" t="s">
        <v>268</v>
      </c>
      <c r="F80">
        <v>1.7099999999999999E-3</v>
      </c>
      <c r="G80" s="75" t="s">
        <v>374</v>
      </c>
      <c r="H80">
        <v>5.33E-2</v>
      </c>
      <c r="I80">
        <v>3.0599999999999998E-3</v>
      </c>
      <c r="J80" s="88">
        <v>1.2700000000000001E-3</v>
      </c>
      <c r="K80">
        <v>1.2700000000000001E-3</v>
      </c>
      <c r="L80">
        <f>PSI_OC!$A$7</f>
        <v>10</v>
      </c>
      <c r="M80">
        <v>-1</v>
      </c>
      <c r="N80" t="s">
        <v>458</v>
      </c>
      <c r="O80" s="17"/>
      <c r="W80" s="17">
        <f t="shared" si="15"/>
        <v>-77438.016335634413</v>
      </c>
      <c r="X80" s="17">
        <f t="shared" si="16"/>
        <v>-111369.99977716088</v>
      </c>
      <c r="Y80">
        <f t="shared" si="17"/>
        <v>-17740.158896134286</v>
      </c>
      <c r="Z80" s="17">
        <f t="shared" si="18"/>
        <v>-7607.7290826308672</v>
      </c>
      <c r="AA80" s="17">
        <f t="shared" si="19"/>
        <v>-581993.92171682534</v>
      </c>
      <c r="AB80" s="17">
        <f t="shared" si="20"/>
        <v>-669.74201620572126</v>
      </c>
      <c r="AC80" s="17">
        <f t="shared" si="21"/>
        <v>-765.12796977043547</v>
      </c>
      <c r="AJ80" s="17">
        <f t="shared" si="22"/>
        <v>-44.54051024536993</v>
      </c>
      <c r="AK80" s="17">
        <f t="shared" si="23"/>
        <v>-4917114.1981770992</v>
      </c>
      <c r="AL80" s="17">
        <f t="shared" si="24"/>
        <v>-134692.0172907683</v>
      </c>
      <c r="AM80" s="17">
        <f t="shared" si="25"/>
        <v>-1144.9267676961315</v>
      </c>
    </row>
    <row r="81" spans="5:39" x14ac:dyDescent="0.2">
      <c r="E81" t="s">
        <v>269</v>
      </c>
      <c r="F81">
        <v>1.7000000000000001E-4</v>
      </c>
      <c r="G81" s="75" t="s">
        <v>374</v>
      </c>
      <c r="H81">
        <v>5.33E-2</v>
      </c>
      <c r="I81">
        <v>3.0599999999999998E-3</v>
      </c>
      <c r="J81" s="88">
        <v>1.2700000000000001E-3</v>
      </c>
      <c r="K81">
        <v>1.2700000000000001E-3</v>
      </c>
      <c r="L81">
        <v>0</v>
      </c>
      <c r="M81">
        <v>0</v>
      </c>
      <c r="N81" t="s">
        <v>458</v>
      </c>
      <c r="O81" s="17"/>
      <c r="W81" s="17">
        <f t="shared" si="15"/>
        <v>-77347.551363279694</v>
      </c>
      <c r="X81" s="17">
        <f t="shared" si="16"/>
        <v>-1113699.9977716089</v>
      </c>
      <c r="Y81">
        <f t="shared" si="17"/>
        <v>-1771222.163803014</v>
      </c>
      <c r="Z81" s="17">
        <f t="shared" si="18"/>
        <v>-759574.84069101885</v>
      </c>
      <c r="AA81" s="17">
        <f t="shared" si="19"/>
        <v>-58199173.807956152</v>
      </c>
      <c r="AB81" s="17">
        <f t="shared" si="20"/>
        <v>-66868.730436917685</v>
      </c>
      <c r="AC81" s="17">
        <f t="shared" si="21"/>
        <v>-76392.304383378912</v>
      </c>
      <c r="AJ81" s="17">
        <f t="shared" si="22"/>
        <v>-4467.9699339886693</v>
      </c>
      <c r="AK81" s="17">
        <f t="shared" si="23"/>
        <v>-49171141.981770992</v>
      </c>
      <c r="AL81" s="17">
        <f t="shared" si="24"/>
        <v>-13469151.192722905</v>
      </c>
      <c r="AM81" s="17">
        <f t="shared" si="25"/>
        <v>-114312.3733416295</v>
      </c>
    </row>
    <row r="82" spans="5:39" x14ac:dyDescent="0.2">
      <c r="E82" t="s">
        <v>270</v>
      </c>
      <c r="F82">
        <v>0</v>
      </c>
      <c r="G82" s="75" t="s">
        <v>375</v>
      </c>
      <c r="H82">
        <v>0.53305000000000002</v>
      </c>
      <c r="I82">
        <v>0</v>
      </c>
      <c r="J82" s="88">
        <v>1.2700000000000001E-3</v>
      </c>
      <c r="K82">
        <v>1.2700000000000001E-3</v>
      </c>
      <c r="L82">
        <f>PSI_OC!$A$6</f>
        <v>100</v>
      </c>
      <c r="M82">
        <v>-1</v>
      </c>
      <c r="N82" t="s">
        <v>459</v>
      </c>
      <c r="O82" s="17"/>
      <c r="W82" s="17">
        <f t="shared" si="15"/>
        <v>-77347.551363279694</v>
      </c>
      <c r="X82" s="17">
        <f t="shared" si="16"/>
        <v>-1113699.9977716089</v>
      </c>
      <c r="Y82">
        <f t="shared" si="17"/>
        <v>-177401.58896134287</v>
      </c>
      <c r="Z82" s="17">
        <f t="shared" si="18"/>
        <v>-76077.290826308672</v>
      </c>
      <c r="AA82" s="17">
        <f t="shared" si="19"/>
        <v>-581991738.07956159</v>
      </c>
      <c r="AB82" s="17">
        <f t="shared" si="20"/>
        <v>-6697.420162057213</v>
      </c>
      <c r="AC82" s="17">
        <f t="shared" si="21"/>
        <v>-7651.2796977043554</v>
      </c>
      <c r="AJ82" s="17">
        <f t="shared" si="22"/>
        <v>-445.40510245369927</v>
      </c>
      <c r="AK82" s="17">
        <f t="shared" si="23"/>
        <v>-4916902665.3709049</v>
      </c>
      <c r="AL82" s="17">
        <f t="shared" si="24"/>
        <v>-134691511.92722908</v>
      </c>
      <c r="AM82" s="17">
        <f t="shared" si="25"/>
        <v>-11449.267676961314</v>
      </c>
    </row>
    <row r="83" spans="5:39" x14ac:dyDescent="0.2">
      <c r="E83" t="s">
        <v>271</v>
      </c>
      <c r="F83">
        <v>0.17124</v>
      </c>
      <c r="G83" s="75" t="s">
        <v>376</v>
      </c>
      <c r="H83">
        <v>5.3299999999999997E-3</v>
      </c>
      <c r="I83">
        <v>3.0602</v>
      </c>
      <c r="J83" s="88">
        <v>0.12681999999999999</v>
      </c>
      <c r="K83">
        <v>0.12681999999999999</v>
      </c>
      <c r="L83">
        <v>0</v>
      </c>
      <c r="M83">
        <v>0</v>
      </c>
      <c r="N83" t="s">
        <v>460</v>
      </c>
      <c r="O83" s="17"/>
      <c r="W83" s="17">
        <f t="shared" si="15"/>
        <v>-77347.551363279694</v>
      </c>
      <c r="X83" s="17">
        <f t="shared" si="16"/>
        <v>-1113699.9977716089</v>
      </c>
      <c r="Y83">
        <f t="shared" si="17"/>
        <v>-177401.58896134287</v>
      </c>
      <c r="Z83" s="17">
        <f t="shared" si="18"/>
        <v>-76077.290826308672</v>
      </c>
      <c r="AA83" s="17">
        <f t="shared" si="19"/>
        <v>-58193.933078523194</v>
      </c>
      <c r="AB83" s="17">
        <f t="shared" si="20"/>
        <v>-6697.420162057213</v>
      </c>
      <c r="AC83" s="17">
        <f t="shared" si="21"/>
        <v>-7651.2796977043554</v>
      </c>
      <c r="AJ83" s="17">
        <f t="shared" si="22"/>
        <v>-445.40510245369927</v>
      </c>
      <c r="AK83" s="17">
        <f t="shared" si="23"/>
        <v>-491302.00148314063</v>
      </c>
      <c r="AL83" s="17">
        <f t="shared" si="24"/>
        <v>-13467.938320228777</v>
      </c>
      <c r="AM83" s="17">
        <f t="shared" si="25"/>
        <v>-11449.267676961314</v>
      </c>
    </row>
    <row r="84" spans="5:39" x14ac:dyDescent="0.2">
      <c r="E84" t="s">
        <v>272</v>
      </c>
      <c r="F84">
        <v>0</v>
      </c>
      <c r="G84" t="s">
        <v>377</v>
      </c>
      <c r="H84">
        <v>5.33E-2</v>
      </c>
      <c r="I84">
        <v>3.0599999999999998E-3</v>
      </c>
      <c r="J84" s="88">
        <v>1.26824</v>
      </c>
      <c r="K84">
        <v>1.26824</v>
      </c>
      <c r="L84">
        <v>0</v>
      </c>
      <c r="M84">
        <v>0</v>
      </c>
      <c r="N84" t="s">
        <v>461</v>
      </c>
      <c r="O84" s="17"/>
      <c r="W84" s="17">
        <f t="shared" si="15"/>
        <v>-7734.755136327969</v>
      </c>
      <c r="X84" s="17">
        <f t="shared" si="16"/>
        <v>-111369.99977716088</v>
      </c>
      <c r="Y84">
        <f t="shared" si="17"/>
        <v>-17740.158896134286</v>
      </c>
      <c r="Z84" s="17">
        <f t="shared" si="18"/>
        <v>-7607.7290826308672</v>
      </c>
      <c r="AA84" s="17">
        <f t="shared" si="19"/>
        <v>-5819917.3807956148</v>
      </c>
      <c r="AB84" s="17">
        <f t="shared" si="20"/>
        <v>-669.74201620572126</v>
      </c>
      <c r="AC84" s="17">
        <f t="shared" si="21"/>
        <v>-765.12796977043547</v>
      </c>
      <c r="AJ84" s="17">
        <f t="shared" si="22"/>
        <v>-44.54051024536993</v>
      </c>
      <c r="AK84" s="17">
        <f t="shared" si="23"/>
        <v>-49130.200148314063</v>
      </c>
      <c r="AL84" s="17">
        <f t="shared" si="24"/>
        <v>-1346915.1192722907</v>
      </c>
      <c r="AM84" s="17">
        <f t="shared" si="25"/>
        <v>-1144.9267676961315</v>
      </c>
    </row>
    <row r="85" spans="5:39" x14ac:dyDescent="0.2">
      <c r="E85" t="s">
        <v>273</v>
      </c>
      <c r="F85">
        <v>1.7000000000000001E-4</v>
      </c>
      <c r="G85" t="s">
        <v>378</v>
      </c>
      <c r="H85">
        <v>53.3048</v>
      </c>
      <c r="I85">
        <v>3.0602</v>
      </c>
      <c r="J85" s="88">
        <v>1.2999999999999999E-4</v>
      </c>
      <c r="K85">
        <v>1.2999999999999999E-4</v>
      </c>
      <c r="L85">
        <f>PSI_OC!$A$7</f>
        <v>10</v>
      </c>
      <c r="M85">
        <v>-1</v>
      </c>
      <c r="N85" t="s">
        <v>462</v>
      </c>
      <c r="O85" s="17"/>
      <c r="W85" s="17">
        <f t="shared" si="15"/>
        <v>0</v>
      </c>
      <c r="X85" s="17">
        <f t="shared" si="16"/>
        <v>0</v>
      </c>
      <c r="Y85">
        <f t="shared" si="17"/>
        <v>0</v>
      </c>
      <c r="Z85" s="17">
        <f t="shared" si="18"/>
        <v>0</v>
      </c>
      <c r="AA85" s="17">
        <f t="shared" si="19"/>
        <v>0</v>
      </c>
      <c r="AB85" s="17">
        <f t="shared" si="20"/>
        <v>0</v>
      </c>
      <c r="AC85" s="17">
        <f t="shared" si="21"/>
        <v>0</v>
      </c>
      <c r="AJ85" s="17">
        <f t="shared" si="22"/>
        <v>0</v>
      </c>
      <c r="AK85" s="17">
        <f t="shared" si="23"/>
        <v>0</v>
      </c>
      <c r="AL85" s="17">
        <f t="shared" si="24"/>
        <v>0</v>
      </c>
      <c r="AM85" s="17">
        <f t="shared" si="25"/>
        <v>0</v>
      </c>
    </row>
    <row r="86" spans="5:39" x14ac:dyDescent="0.2">
      <c r="E86" t="s">
        <v>274</v>
      </c>
      <c r="F86">
        <v>1.7000000000000001E-4</v>
      </c>
      <c r="G86" t="s">
        <v>379</v>
      </c>
      <c r="H86">
        <v>0.53305000000000002</v>
      </c>
      <c r="I86">
        <v>3.1E-4</v>
      </c>
      <c r="J86" s="88">
        <v>1.2999999999999999E-4</v>
      </c>
      <c r="K86">
        <v>1.2999999999999999E-4</v>
      </c>
      <c r="L86">
        <v>0</v>
      </c>
      <c r="M86">
        <v>0</v>
      </c>
      <c r="N86" t="s">
        <v>463</v>
      </c>
      <c r="O86" s="17"/>
      <c r="W86" s="17">
        <f t="shared" si="15"/>
        <v>-7734.755136327969</v>
      </c>
      <c r="X86" s="17">
        <f t="shared" si="16"/>
        <v>-111369.99977716088</v>
      </c>
      <c r="Y86">
        <f t="shared" si="17"/>
        <v>-17740.158896134286</v>
      </c>
      <c r="Z86" s="17">
        <f t="shared" si="18"/>
        <v>-7607.7290826308672</v>
      </c>
      <c r="AA86" s="17">
        <f t="shared" si="19"/>
        <v>-58193.933078523194</v>
      </c>
      <c r="AB86" s="17">
        <f t="shared" si="20"/>
        <v>-669.74201620572126</v>
      </c>
      <c r="AC86" s="17">
        <f t="shared" si="21"/>
        <v>-765.12796977043547</v>
      </c>
      <c r="AJ86" s="17">
        <f t="shared" si="22"/>
        <v>-44.54051024536993</v>
      </c>
      <c r="AK86" s="17">
        <f t="shared" si="23"/>
        <v>-491984.36537408945</v>
      </c>
      <c r="AL86" s="17">
        <f t="shared" si="24"/>
        <v>-13467.938320228779</v>
      </c>
      <c r="AM86" s="17">
        <f t="shared" si="25"/>
        <v>-11431.23733416295</v>
      </c>
    </row>
    <row r="87" spans="5:39" x14ac:dyDescent="0.2">
      <c r="E87" t="s">
        <v>275</v>
      </c>
      <c r="F87">
        <v>1.7099999999999999E-3</v>
      </c>
      <c r="G87" t="s">
        <v>377</v>
      </c>
      <c r="H87">
        <v>5.3304799999999997</v>
      </c>
      <c r="I87">
        <v>3.0599999999999998E-3</v>
      </c>
      <c r="J87" s="88">
        <v>1.26824</v>
      </c>
      <c r="K87">
        <v>1.26824</v>
      </c>
      <c r="L87">
        <f>PSI_OC!$A$6</f>
        <v>100</v>
      </c>
      <c r="M87">
        <v>-1</v>
      </c>
      <c r="N87" t="s">
        <v>461</v>
      </c>
      <c r="O87" s="17"/>
      <c r="W87" s="17">
        <f t="shared" si="15"/>
        <v>-7734.755136327969</v>
      </c>
      <c r="X87" s="17">
        <f t="shared" si="16"/>
        <v>-11137727.886211365</v>
      </c>
      <c r="Y87">
        <f t="shared" si="17"/>
        <v>-17740.158896134286</v>
      </c>
      <c r="Z87" s="17">
        <f t="shared" si="18"/>
        <v>-7607.7290826308672</v>
      </c>
      <c r="AA87" s="17">
        <f t="shared" si="19"/>
        <v>-5819917.3807956148</v>
      </c>
      <c r="AB87" s="17">
        <f t="shared" si="20"/>
        <v>-669.74201620572126</v>
      </c>
      <c r="AC87" s="17">
        <f t="shared" si="21"/>
        <v>-765.12796977043547</v>
      </c>
      <c r="AJ87" s="17">
        <f t="shared" si="22"/>
        <v>-44.54051024536993</v>
      </c>
      <c r="AK87" s="17">
        <f t="shared" si="23"/>
        <v>-49169094.89009814</v>
      </c>
      <c r="AL87" s="17">
        <f t="shared" si="24"/>
        <v>-1346915.1192722907</v>
      </c>
      <c r="AM87" s="17">
        <f t="shared" si="25"/>
        <v>-1144.9267676961315</v>
      </c>
    </row>
    <row r="88" spans="5:39" x14ac:dyDescent="0.2">
      <c r="E88" t="s">
        <v>276</v>
      </c>
      <c r="F88">
        <v>1.7099999999999999E-3</v>
      </c>
      <c r="G88" t="s">
        <v>377</v>
      </c>
      <c r="H88">
        <v>5.3304799999999997</v>
      </c>
      <c r="I88">
        <v>3.0599999999999998E-3</v>
      </c>
      <c r="J88" s="88">
        <v>1.26824</v>
      </c>
      <c r="K88">
        <v>1.26824</v>
      </c>
      <c r="L88">
        <f>PSI_OC!$A$6</f>
        <v>100</v>
      </c>
      <c r="M88">
        <v>-1</v>
      </c>
      <c r="N88" t="s">
        <v>461</v>
      </c>
      <c r="O88" s="17"/>
      <c r="W88" s="17">
        <f t="shared" si="15"/>
        <v>-768.95226501506136</v>
      </c>
      <c r="X88" s="17">
        <f t="shared" si="16"/>
        <v>-11282.581676771202</v>
      </c>
      <c r="Y88">
        <f t="shared" si="17"/>
        <v>-1815.9217767696512</v>
      </c>
      <c r="Z88" s="17">
        <f t="shared" si="18"/>
        <v>-778.74392184410442</v>
      </c>
      <c r="AA88" s="17">
        <f t="shared" si="19"/>
        <v>-581993.92171682534</v>
      </c>
      <c r="AB88" s="17">
        <f t="shared" si="20"/>
        <v>-68.55626937538878</v>
      </c>
      <c r="AC88" s="17">
        <f t="shared" si="21"/>
        <v>-78.320185882013078</v>
      </c>
      <c r="AJ88" s="17">
        <f t="shared" si="22"/>
        <v>-4.4540510245369926</v>
      </c>
      <c r="AK88" s="17">
        <f t="shared" si="23"/>
        <v>-4917114.1981770992</v>
      </c>
      <c r="AL88" s="17">
        <f t="shared" si="24"/>
        <v>-134692.0172907683</v>
      </c>
      <c r="AM88" s="17">
        <f t="shared" si="25"/>
        <v>-117.19722818936776</v>
      </c>
    </row>
    <row r="89" spans="5:39" x14ac:dyDescent="0.2">
      <c r="E89" t="s">
        <v>277</v>
      </c>
      <c r="F89">
        <v>1.7000000000000001E-4</v>
      </c>
      <c r="G89" t="s">
        <v>380</v>
      </c>
      <c r="H89">
        <v>5.33E-2</v>
      </c>
      <c r="I89">
        <v>3.1E-4</v>
      </c>
      <c r="J89" s="88">
        <v>1.2700000000000001E-3</v>
      </c>
      <c r="K89">
        <v>1.2700000000000001E-3</v>
      </c>
      <c r="L89">
        <f>PSI_OC!$A$6</f>
        <v>100</v>
      </c>
      <c r="M89">
        <v>-1</v>
      </c>
      <c r="N89" t="s">
        <v>464</v>
      </c>
      <c r="O89" s="17"/>
      <c r="W89" s="17">
        <f t="shared" si="15"/>
        <v>-76.89522650150613</v>
      </c>
      <c r="X89" s="17">
        <f t="shared" si="16"/>
        <v>-1128.2581676771201</v>
      </c>
      <c r="Y89">
        <f t="shared" si="17"/>
        <v>-181.59217767696512</v>
      </c>
      <c r="Z89" s="17">
        <f t="shared" si="18"/>
        <v>-77.874392184410439</v>
      </c>
      <c r="AA89" s="17">
        <f t="shared" si="19"/>
        <v>-581.93933078523196</v>
      </c>
      <c r="AB89" s="17">
        <f t="shared" si="20"/>
        <v>-6.8556269375388785</v>
      </c>
      <c r="AC89" s="17">
        <f t="shared" si="21"/>
        <v>-7.8320185882013078</v>
      </c>
      <c r="AJ89" s="17">
        <f t="shared" si="22"/>
        <v>-0.44540510245369924</v>
      </c>
      <c r="AK89" s="17">
        <f t="shared" si="23"/>
        <v>-49198.436537408947</v>
      </c>
      <c r="AL89" s="17">
        <f t="shared" si="24"/>
        <v>-134.67938320228777</v>
      </c>
      <c r="AM89" s="17">
        <f t="shared" si="25"/>
        <v>-11.719722818936777</v>
      </c>
    </row>
    <row r="90" spans="5:39" x14ac:dyDescent="0.2">
      <c r="E90" t="s">
        <v>278</v>
      </c>
      <c r="F90">
        <v>1.71244</v>
      </c>
      <c r="G90" t="s">
        <v>381</v>
      </c>
      <c r="H90">
        <v>0.53305000000000002</v>
      </c>
      <c r="I90">
        <v>3.0602</v>
      </c>
      <c r="J90" s="88">
        <v>1.26824</v>
      </c>
      <c r="K90">
        <v>1.26824</v>
      </c>
      <c r="L90">
        <f>PSI_OC!$A$6</f>
        <v>100</v>
      </c>
      <c r="M90">
        <v>-1</v>
      </c>
      <c r="N90" t="s">
        <v>465</v>
      </c>
      <c r="O90" s="17"/>
      <c r="W90" s="17">
        <f t="shared" si="15"/>
        <v>-77347.551363279694</v>
      </c>
      <c r="X90" s="17">
        <f t="shared" si="16"/>
        <v>-1113699.9977716089</v>
      </c>
      <c r="Y90">
        <f t="shared" si="17"/>
        <v>-1771222.163803014</v>
      </c>
      <c r="Z90" s="17">
        <f t="shared" si="18"/>
        <v>-759574.84069101885</v>
      </c>
      <c r="AA90" s="17">
        <f t="shared" si="19"/>
        <v>-581939.33078523201</v>
      </c>
      <c r="AB90" s="17">
        <f t="shared" si="20"/>
        <v>-66868.730436917685</v>
      </c>
      <c r="AC90" s="17">
        <f t="shared" si="21"/>
        <v>-76392.304383378912</v>
      </c>
      <c r="AJ90" s="17">
        <f t="shared" si="22"/>
        <v>-44671.347994215692</v>
      </c>
      <c r="AK90" s="17">
        <f t="shared" si="23"/>
        <v>-4919843.653740895</v>
      </c>
      <c r="AL90" s="17">
        <f t="shared" si="24"/>
        <v>-134679.38320228781</v>
      </c>
      <c r="AM90" s="17">
        <f t="shared" si="25"/>
        <v>-114312.3733416295</v>
      </c>
    </row>
    <row r="91" spans="5:39" x14ac:dyDescent="0.2">
      <c r="E91" t="s">
        <v>330</v>
      </c>
      <c r="F91">
        <v>1.7000000000000001E-4</v>
      </c>
      <c r="G91" t="s">
        <v>382</v>
      </c>
      <c r="H91">
        <v>5.3304799999999997</v>
      </c>
      <c r="I91">
        <v>3.1E-4</v>
      </c>
      <c r="J91" s="88">
        <v>1.2999999999999999E-4</v>
      </c>
      <c r="K91">
        <v>1.2999999999999999E-4</v>
      </c>
      <c r="L91">
        <f>PSI_OC!$A$7</f>
        <v>10</v>
      </c>
      <c r="M91">
        <v>-1</v>
      </c>
      <c r="N91" t="s">
        <v>466</v>
      </c>
      <c r="O91" s="17"/>
      <c r="W91" s="17">
        <f t="shared" si="15"/>
        <v>-774561.09330105351</v>
      </c>
      <c r="X91" s="17">
        <f t="shared" si="16"/>
        <v>-111369.99977716088</v>
      </c>
      <c r="Y91">
        <f t="shared" si="17"/>
        <v>-17715574.109002639</v>
      </c>
      <c r="Z91" s="17">
        <f t="shared" si="18"/>
        <v>-7597186.08799667</v>
      </c>
      <c r="AA91" s="17">
        <f t="shared" si="19"/>
        <v>-58193.933078523194</v>
      </c>
      <c r="AB91" s="17">
        <f t="shared" si="20"/>
        <v>-668813.86978956219</v>
      </c>
      <c r="AC91" s="17">
        <f t="shared" si="21"/>
        <v>-764067.63494618679</v>
      </c>
      <c r="AJ91" s="17">
        <f t="shared" si="22"/>
        <v>-44670.512859648596</v>
      </c>
      <c r="AK91" s="17">
        <f t="shared" si="23"/>
        <v>-4917114.1981770992</v>
      </c>
      <c r="AL91" s="17">
        <f t="shared" si="24"/>
        <v>-13467.938320228779</v>
      </c>
      <c r="AM91" s="17">
        <f t="shared" si="25"/>
        <v>-1143340.0975298753</v>
      </c>
    </row>
    <row r="92" spans="5:39" x14ac:dyDescent="0.2">
      <c r="E92" t="s">
        <v>279</v>
      </c>
      <c r="F92">
        <v>1.7000000000000001E-4</v>
      </c>
      <c r="G92" t="s">
        <v>382</v>
      </c>
      <c r="H92">
        <v>5.3304799999999997</v>
      </c>
      <c r="I92">
        <v>3.1E-4</v>
      </c>
      <c r="J92" s="88">
        <v>1.2999999999999999E-4</v>
      </c>
      <c r="K92">
        <v>1.2999999999999999E-4</v>
      </c>
      <c r="L92">
        <f>PSI_OC!$A$7</f>
        <v>10</v>
      </c>
      <c r="M92">
        <v>-1</v>
      </c>
      <c r="N92" t="s">
        <v>466</v>
      </c>
      <c r="O92" s="17"/>
      <c r="W92" s="17">
        <f t="shared" si="15"/>
        <v>-76.89522650150613</v>
      </c>
      <c r="X92" s="17">
        <f t="shared" si="16"/>
        <v>-1128.2581676771201</v>
      </c>
      <c r="Y92">
        <f t="shared" si="17"/>
        <v>-181.59217767696512</v>
      </c>
      <c r="Z92" s="17">
        <f t="shared" si="18"/>
        <v>-77.874392184410439</v>
      </c>
      <c r="AA92" s="17">
        <f t="shared" si="19"/>
        <v>-5819.3933078523196</v>
      </c>
      <c r="AB92" s="17">
        <f t="shared" si="20"/>
        <v>-6.8556269375388785</v>
      </c>
      <c r="AC92" s="17">
        <f t="shared" si="21"/>
        <v>-7.8320185882013078</v>
      </c>
      <c r="AJ92" s="17">
        <f t="shared" si="22"/>
        <v>-0.44540510245369924</v>
      </c>
      <c r="AK92" s="17">
        <f t="shared" si="23"/>
        <v>-4916909.4890098143</v>
      </c>
      <c r="AL92" s="17">
        <f t="shared" si="24"/>
        <v>-1346.793832022878</v>
      </c>
      <c r="AM92" s="17">
        <f t="shared" si="25"/>
        <v>-11.719722818936777</v>
      </c>
    </row>
    <row r="93" spans="5:39" x14ac:dyDescent="0.2">
      <c r="E93" t="s">
        <v>280</v>
      </c>
      <c r="F93">
        <v>1.7000000000000001E-4</v>
      </c>
      <c r="G93" t="s">
        <v>382</v>
      </c>
      <c r="H93">
        <v>5.3304799999999997</v>
      </c>
      <c r="I93">
        <v>3.0599999999999998E-3</v>
      </c>
      <c r="J93" s="88">
        <v>1.2999999999999999E-4</v>
      </c>
      <c r="K93">
        <v>1.2999999999999999E-4</v>
      </c>
      <c r="L93">
        <v>0</v>
      </c>
      <c r="M93">
        <v>0</v>
      </c>
      <c r="N93" t="s">
        <v>466</v>
      </c>
      <c r="O93" s="17"/>
      <c r="W93" s="17">
        <f t="shared" si="15"/>
        <v>-7689.5226501506131</v>
      </c>
      <c r="X93" s="17">
        <f t="shared" si="16"/>
        <v>0</v>
      </c>
      <c r="Y93">
        <f t="shared" si="17"/>
        <v>-177401.58896134287</v>
      </c>
      <c r="Z93" s="17">
        <f t="shared" si="18"/>
        <v>-76077.290826308672</v>
      </c>
      <c r="AA93" s="17">
        <f t="shared" si="19"/>
        <v>-581939.33078523201</v>
      </c>
      <c r="AB93" s="17">
        <f t="shared" si="20"/>
        <v>-6697.420162057213</v>
      </c>
      <c r="AC93" s="17">
        <f t="shared" si="21"/>
        <v>-7651.2796977043554</v>
      </c>
      <c r="AJ93" s="17">
        <f t="shared" si="22"/>
        <v>-445.40510245369927</v>
      </c>
      <c r="AK93" s="17">
        <f t="shared" si="23"/>
        <v>-4916902665.3709049</v>
      </c>
      <c r="AL93" s="17">
        <f t="shared" si="24"/>
        <v>-134679.38320228781</v>
      </c>
      <c r="AM93" s="17">
        <f t="shared" si="25"/>
        <v>-11449.267676961314</v>
      </c>
    </row>
    <row r="94" spans="5:39" x14ac:dyDescent="0.2">
      <c r="E94" t="s">
        <v>331</v>
      </c>
      <c r="F94">
        <v>1.7099999999999999E-3</v>
      </c>
      <c r="G94" t="s">
        <v>383</v>
      </c>
      <c r="H94">
        <v>5.33E-2</v>
      </c>
      <c r="I94">
        <v>3.0599999999999998E-3</v>
      </c>
      <c r="J94" s="88">
        <v>1.2700000000000001E-3</v>
      </c>
      <c r="K94">
        <v>1.2700000000000001E-3</v>
      </c>
      <c r="L94">
        <v>0</v>
      </c>
      <c r="M94">
        <v>0</v>
      </c>
      <c r="N94" t="s">
        <v>467</v>
      </c>
      <c r="O94" s="17"/>
      <c r="W94" s="17">
        <f t="shared" si="15"/>
        <v>-7689.5226501506131</v>
      </c>
      <c r="X94" s="17">
        <f t="shared" si="16"/>
        <v>-112825.81676771201</v>
      </c>
      <c r="Y94">
        <f t="shared" si="17"/>
        <v>-18159.217767696511</v>
      </c>
      <c r="Z94" s="17">
        <f t="shared" si="18"/>
        <v>-7787.4392184410435</v>
      </c>
      <c r="AA94" s="17">
        <f t="shared" si="19"/>
        <v>-581991738.07956159</v>
      </c>
      <c r="AB94" s="17">
        <f t="shared" si="20"/>
        <v>-685.56269375388786</v>
      </c>
      <c r="AC94" s="17">
        <f t="shared" si="21"/>
        <v>-783.20185882013084</v>
      </c>
      <c r="AJ94" s="17">
        <f t="shared" si="22"/>
        <v>-44.540510245369923</v>
      </c>
      <c r="AK94" s="17">
        <f t="shared" si="23"/>
        <v>-4919843.653740895</v>
      </c>
      <c r="AL94" s="17">
        <f t="shared" si="24"/>
        <v>-134691511.92722908</v>
      </c>
      <c r="AM94" s="17">
        <f t="shared" si="25"/>
        <v>-1171.9722818936777</v>
      </c>
    </row>
    <row r="95" spans="5:39" x14ac:dyDescent="0.2">
      <c r="E95" t="s">
        <v>281</v>
      </c>
      <c r="F95">
        <v>1.7000000000000001E-4</v>
      </c>
      <c r="G95" t="s">
        <v>384</v>
      </c>
      <c r="H95">
        <v>5.3299999999999997E-3</v>
      </c>
      <c r="I95">
        <v>3.1E-4</v>
      </c>
      <c r="J95" s="88">
        <v>1.2999999999999999E-4</v>
      </c>
      <c r="K95">
        <v>1.2999999999999999E-4</v>
      </c>
      <c r="L95">
        <f>PSI_OC!$A$7</f>
        <v>10</v>
      </c>
      <c r="M95">
        <v>-1</v>
      </c>
      <c r="N95" t="s">
        <v>468</v>
      </c>
      <c r="O95" s="17"/>
      <c r="W95" s="17">
        <f t="shared" si="15"/>
        <v>-7734.755136327969</v>
      </c>
      <c r="X95" s="17">
        <f t="shared" si="16"/>
        <v>-111369.99977716088</v>
      </c>
      <c r="Y95">
        <f t="shared" si="17"/>
        <v>-17715574.109002639</v>
      </c>
      <c r="Z95" s="17">
        <f t="shared" si="18"/>
        <v>-7597186.08799667</v>
      </c>
      <c r="AA95" s="17">
        <f t="shared" si="19"/>
        <v>-58193.933078523194</v>
      </c>
      <c r="AB95" s="17">
        <f t="shared" si="20"/>
        <v>-668813.86978956219</v>
      </c>
      <c r="AC95" s="17">
        <f t="shared" si="21"/>
        <v>-765.12796977043547</v>
      </c>
      <c r="AJ95" s="17">
        <f t="shared" si="22"/>
        <v>-44670.512859648596</v>
      </c>
      <c r="AK95" s="17">
        <f t="shared" si="23"/>
        <v>-4917114.1981770992</v>
      </c>
      <c r="AL95" s="17">
        <f t="shared" si="24"/>
        <v>-13467.938320228779</v>
      </c>
      <c r="AM95" s="17">
        <f t="shared" si="25"/>
        <v>-1143340.0975298753</v>
      </c>
    </row>
    <row r="96" spans="5:39" x14ac:dyDescent="0.2">
      <c r="E96" t="s">
        <v>282</v>
      </c>
      <c r="F96">
        <v>1.712E-2</v>
      </c>
      <c r="G96" t="s">
        <v>385</v>
      </c>
      <c r="H96">
        <v>5.3299999999999997E-3</v>
      </c>
      <c r="I96">
        <v>0.30602000000000001</v>
      </c>
      <c r="J96" s="88">
        <v>0.12681999999999999</v>
      </c>
      <c r="K96">
        <v>0.12681999999999999</v>
      </c>
      <c r="L96">
        <v>0</v>
      </c>
      <c r="M96">
        <v>0</v>
      </c>
      <c r="N96" t="s">
        <v>469</v>
      </c>
      <c r="O96" s="17"/>
      <c r="W96" s="17">
        <f t="shared" si="15"/>
        <v>-768.95226501506136</v>
      </c>
      <c r="X96" s="17">
        <f t="shared" si="16"/>
        <v>-111369.99977716088</v>
      </c>
      <c r="Y96">
        <f t="shared" si="17"/>
        <v>-1815.9217767696512</v>
      </c>
      <c r="Z96" s="17">
        <f t="shared" si="18"/>
        <v>-778.74392184410442</v>
      </c>
      <c r="AA96" s="17">
        <f t="shared" si="19"/>
        <v>-581993.92171682534</v>
      </c>
      <c r="AB96" s="17">
        <f t="shared" si="20"/>
        <v>-68.55626937538878</v>
      </c>
      <c r="AC96" s="17">
        <f t="shared" si="21"/>
        <v>-78.320185882013078</v>
      </c>
      <c r="AJ96" s="17">
        <f t="shared" si="22"/>
        <v>-4.4540510245369926</v>
      </c>
      <c r="AK96" s="17">
        <f t="shared" si="23"/>
        <v>-49169094.89009814</v>
      </c>
      <c r="AL96" s="17">
        <f t="shared" si="24"/>
        <v>-134692.0172907683</v>
      </c>
      <c r="AM96" s="17">
        <f t="shared" si="25"/>
        <v>-117.19722818936776</v>
      </c>
    </row>
    <row r="97" spans="5:39" x14ac:dyDescent="0.2">
      <c r="E97" t="s">
        <v>332</v>
      </c>
      <c r="F97">
        <v>1.712E-2</v>
      </c>
      <c r="G97" t="s">
        <v>386</v>
      </c>
      <c r="H97">
        <v>5.33E-2</v>
      </c>
      <c r="I97">
        <v>3.0599999999999998E-3</v>
      </c>
      <c r="J97" s="88">
        <v>1.268E-2</v>
      </c>
      <c r="K97">
        <v>1.268E-2</v>
      </c>
      <c r="L97">
        <v>0</v>
      </c>
      <c r="M97">
        <v>0</v>
      </c>
      <c r="N97" t="s">
        <v>470</v>
      </c>
      <c r="O97" s="17"/>
      <c r="W97" s="17">
        <f t="shared" si="15"/>
        <v>-7734.755136327969</v>
      </c>
      <c r="X97" s="17">
        <f t="shared" si="16"/>
        <v>-111369.99977716088</v>
      </c>
      <c r="Y97">
        <f t="shared" si="17"/>
        <v>-17740.158896134286</v>
      </c>
      <c r="Z97" s="17">
        <f t="shared" si="18"/>
        <v>-778.74392184410442</v>
      </c>
      <c r="AA97" s="17">
        <f t="shared" si="19"/>
        <v>-5819.3933078523196</v>
      </c>
      <c r="AB97" s="17">
        <f t="shared" si="20"/>
        <v>-68.55626937538878</v>
      </c>
      <c r="AC97" s="17">
        <f t="shared" si="21"/>
        <v>-764067.63494618679</v>
      </c>
      <c r="AJ97" s="17">
        <f t="shared" si="22"/>
        <v>-4467.1347994215694</v>
      </c>
      <c r="AK97" s="17">
        <f t="shared" si="23"/>
        <v>-4917114.1981770992</v>
      </c>
      <c r="AL97" s="17">
        <f t="shared" si="24"/>
        <v>-1346.7938320228777</v>
      </c>
      <c r="AM97" s="17">
        <f t="shared" si="25"/>
        <v>-1144.9267676961315</v>
      </c>
    </row>
    <row r="98" spans="5:39" x14ac:dyDescent="0.2">
      <c r="E98" t="s">
        <v>283</v>
      </c>
      <c r="F98">
        <v>1.7099999999999999E-3</v>
      </c>
      <c r="G98" t="s">
        <v>387</v>
      </c>
      <c r="H98">
        <v>0.53305000000000002</v>
      </c>
      <c r="I98">
        <v>3.0599999999999998E-3</v>
      </c>
      <c r="J98" s="88">
        <v>1.2700000000000001E-3</v>
      </c>
      <c r="K98">
        <v>1.2700000000000001E-3</v>
      </c>
      <c r="L98">
        <f>PSI_OC!$A$7</f>
        <v>10</v>
      </c>
      <c r="M98">
        <v>-1</v>
      </c>
      <c r="N98" t="s">
        <v>471</v>
      </c>
      <c r="O98" s="17"/>
      <c r="W98" s="17">
        <f t="shared" si="15"/>
        <v>-768.95226501506136</v>
      </c>
      <c r="X98" s="17">
        <f t="shared" si="16"/>
        <v>-11137727.886211365</v>
      </c>
      <c r="Y98">
        <f t="shared" si="17"/>
        <v>-1815.9217767696512</v>
      </c>
      <c r="Z98" s="17">
        <f t="shared" si="18"/>
        <v>-778.74392184410442</v>
      </c>
      <c r="AA98" s="17">
        <f t="shared" si="19"/>
        <v>-5819.3933078523196</v>
      </c>
      <c r="AB98" s="17">
        <f t="shared" si="20"/>
        <v>-68.55626937538878</v>
      </c>
      <c r="AC98" s="17">
        <f t="shared" si="21"/>
        <v>-78.320185882013078</v>
      </c>
      <c r="AJ98" s="17">
        <f t="shared" si="22"/>
        <v>-4.4540510245369926</v>
      </c>
      <c r="AK98" s="17">
        <f t="shared" si="23"/>
        <v>-49130.200148314063</v>
      </c>
      <c r="AL98" s="17">
        <f t="shared" si="24"/>
        <v>-1346.7938320228777</v>
      </c>
      <c r="AM98" s="17">
        <f t="shared" si="25"/>
        <v>-117.19722818936776</v>
      </c>
    </row>
    <row r="99" spans="5:39" x14ac:dyDescent="0.2">
      <c r="E99" t="s">
        <v>284</v>
      </c>
      <c r="F99">
        <v>1.7000000000000001E-4</v>
      </c>
      <c r="G99" t="s">
        <v>388</v>
      </c>
      <c r="H99">
        <v>5.3299999999999997E-3</v>
      </c>
      <c r="I99">
        <v>3.0602</v>
      </c>
      <c r="J99" s="88">
        <v>1.2999999999999999E-4</v>
      </c>
      <c r="K99">
        <v>1.2999999999999999E-4</v>
      </c>
      <c r="L99">
        <f>PSI_OC!$A$7</f>
        <v>10</v>
      </c>
      <c r="M99">
        <v>-1</v>
      </c>
      <c r="N99" t="s">
        <v>472</v>
      </c>
      <c r="O99" s="17"/>
      <c r="W99" s="17">
        <f t="shared" si="15"/>
        <v>-7734.755136327969</v>
      </c>
      <c r="X99" s="17">
        <f t="shared" si="16"/>
        <v>-111369.99977716088</v>
      </c>
      <c r="Y99">
        <f t="shared" si="17"/>
        <v>-1771501.5363840552</v>
      </c>
      <c r="Z99" s="17">
        <f t="shared" si="18"/>
        <v>-759694.64744822565</v>
      </c>
      <c r="AA99" s="17">
        <f t="shared" si="19"/>
        <v>-5819.3933078523196</v>
      </c>
      <c r="AB99" s="17">
        <f t="shared" si="20"/>
        <v>-66879.277555283115</v>
      </c>
      <c r="AC99" s="17">
        <f t="shared" si="21"/>
        <v>-765.12796977043547</v>
      </c>
      <c r="AJ99" s="17">
        <f t="shared" si="22"/>
        <v>-4467.1347994215694</v>
      </c>
      <c r="AK99" s="17">
        <f t="shared" si="23"/>
        <v>-4917114.1981770992</v>
      </c>
      <c r="AL99" s="17">
        <f t="shared" si="24"/>
        <v>-1346.7938320228777</v>
      </c>
      <c r="AM99" s="17">
        <f t="shared" si="25"/>
        <v>-114330.40368442785</v>
      </c>
    </row>
    <row r="100" spans="5:39" x14ac:dyDescent="0.2">
      <c r="E100" t="s">
        <v>285</v>
      </c>
      <c r="F100">
        <v>1.712E-2</v>
      </c>
      <c r="G100" t="s">
        <v>389</v>
      </c>
      <c r="H100">
        <v>0.53305000000000002</v>
      </c>
      <c r="I100">
        <v>3.0599999999999998E-3</v>
      </c>
      <c r="J100" s="88">
        <v>1.2700000000000001E-3</v>
      </c>
      <c r="K100">
        <v>1.2700000000000001E-3</v>
      </c>
      <c r="L100">
        <f>PSI_OC!$A$7</f>
        <v>10</v>
      </c>
      <c r="M100">
        <v>-1</v>
      </c>
      <c r="N100" t="s">
        <v>473</v>
      </c>
      <c r="O100" s="17"/>
      <c r="W100" s="17">
        <f t="shared" si="15"/>
        <v>-77347.551363279694</v>
      </c>
      <c r="X100" s="17">
        <f t="shared" si="16"/>
        <v>-111377278.86211364</v>
      </c>
      <c r="Y100">
        <f t="shared" si="17"/>
        <v>-177401.58896134287</v>
      </c>
      <c r="Z100" s="17">
        <f t="shared" si="18"/>
        <v>-76077.290826308672</v>
      </c>
      <c r="AA100" s="17">
        <f t="shared" si="19"/>
        <v>-581991738.07956159</v>
      </c>
      <c r="AB100" s="17">
        <f t="shared" si="20"/>
        <v>-6697.420162057213</v>
      </c>
      <c r="AC100" s="17">
        <f t="shared" si="21"/>
        <v>-783.20185882013084</v>
      </c>
      <c r="AJ100" s="17">
        <f t="shared" si="22"/>
        <v>-445.40510245369927</v>
      </c>
      <c r="AK100" s="17">
        <f t="shared" si="23"/>
        <v>-491690948.90098143</v>
      </c>
      <c r="AL100" s="17">
        <f t="shared" si="24"/>
        <v>-134691511.92722908</v>
      </c>
      <c r="AM100" s="17">
        <f t="shared" si="25"/>
        <v>-11449.267676961314</v>
      </c>
    </row>
    <row r="101" spans="5:39" x14ac:dyDescent="0.2">
      <c r="E101" t="s">
        <v>286</v>
      </c>
      <c r="F101">
        <v>1.7099999999999999E-3</v>
      </c>
      <c r="G101" t="s">
        <v>390</v>
      </c>
      <c r="H101">
        <v>5.3304799999999997</v>
      </c>
      <c r="I101">
        <v>3.0599999999999998E-3</v>
      </c>
      <c r="J101" s="88">
        <v>1.268E-2</v>
      </c>
      <c r="K101">
        <v>1.268E-2</v>
      </c>
      <c r="L101">
        <f>PSI_OC!$A$6</f>
        <v>100</v>
      </c>
      <c r="M101">
        <v>-1</v>
      </c>
      <c r="N101" t="s">
        <v>474</v>
      </c>
      <c r="O101" s="17"/>
      <c r="W101" s="17">
        <f t="shared" si="15"/>
        <v>-7689.5226501506131</v>
      </c>
      <c r="X101" s="17">
        <f t="shared" si="16"/>
        <v>-1113699.9977716089</v>
      </c>
      <c r="Y101">
        <f t="shared" si="17"/>
        <v>-177401.58896134287</v>
      </c>
      <c r="Z101" s="17">
        <f t="shared" si="18"/>
        <v>-76077.290826308672</v>
      </c>
      <c r="AA101" s="17">
        <f t="shared" si="19"/>
        <v>-581939.33078523201</v>
      </c>
      <c r="AB101" s="17">
        <f t="shared" si="20"/>
        <v>-6697.420162057213</v>
      </c>
      <c r="AC101" s="17">
        <f t="shared" si="21"/>
        <v>-764043.53642745374</v>
      </c>
      <c r="AJ101" s="17">
        <f t="shared" si="22"/>
        <v>-445.40510245369927</v>
      </c>
      <c r="AK101" s="17">
        <f t="shared" si="23"/>
        <v>-491302.00148314063</v>
      </c>
      <c r="AL101" s="17">
        <f t="shared" si="24"/>
        <v>-134679.38320228781</v>
      </c>
      <c r="AM101" s="17">
        <f t="shared" si="25"/>
        <v>-11449.267676961314</v>
      </c>
    </row>
    <row r="102" spans="5:39" x14ac:dyDescent="0.2">
      <c r="E102" t="s">
        <v>287</v>
      </c>
      <c r="F102">
        <v>1.7099999999999999E-3</v>
      </c>
      <c r="G102" t="s">
        <v>391</v>
      </c>
      <c r="H102">
        <v>53.3048</v>
      </c>
      <c r="I102">
        <v>3.0599999999999998E-3</v>
      </c>
      <c r="J102" s="88">
        <v>1.2700000000000001E-3</v>
      </c>
      <c r="K102">
        <v>1.2700000000000001E-3</v>
      </c>
      <c r="L102">
        <f>PSI_OC!$A$6</f>
        <v>100</v>
      </c>
      <c r="M102">
        <v>-1</v>
      </c>
      <c r="N102" t="s">
        <v>475</v>
      </c>
      <c r="O102" s="17"/>
      <c r="W102" s="17">
        <f t="shared" si="15"/>
        <v>-7734.755136327969</v>
      </c>
      <c r="X102" s="17">
        <f t="shared" si="16"/>
        <v>-111369.99977716088</v>
      </c>
      <c r="Y102">
        <f t="shared" si="17"/>
        <v>-17740.158896134286</v>
      </c>
      <c r="Z102" s="17">
        <f t="shared" si="18"/>
        <v>-7607.7290826308672</v>
      </c>
      <c r="AA102" s="17">
        <f t="shared" si="19"/>
        <v>-581993.92171682534</v>
      </c>
      <c r="AB102" s="17">
        <f t="shared" si="20"/>
        <v>-669.74201620572126</v>
      </c>
      <c r="AC102" s="17">
        <f t="shared" si="21"/>
        <v>-765.12796977043547</v>
      </c>
      <c r="AJ102" s="17">
        <f t="shared" si="22"/>
        <v>-44.54051024536993</v>
      </c>
      <c r="AK102" s="17">
        <f t="shared" si="23"/>
        <v>-49169094.89009814</v>
      </c>
      <c r="AL102" s="17">
        <f t="shared" si="24"/>
        <v>-134692.0172907683</v>
      </c>
      <c r="AM102" s="17">
        <f t="shared" si="25"/>
        <v>-1144.9267676961315</v>
      </c>
    </row>
    <row r="103" spans="5:39" x14ac:dyDescent="0.2">
      <c r="E103" t="s">
        <v>288</v>
      </c>
      <c r="F103">
        <v>1.7099999999999999E-3</v>
      </c>
      <c r="G103" t="s">
        <v>392</v>
      </c>
      <c r="H103">
        <v>5.3299999999999997E-3</v>
      </c>
      <c r="I103">
        <v>3.0599999999999998E-3</v>
      </c>
      <c r="J103" s="88">
        <v>1.2700000000000001E-3</v>
      </c>
      <c r="K103">
        <v>1.2700000000000001E-3</v>
      </c>
      <c r="L103">
        <f>PSI_OC!$A$6</f>
        <v>100</v>
      </c>
      <c r="M103">
        <v>-1</v>
      </c>
      <c r="N103" t="s">
        <v>476</v>
      </c>
      <c r="O103" s="17"/>
      <c r="W103" s="17">
        <f t="shared" si="15"/>
        <v>-77347.551363279694</v>
      </c>
      <c r="X103" s="17">
        <f t="shared" si="16"/>
        <v>-1113772788.6211364</v>
      </c>
      <c r="Y103">
        <f t="shared" si="17"/>
        <v>-177155741.09002638</v>
      </c>
      <c r="Z103" s="17">
        <f t="shared" si="18"/>
        <v>-75971860.879966691</v>
      </c>
      <c r="AA103" s="17">
        <f t="shared" si="19"/>
        <v>-581991738.07956159</v>
      </c>
      <c r="AB103" s="17">
        <f t="shared" si="20"/>
        <v>-6688138.6978956219</v>
      </c>
      <c r="AC103" s="17">
        <f t="shared" si="21"/>
        <v>-7651.2796977043554</v>
      </c>
      <c r="AJ103" s="17">
        <f t="shared" si="22"/>
        <v>-446705.128596486</v>
      </c>
      <c r="AK103" s="17">
        <f t="shared" si="23"/>
        <v>-491302.00148314063</v>
      </c>
      <c r="AL103" s="17">
        <f t="shared" si="24"/>
        <v>-134691511.92722908</v>
      </c>
      <c r="AM103" s="17">
        <f t="shared" si="25"/>
        <v>-11433400.975298753</v>
      </c>
    </row>
    <row r="104" spans="5:39" x14ac:dyDescent="0.2">
      <c r="E104" t="s">
        <v>333</v>
      </c>
      <c r="F104">
        <v>1.7099999999999999E-3</v>
      </c>
      <c r="G104" t="s">
        <v>340</v>
      </c>
      <c r="H104">
        <v>5.3304799999999997</v>
      </c>
      <c r="I104">
        <v>3.0599999999999998E-3</v>
      </c>
      <c r="J104" s="88">
        <v>1.2700000000000001E-3</v>
      </c>
      <c r="K104">
        <v>1.2700000000000001E-3</v>
      </c>
      <c r="L104">
        <f>PSI_OC!$A$7</f>
        <v>10</v>
      </c>
      <c r="M104">
        <v>-1</v>
      </c>
      <c r="N104" t="s">
        <v>424</v>
      </c>
      <c r="O104" s="17"/>
      <c r="W104" s="17">
        <f t="shared" si="15"/>
        <v>-768.95226501506136</v>
      </c>
      <c r="X104" s="17">
        <f t="shared" si="16"/>
        <v>-111369.99977716088</v>
      </c>
      <c r="Y104">
        <f t="shared" si="17"/>
        <v>-17740.158896134286</v>
      </c>
      <c r="Z104" s="17">
        <f t="shared" si="18"/>
        <v>-7607.7290826308672</v>
      </c>
      <c r="AA104" s="17">
        <f t="shared" si="19"/>
        <v>-58193.933078523194</v>
      </c>
      <c r="AB104" s="17">
        <f t="shared" si="20"/>
        <v>-669.74201620572126</v>
      </c>
      <c r="AC104" s="17">
        <f t="shared" si="21"/>
        <v>-765.12796977043547</v>
      </c>
      <c r="AJ104" s="17">
        <f t="shared" si="22"/>
        <v>-44.54051024536993</v>
      </c>
      <c r="AK104" s="17">
        <f t="shared" si="23"/>
        <v>-491984.36537408945</v>
      </c>
      <c r="AL104" s="17">
        <f t="shared" si="24"/>
        <v>-13467.938320228779</v>
      </c>
      <c r="AM104" s="17">
        <f t="shared" si="25"/>
        <v>-1144.9267676961315</v>
      </c>
    </row>
    <row r="105" spans="5:39" x14ac:dyDescent="0.2">
      <c r="E105" t="s">
        <v>334</v>
      </c>
      <c r="F105">
        <v>1.712E-2</v>
      </c>
      <c r="G105" t="s">
        <v>393</v>
      </c>
      <c r="H105">
        <v>0.53305000000000002</v>
      </c>
      <c r="I105">
        <v>3.0599999999999999E-2</v>
      </c>
      <c r="J105" s="88">
        <v>1.268E-2</v>
      </c>
      <c r="K105">
        <v>1.268E-2</v>
      </c>
      <c r="L105">
        <v>0</v>
      </c>
      <c r="M105">
        <v>0</v>
      </c>
      <c r="N105" t="s">
        <v>477</v>
      </c>
      <c r="O105" s="17"/>
      <c r="W105" s="17">
        <f t="shared" si="15"/>
        <v>-7743.8016335634411</v>
      </c>
      <c r="X105" s="17">
        <f t="shared" si="16"/>
        <v>-11136.999977716088</v>
      </c>
      <c r="Y105">
        <f t="shared" si="17"/>
        <v>-1774.0158896134287</v>
      </c>
      <c r="Z105" s="17">
        <f t="shared" si="18"/>
        <v>-760.77290826308672</v>
      </c>
      <c r="AA105" s="17">
        <f t="shared" si="19"/>
        <v>-5819.3933078523196</v>
      </c>
      <c r="AB105" s="17">
        <f t="shared" si="20"/>
        <v>-66.974201620572131</v>
      </c>
      <c r="AC105" s="17">
        <f t="shared" si="21"/>
        <v>-76406.763494618674</v>
      </c>
      <c r="AJ105" s="17">
        <f t="shared" si="22"/>
        <v>-44.679699339886696</v>
      </c>
      <c r="AK105" s="17">
        <f t="shared" si="23"/>
        <v>-49198.436537408947</v>
      </c>
      <c r="AL105" s="17">
        <f t="shared" si="24"/>
        <v>-1346.793832022878</v>
      </c>
      <c r="AM105" s="17">
        <f t="shared" si="25"/>
        <v>-114.49267676961314</v>
      </c>
    </row>
    <row r="106" spans="5:39" x14ac:dyDescent="0.2">
      <c r="E106" t="s">
        <v>335</v>
      </c>
      <c r="F106">
        <v>1.7099999999999999E-3</v>
      </c>
      <c r="G106" t="s">
        <v>394</v>
      </c>
      <c r="H106">
        <v>5.33E-2</v>
      </c>
      <c r="I106">
        <v>3.0599999999999998E-3</v>
      </c>
      <c r="J106" s="88">
        <v>1.2700000000000001E-3</v>
      </c>
      <c r="K106">
        <v>1.2700000000000001E-3</v>
      </c>
      <c r="L106">
        <f>PSI_OC!$A$7</f>
        <v>10</v>
      </c>
      <c r="M106">
        <v>-1</v>
      </c>
      <c r="N106" t="s">
        <v>478</v>
      </c>
      <c r="O106" s="17"/>
      <c r="W106" s="17">
        <f t="shared" si="15"/>
        <v>-773.47551363279695</v>
      </c>
      <c r="X106" s="17">
        <f t="shared" si="16"/>
        <v>-11136.999977716088</v>
      </c>
      <c r="Y106">
        <f t="shared" si="17"/>
        <v>-1774.0158896134287</v>
      </c>
      <c r="Z106" s="17">
        <f t="shared" si="18"/>
        <v>-760.77290826308672</v>
      </c>
      <c r="AA106" s="17">
        <f t="shared" si="19"/>
        <v>-5819.3933078523196</v>
      </c>
      <c r="AB106" s="17">
        <f t="shared" si="20"/>
        <v>-66.974201620572131</v>
      </c>
      <c r="AC106" s="17">
        <f t="shared" si="21"/>
        <v>-76.51279697704355</v>
      </c>
      <c r="AJ106" s="17">
        <f t="shared" si="22"/>
        <v>-44.679699339886696</v>
      </c>
      <c r="AK106" s="17">
        <f t="shared" si="23"/>
        <v>-49169026.653709047</v>
      </c>
      <c r="AL106" s="17">
        <f t="shared" si="24"/>
        <v>-1346.793832022878</v>
      </c>
      <c r="AM106" s="17">
        <f t="shared" si="25"/>
        <v>-114.49267676961314</v>
      </c>
    </row>
    <row r="107" spans="5:39" x14ac:dyDescent="0.2">
      <c r="E107" t="s">
        <v>289</v>
      </c>
      <c r="F107">
        <v>1.7099999999999999E-3</v>
      </c>
      <c r="G107" t="s">
        <v>395</v>
      </c>
      <c r="H107">
        <v>5.3304799999999997</v>
      </c>
      <c r="I107">
        <v>0.30602000000000001</v>
      </c>
      <c r="J107" s="88">
        <v>1.2700000000000001E-3</v>
      </c>
      <c r="K107">
        <v>1.2700000000000001E-3</v>
      </c>
      <c r="L107">
        <f>PSI_OC!$A$7</f>
        <v>10</v>
      </c>
      <c r="M107">
        <v>-1</v>
      </c>
      <c r="N107" t="s">
        <v>479</v>
      </c>
      <c r="O107" s="17"/>
      <c r="W107" s="17">
        <f t="shared" si="15"/>
        <v>0</v>
      </c>
      <c r="X107" s="17">
        <f t="shared" si="16"/>
        <v>0</v>
      </c>
      <c r="Y107">
        <f t="shared" si="17"/>
        <v>0</v>
      </c>
      <c r="Z107" s="17">
        <f t="shared" si="18"/>
        <v>0</v>
      </c>
      <c r="AA107" s="17">
        <f t="shared" si="19"/>
        <v>0</v>
      </c>
      <c r="AB107" s="17">
        <f t="shared" si="20"/>
        <v>0</v>
      </c>
      <c r="AC107" s="17">
        <f t="shared" si="21"/>
        <v>0</v>
      </c>
      <c r="AJ107" s="17">
        <f t="shared" si="22"/>
        <v>0</v>
      </c>
      <c r="AK107" s="17">
        <f t="shared" si="23"/>
        <v>0</v>
      </c>
      <c r="AL107" s="17">
        <f t="shared" si="24"/>
        <v>0</v>
      </c>
      <c r="AM107" s="17">
        <f t="shared" si="25"/>
        <v>0</v>
      </c>
    </row>
    <row r="108" spans="5:39" x14ac:dyDescent="0.2">
      <c r="E108" t="s">
        <v>290</v>
      </c>
      <c r="F108">
        <v>1.7000000000000001E-4</v>
      </c>
      <c r="G108" t="s">
        <v>396</v>
      </c>
      <c r="H108">
        <v>0.53305000000000002</v>
      </c>
      <c r="I108">
        <v>3.1E-4</v>
      </c>
      <c r="J108" s="88">
        <v>1.2999999999999999E-4</v>
      </c>
      <c r="K108">
        <v>1.2999999999999999E-4</v>
      </c>
      <c r="L108">
        <f>PSI_OC!$A$7</f>
        <v>10</v>
      </c>
      <c r="M108">
        <v>-1</v>
      </c>
      <c r="N108" t="s">
        <v>480</v>
      </c>
      <c r="O108" s="17"/>
      <c r="W108" s="17">
        <f t="shared" si="15"/>
        <v>-7734.755136327969</v>
      </c>
      <c r="X108" s="17">
        <f t="shared" si="16"/>
        <v>-111369.99977716088</v>
      </c>
      <c r="Y108">
        <f t="shared" si="17"/>
        <v>-17740.158896134286</v>
      </c>
      <c r="Z108" s="17">
        <f t="shared" si="18"/>
        <v>-7607.7290826308672</v>
      </c>
      <c r="AA108" s="17">
        <f t="shared" si="19"/>
        <v>-5819.3933078523196</v>
      </c>
      <c r="AB108" s="17">
        <f t="shared" si="20"/>
        <v>-669.74201620572126</v>
      </c>
      <c r="AC108" s="17">
        <f t="shared" si="21"/>
        <v>-765.12796977043547</v>
      </c>
      <c r="AJ108" s="17">
        <f t="shared" si="22"/>
        <v>-44.54051024536993</v>
      </c>
      <c r="AK108" s="17">
        <f t="shared" si="23"/>
        <v>-4917114.1981770992</v>
      </c>
      <c r="AL108" s="17">
        <f t="shared" si="24"/>
        <v>-1346.7938320228777</v>
      </c>
      <c r="AM108" s="17">
        <f t="shared" si="25"/>
        <v>-1144.9267676961315</v>
      </c>
    </row>
    <row r="109" spans="5:39" x14ac:dyDescent="0.2">
      <c r="E109" t="s">
        <v>291</v>
      </c>
      <c r="F109">
        <v>1.7000000000000001E-4</v>
      </c>
      <c r="G109" t="s">
        <v>397</v>
      </c>
      <c r="H109">
        <v>5.3299999999999997E-3</v>
      </c>
      <c r="I109">
        <v>3.1E-4</v>
      </c>
      <c r="J109" s="88">
        <v>1.2999999999999999E-4</v>
      </c>
      <c r="K109">
        <v>1.2999999999999999E-4</v>
      </c>
      <c r="L109">
        <f>PSI_OC!$A$8</f>
        <v>1</v>
      </c>
      <c r="M109">
        <v>-1</v>
      </c>
      <c r="N109" t="s">
        <v>481</v>
      </c>
      <c r="O109" s="17"/>
      <c r="W109" s="17">
        <f t="shared" si="15"/>
        <v>-7734.755136327969</v>
      </c>
      <c r="X109" s="17">
        <f t="shared" si="16"/>
        <v>-111369.99977716088</v>
      </c>
      <c r="Y109">
        <f t="shared" si="17"/>
        <v>-17740.158896134286</v>
      </c>
      <c r="Z109" s="17">
        <f t="shared" si="18"/>
        <v>-7607.7290826308672</v>
      </c>
      <c r="AA109" s="17">
        <f t="shared" si="19"/>
        <v>-5819.3933078523196</v>
      </c>
      <c r="AB109" s="17">
        <f t="shared" si="20"/>
        <v>-669.74201620572126</v>
      </c>
      <c r="AC109" s="17">
        <f t="shared" si="21"/>
        <v>-76404.35364274538</v>
      </c>
      <c r="AJ109" s="17">
        <f t="shared" si="22"/>
        <v>-44.54051024536993</v>
      </c>
      <c r="AK109" s="17">
        <f t="shared" si="23"/>
        <v>-4917114.1981770992</v>
      </c>
      <c r="AL109" s="17">
        <f t="shared" si="24"/>
        <v>-1346.7938320228777</v>
      </c>
      <c r="AM109" s="17">
        <f t="shared" si="25"/>
        <v>-1144.9267676961315</v>
      </c>
    </row>
    <row r="110" spans="5:39" x14ac:dyDescent="0.2">
      <c r="E110" t="s">
        <v>292</v>
      </c>
      <c r="F110">
        <v>1.7099999999999999E-3</v>
      </c>
      <c r="G110" t="s">
        <v>360</v>
      </c>
      <c r="H110">
        <v>5.33E-2</v>
      </c>
      <c r="I110">
        <v>3.0599999999999998E-3</v>
      </c>
      <c r="J110" s="88">
        <v>1.268E-2</v>
      </c>
      <c r="K110">
        <v>1.268E-2</v>
      </c>
      <c r="L110">
        <f>PSI_OC!$A$6</f>
        <v>100</v>
      </c>
      <c r="M110">
        <v>-1</v>
      </c>
      <c r="N110" t="s">
        <v>444</v>
      </c>
      <c r="O110" s="17"/>
      <c r="W110" s="17">
        <f t="shared" si="15"/>
        <v>0</v>
      </c>
      <c r="X110" s="17">
        <f t="shared" si="16"/>
        <v>0</v>
      </c>
      <c r="Y110">
        <f t="shared" si="17"/>
        <v>0</v>
      </c>
      <c r="Z110" s="17">
        <f t="shared" si="18"/>
        <v>0</v>
      </c>
      <c r="AA110" s="17">
        <f t="shared" si="19"/>
        <v>0</v>
      </c>
      <c r="AB110" s="17">
        <f t="shared" si="20"/>
        <v>0</v>
      </c>
      <c r="AC110" s="17">
        <f t="shared" si="21"/>
        <v>0</v>
      </c>
      <c r="AJ110" s="17">
        <f t="shared" si="22"/>
        <v>0</v>
      </c>
      <c r="AK110" s="17">
        <f t="shared" si="23"/>
        <v>0</v>
      </c>
      <c r="AL110" s="17">
        <f t="shared" si="24"/>
        <v>0</v>
      </c>
      <c r="AM110" s="17">
        <f t="shared" si="25"/>
        <v>0</v>
      </c>
    </row>
    <row r="111" spans="5:39" x14ac:dyDescent="0.2">
      <c r="E111" t="s">
        <v>293</v>
      </c>
      <c r="F111">
        <v>0.17124</v>
      </c>
      <c r="G111" t="s">
        <v>398</v>
      </c>
      <c r="H111">
        <v>5.33E-2</v>
      </c>
      <c r="I111">
        <v>3.0599999999999998E-3</v>
      </c>
      <c r="J111" s="88">
        <v>1.26824</v>
      </c>
      <c r="K111">
        <v>1.26824</v>
      </c>
      <c r="L111">
        <f>PSI_OC!$A$7</f>
        <v>10</v>
      </c>
      <c r="M111">
        <v>-1</v>
      </c>
      <c r="N111" t="s">
        <v>482</v>
      </c>
      <c r="O111" s="17"/>
      <c r="W111" s="17">
        <f t="shared" si="15"/>
        <v>-7734.755136327969</v>
      </c>
      <c r="X111" s="17">
        <f t="shared" si="16"/>
        <v>-11282.581676771202</v>
      </c>
      <c r="Y111">
        <f t="shared" si="17"/>
        <v>-17740.158896134286</v>
      </c>
      <c r="Z111" s="17">
        <f t="shared" si="18"/>
        <v>-7607.7290826308672</v>
      </c>
      <c r="AA111" s="17">
        <f t="shared" si="19"/>
        <v>-58193.933078523194</v>
      </c>
      <c r="AB111" s="17">
        <f t="shared" si="20"/>
        <v>-669.74201620572126</v>
      </c>
      <c r="AC111" s="17">
        <f t="shared" si="21"/>
        <v>-765.12796977043547</v>
      </c>
      <c r="AJ111" s="17">
        <f t="shared" si="22"/>
        <v>-44.54051024536993</v>
      </c>
      <c r="AK111" s="17">
        <f t="shared" si="23"/>
        <v>-12977196.478064399</v>
      </c>
      <c r="AL111" s="17">
        <f t="shared" si="24"/>
        <v>-13467.938320228779</v>
      </c>
      <c r="AM111" s="17">
        <f t="shared" si="25"/>
        <v>-1144.9267676961315</v>
      </c>
    </row>
    <row r="112" spans="5:39" x14ac:dyDescent="0.2">
      <c r="E112" t="s">
        <v>294</v>
      </c>
      <c r="F112">
        <v>1.7000000000000001E-4</v>
      </c>
      <c r="G112" t="s">
        <v>399</v>
      </c>
      <c r="H112">
        <v>5.33E-2</v>
      </c>
      <c r="I112">
        <v>3.1E-4</v>
      </c>
      <c r="J112" s="88">
        <v>1.2999999999999999E-4</v>
      </c>
      <c r="K112">
        <v>1.2999999999999999E-4</v>
      </c>
      <c r="L112">
        <f>PSI_OC!$A$8</f>
        <v>1</v>
      </c>
      <c r="M112">
        <v>-1</v>
      </c>
      <c r="N112" t="s">
        <v>483</v>
      </c>
      <c r="O112" s="17"/>
      <c r="AJ112" s="17"/>
      <c r="AK112" s="17"/>
      <c r="AL112" s="17"/>
      <c r="AM112" s="17"/>
    </row>
    <row r="113" spans="5:39" x14ac:dyDescent="0.2">
      <c r="E113" t="s">
        <v>336</v>
      </c>
      <c r="F113">
        <v>1.7000000000000001E-4</v>
      </c>
      <c r="G113" t="s">
        <v>400</v>
      </c>
      <c r="H113">
        <v>5.33E-2</v>
      </c>
      <c r="I113">
        <v>0</v>
      </c>
      <c r="J113" s="88">
        <v>1.2700000000000001E-3</v>
      </c>
      <c r="K113">
        <v>1.2700000000000001E-3</v>
      </c>
      <c r="L113">
        <f>PSI_OC!$A$6</f>
        <v>100</v>
      </c>
      <c r="M113">
        <v>-1</v>
      </c>
      <c r="N113" t="s">
        <v>484</v>
      </c>
      <c r="O113" s="17"/>
      <c r="AJ113" s="17"/>
      <c r="AK113" s="17"/>
      <c r="AL113" s="17"/>
      <c r="AM113" s="17"/>
    </row>
    <row r="114" spans="5:39" x14ac:dyDescent="0.2">
      <c r="E114" t="s">
        <v>295</v>
      </c>
      <c r="F114">
        <v>1.7000000000000001E-4</v>
      </c>
      <c r="G114" t="s">
        <v>401</v>
      </c>
      <c r="H114">
        <v>53.3048</v>
      </c>
      <c r="I114">
        <v>3.1E-4</v>
      </c>
      <c r="J114" s="88">
        <v>1.2999999999999999E-4</v>
      </c>
      <c r="K114">
        <v>1.2999999999999999E-4</v>
      </c>
      <c r="L114">
        <f>PSI_OC!$A$6</f>
        <v>100</v>
      </c>
      <c r="M114">
        <v>-1</v>
      </c>
      <c r="N114" t="s">
        <v>485</v>
      </c>
      <c r="O114" s="17"/>
      <c r="AJ114" s="17"/>
      <c r="AK114" s="17"/>
      <c r="AL114" s="17"/>
      <c r="AM114" s="17"/>
    </row>
    <row r="115" spans="5:39" x14ac:dyDescent="0.2">
      <c r="E115" t="s">
        <v>296</v>
      </c>
      <c r="F115">
        <v>1.7099999999999999E-3</v>
      </c>
      <c r="G115" t="s">
        <v>402</v>
      </c>
      <c r="H115">
        <v>5.33E-2</v>
      </c>
      <c r="I115">
        <v>3.0599999999999998E-3</v>
      </c>
      <c r="J115" s="88">
        <v>1.26824</v>
      </c>
      <c r="K115">
        <v>1.26824</v>
      </c>
      <c r="L115">
        <f>PSI_OC!$A$7</f>
        <v>10</v>
      </c>
      <c r="M115">
        <v>-1</v>
      </c>
      <c r="N115" t="s">
        <v>486</v>
      </c>
      <c r="O115" s="17"/>
      <c r="AJ115" s="17"/>
      <c r="AK115" s="17"/>
      <c r="AL115" s="17"/>
      <c r="AM115" s="17"/>
    </row>
    <row r="116" spans="5:39" x14ac:dyDescent="0.2">
      <c r="E116" t="s">
        <v>297</v>
      </c>
      <c r="F116">
        <v>1.7000000000000001E-4</v>
      </c>
      <c r="G116" t="s">
        <v>403</v>
      </c>
      <c r="H116">
        <v>0.53305000000000002</v>
      </c>
      <c r="I116">
        <v>3.0599999999999998E-3</v>
      </c>
      <c r="J116" s="88">
        <v>1.2999999999999999E-4</v>
      </c>
      <c r="K116">
        <v>1.2999999999999999E-4</v>
      </c>
      <c r="L116">
        <f>PSI_OC!$A$7</f>
        <v>10</v>
      </c>
      <c r="M116">
        <v>-1</v>
      </c>
      <c r="N116" t="s">
        <v>487</v>
      </c>
      <c r="O116" s="17"/>
      <c r="W116" s="17"/>
      <c r="X116" s="17"/>
      <c r="Z116" s="17"/>
      <c r="AA116" s="17"/>
      <c r="AJ116" s="17"/>
      <c r="AK116" s="17"/>
      <c r="AL116" s="17"/>
      <c r="AM116" s="17"/>
    </row>
    <row r="117" spans="5:39" x14ac:dyDescent="0.2">
      <c r="E117" t="s">
        <v>298</v>
      </c>
      <c r="F117">
        <v>1.7099999999999999E-3</v>
      </c>
      <c r="G117" t="s">
        <v>394</v>
      </c>
      <c r="H117">
        <v>5.3299999999999997E-3</v>
      </c>
      <c r="I117">
        <v>3.0599999999999998E-3</v>
      </c>
      <c r="J117" s="88">
        <v>1.2700000000000001E-3</v>
      </c>
      <c r="K117">
        <v>1.2999999999999999E-4</v>
      </c>
      <c r="L117">
        <f>PSI_OC!$A$7</f>
        <v>10</v>
      </c>
      <c r="M117">
        <v>-1</v>
      </c>
      <c r="N117" t="s">
        <v>478</v>
      </c>
      <c r="O117" s="17"/>
      <c r="W117" s="17"/>
      <c r="X117" s="17"/>
      <c r="Z117" s="17"/>
      <c r="AA117" s="17"/>
    </row>
    <row r="118" spans="5:39" x14ac:dyDescent="0.2">
      <c r="E118" t="s">
        <v>299</v>
      </c>
      <c r="F118">
        <v>1.7000000000000001E-4</v>
      </c>
      <c r="G118" t="s">
        <v>404</v>
      </c>
      <c r="H118">
        <v>5.3299999999999997E-3</v>
      </c>
      <c r="I118">
        <v>0.30602000000000001</v>
      </c>
      <c r="J118" s="88">
        <v>1.2999999999999999E-4</v>
      </c>
      <c r="K118">
        <v>1.2999999999999999E-4</v>
      </c>
      <c r="L118">
        <f>PSI_OC!$A$7</f>
        <v>10</v>
      </c>
      <c r="M118">
        <v>-1</v>
      </c>
      <c r="N118" t="s">
        <v>488</v>
      </c>
      <c r="O118" s="17"/>
      <c r="W118" s="17"/>
      <c r="X118" s="17"/>
      <c r="Z118" s="17"/>
      <c r="AA118" s="17"/>
    </row>
    <row r="119" spans="5:39" x14ac:dyDescent="0.2">
      <c r="E119" t="s">
        <v>300</v>
      </c>
      <c r="F119">
        <v>1.7099999999999999E-3</v>
      </c>
      <c r="G119" t="s">
        <v>405</v>
      </c>
      <c r="H119">
        <v>5.3299999999999997E-3</v>
      </c>
      <c r="I119">
        <v>3.0599999999999998E-3</v>
      </c>
      <c r="J119" s="88">
        <v>0.12681999999999999</v>
      </c>
      <c r="K119">
        <v>0.12681999999999999</v>
      </c>
      <c r="L119">
        <f>PSI_OC!$A$7</f>
        <v>10</v>
      </c>
      <c r="M119">
        <v>-1</v>
      </c>
      <c r="N119" t="s">
        <v>489</v>
      </c>
      <c r="O119" s="17"/>
      <c r="W119" s="17"/>
      <c r="X119" s="17"/>
      <c r="Z119" s="17"/>
      <c r="AA119" s="17"/>
    </row>
    <row r="120" spans="5:39" x14ac:dyDescent="0.2">
      <c r="E120" t="s">
        <v>301</v>
      </c>
      <c r="F120">
        <v>1.7099999999999999E-3</v>
      </c>
      <c r="G120" t="s">
        <v>406</v>
      </c>
      <c r="H120">
        <v>53.3048</v>
      </c>
      <c r="I120">
        <v>0.30602000000000001</v>
      </c>
      <c r="J120" s="88">
        <v>1.2700000000000001E-3</v>
      </c>
      <c r="K120">
        <v>1.2700000000000001E-3</v>
      </c>
      <c r="L120">
        <f>PSI_OC!$A$6</f>
        <v>100</v>
      </c>
      <c r="M120">
        <v>-1</v>
      </c>
      <c r="N120" t="s">
        <v>490</v>
      </c>
      <c r="O120" s="17"/>
      <c r="W120" s="17"/>
      <c r="X120" s="17"/>
      <c r="Z120" s="17"/>
      <c r="AA120" s="17"/>
    </row>
    <row r="121" spans="5:39" x14ac:dyDescent="0.2">
      <c r="E121" t="s">
        <v>302</v>
      </c>
      <c r="F121">
        <v>1.7000000000000001E-4</v>
      </c>
      <c r="G121" t="s">
        <v>407</v>
      </c>
      <c r="H121">
        <v>5.33E-2</v>
      </c>
      <c r="I121">
        <v>3.0599999999999998E-3</v>
      </c>
      <c r="J121" s="88">
        <v>1.2700000000000001E-3</v>
      </c>
      <c r="K121">
        <v>1.2700000000000001E-3</v>
      </c>
      <c r="L121">
        <f>PSI_OC!$A$6</f>
        <v>100</v>
      </c>
      <c r="M121">
        <v>-1</v>
      </c>
      <c r="N121" t="s">
        <v>491</v>
      </c>
      <c r="O121" s="17"/>
      <c r="W121" s="17"/>
      <c r="X121" s="17"/>
      <c r="Z121" s="17"/>
      <c r="AA121" s="17"/>
    </row>
    <row r="122" spans="5:39" x14ac:dyDescent="0.2">
      <c r="E122" t="s">
        <v>303</v>
      </c>
      <c r="F122">
        <v>1.7099999999999999E-3</v>
      </c>
      <c r="G122" t="s">
        <v>408</v>
      </c>
      <c r="H122">
        <v>0.53305000000000002</v>
      </c>
      <c r="I122">
        <v>3.0599999999999998E-3</v>
      </c>
      <c r="J122" s="88">
        <v>1.2700000000000001E-3</v>
      </c>
      <c r="K122">
        <v>1.2700000000000001E-3</v>
      </c>
      <c r="L122">
        <f>PSI_OC!$A$7</f>
        <v>10</v>
      </c>
      <c r="M122">
        <v>-1</v>
      </c>
      <c r="N122" t="s">
        <v>492</v>
      </c>
      <c r="O122" s="17"/>
      <c r="W122" s="17"/>
      <c r="X122" s="17"/>
      <c r="Z122" s="17"/>
      <c r="AA122" s="17"/>
    </row>
    <row r="123" spans="5:39" x14ac:dyDescent="0.2">
      <c r="E123" t="s">
        <v>304</v>
      </c>
      <c r="F123">
        <v>1.7099999999999999E-3</v>
      </c>
      <c r="G123" t="s">
        <v>409</v>
      </c>
      <c r="H123">
        <v>53.3048</v>
      </c>
      <c r="I123">
        <v>3.0602</v>
      </c>
      <c r="J123" s="88">
        <v>1.26824</v>
      </c>
      <c r="K123">
        <v>1.26824</v>
      </c>
      <c r="L123">
        <f>PSI_OC!$A$6</f>
        <v>100</v>
      </c>
      <c r="M123">
        <v>-1</v>
      </c>
      <c r="N123" t="s">
        <v>493</v>
      </c>
      <c r="O123" s="17"/>
      <c r="W123" s="17"/>
      <c r="X123" s="17"/>
      <c r="Z123" s="17"/>
      <c r="AA123" s="17"/>
    </row>
    <row r="124" spans="5:39" x14ac:dyDescent="0.2">
      <c r="E124" t="s">
        <v>305</v>
      </c>
      <c r="F124">
        <v>1.7000000000000001E-4</v>
      </c>
      <c r="G124" t="s">
        <v>410</v>
      </c>
      <c r="H124">
        <v>5.33E-2</v>
      </c>
      <c r="I124">
        <v>3.0599999999999998E-3</v>
      </c>
      <c r="J124" s="88">
        <v>1.2700000000000001E-3</v>
      </c>
      <c r="K124">
        <v>1.2700000000000001E-3</v>
      </c>
      <c r="L124">
        <f>PSI_OC!$A$7</f>
        <v>10</v>
      </c>
      <c r="M124">
        <v>-1</v>
      </c>
      <c r="N124" t="s">
        <v>494</v>
      </c>
      <c r="O124" s="17"/>
      <c r="W124" s="17"/>
      <c r="X124" s="17"/>
      <c r="Z124" s="17"/>
      <c r="AA124" s="17"/>
    </row>
    <row r="125" spans="5:39" x14ac:dyDescent="0.2">
      <c r="E125" t="s">
        <v>306</v>
      </c>
      <c r="F125">
        <v>1.712E-2</v>
      </c>
      <c r="G125" t="s">
        <v>411</v>
      </c>
      <c r="H125">
        <v>5.33E-2</v>
      </c>
      <c r="I125">
        <v>3.0599999999999998E-3</v>
      </c>
      <c r="J125" s="88">
        <v>1.2700000000000001E-3</v>
      </c>
      <c r="K125">
        <v>1.2700000000000001E-3</v>
      </c>
      <c r="L125">
        <f>PSI_OC!$A$8</f>
        <v>1</v>
      </c>
      <c r="M125">
        <v>-1</v>
      </c>
      <c r="N125" t="s">
        <v>495</v>
      </c>
      <c r="O125" s="17"/>
      <c r="W125" s="17"/>
      <c r="X125" s="17"/>
      <c r="Z125" s="17"/>
      <c r="AA125" s="17"/>
    </row>
    <row r="126" spans="5:39" x14ac:dyDescent="0.2">
      <c r="E126" t="s">
        <v>307</v>
      </c>
      <c r="F126">
        <v>1.7099999999999999E-3</v>
      </c>
      <c r="G126" t="s">
        <v>411</v>
      </c>
      <c r="H126">
        <v>5.33E-2</v>
      </c>
      <c r="I126">
        <v>3.0599999999999998E-3</v>
      </c>
      <c r="J126" s="88">
        <v>1.2700000000000001E-3</v>
      </c>
      <c r="K126">
        <v>1.2700000000000001E-3</v>
      </c>
      <c r="L126">
        <f>PSI_OC!$A$8</f>
        <v>1</v>
      </c>
      <c r="M126">
        <v>-1</v>
      </c>
      <c r="N126" t="s">
        <v>495</v>
      </c>
      <c r="O126" s="17"/>
      <c r="W126" s="17"/>
      <c r="X126" s="17"/>
      <c r="Z126" s="17"/>
      <c r="AA126" s="17"/>
    </row>
    <row r="127" spans="5:39" x14ac:dyDescent="0.2">
      <c r="E127" t="s">
        <v>337</v>
      </c>
      <c r="F127">
        <v>0.17124</v>
      </c>
      <c r="G127" t="s">
        <v>412</v>
      </c>
      <c r="H127">
        <v>53.3048</v>
      </c>
      <c r="I127">
        <v>3.0599999999999998E-3</v>
      </c>
      <c r="J127" s="88">
        <v>0.12681999999999999</v>
      </c>
      <c r="K127">
        <v>0.12681999999999999</v>
      </c>
      <c r="L127">
        <v>0</v>
      </c>
      <c r="M127">
        <v>0</v>
      </c>
      <c r="N127" t="s">
        <v>496</v>
      </c>
      <c r="O127" s="17"/>
      <c r="W127" s="17"/>
      <c r="X127" s="17"/>
      <c r="Z127" s="17"/>
      <c r="AA127" s="17"/>
    </row>
    <row r="128" spans="5:39" x14ac:dyDescent="0.2">
      <c r="E128" t="s">
        <v>308</v>
      </c>
      <c r="F128">
        <v>1.7099999999999999E-3</v>
      </c>
      <c r="G128" t="s">
        <v>413</v>
      </c>
      <c r="H128">
        <v>5.3299999999999997E-3</v>
      </c>
      <c r="I128">
        <v>3.0599999999999998E-3</v>
      </c>
      <c r="J128" s="88">
        <v>1.2700000000000001E-3</v>
      </c>
      <c r="K128">
        <v>1.2700000000000001E-3</v>
      </c>
      <c r="L128">
        <f>PSI_OC!$A$7</f>
        <v>10</v>
      </c>
      <c r="M128">
        <v>-1</v>
      </c>
      <c r="N128" t="s">
        <v>497</v>
      </c>
      <c r="O128" s="17"/>
    </row>
    <row r="129" spans="1:19" x14ac:dyDescent="0.2">
      <c r="E129" t="s">
        <v>309</v>
      </c>
      <c r="F129">
        <v>1.7099999999999999E-3</v>
      </c>
      <c r="G129" t="s">
        <v>413</v>
      </c>
      <c r="H129">
        <v>5.3299999999999997E-3</v>
      </c>
      <c r="I129">
        <v>3.0599999999999998E-3</v>
      </c>
      <c r="J129" s="88">
        <v>1.2700000000000001E-3</v>
      </c>
      <c r="K129">
        <v>1.2700000000000001E-3</v>
      </c>
      <c r="L129">
        <f>PSI_OC!$A$7</f>
        <v>10</v>
      </c>
      <c r="M129">
        <v>-1</v>
      </c>
      <c r="N129" t="s">
        <v>497</v>
      </c>
      <c r="O129" s="17"/>
    </row>
    <row r="130" spans="1:19" x14ac:dyDescent="0.2">
      <c r="E130" t="s">
        <v>310</v>
      </c>
      <c r="F130">
        <v>1.7099999999999999E-3</v>
      </c>
      <c r="G130" t="s">
        <v>413</v>
      </c>
      <c r="H130">
        <v>5.3299999999999997E-3</v>
      </c>
      <c r="I130">
        <v>3.0599999999999998E-3</v>
      </c>
      <c r="J130" s="88">
        <v>1.2700000000000001E-3</v>
      </c>
      <c r="K130">
        <v>1.2700000000000001E-3</v>
      </c>
      <c r="L130">
        <v>0</v>
      </c>
      <c r="M130">
        <v>0</v>
      </c>
      <c r="N130" t="s">
        <v>497</v>
      </c>
      <c r="O130" s="17"/>
    </row>
    <row r="131" spans="1:19" x14ac:dyDescent="0.2">
      <c r="E131" t="s">
        <v>311</v>
      </c>
      <c r="F131">
        <v>1.7099999999999999E-3</v>
      </c>
      <c r="G131" t="s">
        <v>414</v>
      </c>
      <c r="H131">
        <v>5.33E-2</v>
      </c>
      <c r="I131">
        <v>3.1E-4</v>
      </c>
      <c r="J131" s="88">
        <v>1.2700000000000001E-3</v>
      </c>
      <c r="K131">
        <v>1.2700000000000001E-3</v>
      </c>
      <c r="L131">
        <f>PSI_OC!$A$7</f>
        <v>10</v>
      </c>
      <c r="M131">
        <v>-1</v>
      </c>
      <c r="N131" t="s">
        <v>498</v>
      </c>
      <c r="O131" s="17"/>
    </row>
    <row r="132" spans="1:19" x14ac:dyDescent="0.2">
      <c r="J132" s="88"/>
      <c r="O132" s="17"/>
    </row>
    <row r="133" spans="1:19" x14ac:dyDescent="0.2">
      <c r="J133" s="88"/>
      <c r="O133" s="17"/>
    </row>
    <row r="134" spans="1:19" x14ac:dyDescent="0.2">
      <c r="J134" s="88"/>
      <c r="O134" s="17"/>
    </row>
    <row r="135" spans="1:19" x14ac:dyDescent="0.2">
      <c r="A135" s="351" t="s">
        <v>1064</v>
      </c>
      <c r="B135" s="351"/>
      <c r="C135" s="351"/>
      <c r="D135" s="351"/>
      <c r="E135" s="351"/>
      <c r="F135" s="351"/>
      <c r="G135" s="351"/>
      <c r="H135" s="351"/>
      <c r="I135" s="351"/>
      <c r="J135" s="351"/>
      <c r="K135" s="351"/>
      <c r="L135" s="351"/>
      <c r="M135" s="351"/>
      <c r="N135" s="351"/>
      <c r="O135" s="351"/>
      <c r="P135" s="351"/>
      <c r="Q135" s="351"/>
      <c r="R135" s="351"/>
      <c r="S135" s="351"/>
    </row>
    <row r="136" spans="1:19" x14ac:dyDescent="0.2">
      <c r="A136" s="352"/>
      <c r="B136" s="352"/>
      <c r="C136" s="352"/>
      <c r="D136" s="352"/>
      <c r="E136" s="352"/>
      <c r="F136" s="352"/>
      <c r="G136" s="352"/>
      <c r="H136" s="352"/>
      <c r="I136" s="352"/>
      <c r="J136" s="352"/>
      <c r="K136" s="352"/>
      <c r="L136" s="352"/>
      <c r="M136" s="352"/>
      <c r="N136" s="352"/>
      <c r="O136" s="351"/>
      <c r="P136" s="351"/>
      <c r="Q136" s="351"/>
      <c r="R136" s="351"/>
      <c r="S136" s="352"/>
    </row>
    <row r="137" spans="1:19" x14ac:dyDescent="0.2">
      <c r="A137" s="353" t="s">
        <v>8</v>
      </c>
      <c r="B137" s="353" t="s">
        <v>1079</v>
      </c>
      <c r="C137" s="348" t="s">
        <v>1023</v>
      </c>
      <c r="D137" s="353" t="s">
        <v>658</v>
      </c>
      <c r="E137" s="325" t="s">
        <v>1083</v>
      </c>
      <c r="F137" s="326"/>
      <c r="G137" s="327"/>
      <c r="H137" s="79" t="s">
        <v>662</v>
      </c>
      <c r="I137" s="78" t="s">
        <v>512</v>
      </c>
      <c r="J137" s="131" t="s">
        <v>663</v>
      </c>
      <c r="K137" s="131" t="s">
        <v>664</v>
      </c>
      <c r="L137" s="328" t="s">
        <v>421</v>
      </c>
      <c r="M137" s="329"/>
      <c r="N137" s="329"/>
      <c r="O137" s="39"/>
      <c r="P137" s="39"/>
      <c r="Q137" s="39"/>
      <c r="R137" s="39"/>
    </row>
    <row r="138" spans="1:19" x14ac:dyDescent="0.2">
      <c r="A138" s="353"/>
      <c r="B138" s="353"/>
      <c r="C138" s="349"/>
      <c r="D138" s="353"/>
      <c r="E138" s="342" t="s">
        <v>506</v>
      </c>
      <c r="F138" s="343"/>
      <c r="G138" s="344"/>
      <c r="H138" s="134" t="s">
        <v>509</v>
      </c>
      <c r="I138" s="1" t="s">
        <v>659</v>
      </c>
      <c r="J138" s="136" t="s">
        <v>502</v>
      </c>
      <c r="K138" s="137" t="s">
        <v>510</v>
      </c>
      <c r="L138" s="331"/>
      <c r="M138" s="332"/>
      <c r="N138" s="332"/>
      <c r="O138" s="39"/>
      <c r="P138" s="39"/>
      <c r="Q138" s="39"/>
      <c r="R138" s="39"/>
    </row>
    <row r="139" spans="1:19" x14ac:dyDescent="0.2">
      <c r="A139" s="353"/>
      <c r="B139" s="353"/>
      <c r="C139" s="350"/>
      <c r="D139" s="353"/>
      <c r="E139" s="6" t="s">
        <v>317</v>
      </c>
      <c r="F139" s="58" t="s">
        <v>319</v>
      </c>
      <c r="G139" s="58" t="s">
        <v>5</v>
      </c>
      <c r="H139" s="58" t="s">
        <v>319</v>
      </c>
      <c r="I139" s="83" t="s">
        <v>319</v>
      </c>
      <c r="J139" s="58" t="s">
        <v>319</v>
      </c>
      <c r="K139" s="58" t="s">
        <v>319</v>
      </c>
      <c r="L139" s="64" t="s">
        <v>0</v>
      </c>
      <c r="M139" s="64" t="s">
        <v>499</v>
      </c>
      <c r="N139" s="247" t="s">
        <v>5</v>
      </c>
      <c r="O139" s="39"/>
      <c r="P139" s="39"/>
      <c r="Q139" s="39"/>
      <c r="R139" s="39"/>
    </row>
    <row r="140" spans="1:19" x14ac:dyDescent="0.2">
      <c r="A140" t="s">
        <v>1065</v>
      </c>
      <c r="B140" s="239">
        <v>334000</v>
      </c>
      <c r="C140" s="17">
        <f>B140*$B$13*($B$9/$B$11)</f>
        <v>134148.42094662754</v>
      </c>
      <c r="D140" s="135" t="s">
        <v>506</v>
      </c>
      <c r="E140" t="s">
        <v>225</v>
      </c>
      <c r="F140">
        <v>3.1E-4</v>
      </c>
      <c r="G140" t="s">
        <v>338</v>
      </c>
      <c r="H140">
        <v>1.2999999999999999E-4</v>
      </c>
      <c r="I140">
        <v>1.2999999999999999E-4</v>
      </c>
      <c r="J140" s="88">
        <v>1.2999999999999999E-4</v>
      </c>
      <c r="K140">
        <v>1.2999999999999999E-4</v>
      </c>
      <c r="L140">
        <f>PSI_OC!$A$6</f>
        <v>100</v>
      </c>
      <c r="M140">
        <v>-1</v>
      </c>
      <c r="N140" t="s">
        <v>422</v>
      </c>
      <c r="O140" s="17"/>
      <c r="Q140" s="17"/>
    </row>
    <row r="141" spans="1:19" x14ac:dyDescent="0.2">
      <c r="A141" t="s">
        <v>1066</v>
      </c>
      <c r="B141" s="239">
        <v>281300</v>
      </c>
      <c r="C141" s="17">
        <f t="shared" ref="C141:C153" si="26">B141*$B$13*($B$9/$B$11)</f>
        <v>112981.88865953991</v>
      </c>
      <c r="D141" s="135" t="s">
        <v>506</v>
      </c>
      <c r="E141" t="s">
        <v>226</v>
      </c>
      <c r="F141">
        <v>3.1E-4</v>
      </c>
      <c r="G141" t="s">
        <v>339</v>
      </c>
      <c r="H141">
        <v>1.2999999999999999E-4</v>
      </c>
      <c r="I141">
        <v>1.2999999999999999E-4</v>
      </c>
      <c r="J141" s="88">
        <v>1.2999999999999999E-4</v>
      </c>
      <c r="K141">
        <v>1.2999999999999999E-4</v>
      </c>
      <c r="L141">
        <f>PSI_OC!$A$7</f>
        <v>10</v>
      </c>
      <c r="M141">
        <v>-1</v>
      </c>
      <c r="N141" t="s">
        <v>423</v>
      </c>
      <c r="O141" s="17"/>
    </row>
    <row r="142" spans="1:19" x14ac:dyDescent="0.2">
      <c r="A142" t="s">
        <v>1067</v>
      </c>
      <c r="B142" s="239">
        <v>29200</v>
      </c>
      <c r="C142" s="17">
        <f t="shared" si="26"/>
        <v>11727.945783357856</v>
      </c>
      <c r="D142" s="136" t="s">
        <v>502</v>
      </c>
      <c r="E142" t="s">
        <v>227</v>
      </c>
      <c r="F142">
        <v>3.0599999999999998E-3</v>
      </c>
      <c r="G142" t="s">
        <v>340</v>
      </c>
      <c r="H142">
        <v>1.2700000000000001E-3</v>
      </c>
      <c r="I142">
        <v>1.2700000000000001E-3</v>
      </c>
      <c r="J142" s="88">
        <v>1.2700000000000001E-3</v>
      </c>
      <c r="K142">
        <v>1.2700000000000001E-3</v>
      </c>
      <c r="L142">
        <f>PSI_OC!$A$7</f>
        <v>10</v>
      </c>
      <c r="M142">
        <v>-1</v>
      </c>
      <c r="N142" t="s">
        <v>424</v>
      </c>
      <c r="O142" s="17"/>
    </row>
    <row r="143" spans="1:19" x14ac:dyDescent="0.2">
      <c r="A143" t="s">
        <v>1068</v>
      </c>
      <c r="B143" s="239">
        <v>1022600</v>
      </c>
      <c r="C143" s="17">
        <f t="shared" si="26"/>
        <v>410719.08760485426</v>
      </c>
      <c r="D143" s="136" t="s">
        <v>502</v>
      </c>
      <c r="E143" t="s">
        <v>228</v>
      </c>
      <c r="F143">
        <v>3.0599999999999998E-3</v>
      </c>
      <c r="G143" t="s">
        <v>341</v>
      </c>
      <c r="H143">
        <v>0.12681999999999999</v>
      </c>
      <c r="I143">
        <v>0.12681999999999999</v>
      </c>
      <c r="J143" s="88">
        <v>0.12681999999999999</v>
      </c>
      <c r="K143">
        <v>0.12681999999999999</v>
      </c>
      <c r="L143">
        <f>PSI_OC!$A$7</f>
        <v>10</v>
      </c>
      <c r="M143">
        <v>-1</v>
      </c>
      <c r="N143" t="s">
        <v>425</v>
      </c>
      <c r="O143" s="17"/>
    </row>
    <row r="144" spans="1:19" x14ac:dyDescent="0.2">
      <c r="A144" t="s">
        <v>1069</v>
      </c>
      <c r="B144" s="239">
        <v>131300</v>
      </c>
      <c r="C144" s="17">
        <f t="shared" si="26"/>
        <v>52735.591827222146</v>
      </c>
      <c r="D144" s="134" t="s">
        <v>509</v>
      </c>
      <c r="E144" t="s">
        <v>229</v>
      </c>
      <c r="F144">
        <v>3.0599999999999998E-3</v>
      </c>
      <c r="G144" t="s">
        <v>342</v>
      </c>
      <c r="H144">
        <v>1.268E-2</v>
      </c>
      <c r="I144">
        <v>1.268E-2</v>
      </c>
      <c r="J144" s="88">
        <v>1.268E-2</v>
      </c>
      <c r="K144">
        <v>1.268E-2</v>
      </c>
      <c r="L144">
        <f>PSI_OC!$A$6</f>
        <v>100</v>
      </c>
      <c r="M144">
        <v>-1</v>
      </c>
      <c r="N144" t="s">
        <v>426</v>
      </c>
      <c r="O144" s="17"/>
    </row>
    <row r="145" spans="1:15" x14ac:dyDescent="0.2">
      <c r="A145" t="s">
        <v>1070</v>
      </c>
      <c r="B145" s="239">
        <v>57200</v>
      </c>
      <c r="C145" s="17">
        <f t="shared" si="26"/>
        <v>22973.921192057172</v>
      </c>
      <c r="D145" s="136" t="s">
        <v>502</v>
      </c>
      <c r="E145" t="s">
        <v>230</v>
      </c>
      <c r="F145">
        <v>3.0602</v>
      </c>
      <c r="G145" t="s">
        <v>343</v>
      </c>
      <c r="H145">
        <v>0.12681999999999999</v>
      </c>
      <c r="I145">
        <v>0.12681999999999999</v>
      </c>
      <c r="J145" s="88">
        <v>0.12681999999999999</v>
      </c>
      <c r="K145">
        <v>0.12681999999999999</v>
      </c>
      <c r="L145">
        <f>PSI_OC!$A$6</f>
        <v>100</v>
      </c>
      <c r="M145">
        <v>-1</v>
      </c>
      <c r="N145" t="s">
        <v>427</v>
      </c>
      <c r="O145" s="17"/>
    </row>
    <row r="146" spans="1:15" x14ac:dyDescent="0.2">
      <c r="A146" t="s">
        <v>1071</v>
      </c>
      <c r="B146" s="239">
        <v>21300</v>
      </c>
      <c r="C146" s="17">
        <f t="shared" si="26"/>
        <v>8554.9741501891222</v>
      </c>
      <c r="D146" s="135" t="s">
        <v>506</v>
      </c>
      <c r="E146" t="s">
        <v>231</v>
      </c>
      <c r="F146">
        <v>3.0599999999999998E-3</v>
      </c>
      <c r="G146" t="s">
        <v>344</v>
      </c>
      <c r="H146">
        <v>1.26824</v>
      </c>
      <c r="I146">
        <v>1.2700000000000001E-3</v>
      </c>
      <c r="J146" s="88">
        <v>0.12681999999999999</v>
      </c>
      <c r="K146">
        <v>1.2700000000000001E-3</v>
      </c>
      <c r="L146">
        <f>PSI_OC!$A$7</f>
        <v>10</v>
      </c>
      <c r="M146">
        <v>-1</v>
      </c>
      <c r="N146" t="s">
        <v>428</v>
      </c>
      <c r="O146" s="17"/>
    </row>
    <row r="147" spans="1:15" x14ac:dyDescent="0.2">
      <c r="A147" t="s">
        <v>1072</v>
      </c>
      <c r="B147" s="239">
        <v>31500</v>
      </c>
      <c r="C147" s="17">
        <f t="shared" si="26"/>
        <v>12651.722334786729</v>
      </c>
      <c r="D147" s="135" t="s">
        <v>506</v>
      </c>
      <c r="E147" t="s">
        <v>232</v>
      </c>
      <c r="F147">
        <v>3.1E-4</v>
      </c>
      <c r="G147" t="s">
        <v>345</v>
      </c>
      <c r="H147">
        <v>1.2999999999999999E-4</v>
      </c>
      <c r="I147">
        <v>1.2999999999999999E-4</v>
      </c>
      <c r="J147" s="88">
        <v>1.2999999999999999E-4</v>
      </c>
      <c r="K147">
        <v>1.2999999999999999E-4</v>
      </c>
      <c r="L147">
        <f>PSI_OC!$A$7</f>
        <v>10</v>
      </c>
      <c r="M147">
        <v>-1</v>
      </c>
      <c r="N147" t="s">
        <v>429</v>
      </c>
      <c r="O147" s="17"/>
    </row>
    <row r="148" spans="1:15" x14ac:dyDescent="0.2">
      <c r="A148" t="s">
        <v>1073</v>
      </c>
      <c r="B148" s="239">
        <v>54600</v>
      </c>
      <c r="C148" s="17">
        <f t="shared" si="26"/>
        <v>21929.652046963663</v>
      </c>
      <c r="D148" s="137" t="s">
        <v>510</v>
      </c>
      <c r="E148" t="s">
        <v>233</v>
      </c>
      <c r="F148">
        <v>3.1E-4</v>
      </c>
      <c r="G148" t="s">
        <v>345</v>
      </c>
      <c r="H148">
        <v>1.2999999999999999E-4</v>
      </c>
      <c r="I148">
        <v>1.2999999999999999E-4</v>
      </c>
      <c r="J148" s="88">
        <v>1.2999999999999999E-4</v>
      </c>
      <c r="K148">
        <v>1.2999999999999999E-4</v>
      </c>
      <c r="L148">
        <f>PSI_OC!$A$7</f>
        <v>10</v>
      </c>
      <c r="M148">
        <v>-1</v>
      </c>
      <c r="N148" t="s">
        <v>429</v>
      </c>
      <c r="O148" s="17"/>
    </row>
    <row r="149" spans="1:15" x14ac:dyDescent="0.2">
      <c r="A149" t="s">
        <v>1074</v>
      </c>
      <c r="B149" s="239">
        <v>150000</v>
      </c>
      <c r="C149" s="17">
        <f t="shared" si="26"/>
        <v>60246.296832317756</v>
      </c>
      <c r="D149" s="1" t="s">
        <v>659</v>
      </c>
      <c r="E149" t="s">
        <v>320</v>
      </c>
      <c r="F149">
        <v>0.30602000000000001</v>
      </c>
      <c r="G149" t="s">
        <v>344</v>
      </c>
      <c r="H149">
        <v>0</v>
      </c>
      <c r="I149">
        <v>0</v>
      </c>
      <c r="J149" s="88">
        <v>0</v>
      </c>
      <c r="K149">
        <v>0</v>
      </c>
      <c r="L149">
        <f>PSI_OC!$A$6</f>
        <v>100</v>
      </c>
      <c r="M149">
        <v>-1</v>
      </c>
      <c r="N149" t="s">
        <v>428</v>
      </c>
      <c r="O149" s="17"/>
    </row>
    <row r="150" spans="1:15" x14ac:dyDescent="0.2">
      <c r="A150" t="s">
        <v>1075</v>
      </c>
      <c r="B150" s="239">
        <v>50400</v>
      </c>
      <c r="C150" s="17">
        <f t="shared" si="26"/>
        <v>20242.755735658768</v>
      </c>
      <c r="D150" s="135" t="s">
        <v>506</v>
      </c>
      <c r="E150" t="s">
        <v>321</v>
      </c>
      <c r="F150">
        <v>0.30602000000000001</v>
      </c>
      <c r="G150" t="s">
        <v>344</v>
      </c>
      <c r="H150">
        <v>0</v>
      </c>
      <c r="I150">
        <v>0</v>
      </c>
      <c r="J150" s="88">
        <v>0</v>
      </c>
      <c r="K150">
        <v>0</v>
      </c>
      <c r="L150">
        <f>PSI_OC!$A$6</f>
        <v>100</v>
      </c>
      <c r="M150">
        <v>-1</v>
      </c>
      <c r="N150" t="s">
        <v>428</v>
      </c>
      <c r="O150" s="17"/>
    </row>
    <row r="151" spans="1:15" x14ac:dyDescent="0.2">
      <c r="A151" t="s">
        <v>1076</v>
      </c>
      <c r="B151" s="239">
        <v>186200</v>
      </c>
      <c r="C151" s="17">
        <f t="shared" si="26"/>
        <v>74785.736467850438</v>
      </c>
      <c r="D151" s="135" t="s">
        <v>506</v>
      </c>
      <c r="E151" t="s">
        <v>234</v>
      </c>
      <c r="F151">
        <v>0.30602000000000001</v>
      </c>
      <c r="G151" t="s">
        <v>344</v>
      </c>
      <c r="H151">
        <v>0</v>
      </c>
      <c r="I151">
        <v>0</v>
      </c>
      <c r="J151" s="88">
        <v>0</v>
      </c>
      <c r="K151">
        <v>0</v>
      </c>
      <c r="L151">
        <v>0</v>
      </c>
      <c r="M151">
        <v>0</v>
      </c>
      <c r="N151" t="s">
        <v>428</v>
      </c>
      <c r="O151" s="17"/>
    </row>
    <row r="152" spans="1:15" x14ac:dyDescent="0.2">
      <c r="A152" t="s">
        <v>1077</v>
      </c>
      <c r="B152" s="239">
        <v>27500</v>
      </c>
      <c r="C152" s="17">
        <f t="shared" si="26"/>
        <v>11045.154419258255</v>
      </c>
      <c r="D152" s="135" t="s">
        <v>506</v>
      </c>
      <c r="E152" t="s">
        <v>235</v>
      </c>
      <c r="F152">
        <v>0.30602000000000001</v>
      </c>
      <c r="G152" t="s">
        <v>346</v>
      </c>
      <c r="H152">
        <v>0.12681999999999999</v>
      </c>
      <c r="I152">
        <v>0.12681999999999999</v>
      </c>
      <c r="J152" s="88">
        <v>0.12681999999999999</v>
      </c>
      <c r="K152">
        <v>0.12681999999999999</v>
      </c>
      <c r="L152">
        <f>PSI_OC!$A$8</f>
        <v>1</v>
      </c>
      <c r="M152">
        <v>1</v>
      </c>
      <c r="N152" t="s">
        <v>430</v>
      </c>
      <c r="O152" s="17"/>
    </row>
    <row r="153" spans="1:15" x14ac:dyDescent="0.2">
      <c r="A153" t="s">
        <v>1078</v>
      </c>
      <c r="B153" s="239">
        <v>207300</v>
      </c>
      <c r="C153" s="17">
        <f t="shared" si="26"/>
        <v>83260.382222263142</v>
      </c>
      <c r="D153" s="135" t="s">
        <v>506</v>
      </c>
      <c r="E153" t="s">
        <v>236</v>
      </c>
      <c r="F153">
        <v>3.0602</v>
      </c>
      <c r="G153" t="s">
        <v>347</v>
      </c>
      <c r="H153">
        <v>1.2999999999999999E-4</v>
      </c>
      <c r="I153">
        <v>1.2999999999999999E-4</v>
      </c>
      <c r="J153" s="88">
        <v>1.2999999999999999E-4</v>
      </c>
      <c r="K153">
        <v>1.2999999999999999E-4</v>
      </c>
      <c r="L153">
        <f>PSI_OC!$A$7</f>
        <v>10</v>
      </c>
      <c r="M153">
        <v>-1</v>
      </c>
      <c r="N153" t="s">
        <v>431</v>
      </c>
      <c r="O153" s="17"/>
    </row>
    <row r="154" spans="1:15" x14ac:dyDescent="0.2">
      <c r="E154" t="s">
        <v>237</v>
      </c>
      <c r="F154">
        <v>0.30602000000000001</v>
      </c>
      <c r="G154" t="s">
        <v>348</v>
      </c>
      <c r="H154">
        <v>0.12681999999999999</v>
      </c>
      <c r="I154">
        <v>0.12681999999999999</v>
      </c>
      <c r="J154" s="88">
        <v>0.12681999999999999</v>
      </c>
      <c r="K154">
        <v>0.12681999999999999</v>
      </c>
      <c r="L154">
        <f>PSI_OC!$A$6</f>
        <v>100</v>
      </c>
      <c r="M154">
        <v>-1</v>
      </c>
      <c r="N154" t="s">
        <v>432</v>
      </c>
      <c r="O154" s="17"/>
    </row>
    <row r="155" spans="1:15" x14ac:dyDescent="0.2">
      <c r="A155" s="234"/>
      <c r="B155" s="240"/>
      <c r="E155" t="s">
        <v>238</v>
      </c>
      <c r="F155">
        <v>0</v>
      </c>
      <c r="G155" t="s">
        <v>349</v>
      </c>
      <c r="H155">
        <v>0</v>
      </c>
      <c r="I155">
        <v>0</v>
      </c>
      <c r="J155" s="88">
        <v>0</v>
      </c>
      <c r="K155">
        <v>0</v>
      </c>
      <c r="L155">
        <f>PSI_OC!$A$7</f>
        <v>10</v>
      </c>
      <c r="M155">
        <v>-1</v>
      </c>
      <c r="N155" t="s">
        <v>433</v>
      </c>
      <c r="O155" s="17"/>
    </row>
    <row r="156" spans="1:15" x14ac:dyDescent="0.2">
      <c r="E156" t="s">
        <v>239</v>
      </c>
      <c r="F156">
        <v>3.0599999999999998E-3</v>
      </c>
      <c r="G156" t="s">
        <v>348</v>
      </c>
      <c r="H156">
        <v>1.2700000000000001E-3</v>
      </c>
      <c r="I156">
        <v>0.12681999999999999</v>
      </c>
      <c r="J156" s="88">
        <v>1.2700000000000001E-3</v>
      </c>
      <c r="K156">
        <v>1.2700000000000001E-3</v>
      </c>
      <c r="L156">
        <f>PSI_OC!$A$6</f>
        <v>100</v>
      </c>
      <c r="M156">
        <v>-1</v>
      </c>
      <c r="N156" t="s">
        <v>432</v>
      </c>
      <c r="O156" s="17"/>
    </row>
    <row r="157" spans="1:15" x14ac:dyDescent="0.2">
      <c r="E157" t="s">
        <v>240</v>
      </c>
      <c r="F157">
        <v>0</v>
      </c>
      <c r="G157" t="s">
        <v>348</v>
      </c>
      <c r="H157">
        <v>0</v>
      </c>
      <c r="I157">
        <v>0.12681999999999999</v>
      </c>
      <c r="J157" s="88">
        <v>0</v>
      </c>
      <c r="K157">
        <v>0</v>
      </c>
      <c r="L157">
        <f>PSI_OC!$A$6</f>
        <v>100</v>
      </c>
      <c r="M157">
        <v>-1</v>
      </c>
      <c r="N157" t="s">
        <v>432</v>
      </c>
      <c r="O157" s="17"/>
    </row>
    <row r="158" spans="1:15" x14ac:dyDescent="0.2">
      <c r="E158" t="s">
        <v>241</v>
      </c>
      <c r="F158">
        <v>0</v>
      </c>
      <c r="G158" t="s">
        <v>350</v>
      </c>
      <c r="H158">
        <v>0</v>
      </c>
      <c r="I158">
        <v>0</v>
      </c>
      <c r="J158" s="88">
        <v>0</v>
      </c>
      <c r="K158">
        <v>0</v>
      </c>
      <c r="L158">
        <f>PSI_OC!$A$6</f>
        <v>100</v>
      </c>
      <c r="M158">
        <v>-1</v>
      </c>
      <c r="N158" t="s">
        <v>434</v>
      </c>
      <c r="O158" s="17"/>
    </row>
    <row r="159" spans="1:15" x14ac:dyDescent="0.2">
      <c r="E159" t="s">
        <v>242</v>
      </c>
      <c r="F159">
        <v>0</v>
      </c>
      <c r="G159" t="s">
        <v>351</v>
      </c>
      <c r="H159">
        <v>0</v>
      </c>
      <c r="I159">
        <v>1.268E-2</v>
      </c>
      <c r="J159" s="88">
        <v>0</v>
      </c>
      <c r="K159">
        <v>0</v>
      </c>
      <c r="L159">
        <f>PSI_OC!$A$8</f>
        <v>1</v>
      </c>
      <c r="M159">
        <v>1</v>
      </c>
      <c r="N159" t="s">
        <v>435</v>
      </c>
      <c r="O159" s="17"/>
    </row>
    <row r="160" spans="1:15" x14ac:dyDescent="0.2">
      <c r="E160" t="s">
        <v>243</v>
      </c>
      <c r="F160">
        <v>3.0599999999999998E-3</v>
      </c>
      <c r="G160" t="s">
        <v>352</v>
      </c>
      <c r="H160">
        <v>1.26824</v>
      </c>
      <c r="I160">
        <v>1.26824</v>
      </c>
      <c r="J160" s="88">
        <v>0.12681999999999999</v>
      </c>
      <c r="K160">
        <v>1.26824</v>
      </c>
      <c r="L160">
        <f>PSI_OC!$A$6</f>
        <v>100</v>
      </c>
      <c r="M160">
        <v>-1</v>
      </c>
      <c r="N160" t="s">
        <v>436</v>
      </c>
      <c r="O160" s="17"/>
    </row>
    <row r="161" spans="5:15" x14ac:dyDescent="0.2">
      <c r="E161" t="s">
        <v>244</v>
      </c>
      <c r="F161">
        <v>3.0599999999999998E-3</v>
      </c>
      <c r="G161" t="s">
        <v>353</v>
      </c>
      <c r="H161">
        <v>1.2700000000000001E-3</v>
      </c>
      <c r="I161">
        <v>1.2700000000000001E-3</v>
      </c>
      <c r="J161" s="88">
        <v>1.2700000000000001E-3</v>
      </c>
      <c r="K161">
        <v>1.2700000000000001E-3</v>
      </c>
      <c r="L161">
        <v>0</v>
      </c>
      <c r="M161">
        <v>0</v>
      </c>
      <c r="N161" t="s">
        <v>437</v>
      </c>
      <c r="O161" s="17"/>
    </row>
    <row r="162" spans="5:15" x14ac:dyDescent="0.2">
      <c r="E162" t="s">
        <v>245</v>
      </c>
      <c r="F162">
        <v>0.30602000000000001</v>
      </c>
      <c r="G162" t="s">
        <v>351</v>
      </c>
      <c r="H162">
        <v>1.2999999999999999E-4</v>
      </c>
      <c r="I162">
        <v>1.2999999999999999E-4</v>
      </c>
      <c r="J162" s="88">
        <v>1.2700000000000001E-3</v>
      </c>
      <c r="K162">
        <v>1.2999999999999999E-4</v>
      </c>
      <c r="L162">
        <f>PSI_OC!$A$7</f>
        <v>10</v>
      </c>
      <c r="M162">
        <v>-1</v>
      </c>
      <c r="N162" t="s">
        <v>435</v>
      </c>
      <c r="O162" s="17"/>
    </row>
    <row r="163" spans="5:15" x14ac:dyDescent="0.2">
      <c r="E163" t="s">
        <v>246</v>
      </c>
      <c r="F163">
        <v>3.0599999999999999E-2</v>
      </c>
      <c r="G163" t="s">
        <v>354</v>
      </c>
      <c r="H163">
        <v>1.268E-2</v>
      </c>
      <c r="I163">
        <v>1.268E-2</v>
      </c>
      <c r="J163" s="88">
        <v>1.268E-2</v>
      </c>
      <c r="K163">
        <v>1.268E-2</v>
      </c>
      <c r="L163">
        <f>PSI_OC!$A$7</f>
        <v>10</v>
      </c>
      <c r="M163">
        <v>-1</v>
      </c>
      <c r="N163" t="s">
        <v>438</v>
      </c>
      <c r="O163" s="17"/>
    </row>
    <row r="164" spans="5:15" x14ac:dyDescent="0.2">
      <c r="E164" t="s">
        <v>247</v>
      </c>
      <c r="F164">
        <v>3.1E-4</v>
      </c>
      <c r="G164" t="s">
        <v>354</v>
      </c>
      <c r="H164">
        <v>1.26824</v>
      </c>
      <c r="I164">
        <v>1.26824</v>
      </c>
      <c r="J164" s="88">
        <v>1.26824</v>
      </c>
      <c r="K164">
        <v>1.26824</v>
      </c>
      <c r="L164">
        <f>PSI_OC!$A$7</f>
        <v>10</v>
      </c>
      <c r="M164">
        <v>-1</v>
      </c>
      <c r="N164" t="s">
        <v>438</v>
      </c>
      <c r="O164" s="17"/>
    </row>
    <row r="165" spans="5:15" x14ac:dyDescent="0.2">
      <c r="E165" t="s">
        <v>248</v>
      </c>
      <c r="F165">
        <v>0.30602000000000001</v>
      </c>
      <c r="G165" t="s">
        <v>350</v>
      </c>
      <c r="H165">
        <v>1.26824</v>
      </c>
      <c r="I165">
        <v>1.26824</v>
      </c>
      <c r="J165" s="88">
        <v>1.26824</v>
      </c>
      <c r="K165">
        <v>1.26824</v>
      </c>
      <c r="L165">
        <f>PSI_OC!$A$7</f>
        <v>10</v>
      </c>
      <c r="M165">
        <v>-1</v>
      </c>
      <c r="N165" t="s">
        <v>434</v>
      </c>
      <c r="O165" s="17"/>
    </row>
    <row r="166" spans="5:15" x14ac:dyDescent="0.2">
      <c r="E166" t="s">
        <v>322</v>
      </c>
      <c r="F166">
        <v>3.0599999999999999E-2</v>
      </c>
      <c r="G166" t="s">
        <v>355</v>
      </c>
      <c r="H166">
        <v>1.26824</v>
      </c>
      <c r="I166">
        <v>1.26824</v>
      </c>
      <c r="J166" s="88">
        <v>1.26824</v>
      </c>
      <c r="K166">
        <v>1.26824</v>
      </c>
      <c r="L166">
        <f>PSI_OC!$A$7</f>
        <v>10</v>
      </c>
      <c r="M166">
        <v>-1</v>
      </c>
      <c r="N166" t="s">
        <v>439</v>
      </c>
      <c r="O166" s="17"/>
    </row>
    <row r="167" spans="5:15" x14ac:dyDescent="0.2">
      <c r="E167" t="s">
        <v>249</v>
      </c>
      <c r="F167">
        <v>3.1E-4</v>
      </c>
      <c r="G167" t="s">
        <v>356</v>
      </c>
      <c r="H167">
        <v>0.12681999999999999</v>
      </c>
      <c r="I167">
        <v>0.12681999999999999</v>
      </c>
      <c r="J167" s="88">
        <v>0.12681999999999999</v>
      </c>
      <c r="K167">
        <v>0.12681999999999999</v>
      </c>
      <c r="L167">
        <f>PSI_OC!$A$7</f>
        <v>10</v>
      </c>
      <c r="M167">
        <v>-1</v>
      </c>
      <c r="N167" t="s">
        <v>440</v>
      </c>
      <c r="O167" s="17"/>
    </row>
    <row r="168" spans="5:15" x14ac:dyDescent="0.2">
      <c r="E168" t="s">
        <v>323</v>
      </c>
      <c r="F168">
        <v>3.0599999999999998E-3</v>
      </c>
      <c r="G168" t="s">
        <v>357</v>
      </c>
      <c r="H168">
        <v>1.2700000000000001E-3</v>
      </c>
      <c r="I168">
        <v>1.2700000000000001E-3</v>
      </c>
      <c r="J168" s="88">
        <v>1.2700000000000001E-3</v>
      </c>
      <c r="K168">
        <v>1.2700000000000001E-3</v>
      </c>
      <c r="L168">
        <f>PSI_OC!$A$6</f>
        <v>100</v>
      </c>
      <c r="M168">
        <v>-1</v>
      </c>
      <c r="N168" t="s">
        <v>441</v>
      </c>
      <c r="O168" s="17"/>
    </row>
    <row r="169" spans="5:15" x14ac:dyDescent="0.2">
      <c r="E169" t="s">
        <v>324</v>
      </c>
      <c r="F169">
        <v>3.0599999999999998E-3</v>
      </c>
      <c r="G169" t="s">
        <v>357</v>
      </c>
      <c r="H169">
        <v>1.2700000000000001E-3</v>
      </c>
      <c r="I169">
        <v>1.2700000000000001E-3</v>
      </c>
      <c r="J169" s="88">
        <v>1.2700000000000001E-3</v>
      </c>
      <c r="K169">
        <v>1.2700000000000001E-3</v>
      </c>
      <c r="L169">
        <f>PSI_OC!$A$6</f>
        <v>100</v>
      </c>
      <c r="M169">
        <v>-1</v>
      </c>
      <c r="N169" t="s">
        <v>441</v>
      </c>
      <c r="O169" s="17"/>
    </row>
    <row r="170" spans="5:15" x14ac:dyDescent="0.2">
      <c r="E170" t="s">
        <v>250</v>
      </c>
      <c r="F170">
        <v>0.30602000000000001</v>
      </c>
      <c r="G170" t="s">
        <v>358</v>
      </c>
      <c r="H170">
        <v>1.2700000000000001E-3</v>
      </c>
      <c r="I170">
        <v>1.2700000000000001E-3</v>
      </c>
      <c r="J170" s="88">
        <v>1.2700000000000001E-3</v>
      </c>
      <c r="K170">
        <v>1.2700000000000001E-3</v>
      </c>
      <c r="L170">
        <f>PSI_OC!$A$7</f>
        <v>10</v>
      </c>
      <c r="M170">
        <v>1</v>
      </c>
      <c r="N170" t="s">
        <v>442</v>
      </c>
      <c r="O170" s="17"/>
    </row>
    <row r="171" spans="5:15" x14ac:dyDescent="0.2">
      <c r="E171" t="s">
        <v>251</v>
      </c>
      <c r="F171">
        <v>3.1E-4</v>
      </c>
      <c r="G171" t="s">
        <v>359</v>
      </c>
      <c r="H171">
        <v>0</v>
      </c>
      <c r="I171">
        <v>0</v>
      </c>
      <c r="J171" s="88">
        <v>0</v>
      </c>
      <c r="K171">
        <v>0</v>
      </c>
      <c r="L171">
        <f>PSI_OC!$A$6</f>
        <v>100</v>
      </c>
      <c r="M171">
        <v>-1</v>
      </c>
      <c r="N171" t="s">
        <v>443</v>
      </c>
      <c r="O171" s="17"/>
    </row>
    <row r="172" spans="5:15" x14ac:dyDescent="0.2">
      <c r="E172" t="s">
        <v>252</v>
      </c>
      <c r="F172">
        <v>3.0602</v>
      </c>
      <c r="G172" t="s">
        <v>360</v>
      </c>
      <c r="H172">
        <v>0.12681999999999999</v>
      </c>
      <c r="I172">
        <v>0.12681999999999999</v>
      </c>
      <c r="J172" s="88">
        <v>0.12681999999999999</v>
      </c>
      <c r="K172">
        <v>0.12681999999999999</v>
      </c>
      <c r="L172">
        <f>PSI_OC!$A$7</f>
        <v>10</v>
      </c>
      <c r="M172">
        <v>-1</v>
      </c>
      <c r="N172" t="s">
        <v>444</v>
      </c>
      <c r="O172" s="17"/>
    </row>
    <row r="173" spans="5:15" x14ac:dyDescent="0.2">
      <c r="E173" t="s">
        <v>253</v>
      </c>
      <c r="F173">
        <v>0.30602000000000001</v>
      </c>
      <c r="G173" t="s">
        <v>361</v>
      </c>
      <c r="H173">
        <v>1.268E-2</v>
      </c>
      <c r="I173">
        <v>1.268E-2</v>
      </c>
      <c r="J173" s="88">
        <v>1.268E-2</v>
      </c>
      <c r="K173">
        <v>1.268E-2</v>
      </c>
      <c r="L173">
        <f>PSI_OC!$A$7</f>
        <v>10</v>
      </c>
      <c r="M173">
        <v>-1</v>
      </c>
      <c r="N173" t="s">
        <v>445</v>
      </c>
      <c r="O173" s="17"/>
    </row>
    <row r="174" spans="5:15" x14ac:dyDescent="0.2">
      <c r="E174" t="s">
        <v>325</v>
      </c>
      <c r="F174">
        <v>3.1E-4</v>
      </c>
      <c r="G174" t="s">
        <v>362</v>
      </c>
      <c r="H174">
        <v>1.2700000000000001E-3</v>
      </c>
      <c r="I174">
        <v>1.2700000000000001E-3</v>
      </c>
      <c r="J174" s="88">
        <v>1.2700000000000001E-3</v>
      </c>
      <c r="K174">
        <v>1.2700000000000001E-3</v>
      </c>
      <c r="L174">
        <f>PSI_OC!$A$6</f>
        <v>100</v>
      </c>
      <c r="M174">
        <v>-1</v>
      </c>
      <c r="N174" t="s">
        <v>446</v>
      </c>
      <c r="O174" s="17"/>
    </row>
    <row r="175" spans="5:15" x14ac:dyDescent="0.2">
      <c r="E175" t="s">
        <v>254</v>
      </c>
      <c r="F175">
        <v>3.0599999999999998E-3</v>
      </c>
      <c r="G175" t="s">
        <v>363</v>
      </c>
      <c r="H175">
        <v>1.2700000000000001E-3</v>
      </c>
      <c r="I175">
        <v>1.2700000000000001E-3</v>
      </c>
      <c r="J175" s="88">
        <v>1.2700000000000001E-3</v>
      </c>
      <c r="K175">
        <v>1.2700000000000001E-3</v>
      </c>
      <c r="L175">
        <f>PSI_OC!$A$7</f>
        <v>10</v>
      </c>
      <c r="M175">
        <v>-1</v>
      </c>
      <c r="N175" t="s">
        <v>447</v>
      </c>
      <c r="O175" s="17"/>
    </row>
    <row r="176" spans="5:15" x14ac:dyDescent="0.2">
      <c r="E176" t="s">
        <v>255</v>
      </c>
      <c r="F176">
        <v>0</v>
      </c>
      <c r="G176" t="s">
        <v>364</v>
      </c>
      <c r="H176">
        <v>0</v>
      </c>
      <c r="I176">
        <v>0</v>
      </c>
      <c r="J176" s="88">
        <v>0</v>
      </c>
      <c r="K176">
        <v>0</v>
      </c>
      <c r="L176">
        <f>PSI_OC!$A$7</f>
        <v>10</v>
      </c>
      <c r="M176">
        <v>-1</v>
      </c>
      <c r="N176" t="s">
        <v>448</v>
      </c>
      <c r="O176" s="17"/>
    </row>
    <row r="177" spans="5:15" x14ac:dyDescent="0.2">
      <c r="E177" t="s">
        <v>256</v>
      </c>
      <c r="F177">
        <v>0.30602000000000001</v>
      </c>
      <c r="G177" t="s">
        <v>365</v>
      </c>
      <c r="H177">
        <v>1.2700000000000001E-3</v>
      </c>
      <c r="I177">
        <v>1.2700000000000001E-3</v>
      </c>
      <c r="J177" s="88">
        <v>1.2700000000000001E-3</v>
      </c>
      <c r="K177">
        <v>1.2700000000000001E-3</v>
      </c>
      <c r="L177">
        <f>PSI_OC!$A$7</f>
        <v>10</v>
      </c>
      <c r="M177">
        <v>-1</v>
      </c>
      <c r="N177" t="s">
        <v>449</v>
      </c>
      <c r="O177" s="17"/>
    </row>
    <row r="178" spans="5:15" x14ac:dyDescent="0.2">
      <c r="E178" t="s">
        <v>257</v>
      </c>
      <c r="F178">
        <v>3.0599999999999998E-3</v>
      </c>
      <c r="G178" t="s">
        <v>366</v>
      </c>
      <c r="H178">
        <v>1.26824</v>
      </c>
      <c r="I178">
        <v>1.26824</v>
      </c>
      <c r="J178" s="88">
        <v>1.26824</v>
      </c>
      <c r="K178">
        <v>1.26824</v>
      </c>
      <c r="L178">
        <f>PSI_OC!$A$6</f>
        <v>100</v>
      </c>
      <c r="M178">
        <v>-1</v>
      </c>
      <c r="N178" t="s">
        <v>450</v>
      </c>
      <c r="O178" s="17"/>
    </row>
    <row r="179" spans="5:15" x14ac:dyDescent="0.2">
      <c r="E179" t="s">
        <v>258</v>
      </c>
      <c r="F179">
        <v>3.0599999999999998E-3</v>
      </c>
      <c r="G179" t="s">
        <v>367</v>
      </c>
      <c r="H179">
        <v>0.12681999999999999</v>
      </c>
      <c r="I179">
        <v>0.12681999999999999</v>
      </c>
      <c r="J179" s="88">
        <v>0.12681999999999999</v>
      </c>
      <c r="K179">
        <v>0.12681999999999999</v>
      </c>
      <c r="L179">
        <f>PSI_OC!$A$6</f>
        <v>100</v>
      </c>
      <c r="M179">
        <v>-1</v>
      </c>
      <c r="N179" t="s">
        <v>451</v>
      </c>
      <c r="O179" s="17"/>
    </row>
    <row r="180" spans="5:15" x14ac:dyDescent="0.2">
      <c r="E180" t="s">
        <v>326</v>
      </c>
      <c r="F180">
        <v>3.0599999999999998E-3</v>
      </c>
      <c r="G180" t="s">
        <v>365</v>
      </c>
      <c r="H180">
        <v>1.2700000000000001E-3</v>
      </c>
      <c r="I180">
        <v>1.2700000000000001E-3</v>
      </c>
      <c r="J180" s="88">
        <v>1.2700000000000001E-3</v>
      </c>
      <c r="K180">
        <v>1.2700000000000001E-3</v>
      </c>
      <c r="L180">
        <v>0</v>
      </c>
      <c r="M180">
        <v>0</v>
      </c>
      <c r="N180" t="s">
        <v>449</v>
      </c>
      <c r="O180" s="17"/>
    </row>
    <row r="181" spans="5:15" x14ac:dyDescent="0.2">
      <c r="E181" t="s">
        <v>259</v>
      </c>
      <c r="F181">
        <v>3.0599999999999998E-3</v>
      </c>
      <c r="G181" t="s">
        <v>368</v>
      </c>
      <c r="H181">
        <v>1.268E-2</v>
      </c>
      <c r="I181">
        <v>1.268E-2</v>
      </c>
      <c r="J181" s="88">
        <v>1.268E-2</v>
      </c>
      <c r="K181">
        <v>1.268E-2</v>
      </c>
      <c r="L181">
        <f>PSI_OC!$A$6</f>
        <v>100</v>
      </c>
      <c r="M181">
        <v>-1</v>
      </c>
      <c r="N181" t="s">
        <v>452</v>
      </c>
      <c r="O181" s="17"/>
    </row>
    <row r="182" spans="5:15" x14ac:dyDescent="0.2">
      <c r="E182" t="s">
        <v>260</v>
      </c>
      <c r="F182">
        <v>3.0599999999999998E-3</v>
      </c>
      <c r="G182" t="s">
        <v>368</v>
      </c>
      <c r="H182">
        <v>0</v>
      </c>
      <c r="I182">
        <v>0</v>
      </c>
      <c r="J182" s="88">
        <v>0</v>
      </c>
      <c r="K182">
        <v>0</v>
      </c>
      <c r="L182">
        <v>0</v>
      </c>
      <c r="M182">
        <v>0</v>
      </c>
      <c r="N182" t="s">
        <v>452</v>
      </c>
      <c r="O182" s="17"/>
    </row>
    <row r="183" spans="5:15" x14ac:dyDescent="0.2">
      <c r="E183" t="s">
        <v>327</v>
      </c>
      <c r="F183">
        <v>0.30602000000000001</v>
      </c>
      <c r="G183" t="s">
        <v>368</v>
      </c>
      <c r="H183">
        <v>1.2999999999999999E-4</v>
      </c>
      <c r="I183">
        <v>1.2999999999999999E-4</v>
      </c>
      <c r="J183" s="88">
        <v>1.2999999999999999E-4</v>
      </c>
      <c r="K183">
        <v>1.2999999999999999E-4</v>
      </c>
      <c r="L183">
        <f>PSI_OC!$A$6</f>
        <v>100</v>
      </c>
      <c r="M183">
        <v>-1</v>
      </c>
      <c r="N183" t="s">
        <v>452</v>
      </c>
      <c r="O183" s="17"/>
    </row>
    <row r="184" spans="5:15" x14ac:dyDescent="0.2">
      <c r="E184" t="s">
        <v>328</v>
      </c>
      <c r="F184">
        <v>0.30602000000000001</v>
      </c>
      <c r="G184" t="s">
        <v>368</v>
      </c>
      <c r="H184">
        <v>1.2999999999999999E-4</v>
      </c>
      <c r="I184">
        <v>1.2999999999999999E-4</v>
      </c>
      <c r="J184" s="88">
        <v>1.2999999999999999E-4</v>
      </c>
      <c r="K184">
        <v>1.2999999999999999E-4</v>
      </c>
      <c r="L184">
        <v>0</v>
      </c>
      <c r="M184">
        <v>0</v>
      </c>
      <c r="N184" t="s">
        <v>452</v>
      </c>
      <c r="O184" s="17"/>
    </row>
    <row r="185" spans="5:15" x14ac:dyDescent="0.2">
      <c r="E185" t="s">
        <v>261</v>
      </c>
      <c r="F185">
        <v>3.1E-4</v>
      </c>
      <c r="G185" t="s">
        <v>369</v>
      </c>
      <c r="H185">
        <v>0.12681999999999999</v>
      </c>
      <c r="I185">
        <v>0.12681999999999999</v>
      </c>
      <c r="J185" s="88">
        <v>0.12681999999999999</v>
      </c>
      <c r="K185">
        <v>0.12681999999999999</v>
      </c>
      <c r="L185">
        <f>PSI_OC!$A$6</f>
        <v>100</v>
      </c>
      <c r="M185">
        <v>-1</v>
      </c>
      <c r="N185" t="s">
        <v>453</v>
      </c>
      <c r="O185" s="17"/>
    </row>
    <row r="186" spans="5:15" x14ac:dyDescent="0.2">
      <c r="E186" t="s">
        <v>263</v>
      </c>
      <c r="F186">
        <v>3.1E-4</v>
      </c>
      <c r="G186" t="s">
        <v>370</v>
      </c>
      <c r="H186">
        <v>1.2999999999999999E-4</v>
      </c>
      <c r="I186">
        <v>1.2999999999999999E-4</v>
      </c>
      <c r="J186" s="88">
        <v>1.2999999999999999E-4</v>
      </c>
      <c r="K186">
        <v>1.2999999999999999E-4</v>
      </c>
      <c r="L186">
        <f>PSI_OC!$A$6</f>
        <v>100</v>
      </c>
      <c r="M186">
        <v>-1</v>
      </c>
      <c r="N186" t="s">
        <v>454</v>
      </c>
      <c r="O186" s="17"/>
    </row>
    <row r="187" spans="5:15" x14ac:dyDescent="0.2">
      <c r="E187" t="s">
        <v>262</v>
      </c>
      <c r="F187">
        <v>3.0599999999999998E-3</v>
      </c>
      <c r="G187" t="s">
        <v>370</v>
      </c>
      <c r="H187">
        <v>1.2999999999999999E-4</v>
      </c>
      <c r="I187">
        <v>1.2999999999999999E-4</v>
      </c>
      <c r="J187" s="88">
        <v>1.2999999999999999E-4</v>
      </c>
      <c r="K187">
        <v>1.2999999999999999E-4</v>
      </c>
      <c r="L187">
        <f>PSI_OC!$A$6</f>
        <v>100</v>
      </c>
      <c r="M187">
        <v>-1</v>
      </c>
      <c r="N187" t="s">
        <v>454</v>
      </c>
      <c r="O187" s="17"/>
    </row>
    <row r="188" spans="5:15" x14ac:dyDescent="0.2">
      <c r="E188" t="s">
        <v>264</v>
      </c>
      <c r="F188">
        <v>3.0599999999999999E-2</v>
      </c>
      <c r="G188" t="s">
        <v>371</v>
      </c>
      <c r="H188">
        <v>1.2700000000000001E-3</v>
      </c>
      <c r="I188">
        <v>1.2700000000000001E-3</v>
      </c>
      <c r="J188" s="88">
        <v>1.2700000000000001E-3</v>
      </c>
      <c r="K188">
        <v>1.2700000000000001E-3</v>
      </c>
      <c r="L188">
        <f>PSI_OC!$A$7</f>
        <v>10</v>
      </c>
      <c r="M188">
        <v>-1</v>
      </c>
      <c r="N188" t="s">
        <v>455</v>
      </c>
      <c r="O188" s="17"/>
    </row>
    <row r="189" spans="5:15" x14ac:dyDescent="0.2">
      <c r="E189" t="s">
        <v>265</v>
      </c>
      <c r="F189">
        <v>3.0599999999999998E-3</v>
      </c>
      <c r="G189" t="s">
        <v>371</v>
      </c>
      <c r="H189">
        <v>1.2700000000000001E-3</v>
      </c>
      <c r="I189">
        <v>1.2700000000000001E-3</v>
      </c>
      <c r="J189" s="88">
        <v>1.2700000000000001E-3</v>
      </c>
      <c r="K189">
        <v>1.2700000000000001E-3</v>
      </c>
      <c r="L189">
        <f>PSI_OC!$A$7</f>
        <v>10</v>
      </c>
      <c r="M189">
        <v>-1</v>
      </c>
      <c r="N189" t="s">
        <v>455</v>
      </c>
      <c r="O189" s="17"/>
    </row>
    <row r="190" spans="5:15" x14ac:dyDescent="0.2">
      <c r="E190" t="s">
        <v>266</v>
      </c>
      <c r="F190">
        <v>3.0599999999999999E-2</v>
      </c>
      <c r="G190" t="s">
        <v>371</v>
      </c>
      <c r="H190">
        <v>1.2700000000000001E-3</v>
      </c>
      <c r="I190">
        <v>1.2700000000000001E-3</v>
      </c>
      <c r="J190" s="88">
        <v>1.2700000000000001E-3</v>
      </c>
      <c r="K190">
        <v>1.2700000000000001E-3</v>
      </c>
      <c r="L190">
        <v>0</v>
      </c>
      <c r="M190">
        <v>0</v>
      </c>
      <c r="N190" t="s">
        <v>455</v>
      </c>
      <c r="O190" s="17"/>
    </row>
    <row r="191" spans="5:15" x14ac:dyDescent="0.2">
      <c r="E191" t="s">
        <v>267</v>
      </c>
      <c r="F191">
        <v>3.0599999999999998E-3</v>
      </c>
      <c r="G191" t="s">
        <v>372</v>
      </c>
      <c r="H191">
        <v>1.2999999999999999E-4</v>
      </c>
      <c r="I191">
        <v>1.2999999999999999E-4</v>
      </c>
      <c r="J191" s="88">
        <v>1.2999999999999999E-4</v>
      </c>
      <c r="K191">
        <v>1.2999999999999999E-4</v>
      </c>
      <c r="L191">
        <v>0</v>
      </c>
      <c r="M191">
        <v>0</v>
      </c>
      <c r="N191" t="s">
        <v>456</v>
      </c>
      <c r="O191" s="17"/>
    </row>
    <row r="192" spans="5:15" x14ac:dyDescent="0.2">
      <c r="E192" t="s">
        <v>329</v>
      </c>
      <c r="F192">
        <v>0.30602000000000001</v>
      </c>
      <c r="G192" s="75" t="s">
        <v>373</v>
      </c>
      <c r="H192">
        <v>0.12681999999999999</v>
      </c>
      <c r="I192">
        <v>0.12681999999999999</v>
      </c>
      <c r="J192" s="88">
        <v>0.12681999999999999</v>
      </c>
      <c r="K192">
        <v>0.12681999999999999</v>
      </c>
      <c r="L192">
        <f>PSI_OC!$A$7</f>
        <v>10</v>
      </c>
      <c r="M192">
        <v>-1</v>
      </c>
      <c r="N192" t="s">
        <v>457</v>
      </c>
      <c r="O192" s="17"/>
    </row>
    <row r="193" spans="5:15" x14ac:dyDescent="0.2">
      <c r="E193" t="s">
        <v>314</v>
      </c>
      <c r="F193">
        <v>3.0599999999999998E-3</v>
      </c>
      <c r="G193" s="75" t="s">
        <v>374</v>
      </c>
      <c r="H193">
        <v>1.2700000000000001E-3</v>
      </c>
      <c r="I193">
        <v>1.2700000000000001E-3</v>
      </c>
      <c r="J193" s="88">
        <v>1.2700000000000001E-3</v>
      </c>
      <c r="K193">
        <v>1.2700000000000001E-3</v>
      </c>
      <c r="L193">
        <f>PSI_OC!$A$7</f>
        <v>10</v>
      </c>
      <c r="M193">
        <v>-1</v>
      </c>
      <c r="N193" t="s">
        <v>458</v>
      </c>
      <c r="O193" s="17"/>
    </row>
    <row r="194" spans="5:15" x14ac:dyDescent="0.2">
      <c r="E194" t="s">
        <v>268</v>
      </c>
      <c r="F194">
        <v>3.0599999999999998E-3</v>
      </c>
      <c r="G194" s="75" t="s">
        <v>374</v>
      </c>
      <c r="H194">
        <v>1.2700000000000001E-3</v>
      </c>
      <c r="I194">
        <v>1.2700000000000001E-3</v>
      </c>
      <c r="J194" s="88">
        <v>1.2700000000000001E-3</v>
      </c>
      <c r="K194">
        <v>1.2700000000000001E-3</v>
      </c>
      <c r="L194">
        <f>PSI_OC!$A$7</f>
        <v>10</v>
      </c>
      <c r="M194">
        <v>-1</v>
      </c>
      <c r="N194" t="s">
        <v>458</v>
      </c>
      <c r="O194" s="17"/>
    </row>
    <row r="195" spans="5:15" x14ac:dyDescent="0.2">
      <c r="E195" t="s">
        <v>269</v>
      </c>
      <c r="F195">
        <v>3.0599999999999998E-3</v>
      </c>
      <c r="G195" s="75" t="s">
        <v>374</v>
      </c>
      <c r="H195">
        <v>1.2700000000000001E-3</v>
      </c>
      <c r="I195">
        <v>1.2700000000000001E-3</v>
      </c>
      <c r="J195" s="88">
        <v>1.2700000000000001E-3</v>
      </c>
      <c r="K195">
        <v>1.2700000000000001E-3</v>
      </c>
      <c r="L195">
        <v>0</v>
      </c>
      <c r="M195">
        <v>0</v>
      </c>
      <c r="N195" t="s">
        <v>458</v>
      </c>
      <c r="O195" s="17"/>
    </row>
    <row r="196" spans="5:15" x14ac:dyDescent="0.2">
      <c r="E196" t="s">
        <v>270</v>
      </c>
      <c r="F196">
        <v>0</v>
      </c>
      <c r="G196" s="75" t="s">
        <v>375</v>
      </c>
      <c r="H196">
        <v>1.2700000000000001E-3</v>
      </c>
      <c r="I196">
        <v>1.2700000000000001E-3</v>
      </c>
      <c r="J196" s="88">
        <v>1.2700000000000001E-3</v>
      </c>
      <c r="K196">
        <v>1.2700000000000001E-3</v>
      </c>
      <c r="L196">
        <f>PSI_OC!$A$6</f>
        <v>100</v>
      </c>
      <c r="M196">
        <v>-1</v>
      </c>
      <c r="N196" t="s">
        <v>459</v>
      </c>
      <c r="O196" s="17"/>
    </row>
    <row r="197" spans="5:15" x14ac:dyDescent="0.2">
      <c r="E197" t="s">
        <v>271</v>
      </c>
      <c r="F197">
        <v>3.0602</v>
      </c>
      <c r="G197" s="75" t="s">
        <v>376</v>
      </c>
      <c r="H197">
        <v>0.12681999999999999</v>
      </c>
      <c r="I197">
        <v>0.12681999999999999</v>
      </c>
      <c r="J197" s="88">
        <v>0.12681999999999999</v>
      </c>
      <c r="K197">
        <v>0.12681999999999999</v>
      </c>
      <c r="L197">
        <v>0</v>
      </c>
      <c r="M197">
        <v>0</v>
      </c>
      <c r="N197" t="s">
        <v>460</v>
      </c>
      <c r="O197" s="17"/>
    </row>
    <row r="198" spans="5:15" x14ac:dyDescent="0.2">
      <c r="E198" t="s">
        <v>272</v>
      </c>
      <c r="F198">
        <v>3.0599999999999998E-3</v>
      </c>
      <c r="G198" t="s">
        <v>377</v>
      </c>
      <c r="H198">
        <v>1.26824</v>
      </c>
      <c r="I198">
        <v>1.26824</v>
      </c>
      <c r="J198" s="88">
        <v>1.26824</v>
      </c>
      <c r="K198">
        <v>1.26824</v>
      </c>
      <c r="L198">
        <v>0</v>
      </c>
      <c r="M198">
        <v>0</v>
      </c>
      <c r="N198" t="s">
        <v>461</v>
      </c>
      <c r="O198" s="17"/>
    </row>
    <row r="199" spans="5:15" x14ac:dyDescent="0.2">
      <c r="E199" t="s">
        <v>273</v>
      </c>
      <c r="F199">
        <v>3.0602</v>
      </c>
      <c r="G199" t="s">
        <v>378</v>
      </c>
      <c r="H199">
        <v>1.2999999999999999E-4</v>
      </c>
      <c r="I199">
        <v>1.2999999999999999E-4</v>
      </c>
      <c r="J199" s="88">
        <v>1.2999999999999999E-4</v>
      </c>
      <c r="K199">
        <v>1.2999999999999999E-4</v>
      </c>
      <c r="L199">
        <f>PSI_OC!$A$7</f>
        <v>10</v>
      </c>
      <c r="M199">
        <v>-1</v>
      </c>
      <c r="N199" t="s">
        <v>462</v>
      </c>
      <c r="O199" s="17"/>
    </row>
    <row r="200" spans="5:15" x14ac:dyDescent="0.2">
      <c r="E200" t="s">
        <v>274</v>
      </c>
      <c r="F200">
        <v>3.1E-4</v>
      </c>
      <c r="G200" t="s">
        <v>379</v>
      </c>
      <c r="H200">
        <v>1.2999999999999999E-4</v>
      </c>
      <c r="I200">
        <v>1.2999999999999999E-4</v>
      </c>
      <c r="J200" s="88">
        <v>1.2999999999999999E-4</v>
      </c>
      <c r="K200">
        <v>1.2999999999999999E-4</v>
      </c>
      <c r="L200">
        <v>0</v>
      </c>
      <c r="M200">
        <v>0</v>
      </c>
      <c r="N200" t="s">
        <v>463</v>
      </c>
      <c r="O200" s="17"/>
    </row>
    <row r="201" spans="5:15" x14ac:dyDescent="0.2">
      <c r="E201" t="s">
        <v>275</v>
      </c>
      <c r="F201">
        <v>3.0599999999999998E-3</v>
      </c>
      <c r="G201" t="s">
        <v>377</v>
      </c>
      <c r="H201">
        <v>1.26824</v>
      </c>
      <c r="I201">
        <v>1.26824</v>
      </c>
      <c r="J201" s="88">
        <v>1.26824</v>
      </c>
      <c r="K201">
        <v>1.26824</v>
      </c>
      <c r="L201">
        <f>PSI_OC!$A$6</f>
        <v>100</v>
      </c>
      <c r="M201">
        <v>-1</v>
      </c>
      <c r="N201" t="s">
        <v>461</v>
      </c>
      <c r="O201" s="17"/>
    </row>
    <row r="202" spans="5:15" x14ac:dyDescent="0.2">
      <c r="E202" t="s">
        <v>276</v>
      </c>
      <c r="F202">
        <v>3.0599999999999998E-3</v>
      </c>
      <c r="G202" t="s">
        <v>377</v>
      </c>
      <c r="H202">
        <v>1.26824</v>
      </c>
      <c r="I202">
        <v>1.26824</v>
      </c>
      <c r="J202" s="88">
        <v>1.26824</v>
      </c>
      <c r="K202">
        <v>1.26824</v>
      </c>
      <c r="L202">
        <f>PSI_OC!$A$6</f>
        <v>100</v>
      </c>
      <c r="M202">
        <v>-1</v>
      </c>
      <c r="N202" t="s">
        <v>461</v>
      </c>
      <c r="O202" s="17"/>
    </row>
    <row r="203" spans="5:15" x14ac:dyDescent="0.2">
      <c r="E203" t="s">
        <v>277</v>
      </c>
      <c r="F203">
        <v>3.1E-4</v>
      </c>
      <c r="G203" t="s">
        <v>380</v>
      </c>
      <c r="H203">
        <v>1.2700000000000001E-3</v>
      </c>
      <c r="I203">
        <v>1.2700000000000001E-3</v>
      </c>
      <c r="J203" s="88">
        <v>1.2700000000000001E-3</v>
      </c>
      <c r="K203">
        <v>1.2700000000000001E-3</v>
      </c>
      <c r="L203">
        <f>PSI_OC!$A$6</f>
        <v>100</v>
      </c>
      <c r="M203">
        <v>-1</v>
      </c>
      <c r="N203" t="s">
        <v>464</v>
      </c>
      <c r="O203" s="17"/>
    </row>
    <row r="204" spans="5:15" x14ac:dyDescent="0.2">
      <c r="E204" t="s">
        <v>278</v>
      </c>
      <c r="F204">
        <v>3.0602</v>
      </c>
      <c r="G204" t="s">
        <v>381</v>
      </c>
      <c r="H204">
        <v>1.26824</v>
      </c>
      <c r="I204">
        <v>1.26824</v>
      </c>
      <c r="J204" s="88">
        <v>1.26824</v>
      </c>
      <c r="K204">
        <v>1.26824</v>
      </c>
      <c r="L204">
        <f>PSI_OC!$A$6</f>
        <v>100</v>
      </c>
      <c r="M204">
        <v>-1</v>
      </c>
      <c r="N204" t="s">
        <v>465</v>
      </c>
      <c r="O204" s="17"/>
    </row>
    <row r="205" spans="5:15" x14ac:dyDescent="0.2">
      <c r="E205" t="s">
        <v>330</v>
      </c>
      <c r="F205">
        <v>3.1E-4</v>
      </c>
      <c r="G205" t="s">
        <v>382</v>
      </c>
      <c r="H205">
        <v>1.2999999999999999E-4</v>
      </c>
      <c r="I205">
        <v>1.2999999999999999E-4</v>
      </c>
      <c r="J205" s="88">
        <v>1.2999999999999999E-4</v>
      </c>
      <c r="K205">
        <v>1.2999999999999999E-4</v>
      </c>
      <c r="L205">
        <f>PSI_OC!$A$7</f>
        <v>10</v>
      </c>
      <c r="M205">
        <v>-1</v>
      </c>
      <c r="N205" t="s">
        <v>466</v>
      </c>
      <c r="O205" s="17"/>
    </row>
    <row r="206" spans="5:15" x14ac:dyDescent="0.2">
      <c r="E206" t="s">
        <v>279</v>
      </c>
      <c r="F206">
        <v>3.1E-4</v>
      </c>
      <c r="G206" t="s">
        <v>382</v>
      </c>
      <c r="H206">
        <v>1.2999999999999999E-4</v>
      </c>
      <c r="I206">
        <v>1.2999999999999999E-4</v>
      </c>
      <c r="J206" s="88">
        <v>1.2999999999999999E-4</v>
      </c>
      <c r="K206">
        <v>1.2999999999999999E-4</v>
      </c>
      <c r="L206">
        <f>PSI_OC!$A$7</f>
        <v>10</v>
      </c>
      <c r="M206">
        <v>-1</v>
      </c>
      <c r="N206" t="s">
        <v>466</v>
      </c>
      <c r="O206" s="17"/>
    </row>
    <row r="207" spans="5:15" x14ac:dyDescent="0.2">
      <c r="E207" t="s">
        <v>280</v>
      </c>
      <c r="F207">
        <v>3.0599999999999998E-3</v>
      </c>
      <c r="G207" t="s">
        <v>382</v>
      </c>
      <c r="H207">
        <v>1.2999999999999999E-4</v>
      </c>
      <c r="I207">
        <v>1.2999999999999999E-4</v>
      </c>
      <c r="J207" s="88">
        <v>1.2999999999999999E-4</v>
      </c>
      <c r="K207">
        <v>1.2999999999999999E-4</v>
      </c>
      <c r="L207">
        <v>0</v>
      </c>
      <c r="M207">
        <v>0</v>
      </c>
      <c r="N207" t="s">
        <v>466</v>
      </c>
      <c r="O207" s="17"/>
    </row>
    <row r="208" spans="5:15" x14ac:dyDescent="0.2">
      <c r="E208" t="s">
        <v>331</v>
      </c>
      <c r="F208">
        <v>3.0599999999999998E-3</v>
      </c>
      <c r="G208" t="s">
        <v>383</v>
      </c>
      <c r="H208">
        <v>1.2700000000000001E-3</v>
      </c>
      <c r="I208">
        <v>1.2700000000000001E-3</v>
      </c>
      <c r="J208" s="88">
        <v>1.2700000000000001E-3</v>
      </c>
      <c r="K208">
        <v>1.2700000000000001E-3</v>
      </c>
      <c r="L208">
        <v>0</v>
      </c>
      <c r="M208">
        <v>0</v>
      </c>
      <c r="N208" t="s">
        <v>467</v>
      </c>
      <c r="O208" s="17"/>
    </row>
    <row r="209" spans="5:15" x14ac:dyDescent="0.2">
      <c r="E209" t="s">
        <v>281</v>
      </c>
      <c r="F209">
        <v>3.1E-4</v>
      </c>
      <c r="G209" t="s">
        <v>384</v>
      </c>
      <c r="H209">
        <v>1.2999999999999999E-4</v>
      </c>
      <c r="I209">
        <v>1.2999999999999999E-4</v>
      </c>
      <c r="J209" s="88">
        <v>1.2999999999999999E-4</v>
      </c>
      <c r="K209">
        <v>1.2999999999999999E-4</v>
      </c>
      <c r="L209">
        <f>PSI_OC!$A$7</f>
        <v>10</v>
      </c>
      <c r="M209">
        <v>-1</v>
      </c>
      <c r="N209" t="s">
        <v>468</v>
      </c>
      <c r="O209" s="17"/>
    </row>
    <row r="210" spans="5:15" x14ac:dyDescent="0.2">
      <c r="E210" t="s">
        <v>282</v>
      </c>
      <c r="F210">
        <v>0.30602000000000001</v>
      </c>
      <c r="G210" t="s">
        <v>385</v>
      </c>
      <c r="H210">
        <v>0.12681999999999999</v>
      </c>
      <c r="I210">
        <v>0.12681999999999999</v>
      </c>
      <c r="J210" s="88">
        <v>0.12681999999999999</v>
      </c>
      <c r="K210">
        <v>0.12681999999999999</v>
      </c>
      <c r="L210">
        <v>0</v>
      </c>
      <c r="M210">
        <v>0</v>
      </c>
      <c r="N210" t="s">
        <v>469</v>
      </c>
      <c r="O210" s="17"/>
    </row>
    <row r="211" spans="5:15" x14ac:dyDescent="0.2">
      <c r="E211" t="s">
        <v>332</v>
      </c>
      <c r="F211">
        <v>3.0599999999999998E-3</v>
      </c>
      <c r="G211" t="s">
        <v>386</v>
      </c>
      <c r="H211">
        <v>1.268E-2</v>
      </c>
      <c r="I211">
        <v>1.268E-2</v>
      </c>
      <c r="J211" s="88">
        <v>1.268E-2</v>
      </c>
      <c r="K211">
        <v>1.268E-2</v>
      </c>
      <c r="L211">
        <v>0</v>
      </c>
      <c r="M211">
        <v>0</v>
      </c>
      <c r="N211" t="s">
        <v>470</v>
      </c>
      <c r="O211" s="17"/>
    </row>
    <row r="212" spans="5:15" x14ac:dyDescent="0.2">
      <c r="E212" t="s">
        <v>283</v>
      </c>
      <c r="F212">
        <v>3.0599999999999998E-3</v>
      </c>
      <c r="G212" t="s">
        <v>387</v>
      </c>
      <c r="H212">
        <v>1.2700000000000001E-3</v>
      </c>
      <c r="I212">
        <v>0.12681999999999999</v>
      </c>
      <c r="J212" s="88">
        <v>1.2700000000000001E-3</v>
      </c>
      <c r="K212">
        <v>1.2700000000000001E-3</v>
      </c>
      <c r="L212">
        <f>PSI_OC!$A$7</f>
        <v>10</v>
      </c>
      <c r="M212">
        <v>-1</v>
      </c>
      <c r="N212" t="s">
        <v>471</v>
      </c>
      <c r="O212" s="17"/>
    </row>
    <row r="213" spans="5:15" x14ac:dyDescent="0.2">
      <c r="E213" t="s">
        <v>284</v>
      </c>
      <c r="F213">
        <v>3.0602</v>
      </c>
      <c r="G213" t="s">
        <v>388</v>
      </c>
      <c r="H213">
        <v>1.2999999999999999E-4</v>
      </c>
      <c r="I213">
        <v>1.2999999999999999E-4</v>
      </c>
      <c r="J213" s="88">
        <v>1.2999999999999999E-4</v>
      </c>
      <c r="K213">
        <v>1.2999999999999999E-4</v>
      </c>
      <c r="L213">
        <f>PSI_OC!$A$7</f>
        <v>10</v>
      </c>
      <c r="M213">
        <v>-1</v>
      </c>
      <c r="N213" t="s">
        <v>472</v>
      </c>
      <c r="O213" s="17"/>
    </row>
    <row r="214" spans="5:15" x14ac:dyDescent="0.2">
      <c r="E214" t="s">
        <v>285</v>
      </c>
      <c r="F214">
        <v>3.0599999999999998E-3</v>
      </c>
      <c r="G214" t="s">
        <v>389</v>
      </c>
      <c r="H214">
        <v>1.2700000000000001E-3</v>
      </c>
      <c r="I214">
        <v>1.2700000000000001E-3</v>
      </c>
      <c r="J214" s="88">
        <v>1.2700000000000001E-3</v>
      </c>
      <c r="K214">
        <v>1.2700000000000001E-3</v>
      </c>
      <c r="L214">
        <f>PSI_OC!$A$7</f>
        <v>10</v>
      </c>
      <c r="M214">
        <v>-1</v>
      </c>
      <c r="N214" t="s">
        <v>473</v>
      </c>
      <c r="O214" s="17"/>
    </row>
    <row r="215" spans="5:15" x14ac:dyDescent="0.2">
      <c r="E215" t="s">
        <v>286</v>
      </c>
      <c r="F215">
        <v>3.0599999999999998E-3</v>
      </c>
      <c r="G215" t="s">
        <v>390</v>
      </c>
      <c r="H215">
        <v>1.268E-2</v>
      </c>
      <c r="I215">
        <v>1.268E-2</v>
      </c>
      <c r="J215" s="88">
        <v>1.268E-2</v>
      </c>
      <c r="K215">
        <v>1.268E-2</v>
      </c>
      <c r="L215">
        <f>PSI_OC!$A$6</f>
        <v>100</v>
      </c>
      <c r="M215">
        <v>-1</v>
      </c>
      <c r="N215" t="s">
        <v>474</v>
      </c>
      <c r="O215" s="17"/>
    </row>
    <row r="216" spans="5:15" x14ac:dyDescent="0.2">
      <c r="E216" t="s">
        <v>287</v>
      </c>
      <c r="F216">
        <v>3.0599999999999998E-3</v>
      </c>
      <c r="G216" t="s">
        <v>391</v>
      </c>
      <c r="H216">
        <v>1.2700000000000001E-3</v>
      </c>
      <c r="I216">
        <v>1.2700000000000001E-3</v>
      </c>
      <c r="J216" s="88">
        <v>1.2700000000000001E-3</v>
      </c>
      <c r="K216">
        <v>1.2700000000000001E-3</v>
      </c>
      <c r="L216">
        <f>PSI_OC!$A$6</f>
        <v>100</v>
      </c>
      <c r="M216">
        <v>-1</v>
      </c>
      <c r="N216" t="s">
        <v>475</v>
      </c>
      <c r="O216" s="17"/>
    </row>
    <row r="217" spans="5:15" x14ac:dyDescent="0.2">
      <c r="E217" t="s">
        <v>288</v>
      </c>
      <c r="F217">
        <v>3.0599999999999998E-3</v>
      </c>
      <c r="G217" t="s">
        <v>392</v>
      </c>
      <c r="H217">
        <v>1.2700000000000001E-3</v>
      </c>
      <c r="I217">
        <v>1.2700000000000001E-3</v>
      </c>
      <c r="J217" s="88">
        <v>1.2700000000000001E-3</v>
      </c>
      <c r="K217">
        <v>1.2700000000000001E-3</v>
      </c>
      <c r="L217">
        <f>PSI_OC!$A$6</f>
        <v>100</v>
      </c>
      <c r="M217">
        <v>-1</v>
      </c>
      <c r="N217" t="s">
        <v>476</v>
      </c>
      <c r="O217" s="17"/>
    </row>
    <row r="218" spans="5:15" x14ac:dyDescent="0.2">
      <c r="E218" t="s">
        <v>333</v>
      </c>
      <c r="F218">
        <v>3.0599999999999998E-3</v>
      </c>
      <c r="G218" t="s">
        <v>340</v>
      </c>
      <c r="H218">
        <v>1.2700000000000001E-3</v>
      </c>
      <c r="I218">
        <v>1.2700000000000001E-3</v>
      </c>
      <c r="J218" s="88">
        <v>1.2700000000000001E-3</v>
      </c>
      <c r="K218">
        <v>1.2700000000000001E-3</v>
      </c>
      <c r="L218">
        <f>PSI_OC!$A$7</f>
        <v>10</v>
      </c>
      <c r="M218">
        <v>-1</v>
      </c>
      <c r="N218" t="s">
        <v>424</v>
      </c>
      <c r="O218" s="17"/>
    </row>
    <row r="219" spans="5:15" x14ac:dyDescent="0.2">
      <c r="E219" t="s">
        <v>334</v>
      </c>
      <c r="F219">
        <v>3.0599999999999999E-2</v>
      </c>
      <c r="G219" t="s">
        <v>393</v>
      </c>
      <c r="H219">
        <v>1.268E-2</v>
      </c>
      <c r="I219">
        <v>1.268E-2</v>
      </c>
      <c r="J219" s="88">
        <v>1.268E-2</v>
      </c>
      <c r="K219">
        <v>1.268E-2</v>
      </c>
      <c r="L219">
        <v>0</v>
      </c>
      <c r="M219">
        <v>0</v>
      </c>
      <c r="N219" t="s">
        <v>477</v>
      </c>
      <c r="O219" s="17"/>
    </row>
    <row r="220" spans="5:15" x14ac:dyDescent="0.2">
      <c r="E220" t="s">
        <v>335</v>
      </c>
      <c r="F220">
        <v>3.0599999999999998E-3</v>
      </c>
      <c r="G220" t="s">
        <v>394</v>
      </c>
      <c r="H220">
        <v>1.2700000000000001E-3</v>
      </c>
      <c r="I220">
        <v>1.2700000000000001E-3</v>
      </c>
      <c r="J220" s="88">
        <v>1.2700000000000001E-3</v>
      </c>
      <c r="K220">
        <v>1.2700000000000001E-3</v>
      </c>
      <c r="L220">
        <f>PSI_OC!$A$7</f>
        <v>10</v>
      </c>
      <c r="M220">
        <v>-1</v>
      </c>
      <c r="N220" t="s">
        <v>478</v>
      </c>
      <c r="O220" s="17"/>
    </row>
    <row r="221" spans="5:15" x14ac:dyDescent="0.2">
      <c r="E221" t="s">
        <v>289</v>
      </c>
      <c r="F221">
        <v>0.30602000000000001</v>
      </c>
      <c r="G221" t="s">
        <v>395</v>
      </c>
      <c r="H221">
        <v>1.2700000000000001E-3</v>
      </c>
      <c r="I221">
        <v>1.2700000000000001E-3</v>
      </c>
      <c r="J221" s="88">
        <v>1.2700000000000001E-3</v>
      </c>
      <c r="K221">
        <v>1.2700000000000001E-3</v>
      </c>
      <c r="L221">
        <f>PSI_OC!$A$7</f>
        <v>10</v>
      </c>
      <c r="M221">
        <v>-1</v>
      </c>
      <c r="N221" t="s">
        <v>479</v>
      </c>
      <c r="O221" s="17"/>
    </row>
    <row r="222" spans="5:15" x14ac:dyDescent="0.2">
      <c r="E222" t="s">
        <v>290</v>
      </c>
      <c r="F222">
        <v>3.1E-4</v>
      </c>
      <c r="G222" t="s">
        <v>396</v>
      </c>
      <c r="H222">
        <v>1.2999999999999999E-4</v>
      </c>
      <c r="I222">
        <v>1.2999999999999999E-4</v>
      </c>
      <c r="J222" s="88">
        <v>1.2999999999999999E-4</v>
      </c>
      <c r="K222">
        <v>1.2999999999999999E-4</v>
      </c>
      <c r="L222">
        <f>PSI_OC!$A$7</f>
        <v>10</v>
      </c>
      <c r="M222">
        <v>-1</v>
      </c>
      <c r="N222" t="s">
        <v>480</v>
      </c>
      <c r="O222" s="17"/>
    </row>
    <row r="223" spans="5:15" x14ac:dyDescent="0.2">
      <c r="E223" t="s">
        <v>291</v>
      </c>
      <c r="F223">
        <v>3.1E-4</v>
      </c>
      <c r="G223" t="s">
        <v>397</v>
      </c>
      <c r="H223">
        <v>1.2999999999999999E-4</v>
      </c>
      <c r="I223">
        <v>1.2999999999999999E-4</v>
      </c>
      <c r="J223" s="88">
        <v>1.2999999999999999E-4</v>
      </c>
      <c r="K223">
        <v>1.2999999999999999E-4</v>
      </c>
      <c r="L223">
        <f>PSI_OC!$A$8</f>
        <v>1</v>
      </c>
      <c r="M223">
        <v>-1</v>
      </c>
      <c r="N223" t="s">
        <v>481</v>
      </c>
      <c r="O223" s="17"/>
    </row>
    <row r="224" spans="5:15" x14ac:dyDescent="0.2">
      <c r="E224" t="s">
        <v>292</v>
      </c>
      <c r="F224">
        <v>3.0599999999999998E-3</v>
      </c>
      <c r="G224" t="s">
        <v>360</v>
      </c>
      <c r="H224">
        <v>1.268E-2</v>
      </c>
      <c r="I224">
        <v>1.268E-2</v>
      </c>
      <c r="J224" s="88">
        <v>1.268E-2</v>
      </c>
      <c r="K224">
        <v>1.268E-2</v>
      </c>
      <c r="L224">
        <f>PSI_OC!$A$6</f>
        <v>100</v>
      </c>
      <c r="M224">
        <v>-1</v>
      </c>
      <c r="N224" t="s">
        <v>444</v>
      </c>
      <c r="O224" s="17"/>
    </row>
    <row r="225" spans="5:15" x14ac:dyDescent="0.2">
      <c r="E225" t="s">
        <v>293</v>
      </c>
      <c r="F225">
        <v>3.0599999999999998E-3</v>
      </c>
      <c r="G225" t="s">
        <v>398</v>
      </c>
      <c r="H225">
        <v>1.26824</v>
      </c>
      <c r="I225">
        <v>1.26824</v>
      </c>
      <c r="J225" s="88">
        <v>1.26824</v>
      </c>
      <c r="K225">
        <v>1.26824</v>
      </c>
      <c r="L225">
        <f>PSI_OC!$A$7</f>
        <v>10</v>
      </c>
      <c r="M225">
        <v>-1</v>
      </c>
      <c r="N225" t="s">
        <v>482</v>
      </c>
      <c r="O225" s="17"/>
    </row>
    <row r="226" spans="5:15" x14ac:dyDescent="0.2">
      <c r="E226" t="s">
        <v>294</v>
      </c>
      <c r="F226">
        <v>3.1E-4</v>
      </c>
      <c r="G226" t="s">
        <v>399</v>
      </c>
      <c r="H226">
        <v>1.2999999999999999E-4</v>
      </c>
      <c r="I226">
        <v>1.2999999999999999E-4</v>
      </c>
      <c r="J226" s="88">
        <v>1.2999999999999999E-4</v>
      </c>
      <c r="K226">
        <v>1.2999999999999999E-4</v>
      </c>
      <c r="L226">
        <f>PSI_OC!$A$8</f>
        <v>1</v>
      </c>
      <c r="M226">
        <v>-1</v>
      </c>
      <c r="N226" t="s">
        <v>483</v>
      </c>
      <c r="O226" s="17"/>
    </row>
    <row r="227" spans="5:15" x14ac:dyDescent="0.2">
      <c r="E227" t="s">
        <v>336</v>
      </c>
      <c r="F227">
        <v>0</v>
      </c>
      <c r="G227" t="s">
        <v>400</v>
      </c>
      <c r="H227">
        <v>1.2700000000000001E-3</v>
      </c>
      <c r="I227">
        <v>1.2700000000000001E-3</v>
      </c>
      <c r="J227" s="88">
        <v>1.2700000000000001E-3</v>
      </c>
      <c r="K227">
        <v>1.2700000000000001E-3</v>
      </c>
      <c r="L227">
        <f>PSI_OC!$A$6</f>
        <v>100</v>
      </c>
      <c r="M227">
        <v>-1</v>
      </c>
      <c r="N227" t="s">
        <v>484</v>
      </c>
      <c r="O227" s="17"/>
    </row>
    <row r="228" spans="5:15" x14ac:dyDescent="0.2">
      <c r="E228" t="s">
        <v>295</v>
      </c>
      <c r="F228">
        <v>3.1E-4</v>
      </c>
      <c r="G228" t="s">
        <v>401</v>
      </c>
      <c r="H228">
        <v>1.2999999999999999E-4</v>
      </c>
      <c r="I228">
        <v>1.2999999999999999E-4</v>
      </c>
      <c r="J228" s="88">
        <v>1.2999999999999999E-4</v>
      </c>
      <c r="K228">
        <v>1.2999999999999999E-4</v>
      </c>
      <c r="L228">
        <f>PSI_OC!$A$6</f>
        <v>100</v>
      </c>
      <c r="M228">
        <v>-1</v>
      </c>
      <c r="N228" t="s">
        <v>485</v>
      </c>
      <c r="O228" s="17"/>
    </row>
    <row r="229" spans="5:15" x14ac:dyDescent="0.2">
      <c r="E229" t="s">
        <v>296</v>
      </c>
      <c r="F229">
        <v>3.0599999999999998E-3</v>
      </c>
      <c r="G229" t="s">
        <v>402</v>
      </c>
      <c r="H229">
        <v>1.26824</v>
      </c>
      <c r="I229">
        <v>1.2700000000000001E-3</v>
      </c>
      <c r="J229" s="88">
        <v>1.26824</v>
      </c>
      <c r="K229">
        <v>1.26824</v>
      </c>
      <c r="L229">
        <f>PSI_OC!$A$7</f>
        <v>10</v>
      </c>
      <c r="M229">
        <v>-1</v>
      </c>
      <c r="N229" t="s">
        <v>486</v>
      </c>
      <c r="O229" s="17"/>
    </row>
    <row r="230" spans="5:15" x14ac:dyDescent="0.2">
      <c r="E230" t="s">
        <v>297</v>
      </c>
      <c r="F230">
        <v>3.0599999999999998E-3</v>
      </c>
      <c r="G230" t="s">
        <v>403</v>
      </c>
      <c r="H230">
        <v>1.2999999999999999E-4</v>
      </c>
      <c r="I230">
        <v>1.2999999999999999E-4</v>
      </c>
      <c r="J230" s="88">
        <v>1.2999999999999999E-4</v>
      </c>
      <c r="K230">
        <v>1.2999999999999999E-4</v>
      </c>
      <c r="L230">
        <f>PSI_OC!$A$7</f>
        <v>10</v>
      </c>
      <c r="M230">
        <v>-1</v>
      </c>
      <c r="N230" t="s">
        <v>487</v>
      </c>
      <c r="O230" s="17"/>
    </row>
    <row r="231" spans="5:15" x14ac:dyDescent="0.2">
      <c r="E231" t="s">
        <v>298</v>
      </c>
      <c r="F231">
        <v>3.0599999999999998E-3</v>
      </c>
      <c r="G231" t="s">
        <v>394</v>
      </c>
      <c r="H231">
        <v>1.2999999999999999E-4</v>
      </c>
      <c r="I231">
        <v>1.26824</v>
      </c>
      <c r="J231" s="88">
        <v>1.2700000000000001E-3</v>
      </c>
      <c r="K231">
        <v>1.2999999999999999E-4</v>
      </c>
      <c r="L231">
        <f>PSI_OC!$A$7</f>
        <v>10</v>
      </c>
      <c r="M231">
        <v>-1</v>
      </c>
      <c r="N231" t="s">
        <v>478</v>
      </c>
      <c r="O231" s="17"/>
    </row>
    <row r="232" spans="5:15" x14ac:dyDescent="0.2">
      <c r="E232" t="s">
        <v>299</v>
      </c>
      <c r="F232">
        <v>0.30602000000000001</v>
      </c>
      <c r="G232" t="s">
        <v>404</v>
      </c>
      <c r="H232">
        <v>1.2999999999999999E-4</v>
      </c>
      <c r="I232">
        <v>1.2999999999999999E-4</v>
      </c>
      <c r="J232" s="88">
        <v>1.2999999999999999E-4</v>
      </c>
      <c r="K232">
        <v>1.2999999999999999E-4</v>
      </c>
      <c r="L232">
        <f>PSI_OC!$A$7</f>
        <v>10</v>
      </c>
      <c r="M232">
        <v>-1</v>
      </c>
      <c r="N232" t="s">
        <v>488</v>
      </c>
      <c r="O232" s="17"/>
    </row>
    <row r="233" spans="5:15" x14ac:dyDescent="0.2">
      <c r="E233" t="s">
        <v>300</v>
      </c>
      <c r="F233">
        <v>3.0599999999999998E-3</v>
      </c>
      <c r="G233" t="s">
        <v>405</v>
      </c>
      <c r="H233">
        <v>0.12681999999999999</v>
      </c>
      <c r="I233">
        <v>1.2700000000000001E-3</v>
      </c>
      <c r="J233" s="88">
        <v>0.12681999999999999</v>
      </c>
      <c r="K233">
        <v>0.12681999999999999</v>
      </c>
      <c r="L233">
        <f>PSI_OC!$A$7</f>
        <v>10</v>
      </c>
      <c r="M233">
        <v>-1</v>
      </c>
      <c r="N233" t="s">
        <v>489</v>
      </c>
      <c r="O233" s="17"/>
    </row>
    <row r="234" spans="5:15" x14ac:dyDescent="0.2">
      <c r="E234" t="s">
        <v>301</v>
      </c>
      <c r="F234">
        <v>0.30602000000000001</v>
      </c>
      <c r="G234" t="s">
        <v>406</v>
      </c>
      <c r="H234">
        <v>1.2700000000000001E-3</v>
      </c>
      <c r="I234">
        <v>1.2999999999999999E-4</v>
      </c>
      <c r="J234" s="88">
        <v>1.2700000000000001E-3</v>
      </c>
      <c r="K234">
        <v>1.2700000000000001E-3</v>
      </c>
      <c r="L234">
        <f>PSI_OC!$A$6</f>
        <v>100</v>
      </c>
      <c r="M234">
        <v>-1</v>
      </c>
      <c r="N234" t="s">
        <v>490</v>
      </c>
      <c r="O234" s="17"/>
    </row>
    <row r="235" spans="5:15" x14ac:dyDescent="0.2">
      <c r="E235" t="s">
        <v>302</v>
      </c>
      <c r="F235">
        <v>3.0599999999999998E-3</v>
      </c>
      <c r="G235" t="s">
        <v>407</v>
      </c>
      <c r="H235">
        <v>1.2700000000000001E-3</v>
      </c>
      <c r="I235">
        <v>0.12681999999999999</v>
      </c>
      <c r="J235" s="88">
        <v>1.2700000000000001E-3</v>
      </c>
      <c r="K235">
        <v>1.2700000000000001E-3</v>
      </c>
      <c r="L235">
        <f>PSI_OC!$A$6</f>
        <v>100</v>
      </c>
      <c r="M235">
        <v>-1</v>
      </c>
      <c r="N235" t="s">
        <v>491</v>
      </c>
      <c r="O235" s="17"/>
    </row>
    <row r="236" spans="5:15" x14ac:dyDescent="0.2">
      <c r="E236" t="s">
        <v>303</v>
      </c>
      <c r="F236">
        <v>3.0599999999999998E-3</v>
      </c>
      <c r="G236" t="s">
        <v>408</v>
      </c>
      <c r="H236">
        <v>1.2700000000000001E-3</v>
      </c>
      <c r="I236">
        <v>1.2700000000000001E-3</v>
      </c>
      <c r="J236" s="88">
        <v>1.2700000000000001E-3</v>
      </c>
      <c r="K236">
        <v>1.2700000000000001E-3</v>
      </c>
      <c r="L236">
        <f>PSI_OC!$A$7</f>
        <v>10</v>
      </c>
      <c r="M236">
        <v>-1</v>
      </c>
      <c r="N236" t="s">
        <v>492</v>
      </c>
      <c r="O236" s="17"/>
    </row>
    <row r="237" spans="5:15" x14ac:dyDescent="0.2">
      <c r="E237" t="s">
        <v>304</v>
      </c>
      <c r="F237">
        <v>3.0602</v>
      </c>
      <c r="G237" t="s">
        <v>409</v>
      </c>
      <c r="H237">
        <v>1.26824</v>
      </c>
      <c r="I237">
        <v>1.2700000000000001E-3</v>
      </c>
      <c r="J237" s="88">
        <v>1.26824</v>
      </c>
      <c r="K237">
        <v>1.26824</v>
      </c>
      <c r="L237">
        <f>PSI_OC!$A$6</f>
        <v>100</v>
      </c>
      <c r="M237">
        <v>-1</v>
      </c>
      <c r="N237" t="s">
        <v>493</v>
      </c>
      <c r="O237" s="17"/>
    </row>
    <row r="238" spans="5:15" x14ac:dyDescent="0.2">
      <c r="E238" t="s">
        <v>305</v>
      </c>
      <c r="F238">
        <v>3.0599999999999998E-3</v>
      </c>
      <c r="G238" t="s">
        <v>410</v>
      </c>
      <c r="H238">
        <v>1.2700000000000001E-3</v>
      </c>
      <c r="I238">
        <v>1.2700000000000001E-3</v>
      </c>
      <c r="J238" s="88">
        <v>1.2700000000000001E-3</v>
      </c>
      <c r="K238">
        <v>1.2700000000000001E-3</v>
      </c>
      <c r="L238">
        <f>PSI_OC!$A$7</f>
        <v>10</v>
      </c>
      <c r="M238">
        <v>-1</v>
      </c>
      <c r="N238" t="s">
        <v>494</v>
      </c>
      <c r="O238" s="17"/>
    </row>
    <row r="239" spans="5:15" x14ac:dyDescent="0.2">
      <c r="E239" t="s">
        <v>306</v>
      </c>
      <c r="F239">
        <v>3.0599999999999998E-3</v>
      </c>
      <c r="G239" t="s">
        <v>411</v>
      </c>
      <c r="H239">
        <v>1.2700000000000001E-3</v>
      </c>
      <c r="I239">
        <v>1.26824</v>
      </c>
      <c r="J239" s="88">
        <v>1.2700000000000001E-3</v>
      </c>
      <c r="K239">
        <v>1.2700000000000001E-3</v>
      </c>
      <c r="L239">
        <f>PSI_OC!$A$8</f>
        <v>1</v>
      </c>
      <c r="M239">
        <v>-1</v>
      </c>
      <c r="N239" t="s">
        <v>495</v>
      </c>
      <c r="O239" s="17"/>
    </row>
    <row r="240" spans="5:15" x14ac:dyDescent="0.2">
      <c r="E240" t="s">
        <v>307</v>
      </c>
      <c r="F240">
        <v>3.0599999999999998E-3</v>
      </c>
      <c r="G240" t="s">
        <v>411</v>
      </c>
      <c r="H240">
        <v>1.2700000000000001E-3</v>
      </c>
      <c r="I240">
        <v>1.2700000000000001E-3</v>
      </c>
      <c r="J240" s="88">
        <v>1.2700000000000001E-3</v>
      </c>
      <c r="K240">
        <v>1.2700000000000001E-3</v>
      </c>
      <c r="L240">
        <f>PSI_OC!$A$8</f>
        <v>1</v>
      </c>
      <c r="M240">
        <v>-1</v>
      </c>
      <c r="N240" t="s">
        <v>495</v>
      </c>
      <c r="O240" s="17"/>
    </row>
    <row r="241" spans="1:19" x14ac:dyDescent="0.2">
      <c r="E241" t="s">
        <v>337</v>
      </c>
      <c r="F241">
        <v>3.0599999999999998E-3</v>
      </c>
      <c r="G241" t="s">
        <v>412</v>
      </c>
      <c r="H241">
        <v>0.12681999999999999</v>
      </c>
      <c r="I241">
        <v>1.2700000000000001E-3</v>
      </c>
      <c r="J241" s="88">
        <v>0.12681999999999999</v>
      </c>
      <c r="K241">
        <v>0.12681999999999999</v>
      </c>
      <c r="L241">
        <v>0</v>
      </c>
      <c r="M241">
        <v>0</v>
      </c>
      <c r="N241" t="s">
        <v>496</v>
      </c>
      <c r="O241" s="17"/>
    </row>
    <row r="242" spans="1:19" x14ac:dyDescent="0.2">
      <c r="E242" t="s">
        <v>308</v>
      </c>
      <c r="F242">
        <v>3.0599999999999998E-3</v>
      </c>
      <c r="G242" t="s">
        <v>413</v>
      </c>
      <c r="H242">
        <v>1.2700000000000001E-3</v>
      </c>
      <c r="I242">
        <v>1.2700000000000001E-3</v>
      </c>
      <c r="J242" s="88">
        <v>1.2700000000000001E-3</v>
      </c>
      <c r="K242">
        <v>1.2700000000000001E-3</v>
      </c>
      <c r="L242">
        <f>PSI_OC!$A$7</f>
        <v>10</v>
      </c>
      <c r="M242">
        <v>-1</v>
      </c>
      <c r="N242" t="s">
        <v>497</v>
      </c>
      <c r="O242" s="17"/>
    </row>
    <row r="243" spans="1:19" x14ac:dyDescent="0.2">
      <c r="E243" t="s">
        <v>309</v>
      </c>
      <c r="F243">
        <v>3.0599999999999998E-3</v>
      </c>
      <c r="G243" t="s">
        <v>413</v>
      </c>
      <c r="H243">
        <v>1.2700000000000001E-3</v>
      </c>
      <c r="I243">
        <v>0.12681999999999999</v>
      </c>
      <c r="J243" s="88">
        <v>1.2700000000000001E-3</v>
      </c>
      <c r="K243">
        <v>1.2700000000000001E-3</v>
      </c>
      <c r="L243">
        <f>PSI_OC!$A$7</f>
        <v>10</v>
      </c>
      <c r="M243">
        <v>-1</v>
      </c>
      <c r="N243" t="s">
        <v>497</v>
      </c>
      <c r="O243" s="17"/>
    </row>
    <row r="244" spans="1:19" x14ac:dyDescent="0.2">
      <c r="E244" t="s">
        <v>310</v>
      </c>
      <c r="F244">
        <v>3.0599999999999998E-3</v>
      </c>
      <c r="G244" t="s">
        <v>413</v>
      </c>
      <c r="H244">
        <v>1.2700000000000001E-3</v>
      </c>
      <c r="I244">
        <v>1.2700000000000001E-3</v>
      </c>
      <c r="J244" s="88">
        <v>1.2700000000000001E-3</v>
      </c>
      <c r="K244">
        <v>1.2700000000000001E-3</v>
      </c>
      <c r="L244">
        <v>0</v>
      </c>
      <c r="M244">
        <v>0</v>
      </c>
      <c r="N244" t="s">
        <v>497</v>
      </c>
      <c r="O244" s="17"/>
    </row>
    <row r="245" spans="1:19" x14ac:dyDescent="0.2">
      <c r="E245" t="s">
        <v>311</v>
      </c>
      <c r="F245">
        <v>3.1E-4</v>
      </c>
      <c r="G245" t="s">
        <v>414</v>
      </c>
      <c r="H245">
        <v>1.2700000000000001E-3</v>
      </c>
      <c r="I245">
        <v>1.2700000000000001E-3</v>
      </c>
      <c r="J245" s="88">
        <v>1.2700000000000001E-3</v>
      </c>
      <c r="K245">
        <v>1.2700000000000001E-3</v>
      </c>
      <c r="L245">
        <f>PSI_OC!$A$7</f>
        <v>10</v>
      </c>
      <c r="M245">
        <v>-1</v>
      </c>
      <c r="N245" t="s">
        <v>498</v>
      </c>
      <c r="O245" s="17"/>
    </row>
    <row r="246" spans="1:19" x14ac:dyDescent="0.2">
      <c r="J246" s="88"/>
      <c r="O246" s="17"/>
    </row>
    <row r="247" spans="1:19" x14ac:dyDescent="0.2">
      <c r="J247" s="88"/>
      <c r="O247" s="17"/>
    </row>
    <row r="248" spans="1:19" x14ac:dyDescent="0.2">
      <c r="J248" s="88"/>
      <c r="O248" s="17"/>
    </row>
    <row r="249" spans="1:19" x14ac:dyDescent="0.2">
      <c r="A249" s="351" t="s">
        <v>665</v>
      </c>
      <c r="B249" s="351"/>
      <c r="C249" s="351"/>
      <c r="D249" s="351"/>
      <c r="E249" s="351"/>
      <c r="F249" s="351"/>
      <c r="G249" s="351"/>
      <c r="H249" s="351"/>
      <c r="I249" s="351"/>
      <c r="J249" s="351"/>
      <c r="K249" s="351"/>
      <c r="L249" s="351"/>
      <c r="M249" s="351"/>
      <c r="N249" s="351"/>
      <c r="O249" s="351"/>
      <c r="P249" s="351"/>
      <c r="Q249" s="351"/>
      <c r="R249" s="351"/>
      <c r="S249" s="351"/>
    </row>
    <row r="250" spans="1:19" x14ac:dyDescent="0.2">
      <c r="A250" s="352"/>
      <c r="B250" s="352"/>
      <c r="C250" s="352"/>
      <c r="D250" s="352"/>
      <c r="E250" s="352"/>
      <c r="F250" s="352"/>
      <c r="G250" s="352"/>
      <c r="H250" s="352"/>
      <c r="I250" s="352"/>
      <c r="J250" s="352"/>
      <c r="K250" s="352"/>
      <c r="L250" s="352"/>
      <c r="M250" s="352"/>
      <c r="N250" s="352"/>
      <c r="O250" s="352"/>
      <c r="P250" s="352"/>
      <c r="Q250" s="352"/>
      <c r="R250" s="352"/>
      <c r="S250" s="352"/>
    </row>
    <row r="251" spans="1:19" x14ac:dyDescent="0.2">
      <c r="A251" s="353" t="s">
        <v>1047</v>
      </c>
      <c r="B251" s="353" t="s">
        <v>1200</v>
      </c>
      <c r="C251" s="353" t="s">
        <v>1030</v>
      </c>
      <c r="D251" s="353" t="s">
        <v>658</v>
      </c>
      <c r="E251" s="325" t="s">
        <v>661</v>
      </c>
      <c r="F251" s="326"/>
      <c r="G251" s="327"/>
      <c r="H251" s="79" t="s">
        <v>1086</v>
      </c>
      <c r="I251" s="79" t="s">
        <v>1087</v>
      </c>
      <c r="J251" s="78" t="s">
        <v>529</v>
      </c>
      <c r="K251" s="328" t="s">
        <v>421</v>
      </c>
      <c r="L251" s="329"/>
      <c r="M251" s="330"/>
      <c r="N251" s="334" t="s">
        <v>28</v>
      </c>
      <c r="O251" s="335"/>
      <c r="P251" s="338" t="s">
        <v>420</v>
      </c>
      <c r="Q251" s="339"/>
    </row>
    <row r="252" spans="1:19" x14ac:dyDescent="0.2">
      <c r="A252" s="353"/>
      <c r="B252" s="353"/>
      <c r="C252" s="353"/>
      <c r="D252" s="353"/>
      <c r="E252" s="345" t="s">
        <v>522</v>
      </c>
      <c r="F252" s="346"/>
      <c r="G252" s="347"/>
      <c r="H252" s="89" t="s">
        <v>1085</v>
      </c>
      <c r="I252" s="61" t="s">
        <v>916</v>
      </c>
      <c r="J252" t="s">
        <v>528</v>
      </c>
      <c r="K252" s="331"/>
      <c r="L252" s="332"/>
      <c r="M252" s="333"/>
      <c r="N252" s="336"/>
      <c r="O252" s="337"/>
      <c r="P252" s="340"/>
      <c r="Q252" s="341"/>
    </row>
    <row r="253" spans="1:19" x14ac:dyDescent="0.2">
      <c r="A253" s="353"/>
      <c r="B253" s="353"/>
      <c r="C253" s="353"/>
      <c r="D253" s="353"/>
      <c r="E253" s="6" t="s">
        <v>317</v>
      </c>
      <c r="F253" s="58" t="s">
        <v>319</v>
      </c>
      <c r="G253" s="58" t="s">
        <v>5</v>
      </c>
      <c r="H253" s="58" t="s">
        <v>319</v>
      </c>
      <c r="I253" s="58" t="s">
        <v>319</v>
      </c>
      <c r="J253" s="83" t="s">
        <v>319</v>
      </c>
      <c r="K253" s="64" t="s">
        <v>0</v>
      </c>
      <c r="L253" s="64" t="s">
        <v>499</v>
      </c>
      <c r="M253" s="64" t="s">
        <v>5</v>
      </c>
      <c r="N253" s="64" t="s">
        <v>0</v>
      </c>
      <c r="O253" s="58" t="s">
        <v>5</v>
      </c>
      <c r="P253" s="64" t="s">
        <v>0</v>
      </c>
      <c r="Q253" s="58" t="s">
        <v>5</v>
      </c>
    </row>
    <row r="254" spans="1:19" x14ac:dyDescent="0.2">
      <c r="A254" t="s">
        <v>1048</v>
      </c>
      <c r="B254" s="239">
        <v>546856.76462499995</v>
      </c>
      <c r="C254" s="45">
        <f>B254*$B$12*($B$9/$B$10)*Variables!F$12</f>
        <v>6823638.9094880642</v>
      </c>
      <c r="D254" s="89" t="s">
        <v>1085</v>
      </c>
      <c r="E254" t="s">
        <v>225</v>
      </c>
      <c r="F254" s="100">
        <v>1.6000000000000001E-4</v>
      </c>
      <c r="G254" t="s">
        <v>338</v>
      </c>
      <c r="H254">
        <v>7.2000000000000005E-4</v>
      </c>
      <c r="I254">
        <v>1.2999999999999999E-4</v>
      </c>
      <c r="J254">
        <v>5.3299999999999997E-3</v>
      </c>
      <c r="K254">
        <f>PSI_OC!$A$6</f>
        <v>100</v>
      </c>
      <c r="L254">
        <v>-1</v>
      </c>
      <c r="M254" t="s">
        <v>422</v>
      </c>
      <c r="N254" s="8" t="e">
        <f>((C$251*H254)+(C$251*I254)+(SUM(C$254:C$257,C$262:C$264)*J254)+(SUM(C$260:C$261,C$266:C$286))+(SUM(C$258:C$259,C$265)*#REF!))*(K254*L254)</f>
        <v>#VALUE!</v>
      </c>
      <c r="O254" t="s">
        <v>538</v>
      </c>
      <c r="P254" s="69" t="e">
        <f>SUM(N254:N359)</f>
        <v>#VALUE!</v>
      </c>
      <c r="Q254" t="s">
        <v>538</v>
      </c>
    </row>
    <row r="255" spans="1:19" x14ac:dyDescent="0.2">
      <c r="A255" t="s">
        <v>1049</v>
      </c>
      <c r="B255" s="239">
        <v>2025.03</v>
      </c>
      <c r="C255" s="45">
        <f>B255*$B$12*($B$9/$B$10)*Variables!F$12</f>
        <v>25268.176961029603</v>
      </c>
      <c r="D255" s="1" t="s">
        <v>528</v>
      </c>
      <c r="E255" t="s">
        <v>226</v>
      </c>
      <c r="F255" s="100">
        <v>1.6000000000000001E-4</v>
      </c>
      <c r="G255" t="s">
        <v>339</v>
      </c>
      <c r="H255">
        <v>7.2059999999999999E-2</v>
      </c>
      <c r="I255">
        <v>1.2999999999999999E-4</v>
      </c>
      <c r="J255">
        <v>0.53305000000000002</v>
      </c>
      <c r="K255">
        <f>PSI_OC!$A$7</f>
        <v>10</v>
      </c>
      <c r="L255">
        <v>-1</v>
      </c>
      <c r="M255" t="s">
        <v>423</v>
      </c>
      <c r="N255" s="8" t="e">
        <f>((C$251*H255)+(C$251*I255)+(SUM(C$254:C$257,C$262:C$264)*J255)+(SUM(C$260:C$261,C$266:C$286))+(SUM(C$258:C$259,C$265)*#REF!))*(K255*L255)</f>
        <v>#VALUE!</v>
      </c>
      <c r="O255" t="s">
        <v>538</v>
      </c>
    </row>
    <row r="256" spans="1:19" x14ac:dyDescent="0.2">
      <c r="A256" t="s">
        <v>1050</v>
      </c>
      <c r="B256" s="239">
        <v>4050.0598749999999</v>
      </c>
      <c r="C256" s="45">
        <f>B256*$B$12*($B$9/$B$10)*Variables!F$12</f>
        <v>50536.352362318314</v>
      </c>
      <c r="D256" s="61" t="s">
        <v>916</v>
      </c>
      <c r="E256" t="s">
        <v>227</v>
      </c>
      <c r="F256" s="100">
        <v>1.6000000000000001E-3</v>
      </c>
      <c r="G256" t="s">
        <v>340</v>
      </c>
      <c r="H256">
        <v>7.2056899999999997</v>
      </c>
      <c r="I256">
        <v>1.2700000000000001E-3</v>
      </c>
      <c r="J256">
        <v>5.3304799999999997</v>
      </c>
      <c r="K256">
        <f>PSI_OC!$A$7</f>
        <v>10</v>
      </c>
      <c r="L256">
        <v>-1</v>
      </c>
      <c r="M256" t="s">
        <v>424</v>
      </c>
      <c r="N256" s="8" t="e">
        <f>((C$251*H256)+(C$251*I256)+(SUM(C$254:C$257,C$262:C$264)*J256)+(SUM(C$260:C$261,C$266:C$286))+(SUM(C$258:C$259,C$265)*#REF!))*(K256*L256)</f>
        <v>#VALUE!</v>
      </c>
      <c r="O256" t="s">
        <v>538</v>
      </c>
    </row>
    <row r="257" spans="1:15" x14ac:dyDescent="0.2">
      <c r="A257" t="s">
        <v>1051</v>
      </c>
      <c r="B257" s="239">
        <v>3174.8351250000001</v>
      </c>
      <c r="C257" s="45">
        <f>B257*$B$12*($B$9/$B$10)*Variables!F$12</f>
        <v>39615.361629503044</v>
      </c>
      <c r="D257" s="61" t="s">
        <v>916</v>
      </c>
      <c r="E257" t="s">
        <v>228</v>
      </c>
      <c r="F257" s="100">
        <v>0.16047</v>
      </c>
      <c r="G257" t="s">
        <v>341</v>
      </c>
      <c r="H257">
        <v>7.2056899999999997</v>
      </c>
      <c r="I257">
        <v>0.12681999999999999</v>
      </c>
      <c r="J257">
        <v>5.3304799999999997</v>
      </c>
      <c r="K257">
        <f>PSI_OC!$A$7</f>
        <v>10</v>
      </c>
      <c r="L257">
        <v>-1</v>
      </c>
      <c r="M257" t="s">
        <v>425</v>
      </c>
      <c r="N257" s="8" t="e">
        <f>((C$251*H257)+(C$251*I257)+(SUM(C$254:C$257,C$262:C$264)*J257)+(SUM(C$260:C$261,C$266:C$286))+(SUM(C$258:C$259,C$265)*#REF!))*(K257*L257)</f>
        <v>#VALUE!</v>
      </c>
      <c r="O257" t="s">
        <v>538</v>
      </c>
    </row>
    <row r="258" spans="1:15" x14ac:dyDescent="0.2">
      <c r="A258" t="s">
        <v>1052</v>
      </c>
      <c r="B258" s="239">
        <v>223.09649999999999</v>
      </c>
      <c r="C258" s="45">
        <f>B258*$B$12*($B$9/$B$10)*Variables!F$12</f>
        <v>2783.7818903356201</v>
      </c>
      <c r="D258" s="138" t="s">
        <v>522</v>
      </c>
      <c r="E258" t="s">
        <v>229</v>
      </c>
      <c r="F258" s="100">
        <v>1.6049999999999998E-2</v>
      </c>
      <c r="G258" t="s">
        <v>342</v>
      </c>
      <c r="H258">
        <v>7.2100000000000003E-3</v>
      </c>
      <c r="I258">
        <v>1.268E-2</v>
      </c>
      <c r="J258">
        <v>5.33E-2</v>
      </c>
      <c r="K258">
        <f>PSI_OC!$A$6</f>
        <v>100</v>
      </c>
      <c r="L258">
        <v>-1</v>
      </c>
      <c r="M258" t="s">
        <v>426</v>
      </c>
      <c r="N258" s="8" t="e">
        <f>((C$251*H258)+(C$251*I258)+(SUM(C$254:C$257,C$262:C$264)*J258)+(SUM(C$260:C$261,C$266:C$286))+(SUM(C$258:C$259,C$265)*#REF!))*(K258*L258)</f>
        <v>#VALUE!</v>
      </c>
      <c r="O258" t="s">
        <v>538</v>
      </c>
    </row>
    <row r="259" spans="1:15" x14ac:dyDescent="0.2">
      <c r="B259" s="239"/>
      <c r="C259" s="36"/>
      <c r="D259" s="141"/>
      <c r="E259" t="s">
        <v>230</v>
      </c>
      <c r="F259" s="100">
        <v>0.16047</v>
      </c>
      <c r="G259" t="s">
        <v>343</v>
      </c>
      <c r="H259">
        <v>7.2056899999999997</v>
      </c>
      <c r="I259">
        <v>0.12681999999999999</v>
      </c>
      <c r="J259">
        <v>53.3048</v>
      </c>
      <c r="K259">
        <f>PSI_OC!$A$6</f>
        <v>100</v>
      </c>
      <c r="L259">
        <v>-1</v>
      </c>
      <c r="M259" t="s">
        <v>427</v>
      </c>
      <c r="N259" s="8" t="e">
        <f>((C$251*H259)+(C$251*I259)+(SUM(C$254:C$257,C$262:C$264)*J259)+(SUM(C$260:C$261,C$266:C$286))+(SUM(C$258:C$259,C$265)*#REF!))*(K259*L259)</f>
        <v>#VALUE!</v>
      </c>
      <c r="O259" t="s">
        <v>538</v>
      </c>
    </row>
    <row r="260" spans="1:15" x14ac:dyDescent="0.2">
      <c r="B260" s="239"/>
      <c r="C260" s="36"/>
      <c r="D260" s="141"/>
      <c r="E260" t="s">
        <v>231</v>
      </c>
      <c r="F260" s="100">
        <v>1.60467</v>
      </c>
      <c r="G260" t="s">
        <v>344</v>
      </c>
      <c r="H260">
        <v>7.2059999999999999E-2</v>
      </c>
      <c r="I260">
        <v>0.12681999999999999</v>
      </c>
      <c r="J260">
        <v>0.53305000000000002</v>
      </c>
      <c r="K260">
        <f>PSI_OC!$A$7</f>
        <v>10</v>
      </c>
      <c r="L260">
        <v>-1</v>
      </c>
      <c r="M260" t="s">
        <v>428</v>
      </c>
      <c r="N260" s="8" t="e">
        <f>((C$251*H260)+(C$251*I260)+(SUM(C$254:C$257,C$262:C$264)*J260)+(SUM(C$260:C$261,C$266:C$286))+(SUM(C$258:C$259,C$265)*#REF!))*(K260*L260)</f>
        <v>#VALUE!</v>
      </c>
      <c r="O260" t="s">
        <v>538</v>
      </c>
    </row>
    <row r="261" spans="1:15" x14ac:dyDescent="0.2">
      <c r="B261" s="239"/>
      <c r="C261" s="36"/>
      <c r="D261" s="241"/>
      <c r="E261" t="s">
        <v>232</v>
      </c>
      <c r="F261" s="100">
        <v>1.6000000000000001E-4</v>
      </c>
      <c r="G261" t="s">
        <v>345</v>
      </c>
      <c r="H261">
        <v>7.2100000000000003E-3</v>
      </c>
      <c r="I261">
        <v>1.2999999999999999E-4</v>
      </c>
      <c r="J261">
        <v>5.3299999999999997E-3</v>
      </c>
      <c r="K261">
        <f>PSI_OC!$A$7</f>
        <v>10</v>
      </c>
      <c r="L261">
        <v>-1</v>
      </c>
      <c r="M261" t="s">
        <v>429</v>
      </c>
      <c r="N261" s="8" t="e">
        <f>((C$251*H261)+(C$251*I261)+(SUM(C$254:C$257,C$262:C$264)*J261)+(SUM(C$260:C$261,C$266:C$286))+(SUM(C$258:C$259,C$265)*#REF!))*(K261*L261)</f>
        <v>#VALUE!</v>
      </c>
      <c r="O261" t="s">
        <v>538</v>
      </c>
    </row>
    <row r="262" spans="1:15" x14ac:dyDescent="0.2">
      <c r="B262" s="239"/>
      <c r="C262" s="18"/>
      <c r="D262" s="241"/>
      <c r="E262" t="s">
        <v>233</v>
      </c>
      <c r="F262" s="100">
        <v>1.6000000000000001E-4</v>
      </c>
      <c r="G262" t="s">
        <v>345</v>
      </c>
      <c r="H262">
        <v>7.2100000000000003E-3</v>
      </c>
      <c r="I262">
        <v>1.2999999999999999E-4</v>
      </c>
      <c r="J262">
        <v>5.3299999999999997E-3</v>
      </c>
      <c r="K262">
        <f>PSI_OC!$A$7</f>
        <v>10</v>
      </c>
      <c r="L262">
        <v>-1</v>
      </c>
      <c r="M262" t="s">
        <v>429</v>
      </c>
      <c r="N262" s="8" t="e">
        <f>((C$251*H262)+(C$251*I262)+(SUM(C$254:C$257,C$262:C$264)*J262)+(SUM(C$260:C$261,C$266:C$286))+(SUM(C$258:C$259,C$265)*#REF!))*(K262*L262)</f>
        <v>#VALUE!</v>
      </c>
      <c r="O262" t="s">
        <v>538</v>
      </c>
    </row>
    <row r="263" spans="1:15" x14ac:dyDescent="0.2">
      <c r="B263" s="239"/>
      <c r="C263" s="18"/>
      <c r="D263" s="242"/>
      <c r="E263" t="s">
        <v>320</v>
      </c>
      <c r="F263" s="100">
        <v>0</v>
      </c>
      <c r="G263" t="s">
        <v>344</v>
      </c>
      <c r="H263">
        <v>7.2100000000000003E-3</v>
      </c>
      <c r="I263">
        <v>1.2999999999999999E-4</v>
      </c>
      <c r="J263">
        <v>0</v>
      </c>
      <c r="K263">
        <f>PSI_OC!$A$6</f>
        <v>100</v>
      </c>
      <c r="L263">
        <v>-1</v>
      </c>
      <c r="M263" t="s">
        <v>428</v>
      </c>
      <c r="N263" s="8" t="e">
        <f>((C$251*H263)+(C$251*I263)+(SUM(C$254:C$257,C$262:C$264)*J263)+(SUM(C$260:C$261,C$266:C$286))+(SUM(C$258:C$259,C$265)*#REF!))*(K263*L263)</f>
        <v>#VALUE!</v>
      </c>
      <c r="O263" t="s">
        <v>538</v>
      </c>
    </row>
    <row r="264" spans="1:15" x14ac:dyDescent="0.2">
      <c r="A264" s="234"/>
      <c r="B264" s="239"/>
      <c r="C264" s="18"/>
      <c r="D264" s="242"/>
      <c r="E264" t="s">
        <v>321</v>
      </c>
      <c r="F264" s="100">
        <v>0</v>
      </c>
      <c r="G264" t="s">
        <v>344</v>
      </c>
      <c r="H264">
        <v>7.2059999999999999E-2</v>
      </c>
      <c r="I264">
        <v>1.2999999999999999E-4</v>
      </c>
      <c r="J264">
        <v>0</v>
      </c>
      <c r="K264">
        <f>PSI_OC!$A$6</f>
        <v>100</v>
      </c>
      <c r="L264">
        <v>-1</v>
      </c>
      <c r="M264" t="s">
        <v>428</v>
      </c>
      <c r="N264" s="8" t="e">
        <f>((C$251*H264)+(C$251*I264)+(SUM(C$254:C$257,C$262:C$264)*J264)+(SUM(C$260:C$261,C$266:C$286))+(SUM(C$258:C$259,C$265)*#REF!))*(K264*L264)</f>
        <v>#VALUE!</v>
      </c>
      <c r="O264" t="s">
        <v>538</v>
      </c>
    </row>
    <row r="265" spans="1:15" x14ac:dyDescent="0.2">
      <c r="A265" s="234"/>
      <c r="B265" s="239"/>
      <c r="C265" s="18"/>
      <c r="D265" s="141"/>
      <c r="E265" t="s">
        <v>234</v>
      </c>
      <c r="F265" s="100">
        <v>0</v>
      </c>
      <c r="G265" t="s">
        <v>344</v>
      </c>
      <c r="H265">
        <v>7.2059999999999999E-2</v>
      </c>
      <c r="I265">
        <v>1.2999999999999999E-4</v>
      </c>
      <c r="J265">
        <v>0</v>
      </c>
      <c r="K265">
        <v>0</v>
      </c>
      <c r="L265">
        <v>0</v>
      </c>
      <c r="M265" t="s">
        <v>428</v>
      </c>
      <c r="N265" s="8" t="e">
        <f>((C$251*H265)+(C$251*I265)+(SUM(C$254:C$257,C$262:C$264)*J265)+(SUM(C$260:C$261,C$266:C$286))+(SUM(C$258:C$259,C$265)*#REF!))*(K265*L265)</f>
        <v>#VALUE!</v>
      </c>
      <c r="O265" t="s">
        <v>538</v>
      </c>
    </row>
    <row r="266" spans="1:15" x14ac:dyDescent="0.2">
      <c r="B266" s="239"/>
      <c r="C266" s="18"/>
      <c r="D266" s="141"/>
      <c r="E266" t="s">
        <v>235</v>
      </c>
      <c r="F266" s="100">
        <v>0.16047</v>
      </c>
      <c r="G266" t="s">
        <v>346</v>
      </c>
      <c r="H266">
        <v>0.72057000000000004</v>
      </c>
      <c r="I266">
        <v>0.12681999999999999</v>
      </c>
      <c r="J266">
        <v>5.3304799999999997</v>
      </c>
      <c r="K266">
        <f>PSI_OC!$A$8</f>
        <v>1</v>
      </c>
      <c r="L266">
        <v>1</v>
      </c>
      <c r="M266" t="s">
        <v>430</v>
      </c>
      <c r="N266" s="8" t="e">
        <f>((C$251*H266)+(C$251*I266)+(SUM(C$254:C$257,C$262:C$264)*J266)+(SUM(C$260:C$261,C$266:C$286))+(SUM(C$258:C$259,C$265)*#REF!))*(K266*L266)</f>
        <v>#VALUE!</v>
      </c>
      <c r="O266" t="s">
        <v>538</v>
      </c>
    </row>
    <row r="267" spans="1:15" x14ac:dyDescent="0.2">
      <c r="C267" s="18"/>
      <c r="D267" s="141"/>
      <c r="E267" t="s">
        <v>236</v>
      </c>
      <c r="F267" s="100">
        <v>1.6000000000000001E-4</v>
      </c>
      <c r="G267" t="s">
        <v>347</v>
      </c>
      <c r="H267">
        <v>7.2000000000000005E-4</v>
      </c>
      <c r="I267">
        <v>1.2999999999999999E-4</v>
      </c>
      <c r="J267">
        <v>5.3299999999999997E-3</v>
      </c>
      <c r="K267">
        <f>PSI_OC!$A$7</f>
        <v>10</v>
      </c>
      <c r="L267">
        <v>-1</v>
      </c>
      <c r="M267" t="s">
        <v>431</v>
      </c>
      <c r="N267" s="8" t="e">
        <f>((C$251*H267)+(C$251*I267)+(SUM(C$254:C$257,C$262:C$264)*J267)+(SUM(C$260:C$261,C$266:C$286))+(SUM(C$258:C$259,C$265)*#REF!))*(K267*L267)</f>
        <v>#VALUE!</v>
      </c>
      <c r="O267" t="s">
        <v>538</v>
      </c>
    </row>
    <row r="268" spans="1:15" x14ac:dyDescent="0.2">
      <c r="C268" s="18"/>
      <c r="D268" s="241"/>
      <c r="E268" t="s">
        <v>237</v>
      </c>
      <c r="F268" s="100">
        <v>0.16047</v>
      </c>
      <c r="G268" t="s">
        <v>348</v>
      </c>
      <c r="H268">
        <v>7.2056899999999997</v>
      </c>
      <c r="I268">
        <v>0.12681999999999999</v>
      </c>
      <c r="J268">
        <v>5.3304799999999997</v>
      </c>
      <c r="K268">
        <f>PSI_OC!$A$6</f>
        <v>100</v>
      </c>
      <c r="L268">
        <v>-1</v>
      </c>
      <c r="M268" t="s">
        <v>432</v>
      </c>
      <c r="N268" s="8" t="e">
        <f>((C$251*H268)+(C$251*I268)+(SUM(C$254:C$257,C$262:C$264)*J268)+(SUM(C$260:C$261,C$266:C$286))+(SUM(C$258:C$259,C$265)*#REF!))*(K268*L268)</f>
        <v>#VALUE!</v>
      </c>
      <c r="O268" t="s">
        <v>538</v>
      </c>
    </row>
    <row r="269" spans="1:15" x14ac:dyDescent="0.2">
      <c r="C269" s="18"/>
      <c r="D269" s="242"/>
      <c r="E269" t="s">
        <v>238</v>
      </c>
      <c r="F269" s="100">
        <v>0</v>
      </c>
      <c r="G269" t="s">
        <v>349</v>
      </c>
      <c r="H269">
        <v>0</v>
      </c>
      <c r="I269">
        <v>0</v>
      </c>
      <c r="J269">
        <v>5.3299999999999997E-3</v>
      </c>
      <c r="K269">
        <f>PSI_OC!$A$7</f>
        <v>10</v>
      </c>
      <c r="L269">
        <v>-1</v>
      </c>
      <c r="M269" t="s">
        <v>433</v>
      </c>
      <c r="N269" s="8" t="e">
        <f>((C$251*H269)+(C$251*I269)+(SUM(C$254:C$257,C$262:C$264)*J269)+(SUM(C$260:C$261,C$266:C$286))+(SUM(C$258:C$259,C$265)*#REF!))*(K269*L269)</f>
        <v>#VALUE!</v>
      </c>
      <c r="O269" t="s">
        <v>538</v>
      </c>
    </row>
    <row r="270" spans="1:15" x14ac:dyDescent="0.2">
      <c r="C270" s="18"/>
      <c r="D270" s="242"/>
      <c r="E270" t="s">
        <v>239</v>
      </c>
      <c r="F270" s="100">
        <v>1.6000000000000001E-3</v>
      </c>
      <c r="G270" t="s">
        <v>348</v>
      </c>
      <c r="H270">
        <v>7.2056899999999997</v>
      </c>
      <c r="I270">
        <v>1.2700000000000001E-3</v>
      </c>
      <c r="J270">
        <v>5.3304799999999997</v>
      </c>
      <c r="K270">
        <f>PSI_OC!$A$6</f>
        <v>100</v>
      </c>
      <c r="L270">
        <v>-1</v>
      </c>
      <c r="M270" t="s">
        <v>432</v>
      </c>
      <c r="N270" s="8" t="e">
        <f>((C$251*H270)+(C$251*I270)+(SUM(C$254:C$257,C$262:C$264)*J270)+(SUM(C$260:C$261,C$266:C$286))+(SUM(C$258:C$259,C$265)*#REF!))*(K270*L270)</f>
        <v>#VALUE!</v>
      </c>
      <c r="O270" t="s">
        <v>538</v>
      </c>
    </row>
    <row r="271" spans="1:15" x14ac:dyDescent="0.2">
      <c r="C271" s="18"/>
      <c r="D271" s="242"/>
      <c r="E271" t="s">
        <v>240</v>
      </c>
      <c r="F271" s="100">
        <v>0</v>
      </c>
      <c r="G271" t="s">
        <v>348</v>
      </c>
      <c r="H271">
        <v>7.2056899999999997</v>
      </c>
      <c r="I271">
        <v>0</v>
      </c>
      <c r="J271">
        <v>5.3304799999999997</v>
      </c>
      <c r="K271">
        <f>PSI_OC!$A$6</f>
        <v>100</v>
      </c>
      <c r="L271">
        <v>-1</v>
      </c>
      <c r="M271" t="s">
        <v>432</v>
      </c>
      <c r="N271" s="8" t="e">
        <f>((C$251*H271)+(C$251*I271)+(SUM(C$254:C$257,C$262:C$264)*J271)+(SUM(C$260:C$261,C$266:C$286))+(SUM(C$258:C$259,C$265)*#REF!))*(K271*L271)</f>
        <v>#VALUE!</v>
      </c>
      <c r="O271" t="s">
        <v>538</v>
      </c>
    </row>
    <row r="272" spans="1:15" x14ac:dyDescent="0.2">
      <c r="C272" s="18"/>
      <c r="D272" s="242"/>
      <c r="E272" t="s">
        <v>241</v>
      </c>
      <c r="F272" s="100">
        <v>0</v>
      </c>
      <c r="G272" t="s">
        <v>350</v>
      </c>
      <c r="H272">
        <v>0</v>
      </c>
      <c r="I272">
        <v>0</v>
      </c>
      <c r="J272">
        <v>0</v>
      </c>
      <c r="K272">
        <f>PSI_OC!$A$6</f>
        <v>100</v>
      </c>
      <c r="L272">
        <v>-1</v>
      </c>
      <c r="M272" t="s">
        <v>434</v>
      </c>
      <c r="N272" s="8" t="e">
        <f>((C$251*H272)+(C$251*I272)+(SUM(C$254:C$257,C$262:C$264)*J272)+(SUM(C$260:C$261,C$266:C$286))+(SUM(C$258:C$259,C$265)*#REF!))*(K272*L272)</f>
        <v>#VALUE!</v>
      </c>
      <c r="O272" t="s">
        <v>538</v>
      </c>
    </row>
    <row r="273" spans="3:15" x14ac:dyDescent="0.2">
      <c r="C273" s="18"/>
      <c r="D273" s="242"/>
      <c r="E273" t="s">
        <v>242</v>
      </c>
      <c r="F273" s="100">
        <v>0</v>
      </c>
      <c r="G273" t="s">
        <v>351</v>
      </c>
      <c r="H273">
        <v>0.72057000000000004</v>
      </c>
      <c r="I273">
        <v>0</v>
      </c>
      <c r="J273">
        <v>5.33E-2</v>
      </c>
      <c r="K273">
        <f>PSI_OC!$A$8</f>
        <v>1</v>
      </c>
      <c r="L273">
        <v>1</v>
      </c>
      <c r="M273" t="s">
        <v>435</v>
      </c>
      <c r="N273" s="8" t="e">
        <f>((C$251*H273)+(C$251*I273)+(SUM(C$254:C$257,C$262:C$264)*J273)+(SUM(C$260:C$261,C$266:C$286))+(SUM(C$258:C$259,C$265)*#REF!))*(K273*L273)</f>
        <v>#VALUE!</v>
      </c>
      <c r="O273" t="s">
        <v>538</v>
      </c>
    </row>
    <row r="274" spans="3:15" x14ac:dyDescent="0.2">
      <c r="C274" s="18"/>
      <c r="D274" s="242"/>
      <c r="E274" t="s">
        <v>243</v>
      </c>
      <c r="F274" s="100">
        <v>1.6000000000000001E-3</v>
      </c>
      <c r="G274" t="s">
        <v>352</v>
      </c>
      <c r="H274">
        <v>0.72057000000000004</v>
      </c>
      <c r="I274">
        <v>0.12681999999999999</v>
      </c>
      <c r="J274">
        <v>0.53305000000000002</v>
      </c>
      <c r="K274">
        <f>PSI_OC!$A$6</f>
        <v>100</v>
      </c>
      <c r="L274">
        <v>-1</v>
      </c>
      <c r="M274" t="s">
        <v>436</v>
      </c>
      <c r="N274" s="8" t="e">
        <f>((C$251*H274)+(C$251*I274)+(SUM(C$254:C$257,C$262:C$264)*J274)+(SUM(C$260:C$261,C$266:C$286))+(SUM(C$258:C$259,C$265)*#REF!))*(K274*L274)</f>
        <v>#VALUE!</v>
      </c>
      <c r="O274" t="s">
        <v>538</v>
      </c>
    </row>
    <row r="275" spans="3:15" x14ac:dyDescent="0.2">
      <c r="C275" s="18"/>
      <c r="D275" s="242"/>
      <c r="E275" t="s">
        <v>244</v>
      </c>
      <c r="F275" s="100">
        <v>1.6000000000000001E-3</v>
      </c>
      <c r="G275" t="s">
        <v>353</v>
      </c>
      <c r="H275">
        <v>7.2100000000000003E-3</v>
      </c>
      <c r="I275">
        <v>1.2700000000000001E-3</v>
      </c>
      <c r="J275">
        <v>5.33E-2</v>
      </c>
      <c r="K275">
        <v>0</v>
      </c>
      <c r="L275">
        <v>0</v>
      </c>
      <c r="M275" t="s">
        <v>437</v>
      </c>
      <c r="N275" s="8" t="e">
        <f>((C$251*H275)+(C$251*I275)+(SUM(C$254:C$257,C$262:C$264)*J275)+(SUM(C$260:C$261,C$266:C$286))+(SUM(C$258:C$259,C$265)*#REF!))*(K275*L275)</f>
        <v>#VALUE!</v>
      </c>
      <c r="O275" t="s">
        <v>538</v>
      </c>
    </row>
    <row r="276" spans="3:15" x14ac:dyDescent="0.2">
      <c r="C276" s="18"/>
      <c r="D276" s="242"/>
      <c r="E276" t="s">
        <v>245</v>
      </c>
      <c r="F276" s="100">
        <v>1.6000000000000001E-4</v>
      </c>
      <c r="G276" t="s">
        <v>351</v>
      </c>
      <c r="H276">
        <v>7.2100000000000003E-3</v>
      </c>
      <c r="I276">
        <v>1.2700000000000001E-3</v>
      </c>
      <c r="J276">
        <v>5.33E-2</v>
      </c>
      <c r="K276">
        <f>PSI_OC!$A$7</f>
        <v>10</v>
      </c>
      <c r="L276">
        <v>-1</v>
      </c>
      <c r="M276" t="s">
        <v>435</v>
      </c>
      <c r="N276" s="8" t="e">
        <f>((C$251*H276)+(C$251*I276)+(SUM(C$254:C$257,C$262:C$264)*J276)+(SUM(C$260:C$261,C$266:C$286))+(SUM(C$258:C$259,C$265)*#REF!))*(K276*L276)</f>
        <v>#VALUE!</v>
      </c>
      <c r="O276" t="s">
        <v>538</v>
      </c>
    </row>
    <row r="277" spans="3:15" x14ac:dyDescent="0.2">
      <c r="C277" s="18"/>
      <c r="D277" s="242"/>
      <c r="E277" t="s">
        <v>246</v>
      </c>
      <c r="F277" s="100">
        <v>1.6049999999999998E-2</v>
      </c>
      <c r="G277" t="s">
        <v>354</v>
      </c>
      <c r="H277">
        <v>7.2056899999999997</v>
      </c>
      <c r="I277">
        <v>1.268E-2</v>
      </c>
      <c r="J277">
        <v>5.3304799999999997</v>
      </c>
      <c r="K277">
        <f>PSI_OC!$A$7</f>
        <v>10</v>
      </c>
      <c r="L277">
        <v>-1</v>
      </c>
      <c r="M277" t="s">
        <v>438</v>
      </c>
      <c r="N277" s="8" t="e">
        <f>((C$251*H277)+(C$251*I277)+(SUM(C$254:C$257,C$262:C$264)*J277)+(SUM(C$260:C$261,C$266:C$286))+(SUM(C$258:C$259,C$265)*#REF!))*(K277*L277)</f>
        <v>#VALUE!</v>
      </c>
      <c r="O277" t="s">
        <v>538</v>
      </c>
    </row>
    <row r="278" spans="3:15" x14ac:dyDescent="0.2">
      <c r="C278" s="18"/>
      <c r="D278" s="242"/>
      <c r="E278" t="s">
        <v>247</v>
      </c>
      <c r="F278" s="100">
        <v>1.60467</v>
      </c>
      <c r="G278" t="s">
        <v>354</v>
      </c>
      <c r="H278">
        <v>7.2059999999999999E-2</v>
      </c>
      <c r="I278">
        <v>1.26824</v>
      </c>
      <c r="J278">
        <v>0.53305000000000002</v>
      </c>
      <c r="K278">
        <f>PSI_OC!$A$7</f>
        <v>10</v>
      </c>
      <c r="L278">
        <v>-1</v>
      </c>
      <c r="M278" t="s">
        <v>438</v>
      </c>
      <c r="N278" s="8" t="e">
        <f>((C$251*H278)+(C$251*I278)+(SUM(C$254:C$257,C$262:C$264)*J278)+(SUM(C$260:C$261,C$266:C$286))+(SUM(C$258:C$259,C$265)*#REF!))*(K278*L278)</f>
        <v>#VALUE!</v>
      </c>
      <c r="O278" t="s">
        <v>538</v>
      </c>
    </row>
    <row r="279" spans="3:15" x14ac:dyDescent="0.2">
      <c r="C279" s="18"/>
      <c r="D279" s="242"/>
      <c r="E279" t="s">
        <v>248</v>
      </c>
      <c r="F279" s="100">
        <v>1.60467</v>
      </c>
      <c r="G279" t="s">
        <v>350</v>
      </c>
      <c r="H279">
        <v>7.2059999999999999E-2</v>
      </c>
      <c r="I279">
        <v>1.26824</v>
      </c>
      <c r="J279">
        <v>5.3304799999999997</v>
      </c>
      <c r="K279">
        <f>PSI_OC!$A$7</f>
        <v>10</v>
      </c>
      <c r="L279">
        <v>-1</v>
      </c>
      <c r="M279" t="s">
        <v>434</v>
      </c>
      <c r="N279" s="8" t="e">
        <f>((C$251*H279)+(C$251*I279)+(SUM(C$254:C$257,C$262:C$264)*J279)+(SUM(C$260:C$261,C$266:C$286))+(SUM(C$258:C$259,C$265)*#REF!))*(K279*L279)</f>
        <v>#VALUE!</v>
      </c>
      <c r="O279" t="s">
        <v>538</v>
      </c>
    </row>
    <row r="280" spans="3:15" x14ac:dyDescent="0.2">
      <c r="C280" s="18"/>
      <c r="D280" s="242"/>
      <c r="E280" t="s">
        <v>322</v>
      </c>
      <c r="F280" s="100">
        <v>1.60467</v>
      </c>
      <c r="G280" t="s">
        <v>355</v>
      </c>
      <c r="H280">
        <v>7.2056899999999997</v>
      </c>
      <c r="I280">
        <v>1.26824</v>
      </c>
      <c r="J280">
        <v>53.3048</v>
      </c>
      <c r="K280">
        <f>PSI_OC!$A$7</f>
        <v>10</v>
      </c>
      <c r="L280">
        <v>-1</v>
      </c>
      <c r="M280" t="s">
        <v>439</v>
      </c>
      <c r="N280" s="8" t="e">
        <f>((C$251*H280)+(C$251*I280)+(SUM(C$254:C$257,C$262:C$264)*J280)+(SUM(C$260:C$261,C$266:C$286))+(SUM(C$258:C$259,C$265)*#REF!))*(K280*L280)</f>
        <v>#VALUE!</v>
      </c>
      <c r="O280" t="s">
        <v>538</v>
      </c>
    </row>
    <row r="281" spans="3:15" x14ac:dyDescent="0.2">
      <c r="C281" s="18"/>
      <c r="D281" s="242"/>
      <c r="E281" t="s">
        <v>249</v>
      </c>
      <c r="F281" s="100">
        <v>0.16047</v>
      </c>
      <c r="G281" t="s">
        <v>356</v>
      </c>
      <c r="H281">
        <v>7.2059999999999999E-2</v>
      </c>
      <c r="I281">
        <v>0.12681999999999999</v>
      </c>
      <c r="J281">
        <v>5.3304799999999997</v>
      </c>
      <c r="K281">
        <f>PSI_OC!$A$7</f>
        <v>10</v>
      </c>
      <c r="L281">
        <v>-1</v>
      </c>
      <c r="M281" t="s">
        <v>440</v>
      </c>
      <c r="N281" s="8" t="e">
        <f>((C$251*H281)+(C$251*I281)+(SUM(C$254:C$257,C$262:C$264)*J281)+(SUM(C$260:C$261,C$266:C$286))+(SUM(C$258:C$259,C$265)*#REF!))*(K281*L281)</f>
        <v>#VALUE!</v>
      </c>
      <c r="O281" t="s">
        <v>538</v>
      </c>
    </row>
    <row r="282" spans="3:15" x14ac:dyDescent="0.2">
      <c r="C282" s="18"/>
      <c r="D282" s="242"/>
      <c r="E282" t="s">
        <v>323</v>
      </c>
      <c r="F282" s="100">
        <v>1.6000000000000001E-3</v>
      </c>
      <c r="G282" t="s">
        <v>357</v>
      </c>
      <c r="H282">
        <v>7.2100000000000003E-3</v>
      </c>
      <c r="I282">
        <v>1.2700000000000001E-3</v>
      </c>
      <c r="J282">
        <v>5.33E-2</v>
      </c>
      <c r="K282">
        <f>PSI_OC!$A$6</f>
        <v>100</v>
      </c>
      <c r="L282">
        <v>-1</v>
      </c>
      <c r="M282" t="s">
        <v>441</v>
      </c>
      <c r="N282" s="8" t="e">
        <f>((C$251*H282)+(C$251*I282)+(SUM(C$254:C$257,C$262:C$264)*J282)+(SUM(C$260:C$261,C$266:C$286))+(SUM(C$258:C$259,C$265)*#REF!))*(K282*L282)</f>
        <v>#VALUE!</v>
      </c>
      <c r="O282" t="s">
        <v>538</v>
      </c>
    </row>
    <row r="283" spans="3:15" x14ac:dyDescent="0.2">
      <c r="C283" s="18"/>
      <c r="D283" s="242"/>
      <c r="E283" t="s">
        <v>324</v>
      </c>
      <c r="F283" s="100">
        <v>1.6000000000000001E-3</v>
      </c>
      <c r="G283" t="s">
        <v>357</v>
      </c>
      <c r="H283">
        <v>7.2100000000000003E-3</v>
      </c>
      <c r="I283">
        <v>1.2700000000000001E-3</v>
      </c>
      <c r="J283">
        <v>5.33E-2</v>
      </c>
      <c r="K283">
        <f>PSI_OC!$A$6</f>
        <v>100</v>
      </c>
      <c r="L283">
        <v>-1</v>
      </c>
      <c r="M283" t="s">
        <v>441</v>
      </c>
      <c r="N283" s="8" t="e">
        <f>((C$251*H283)+(C$251*I283)+(SUM(C$254:C$257,C$262:C$264)*J283)+(SUM(C$260:C$261,C$266:C$286))+(SUM(C$258:C$259,C$265)*#REF!))*(K283*L283)</f>
        <v>#VALUE!</v>
      </c>
      <c r="O283" t="s">
        <v>538</v>
      </c>
    </row>
    <row r="284" spans="3:15" x14ac:dyDescent="0.2">
      <c r="C284" s="18"/>
      <c r="D284" s="242"/>
      <c r="E284" t="s">
        <v>250</v>
      </c>
      <c r="F284" s="100">
        <v>1.6000000000000001E-3</v>
      </c>
      <c r="G284" t="s">
        <v>358</v>
      </c>
      <c r="H284">
        <v>7.2100000000000003E-3</v>
      </c>
      <c r="I284">
        <v>1.2700000000000001E-3</v>
      </c>
      <c r="J284">
        <v>5.3304799999999997</v>
      </c>
      <c r="K284">
        <f>PSI_OC!$A$7</f>
        <v>10</v>
      </c>
      <c r="L284">
        <v>1</v>
      </c>
      <c r="M284" t="s">
        <v>442</v>
      </c>
      <c r="N284" s="8" t="e">
        <f>((C$251*H284)+(C$251*I284)+(SUM(C$254:C$257,C$262:C$264)*J284)+(SUM(C$260:C$261,C$266:C$286))+(SUM(C$258:C$259,C$265)*#REF!))*(K284*L284)</f>
        <v>#VALUE!</v>
      </c>
      <c r="O284" t="s">
        <v>538</v>
      </c>
    </row>
    <row r="285" spans="3:15" x14ac:dyDescent="0.2">
      <c r="C285" s="18"/>
      <c r="D285" s="242"/>
      <c r="E285" t="s">
        <v>251</v>
      </c>
      <c r="F285" s="100">
        <v>0</v>
      </c>
      <c r="G285" t="s">
        <v>359</v>
      </c>
      <c r="H285">
        <v>7.2059999999999999E-2</v>
      </c>
      <c r="I285">
        <v>0</v>
      </c>
      <c r="J285">
        <v>5.3299999999999997E-3</v>
      </c>
      <c r="K285">
        <f>PSI_OC!$A$6</f>
        <v>100</v>
      </c>
      <c r="L285">
        <v>-1</v>
      </c>
      <c r="M285" t="s">
        <v>443</v>
      </c>
      <c r="N285" s="8" t="e">
        <f>((C$251*H285)+(C$251*I285)+(SUM(C$254:C$257,C$262:C$264)*J285)+(SUM(C$260:C$261,C$266:C$286))+(SUM(C$258:C$259,C$265)*#REF!))*(K285*L285)</f>
        <v>#VALUE!</v>
      </c>
      <c r="O285" t="s">
        <v>538</v>
      </c>
    </row>
    <row r="286" spans="3:15" x14ac:dyDescent="0.2">
      <c r="C286" s="18"/>
      <c r="D286" s="242"/>
      <c r="E286" t="s">
        <v>252</v>
      </c>
      <c r="F286" s="100">
        <v>0.16047</v>
      </c>
      <c r="G286" t="s">
        <v>360</v>
      </c>
      <c r="H286">
        <v>7.2056899999999997</v>
      </c>
      <c r="I286">
        <v>0.12681999999999999</v>
      </c>
      <c r="J286">
        <v>53.3048</v>
      </c>
      <c r="K286">
        <f>PSI_OC!$A$7</f>
        <v>10</v>
      </c>
      <c r="L286">
        <v>-1</v>
      </c>
      <c r="M286" t="s">
        <v>444</v>
      </c>
      <c r="N286" s="8" t="e">
        <f>((C$251*H286)+(C$251*I286)+(SUM(C$254:C$257,C$262:C$264)*J286)+(SUM(C$260:C$261,C$266:C$286))+(SUM(C$258:C$259,C$265)*#REF!))*(K286*L286)</f>
        <v>#VALUE!</v>
      </c>
      <c r="O286" t="s">
        <v>538</v>
      </c>
    </row>
    <row r="287" spans="3:15" x14ac:dyDescent="0.2">
      <c r="C287" s="18"/>
      <c r="D287" s="242"/>
      <c r="E287" t="s">
        <v>253</v>
      </c>
      <c r="F287" s="100">
        <v>1.6049999999999998E-2</v>
      </c>
      <c r="G287" t="s">
        <v>361</v>
      </c>
      <c r="H287">
        <v>7.2056899999999997</v>
      </c>
      <c r="I287">
        <v>1.268E-2</v>
      </c>
      <c r="J287">
        <v>53.3048</v>
      </c>
      <c r="K287">
        <f>PSI_OC!$A$7</f>
        <v>10</v>
      </c>
      <c r="L287">
        <v>-1</v>
      </c>
      <c r="M287" t="s">
        <v>445</v>
      </c>
      <c r="N287" s="8" t="e">
        <f>((C$251*H287)+(C$251*I287)+(SUM(C$254:C$257,C$262:C$264)*J287)+(SUM(C$260:C$261,C$266:C$286))+(SUM(C$258:C$259,C$265)*#REF!))*(K287*L287)</f>
        <v>#VALUE!</v>
      </c>
      <c r="O287" t="s">
        <v>538</v>
      </c>
    </row>
    <row r="288" spans="3:15" x14ac:dyDescent="0.2">
      <c r="C288" s="18"/>
      <c r="D288" s="242"/>
      <c r="E288" t="s">
        <v>325</v>
      </c>
      <c r="F288" s="100">
        <v>1.6000000000000001E-3</v>
      </c>
      <c r="G288" t="s">
        <v>362</v>
      </c>
      <c r="H288">
        <v>7.2100000000000003E-3</v>
      </c>
      <c r="I288">
        <v>1.2700000000000001E-3</v>
      </c>
      <c r="J288">
        <v>5.33E-2</v>
      </c>
      <c r="K288">
        <f>PSI_OC!$A$6</f>
        <v>100</v>
      </c>
      <c r="L288">
        <v>-1</v>
      </c>
      <c r="M288" t="s">
        <v>446</v>
      </c>
      <c r="N288" s="8" t="e">
        <f>((C$251*H288)+(C$251*I288)+(SUM(C$254:C$257,C$262:C$264)*J288)+(SUM(C$260:C$261,C$266:C$286))+(SUM(C$258:C$259,C$265)*#REF!))*(K288*L288)</f>
        <v>#VALUE!</v>
      </c>
      <c r="O288" t="s">
        <v>538</v>
      </c>
    </row>
    <row r="289" spans="3:15" x14ac:dyDescent="0.2">
      <c r="C289" s="18"/>
      <c r="D289" s="242"/>
      <c r="E289" t="s">
        <v>254</v>
      </c>
      <c r="F289" s="100">
        <v>1.6000000000000001E-3</v>
      </c>
      <c r="G289" t="s">
        <v>363</v>
      </c>
      <c r="H289">
        <v>7.2059999999999999E-2</v>
      </c>
      <c r="I289">
        <v>1.2700000000000001E-3</v>
      </c>
      <c r="J289">
        <v>5.33E-2</v>
      </c>
      <c r="K289">
        <f>PSI_OC!$A$7</f>
        <v>10</v>
      </c>
      <c r="L289">
        <v>-1</v>
      </c>
      <c r="M289" t="s">
        <v>447</v>
      </c>
      <c r="N289" s="8" t="e">
        <f>((C$251*H289)+(C$251*I289)+(SUM(C$254:C$257,C$262:C$264)*J289)+(SUM(C$260:C$261,C$266:C$286))+(SUM(C$258:C$259,C$265)*#REF!))*(K289*L289)</f>
        <v>#VALUE!</v>
      </c>
      <c r="O289" t="s">
        <v>538</v>
      </c>
    </row>
    <row r="290" spans="3:15" x14ac:dyDescent="0.2">
      <c r="E290" t="s">
        <v>255</v>
      </c>
      <c r="F290" s="100">
        <v>0</v>
      </c>
      <c r="G290" t="s">
        <v>364</v>
      </c>
      <c r="H290">
        <v>7.2100000000000003E-3</v>
      </c>
      <c r="I290">
        <v>0</v>
      </c>
      <c r="J290">
        <v>5.33E-2</v>
      </c>
      <c r="K290">
        <f>PSI_OC!$A$7</f>
        <v>10</v>
      </c>
      <c r="L290">
        <v>-1</v>
      </c>
      <c r="M290" t="s">
        <v>448</v>
      </c>
      <c r="N290" s="8" t="e">
        <f>((C$251*H290)+(C$251*I290)+(SUM(C$254:C$257,C$262:C$264)*J290)+(SUM(C$260:C$261,C$266:C$286))+(SUM(C$258:C$259,C$265)*#REF!))*(K290*L290)</f>
        <v>#VALUE!</v>
      </c>
      <c r="O290" t="s">
        <v>538</v>
      </c>
    </row>
    <row r="291" spans="3:15" x14ac:dyDescent="0.2">
      <c r="E291" t="s">
        <v>256</v>
      </c>
      <c r="F291" s="100">
        <v>1.6000000000000001E-3</v>
      </c>
      <c r="G291" t="s">
        <v>365</v>
      </c>
      <c r="H291">
        <v>0.72057000000000004</v>
      </c>
      <c r="I291">
        <v>1.2700000000000001E-3</v>
      </c>
      <c r="J291">
        <v>53.3048</v>
      </c>
      <c r="K291">
        <f>PSI_OC!$A$7</f>
        <v>10</v>
      </c>
      <c r="L291">
        <v>-1</v>
      </c>
      <c r="M291" t="s">
        <v>449</v>
      </c>
      <c r="N291" s="8" t="e">
        <f>((C$251*H291)+(C$251*I291)+(SUM(C$254:C$257,C$262:C$264)*J291)+(SUM(C$260:C$261,C$266:C$286))+(SUM(C$258:C$259,C$265)*#REF!))*(K291*L291)</f>
        <v>#VALUE!</v>
      </c>
      <c r="O291" t="s">
        <v>538</v>
      </c>
    </row>
    <row r="292" spans="3:15" x14ac:dyDescent="0.2">
      <c r="E292" t="s">
        <v>257</v>
      </c>
      <c r="F292" s="100">
        <v>1.60467</v>
      </c>
      <c r="G292" t="s">
        <v>366</v>
      </c>
      <c r="H292">
        <v>7.2100000000000003E-3</v>
      </c>
      <c r="I292">
        <v>1.26824</v>
      </c>
      <c r="J292">
        <v>0.53305000000000002</v>
      </c>
      <c r="K292">
        <f>PSI_OC!$A$6</f>
        <v>100</v>
      </c>
      <c r="L292">
        <v>-1</v>
      </c>
      <c r="M292" t="s">
        <v>450</v>
      </c>
      <c r="N292" s="8" t="e">
        <f>((C$251*H292)+(C$251*I292)+(SUM(C$254:C$257,C$262:C$264)*J292)+(SUM(C$260:C$261,C$266:C$286))+(SUM(C$258:C$259,C$265)*#REF!))*(K292*L292)</f>
        <v>#VALUE!</v>
      </c>
      <c r="O292" t="s">
        <v>538</v>
      </c>
    </row>
    <row r="293" spans="3:15" x14ac:dyDescent="0.2">
      <c r="E293" t="s">
        <v>258</v>
      </c>
      <c r="F293" s="100">
        <v>0.16047</v>
      </c>
      <c r="G293" t="s">
        <v>367</v>
      </c>
      <c r="H293">
        <v>7.2000000000000005E-4</v>
      </c>
      <c r="I293">
        <v>0.12681999999999999</v>
      </c>
      <c r="J293">
        <v>5.3299999999999997E-3</v>
      </c>
      <c r="K293">
        <f>PSI_OC!$A$6</f>
        <v>100</v>
      </c>
      <c r="L293">
        <v>-1</v>
      </c>
      <c r="M293" t="s">
        <v>451</v>
      </c>
      <c r="N293" s="8" t="e">
        <f>((C$251*H293)+(C$251*I293)+(SUM(C$254:C$257,C$262:C$264)*J293)+(SUM(C$260:C$261,C$266:C$286))+(SUM(C$258:C$259,C$265)*#REF!))*(K293*L293)</f>
        <v>#VALUE!</v>
      </c>
      <c r="O293" t="s">
        <v>538</v>
      </c>
    </row>
    <row r="294" spans="3:15" x14ac:dyDescent="0.2">
      <c r="C294" s="18"/>
      <c r="E294" t="s">
        <v>326</v>
      </c>
      <c r="F294" s="100">
        <v>1.6000000000000001E-3</v>
      </c>
      <c r="G294" t="s">
        <v>365</v>
      </c>
      <c r="H294">
        <v>7.2100000000000003E-3</v>
      </c>
      <c r="I294">
        <v>1.2700000000000001E-3</v>
      </c>
      <c r="J294">
        <v>53.3048</v>
      </c>
      <c r="K294">
        <v>0</v>
      </c>
      <c r="L294">
        <v>0</v>
      </c>
      <c r="M294" t="s">
        <v>449</v>
      </c>
      <c r="N294" s="8" t="e">
        <f>((C$251*H294)+(C$251*I294)+(SUM(C$254:C$257,C$262:C$264)*J294)+(SUM(C$260:C$261,C$266:C$286))+(SUM(C$258:C$259,C$265)*#REF!))*(K294*L294)</f>
        <v>#VALUE!</v>
      </c>
      <c r="O294" t="s">
        <v>538</v>
      </c>
    </row>
    <row r="295" spans="3:15" x14ac:dyDescent="0.2">
      <c r="E295" t="s">
        <v>259</v>
      </c>
      <c r="F295" s="100">
        <v>1.6049999999999998E-2</v>
      </c>
      <c r="G295" t="s">
        <v>368</v>
      </c>
      <c r="H295">
        <v>0.72057000000000004</v>
      </c>
      <c r="I295">
        <v>1.268E-2</v>
      </c>
      <c r="J295">
        <v>0.53305000000000002</v>
      </c>
      <c r="K295">
        <f>PSI_OC!$A$6</f>
        <v>100</v>
      </c>
      <c r="L295">
        <v>-1</v>
      </c>
      <c r="M295" t="s">
        <v>452</v>
      </c>
      <c r="N295" s="8" t="e">
        <f>((C$251*H295)+(C$251*I295)+(SUM(C$254:C$257,C$262:C$264)*J295)+(SUM(C$260:C$261,C$266:C$286))+(SUM(C$258:C$259,C$265)*#REF!))*(K295*L295)</f>
        <v>#VALUE!</v>
      </c>
      <c r="O295" t="s">
        <v>538</v>
      </c>
    </row>
    <row r="296" spans="3:15" x14ac:dyDescent="0.2">
      <c r="E296" t="s">
        <v>260</v>
      </c>
      <c r="F296" s="100">
        <v>0</v>
      </c>
      <c r="G296" t="s">
        <v>368</v>
      </c>
      <c r="H296">
        <v>7.2059999999999999E-2</v>
      </c>
      <c r="I296">
        <v>0</v>
      </c>
      <c r="J296">
        <v>0</v>
      </c>
      <c r="K296">
        <v>0</v>
      </c>
      <c r="L296">
        <v>0</v>
      </c>
      <c r="M296" t="s">
        <v>452</v>
      </c>
      <c r="N296" s="8" t="e">
        <f>((C$251*H296)+(C$251*I296)+(SUM(C$254:C$257,C$262:C$264)*J296)+(SUM(C$260:C$261,C$266:C$286))+(SUM(C$258:C$259,C$265)*#REF!))*(K296*L296)</f>
        <v>#VALUE!</v>
      </c>
      <c r="O296" t="s">
        <v>538</v>
      </c>
    </row>
    <row r="297" spans="3:15" x14ac:dyDescent="0.2">
      <c r="E297" t="s">
        <v>327</v>
      </c>
      <c r="F297" s="100">
        <v>1.6000000000000001E-4</v>
      </c>
      <c r="G297" t="s">
        <v>368</v>
      </c>
      <c r="H297">
        <v>0.72057000000000004</v>
      </c>
      <c r="I297">
        <v>1.2999999999999999E-4</v>
      </c>
      <c r="J297">
        <v>5.3304799999999997</v>
      </c>
      <c r="K297">
        <f>PSI_OC!$A$6</f>
        <v>100</v>
      </c>
      <c r="L297">
        <v>-1</v>
      </c>
      <c r="M297" t="s">
        <v>452</v>
      </c>
      <c r="N297" s="8" t="e">
        <f>((C$251*H297)+(C$251*I297)+(SUM(C$254:C$257,C$262:C$264)*J297)+(SUM(C$260:C$261,C$266:C$286))+(SUM(C$258:C$259,C$265)*#REF!))*(K297*L297)</f>
        <v>#VALUE!</v>
      </c>
      <c r="O297" t="s">
        <v>538</v>
      </c>
    </row>
    <row r="298" spans="3:15" x14ac:dyDescent="0.2">
      <c r="E298" t="s">
        <v>328</v>
      </c>
      <c r="F298" s="100">
        <v>1.6000000000000001E-4</v>
      </c>
      <c r="G298" t="s">
        <v>368</v>
      </c>
      <c r="H298">
        <v>0.72057000000000004</v>
      </c>
      <c r="I298">
        <v>1.2999999999999999E-4</v>
      </c>
      <c r="J298">
        <v>5.3304799999999997</v>
      </c>
      <c r="K298">
        <v>0</v>
      </c>
      <c r="L298">
        <v>0</v>
      </c>
      <c r="M298" t="s">
        <v>452</v>
      </c>
      <c r="N298" s="8" t="e">
        <f>((C$251*H298)+(C$251*I298)+(SUM(C$254:C$257,C$262:C$264)*J298)+(SUM(C$260:C$261,C$266:C$286))+(SUM(C$258:C$259,C$265)*#REF!))*(K298*L298)</f>
        <v>#VALUE!</v>
      </c>
      <c r="O298" t="s">
        <v>538</v>
      </c>
    </row>
    <row r="299" spans="3:15" x14ac:dyDescent="0.2">
      <c r="E299" t="s">
        <v>261</v>
      </c>
      <c r="F299" s="100">
        <v>0.16047</v>
      </c>
      <c r="G299" t="s">
        <v>369</v>
      </c>
      <c r="H299">
        <v>7.2100000000000003E-3</v>
      </c>
      <c r="I299">
        <v>0.12681999999999999</v>
      </c>
      <c r="J299">
        <v>5.3299999999999997E-3</v>
      </c>
      <c r="K299">
        <f>PSI_OC!$A$6</f>
        <v>100</v>
      </c>
      <c r="L299">
        <v>-1</v>
      </c>
      <c r="M299" t="s">
        <v>453</v>
      </c>
      <c r="N299" s="8" t="e">
        <f>((C$251*H299)+(C$251*I299)+(SUM(C$254:C$257,C$262:C$264)*J299)+(SUM(C$260:C$261,C$266:C$286))+(SUM(C$258:C$259,C$265)*#REF!))*(K299*L299)</f>
        <v>#VALUE!</v>
      </c>
      <c r="O299" t="s">
        <v>538</v>
      </c>
    </row>
    <row r="300" spans="3:15" x14ac:dyDescent="0.2">
      <c r="E300" t="s">
        <v>263</v>
      </c>
      <c r="F300" s="100">
        <v>1.6000000000000001E-4</v>
      </c>
      <c r="G300" t="s">
        <v>370</v>
      </c>
      <c r="H300">
        <v>7.2100000000000003E-3</v>
      </c>
      <c r="I300">
        <v>1.2999999999999999E-4</v>
      </c>
      <c r="J300">
        <v>0.53305000000000002</v>
      </c>
      <c r="K300">
        <f>PSI_OC!$A$6</f>
        <v>100</v>
      </c>
      <c r="L300">
        <v>-1</v>
      </c>
      <c r="M300" t="s">
        <v>454</v>
      </c>
      <c r="N300" s="8" t="e">
        <f>((C$251*H300)+(C$251*I300)+(SUM(C$254:C$257,C$262:C$264)*J300)+(SUM(C$260:C$261,C$266:C$286))+(SUM(C$258:C$259,C$265)*#REF!))*(K300*L300)</f>
        <v>#VALUE!</v>
      </c>
      <c r="O300" t="s">
        <v>538</v>
      </c>
    </row>
    <row r="301" spans="3:15" x14ac:dyDescent="0.2">
      <c r="E301" t="s">
        <v>262</v>
      </c>
      <c r="F301" s="100">
        <v>1.6000000000000001E-4</v>
      </c>
      <c r="G301" t="s">
        <v>370</v>
      </c>
      <c r="H301">
        <v>7.2059999999999999E-2</v>
      </c>
      <c r="I301">
        <v>1.2999999999999999E-4</v>
      </c>
      <c r="J301">
        <v>5.3304799999999997</v>
      </c>
      <c r="K301">
        <f>PSI_OC!$A$6</f>
        <v>100</v>
      </c>
      <c r="L301">
        <v>-1</v>
      </c>
      <c r="M301" t="s">
        <v>454</v>
      </c>
      <c r="N301" s="8" t="e">
        <f>((C$251*H301)+(C$251*I301)+(SUM(C$254:C$257,C$262:C$264)*J301)+(SUM(C$260:C$261,C$266:C$286))+(SUM(C$258:C$259,C$265)*#REF!))*(K301*L301)</f>
        <v>#VALUE!</v>
      </c>
      <c r="O301" t="s">
        <v>538</v>
      </c>
    </row>
    <row r="302" spans="3:15" x14ac:dyDescent="0.2">
      <c r="E302" t="s">
        <v>264</v>
      </c>
      <c r="F302" s="100">
        <v>1.6000000000000001E-3</v>
      </c>
      <c r="G302" t="s">
        <v>371</v>
      </c>
      <c r="H302">
        <v>7.2059999999999999E-2</v>
      </c>
      <c r="I302">
        <v>1.2700000000000001E-3</v>
      </c>
      <c r="J302">
        <v>0.53305000000000002</v>
      </c>
      <c r="K302">
        <f>PSI_OC!$A$7</f>
        <v>10</v>
      </c>
      <c r="L302">
        <v>-1</v>
      </c>
      <c r="M302" t="s">
        <v>455</v>
      </c>
      <c r="N302" s="8" t="e">
        <f>((C$251*H302)+(C$251*I302)+(SUM(C$254:C$257,C$262:C$264)*J302)+(SUM(C$260:C$261,C$266:C$286))+(SUM(C$258:C$259,C$265)*#REF!))*(K302*L302)</f>
        <v>#VALUE!</v>
      </c>
      <c r="O302" t="s">
        <v>538</v>
      </c>
    </row>
    <row r="303" spans="3:15" x14ac:dyDescent="0.2">
      <c r="E303" t="s">
        <v>265</v>
      </c>
      <c r="F303" s="100">
        <v>1.6000000000000001E-3</v>
      </c>
      <c r="G303" t="s">
        <v>371</v>
      </c>
      <c r="H303">
        <v>7.2100000000000003E-3</v>
      </c>
      <c r="I303">
        <v>1.2700000000000001E-3</v>
      </c>
      <c r="J303">
        <v>5.33E-2</v>
      </c>
      <c r="K303">
        <f>PSI_OC!$A$7</f>
        <v>10</v>
      </c>
      <c r="L303">
        <v>-1</v>
      </c>
      <c r="M303" t="s">
        <v>455</v>
      </c>
      <c r="N303" s="8" t="e">
        <f>((C$251*H303)+(C$251*I303)+(SUM(C$254:C$257,C$262:C$264)*J303)+(SUM(C$260:C$261,C$266:C$286))+(SUM(C$258:C$259,C$265)*#REF!))*(K303*L303)</f>
        <v>#VALUE!</v>
      </c>
      <c r="O303" t="s">
        <v>538</v>
      </c>
    </row>
    <row r="304" spans="3:15" x14ac:dyDescent="0.2">
      <c r="E304" t="s">
        <v>266</v>
      </c>
      <c r="F304" s="100">
        <v>1.6000000000000001E-3</v>
      </c>
      <c r="G304" t="s">
        <v>371</v>
      </c>
      <c r="H304">
        <v>7.2059999999999999E-2</v>
      </c>
      <c r="I304">
        <v>1.2700000000000001E-3</v>
      </c>
      <c r="J304">
        <v>5.33E-2</v>
      </c>
      <c r="K304">
        <v>0</v>
      </c>
      <c r="L304">
        <v>0</v>
      </c>
      <c r="M304" t="s">
        <v>455</v>
      </c>
      <c r="N304" s="8" t="e">
        <f>((C$251*H304)+(C$251*I304)+(SUM(C$254:C$257,C$262:C$264)*J304)+(SUM(C$260:C$261,C$266:C$286))+(SUM(C$258:C$259,C$265)*#REF!))*(K304*L304)</f>
        <v>#VALUE!</v>
      </c>
      <c r="O304" t="s">
        <v>538</v>
      </c>
    </row>
    <row r="305" spans="5:15" x14ac:dyDescent="0.2">
      <c r="E305" t="s">
        <v>267</v>
      </c>
      <c r="F305" s="100">
        <v>1.6000000000000001E-4</v>
      </c>
      <c r="G305" t="s">
        <v>372</v>
      </c>
      <c r="H305">
        <v>7.2100000000000003E-3</v>
      </c>
      <c r="I305">
        <v>1.2999999999999999E-4</v>
      </c>
      <c r="J305">
        <v>5.33E-2</v>
      </c>
      <c r="K305">
        <v>0</v>
      </c>
      <c r="L305">
        <v>0</v>
      </c>
      <c r="M305" t="s">
        <v>456</v>
      </c>
      <c r="N305" s="8" t="e">
        <f>((C$251*H305)+(C$251*I305)+(SUM(C$254:C$257,C$262:C$264)*J305)+(SUM(C$260:C$261,C$266:C$286))+(SUM(C$258:C$259,C$265)*#REF!))*(K305*L305)</f>
        <v>#VALUE!</v>
      </c>
      <c r="O305" t="s">
        <v>538</v>
      </c>
    </row>
    <row r="306" spans="5:15" x14ac:dyDescent="0.2">
      <c r="E306" t="s">
        <v>329</v>
      </c>
      <c r="F306" s="100">
        <v>0.16047</v>
      </c>
      <c r="G306" s="75" t="s">
        <v>373</v>
      </c>
      <c r="H306">
        <v>7.2100000000000003E-3</v>
      </c>
      <c r="I306">
        <v>0.12681999999999999</v>
      </c>
      <c r="J306">
        <v>0.53305000000000002</v>
      </c>
      <c r="K306">
        <f>PSI_OC!$A$7</f>
        <v>10</v>
      </c>
      <c r="L306">
        <v>-1</v>
      </c>
      <c r="M306" t="s">
        <v>457</v>
      </c>
      <c r="N306" s="8" t="e">
        <f>((C$251*H306)+(C$251*I306)+(SUM(C$254:C$257,C$262:C$264)*J306)+(SUM(C$260:C$261,C$266:C$286))+(SUM(C$258:C$259,C$265)*#REF!))*(K306*L306)</f>
        <v>#VALUE!</v>
      </c>
      <c r="O306" t="s">
        <v>538</v>
      </c>
    </row>
    <row r="307" spans="5:15" x14ac:dyDescent="0.2">
      <c r="E307" t="s">
        <v>314</v>
      </c>
      <c r="F307" s="100">
        <v>1.6000000000000001E-3</v>
      </c>
      <c r="G307" s="75" t="s">
        <v>374</v>
      </c>
      <c r="H307">
        <v>7.2059999999999999E-2</v>
      </c>
      <c r="I307">
        <v>1.2700000000000001E-3</v>
      </c>
      <c r="J307">
        <v>5.33E-2</v>
      </c>
      <c r="K307">
        <f>PSI_OC!$A$7</f>
        <v>10</v>
      </c>
      <c r="L307">
        <v>-1</v>
      </c>
      <c r="M307" t="s">
        <v>458</v>
      </c>
      <c r="N307" s="8" t="e">
        <f>((C$251*H307)+(C$251*I307)+(SUM(C$254:C$257,C$262:C$264)*J307)+(SUM(C$260:C$261,C$266:C$286))+(SUM(C$258:C$259,C$265)*#REF!))*(K307*L307)</f>
        <v>#VALUE!</v>
      </c>
      <c r="O307" t="s">
        <v>538</v>
      </c>
    </row>
    <row r="308" spans="5:15" x14ac:dyDescent="0.2">
      <c r="E308" t="s">
        <v>268</v>
      </c>
      <c r="F308" s="100">
        <v>1.6000000000000001E-3</v>
      </c>
      <c r="G308" s="75" t="s">
        <v>374</v>
      </c>
      <c r="H308">
        <v>7.2059999999999999E-2</v>
      </c>
      <c r="I308">
        <v>1.2700000000000001E-3</v>
      </c>
      <c r="J308">
        <v>5.33E-2</v>
      </c>
      <c r="K308">
        <f>PSI_OC!$A$7</f>
        <v>10</v>
      </c>
      <c r="L308">
        <v>-1</v>
      </c>
      <c r="M308" t="s">
        <v>458</v>
      </c>
      <c r="N308" s="8" t="e">
        <f>((C$251*H308)+(C$251*I308)+(SUM(C$254:C$257,C$262:C$264)*J308)+(SUM(C$260:C$261,C$266:C$286))+(SUM(C$258:C$259,C$265)*#REF!))*(K308*L308)</f>
        <v>#VALUE!</v>
      </c>
      <c r="O308" t="s">
        <v>538</v>
      </c>
    </row>
    <row r="309" spans="5:15" x14ac:dyDescent="0.2">
      <c r="E309" t="s">
        <v>269</v>
      </c>
      <c r="F309" s="100">
        <v>1.6000000000000001E-3</v>
      </c>
      <c r="G309" s="75" t="s">
        <v>374</v>
      </c>
      <c r="H309">
        <v>7.2059999999999999E-2</v>
      </c>
      <c r="I309">
        <v>1.2700000000000001E-3</v>
      </c>
      <c r="J309">
        <v>5.33E-2</v>
      </c>
      <c r="K309">
        <v>0</v>
      </c>
      <c r="L309">
        <v>0</v>
      </c>
      <c r="M309" t="s">
        <v>458</v>
      </c>
      <c r="N309" s="8" t="e">
        <f>((C$251*H309)+(C$251*I309)+(SUM(C$254:C$257,C$262:C$264)*J309)+(SUM(C$260:C$261,C$266:C$286))+(SUM(C$258:C$259,C$265)*#REF!))*(K309*L309)</f>
        <v>#VALUE!</v>
      </c>
      <c r="O309" t="s">
        <v>538</v>
      </c>
    </row>
    <row r="310" spans="5:15" x14ac:dyDescent="0.2">
      <c r="E310" t="s">
        <v>270</v>
      </c>
      <c r="F310" s="100">
        <v>1.6000000000000001E-3</v>
      </c>
      <c r="G310" s="75" t="s">
        <v>375</v>
      </c>
      <c r="H310">
        <v>7.2100000000000003E-3</v>
      </c>
      <c r="I310">
        <v>1.2700000000000001E-3</v>
      </c>
      <c r="J310">
        <v>0.53305000000000002</v>
      </c>
      <c r="K310">
        <f>PSI_OC!$A$6</f>
        <v>100</v>
      </c>
      <c r="L310">
        <v>-1</v>
      </c>
      <c r="M310" t="s">
        <v>459</v>
      </c>
      <c r="N310" s="8" t="e">
        <f>((C$251*H310)+(C$251*I310)+(SUM(C$254:C$257,C$262:C$264)*J310)+(SUM(C$260:C$261,C$266:C$286))+(SUM(C$258:C$259,C$265)*#REF!))*(K310*L310)</f>
        <v>#VALUE!</v>
      </c>
      <c r="O310" t="s">
        <v>538</v>
      </c>
    </row>
    <row r="311" spans="5:15" x14ac:dyDescent="0.2">
      <c r="E311" t="s">
        <v>271</v>
      </c>
      <c r="F311" s="100">
        <v>0.16047</v>
      </c>
      <c r="G311" s="75" t="s">
        <v>376</v>
      </c>
      <c r="H311">
        <v>7.2000000000000005E-4</v>
      </c>
      <c r="I311">
        <v>0.12681999999999999</v>
      </c>
      <c r="J311">
        <v>5.3299999999999997E-3</v>
      </c>
      <c r="K311">
        <v>0</v>
      </c>
      <c r="L311">
        <v>0</v>
      </c>
      <c r="M311" t="s">
        <v>460</v>
      </c>
      <c r="N311" s="8" t="e">
        <f>((C$251*H311)+(C$251*I311)+(SUM(C$254:C$257,C$262:C$264)*J311)+(SUM(C$260:C$261,C$266:C$286))+(SUM(C$258:C$259,C$265)*#REF!))*(K311*L311)</f>
        <v>#VALUE!</v>
      </c>
      <c r="O311" t="s">
        <v>538</v>
      </c>
    </row>
    <row r="312" spans="5:15" x14ac:dyDescent="0.2">
      <c r="E312" t="s">
        <v>272</v>
      </c>
      <c r="F312" s="100">
        <v>1.60467</v>
      </c>
      <c r="G312" t="s">
        <v>377</v>
      </c>
      <c r="H312">
        <v>0.72057000000000004</v>
      </c>
      <c r="I312">
        <v>1.26824</v>
      </c>
      <c r="J312">
        <v>5.33E-2</v>
      </c>
      <c r="K312">
        <v>0</v>
      </c>
      <c r="L312">
        <v>0</v>
      </c>
      <c r="M312" t="s">
        <v>461</v>
      </c>
      <c r="N312" s="8" t="e">
        <f>((C$251*H312)+(C$251*I312)+(SUM(C$254:C$257,C$262:C$264)*J312)+(SUM(C$260:C$261,C$266:C$286))+(SUM(C$258:C$259,C$265)*#REF!))*(K312*L312)</f>
        <v>#VALUE!</v>
      </c>
      <c r="O312" t="s">
        <v>538</v>
      </c>
    </row>
    <row r="313" spans="5:15" x14ac:dyDescent="0.2">
      <c r="E313" t="s">
        <v>273</v>
      </c>
      <c r="F313" s="100">
        <v>1.6000000000000001E-4</v>
      </c>
      <c r="G313" t="s">
        <v>378</v>
      </c>
      <c r="H313">
        <v>7.2056899999999997</v>
      </c>
      <c r="I313">
        <v>1.2999999999999999E-4</v>
      </c>
      <c r="J313">
        <v>53.3048</v>
      </c>
      <c r="K313">
        <f>PSI_OC!$A$7</f>
        <v>10</v>
      </c>
      <c r="L313">
        <v>-1</v>
      </c>
      <c r="M313" t="s">
        <v>462</v>
      </c>
      <c r="N313" s="8" t="e">
        <f>((C$251*H313)+(C$251*I313)+(SUM(C$254:C$257,C$262:C$264)*J313)+(SUM(C$260:C$261,C$266:C$286))+(SUM(C$258:C$259,C$265)*#REF!))*(K313*L313)</f>
        <v>#VALUE!</v>
      </c>
      <c r="O313" t="s">
        <v>538</v>
      </c>
    </row>
    <row r="314" spans="5:15" x14ac:dyDescent="0.2">
      <c r="E314" t="s">
        <v>274</v>
      </c>
      <c r="F314" s="100">
        <v>1.6000000000000001E-4</v>
      </c>
      <c r="G314" t="s">
        <v>379</v>
      </c>
      <c r="H314">
        <v>0.72057000000000004</v>
      </c>
      <c r="I314">
        <v>1.2999999999999999E-4</v>
      </c>
      <c r="J314">
        <v>0.53305000000000002</v>
      </c>
      <c r="K314">
        <v>0</v>
      </c>
      <c r="L314">
        <v>0</v>
      </c>
      <c r="M314" t="s">
        <v>463</v>
      </c>
      <c r="N314" s="8" t="e">
        <f>((C$251*H314)+(C$251*I314)+(SUM(C$254:C$257,C$262:C$264)*J314)+(SUM(C$260:C$261,C$266:C$286))+(SUM(C$258:C$259,C$265)*#REF!))*(K314*L314)</f>
        <v>#VALUE!</v>
      </c>
      <c r="O314" t="s">
        <v>538</v>
      </c>
    </row>
    <row r="315" spans="5:15" x14ac:dyDescent="0.2">
      <c r="E315" t="s">
        <v>275</v>
      </c>
      <c r="F315" s="100">
        <v>1.60467</v>
      </c>
      <c r="G315" t="s">
        <v>377</v>
      </c>
      <c r="H315">
        <v>7.2100000000000003E-3</v>
      </c>
      <c r="I315">
        <v>1.26824</v>
      </c>
      <c r="J315">
        <v>5.3304799999999997</v>
      </c>
      <c r="K315">
        <f>PSI_OC!$A$6</f>
        <v>100</v>
      </c>
      <c r="L315">
        <v>-1</v>
      </c>
      <c r="M315" t="s">
        <v>461</v>
      </c>
      <c r="N315" s="8" t="e">
        <f>((C$251*H315)+(C$251*I315)+(SUM(C$254:C$257,C$262:C$264)*J315)+(SUM(C$260:C$261,C$266:C$286))+(SUM(C$258:C$259,C$265)*#REF!))*(K315*L315)</f>
        <v>#VALUE!</v>
      </c>
      <c r="O315" t="s">
        <v>538</v>
      </c>
    </row>
    <row r="316" spans="5:15" x14ac:dyDescent="0.2">
      <c r="E316" t="s">
        <v>276</v>
      </c>
      <c r="F316" s="100">
        <v>1.60467</v>
      </c>
      <c r="G316" t="s">
        <v>377</v>
      </c>
      <c r="H316">
        <v>7.2100000000000003E-3</v>
      </c>
      <c r="I316">
        <v>1.26824</v>
      </c>
      <c r="J316">
        <v>5.3304799999999997</v>
      </c>
      <c r="K316">
        <f>PSI_OC!$A$6</f>
        <v>100</v>
      </c>
      <c r="L316">
        <v>-1</v>
      </c>
      <c r="M316" t="s">
        <v>461</v>
      </c>
      <c r="N316" s="8" t="e">
        <f>((C$251*H316)+(C$251*I316)+(SUM(C$254:C$257,C$262:C$264)*J316)+(SUM(C$260:C$261,C$266:C$286))+(SUM(C$258:C$259,C$265)*#REF!))*(K316*L316)</f>
        <v>#VALUE!</v>
      </c>
      <c r="O316" t="s">
        <v>538</v>
      </c>
    </row>
    <row r="317" spans="5:15" x14ac:dyDescent="0.2">
      <c r="E317" t="s">
        <v>277</v>
      </c>
      <c r="F317" s="100">
        <v>1.6000000000000001E-3</v>
      </c>
      <c r="G317" t="s">
        <v>380</v>
      </c>
      <c r="H317">
        <v>7.2059999999999999E-2</v>
      </c>
      <c r="I317">
        <v>1.2700000000000001E-3</v>
      </c>
      <c r="J317">
        <v>5.33E-2</v>
      </c>
      <c r="K317">
        <f>PSI_OC!$A$6</f>
        <v>100</v>
      </c>
      <c r="L317">
        <v>-1</v>
      </c>
      <c r="M317" t="s">
        <v>464</v>
      </c>
      <c r="N317" s="8" t="e">
        <f>((C$251*H317)+(C$251*I317)+(SUM(C$254:C$257,C$262:C$264)*J317)+(SUM(C$260:C$261,C$266:C$286))+(SUM(C$258:C$259,C$265)*#REF!))*(K317*L317)</f>
        <v>#VALUE!</v>
      </c>
      <c r="O317" t="s">
        <v>538</v>
      </c>
    </row>
    <row r="318" spans="5:15" x14ac:dyDescent="0.2">
      <c r="E318" t="s">
        <v>278</v>
      </c>
      <c r="F318" s="100">
        <v>1.60467</v>
      </c>
      <c r="G318" t="s">
        <v>381</v>
      </c>
      <c r="H318">
        <v>7.2100000000000003E-3</v>
      </c>
      <c r="I318">
        <v>1.26824</v>
      </c>
      <c r="J318">
        <v>0.53305000000000002</v>
      </c>
      <c r="K318">
        <f>PSI_OC!$A$6</f>
        <v>100</v>
      </c>
      <c r="L318">
        <v>-1</v>
      </c>
      <c r="M318" t="s">
        <v>465</v>
      </c>
      <c r="N318" s="8" t="e">
        <f>((C$251*H318)+(C$251*I318)+(SUM(C$254:C$257,C$262:C$264)*J318)+(SUM(C$260:C$261,C$266:C$286))+(SUM(C$258:C$259,C$265)*#REF!))*(K318*L318)</f>
        <v>#VALUE!</v>
      </c>
      <c r="O318" t="s">
        <v>538</v>
      </c>
    </row>
    <row r="319" spans="5:15" x14ac:dyDescent="0.2">
      <c r="E319" t="s">
        <v>330</v>
      </c>
      <c r="F319" s="100">
        <v>1.6000000000000001E-4</v>
      </c>
      <c r="G319" t="s">
        <v>382</v>
      </c>
      <c r="H319">
        <v>7.2059999999999999E-2</v>
      </c>
      <c r="I319">
        <v>1.2999999999999999E-4</v>
      </c>
      <c r="J319">
        <v>5.3304799999999997</v>
      </c>
      <c r="K319">
        <f>PSI_OC!$A$7</f>
        <v>10</v>
      </c>
      <c r="L319">
        <v>-1</v>
      </c>
      <c r="M319" t="s">
        <v>466</v>
      </c>
      <c r="N319" s="8" t="e">
        <f>((C$251*H319)+(C$251*I319)+(SUM(C$254:C$257,C$262:C$264)*J319)+(SUM(C$260:C$261,C$266:C$286))+(SUM(C$258:C$259,C$265)*#REF!))*(K319*L319)</f>
        <v>#VALUE!</v>
      </c>
      <c r="O319" t="s">
        <v>538</v>
      </c>
    </row>
    <row r="320" spans="5:15" x14ac:dyDescent="0.2">
      <c r="E320" t="s">
        <v>279</v>
      </c>
      <c r="F320" s="100">
        <v>1.6000000000000001E-4</v>
      </c>
      <c r="G320" t="s">
        <v>382</v>
      </c>
      <c r="H320">
        <v>7.2059999999999999E-2</v>
      </c>
      <c r="I320">
        <v>1.2999999999999999E-4</v>
      </c>
      <c r="J320">
        <v>5.3304799999999997</v>
      </c>
      <c r="K320">
        <f>PSI_OC!$A$7</f>
        <v>10</v>
      </c>
      <c r="L320">
        <v>-1</v>
      </c>
      <c r="M320" t="s">
        <v>466</v>
      </c>
      <c r="N320" s="8" t="e">
        <f>((C$251*H320)+(C$251*I320)+(SUM(C$254:C$257,C$262:C$264)*J320)+(SUM(C$260:C$261,C$266:C$286))+(SUM(C$258:C$259,C$265)*#REF!))*(K320*L320)</f>
        <v>#VALUE!</v>
      </c>
      <c r="O320" t="s">
        <v>538</v>
      </c>
    </row>
    <row r="321" spans="5:15" x14ac:dyDescent="0.2">
      <c r="E321" t="s">
        <v>280</v>
      </c>
      <c r="F321" s="100">
        <v>1.6000000000000001E-4</v>
      </c>
      <c r="G321" t="s">
        <v>382</v>
      </c>
      <c r="H321">
        <v>0.72057000000000004</v>
      </c>
      <c r="I321">
        <v>1.2999999999999999E-4</v>
      </c>
      <c r="J321">
        <v>5.3304799999999997</v>
      </c>
      <c r="K321">
        <v>0</v>
      </c>
      <c r="L321">
        <v>0</v>
      </c>
      <c r="M321" t="s">
        <v>466</v>
      </c>
      <c r="N321" s="8" t="e">
        <f>((C$251*H321)+(C$251*I321)+(SUM(C$254:C$257,C$262:C$264)*J321)+(SUM(C$260:C$261,C$266:C$286))+(SUM(C$258:C$259,C$265)*#REF!))*(K321*L321)</f>
        <v>#VALUE!</v>
      </c>
      <c r="O321" t="s">
        <v>538</v>
      </c>
    </row>
    <row r="322" spans="5:15" x14ac:dyDescent="0.2">
      <c r="E322" t="s">
        <v>331</v>
      </c>
      <c r="F322" s="100">
        <v>1.6049999999999998E-2</v>
      </c>
      <c r="G322" t="s">
        <v>383</v>
      </c>
      <c r="H322">
        <v>7.2000000000000005E-4</v>
      </c>
      <c r="I322">
        <v>1.2700000000000001E-3</v>
      </c>
      <c r="J322">
        <v>5.33E-2</v>
      </c>
      <c r="K322">
        <v>0</v>
      </c>
      <c r="L322">
        <v>0</v>
      </c>
      <c r="M322" t="s">
        <v>467</v>
      </c>
      <c r="N322" s="8" t="e">
        <f>((C$251*H322)+(C$251*I322)+(SUM(C$254:C$257,C$262:C$264)*J322)+(SUM(C$260:C$261,C$266:C$286))+(SUM(C$258:C$259,C$265)*#REF!))*(K322*L322)</f>
        <v>#VALUE!</v>
      </c>
      <c r="O322" t="s">
        <v>538</v>
      </c>
    </row>
    <row r="323" spans="5:15" x14ac:dyDescent="0.2">
      <c r="E323" t="s">
        <v>281</v>
      </c>
      <c r="F323" s="100">
        <v>1.6000000000000001E-4</v>
      </c>
      <c r="G323" t="s">
        <v>384</v>
      </c>
      <c r="H323">
        <v>7.2000000000000005E-4</v>
      </c>
      <c r="I323">
        <v>1.2999999999999999E-4</v>
      </c>
      <c r="J323">
        <v>5.3299999999999997E-3</v>
      </c>
      <c r="K323">
        <f>PSI_OC!$A$7</f>
        <v>10</v>
      </c>
      <c r="L323">
        <v>-1</v>
      </c>
      <c r="M323" t="s">
        <v>468</v>
      </c>
      <c r="N323" s="8" t="e">
        <f>((C$251*H323)+(C$251*I323)+(SUM(C$254:C$257,C$262:C$264)*J323)+(SUM(C$260:C$261,C$266:C$286))+(SUM(C$258:C$259,C$265)*#REF!))*(K323*L323)</f>
        <v>#VALUE!</v>
      </c>
      <c r="O323" t="s">
        <v>538</v>
      </c>
    </row>
    <row r="324" spans="5:15" x14ac:dyDescent="0.2">
      <c r="E324" t="s">
        <v>282</v>
      </c>
      <c r="F324" s="100">
        <v>0.16047</v>
      </c>
      <c r="G324" t="s">
        <v>385</v>
      </c>
      <c r="H324">
        <v>7.2100000000000003E-3</v>
      </c>
      <c r="I324">
        <v>0.12681999999999999</v>
      </c>
      <c r="J324">
        <v>5.3299999999999997E-3</v>
      </c>
      <c r="K324">
        <v>0</v>
      </c>
      <c r="L324">
        <v>0</v>
      </c>
      <c r="M324" t="s">
        <v>469</v>
      </c>
      <c r="N324" s="8" t="e">
        <f>((C$251*H324)+(C$251*I324)+(SUM(C$254:C$257,C$262:C$264)*J324)+(SUM(C$260:C$261,C$266:C$286))+(SUM(C$258:C$259,C$265)*#REF!))*(K324*L324)</f>
        <v>#VALUE!</v>
      </c>
      <c r="O324" t="s">
        <v>538</v>
      </c>
    </row>
    <row r="325" spans="5:15" x14ac:dyDescent="0.2">
      <c r="E325" t="s">
        <v>332</v>
      </c>
      <c r="F325" s="100">
        <v>0.16047</v>
      </c>
      <c r="G325" t="s">
        <v>386</v>
      </c>
      <c r="H325">
        <v>7.2100000000000003E-3</v>
      </c>
      <c r="I325">
        <v>1.268E-2</v>
      </c>
      <c r="J325">
        <v>5.33E-2</v>
      </c>
      <c r="K325">
        <v>0</v>
      </c>
      <c r="L325">
        <v>0</v>
      </c>
      <c r="M325" t="s">
        <v>470</v>
      </c>
      <c r="N325" s="8" t="e">
        <f>((C$251*H325)+(C$251*I325)+(SUM(C$254:C$257,C$262:C$264)*J325)+(SUM(C$260:C$261,C$266:C$286))+(SUM(C$258:C$259,C$265)*#REF!))*(K325*L325)</f>
        <v>#VALUE!</v>
      </c>
      <c r="O325" t="s">
        <v>538</v>
      </c>
    </row>
    <row r="326" spans="5:15" x14ac:dyDescent="0.2">
      <c r="E326" t="s">
        <v>283</v>
      </c>
      <c r="F326" s="100">
        <v>1.6000000000000001E-3</v>
      </c>
      <c r="G326" t="s">
        <v>387</v>
      </c>
      <c r="H326">
        <v>7.2100000000000003E-3</v>
      </c>
      <c r="I326">
        <v>1.2700000000000001E-3</v>
      </c>
      <c r="J326">
        <v>0.53305000000000002</v>
      </c>
      <c r="K326">
        <f>PSI_OC!$A$7</f>
        <v>10</v>
      </c>
      <c r="L326">
        <v>-1</v>
      </c>
      <c r="M326" t="s">
        <v>471</v>
      </c>
      <c r="N326" s="8" t="e">
        <f>((C$251*H326)+(C$251*I326)+(SUM(C$254:C$257,C$262:C$264)*J326)+(SUM(C$260:C$261,C$266:C$286))+(SUM(C$258:C$259,C$265)*#REF!))*(K326*L326)</f>
        <v>#VALUE!</v>
      </c>
      <c r="O326" t="s">
        <v>538</v>
      </c>
    </row>
    <row r="327" spans="5:15" x14ac:dyDescent="0.2">
      <c r="E327" t="s">
        <v>284</v>
      </c>
      <c r="F327" s="100">
        <v>1.6000000000000001E-4</v>
      </c>
      <c r="G327" t="s">
        <v>388</v>
      </c>
      <c r="H327">
        <v>7.2000000000000005E-4</v>
      </c>
      <c r="I327">
        <v>1.2999999999999999E-4</v>
      </c>
      <c r="J327">
        <v>5.3299999999999997E-3</v>
      </c>
      <c r="K327">
        <f>PSI_OC!$A$7</f>
        <v>10</v>
      </c>
      <c r="L327">
        <v>-1</v>
      </c>
      <c r="M327" t="s">
        <v>472</v>
      </c>
      <c r="N327" s="8" t="e">
        <f>((C$251*H327)+(C$251*I327)+(SUM(C$254:C$257,C$262:C$264)*J327)+(SUM(C$260:C$261,C$266:C$286))+(SUM(C$258:C$259,C$265)*#REF!))*(K327*L327)</f>
        <v>#VALUE!</v>
      </c>
      <c r="O327" t="s">
        <v>538</v>
      </c>
    </row>
    <row r="328" spans="5:15" x14ac:dyDescent="0.2">
      <c r="E328" t="s">
        <v>285</v>
      </c>
      <c r="F328" s="100">
        <v>1.6000000000000001E-3</v>
      </c>
      <c r="G328" t="s">
        <v>389</v>
      </c>
      <c r="H328">
        <v>7.2059999999999999E-2</v>
      </c>
      <c r="I328">
        <v>1.2700000000000001E-3</v>
      </c>
      <c r="J328">
        <v>0.53305000000000002</v>
      </c>
      <c r="K328">
        <f>PSI_OC!$A$7</f>
        <v>10</v>
      </c>
      <c r="L328">
        <v>-1</v>
      </c>
      <c r="M328" t="s">
        <v>473</v>
      </c>
      <c r="N328" s="8" t="e">
        <f>((C$251*H328)+(C$251*I328)+(SUM(C$254:C$257,C$262:C$264)*J328)+(SUM(C$260:C$261,C$266:C$286))+(SUM(C$258:C$259,C$265)*#REF!))*(K328*L328)</f>
        <v>#VALUE!</v>
      </c>
      <c r="O328" t="s">
        <v>538</v>
      </c>
    </row>
    <row r="329" spans="5:15" x14ac:dyDescent="0.2">
      <c r="E329" t="s">
        <v>286</v>
      </c>
      <c r="F329" s="100">
        <v>1.6049999999999998E-2</v>
      </c>
      <c r="G329" t="s">
        <v>390</v>
      </c>
      <c r="H329">
        <v>7.2059999999999999E-2</v>
      </c>
      <c r="I329">
        <v>1.268E-2</v>
      </c>
      <c r="J329">
        <v>5.3304799999999997</v>
      </c>
      <c r="K329">
        <f>PSI_OC!$A$6</f>
        <v>100</v>
      </c>
      <c r="L329">
        <v>-1</v>
      </c>
      <c r="M329" t="s">
        <v>474</v>
      </c>
      <c r="N329" s="8" t="e">
        <f>((C$251*H329)+(C$251*I329)+(SUM(C$254:C$257,C$262:C$264)*J329)+(SUM(C$260:C$261,C$266:C$286))+(SUM(C$258:C$259,C$265)*#REF!))*(K329*L329)</f>
        <v>#VALUE!</v>
      </c>
      <c r="O329" t="s">
        <v>538</v>
      </c>
    </row>
    <row r="330" spans="5:15" x14ac:dyDescent="0.2">
      <c r="E330" t="s">
        <v>287</v>
      </c>
      <c r="F330" s="100">
        <v>1.6000000000000001E-3</v>
      </c>
      <c r="G330" t="s">
        <v>391</v>
      </c>
      <c r="H330">
        <v>7.2056899999999997</v>
      </c>
      <c r="I330">
        <v>1.2700000000000001E-3</v>
      </c>
      <c r="J330">
        <v>53.3048</v>
      </c>
      <c r="K330">
        <f>PSI_OC!$A$6</f>
        <v>100</v>
      </c>
      <c r="L330">
        <v>-1</v>
      </c>
      <c r="M330" t="s">
        <v>475</v>
      </c>
      <c r="N330" s="8" t="e">
        <f>((C$251*H330)+(C$251*I330)+(SUM(C$254:C$257,C$262:C$264)*J330)+(SUM(C$260:C$261,C$266:C$286))+(SUM(C$258:C$259,C$265)*#REF!))*(K330*L330)</f>
        <v>#VALUE!</v>
      </c>
      <c r="O330" t="s">
        <v>538</v>
      </c>
    </row>
    <row r="331" spans="5:15" x14ac:dyDescent="0.2">
      <c r="E331" t="s">
        <v>288</v>
      </c>
      <c r="F331" s="100">
        <v>1.6000000000000001E-3</v>
      </c>
      <c r="G331" t="s">
        <v>392</v>
      </c>
      <c r="H331">
        <v>7.2000000000000005E-4</v>
      </c>
      <c r="I331">
        <v>1.2700000000000001E-3</v>
      </c>
      <c r="J331">
        <v>5.3299999999999997E-3</v>
      </c>
      <c r="K331">
        <f>PSI_OC!$A$6</f>
        <v>100</v>
      </c>
      <c r="L331">
        <v>-1</v>
      </c>
      <c r="M331" t="s">
        <v>476</v>
      </c>
      <c r="N331" s="8" t="e">
        <f>((C$251*H331)+(C$251*I331)+(SUM(C$254:C$257,C$262:C$264)*J331)+(SUM(C$260:C$261,C$266:C$286))+(SUM(C$258:C$259,C$265)*#REF!))*(K331*L331)</f>
        <v>#VALUE!</v>
      </c>
      <c r="O331" t="s">
        <v>538</v>
      </c>
    </row>
    <row r="332" spans="5:15" x14ac:dyDescent="0.2">
      <c r="E332" t="s">
        <v>333</v>
      </c>
      <c r="F332" s="100">
        <v>1.6000000000000001E-3</v>
      </c>
      <c r="G332" t="s">
        <v>340</v>
      </c>
      <c r="H332">
        <v>7.2000000000000005E-4</v>
      </c>
      <c r="I332">
        <v>1.2700000000000001E-3</v>
      </c>
      <c r="J332">
        <v>5.3304799999999997</v>
      </c>
      <c r="K332">
        <f>PSI_OC!$A$7</f>
        <v>10</v>
      </c>
      <c r="L332">
        <v>-1</v>
      </c>
      <c r="M332" t="s">
        <v>424</v>
      </c>
      <c r="N332" s="8" t="e">
        <f>((C$251*H332)+(C$251*I332)+(SUM(C$254:C$257,C$262:C$264)*J332)+(SUM(C$260:C$261,C$266:C$286))+(SUM(C$258:C$259,C$265)*#REF!))*(K332*L332)</f>
        <v>#VALUE!</v>
      </c>
      <c r="O332" t="s">
        <v>538</v>
      </c>
    </row>
    <row r="333" spans="5:15" x14ac:dyDescent="0.2">
      <c r="E333" t="s">
        <v>334</v>
      </c>
      <c r="F333" s="100">
        <v>1.6049999999999998E-2</v>
      </c>
      <c r="G333" t="s">
        <v>393</v>
      </c>
      <c r="H333">
        <v>7.2059999999999999E-2</v>
      </c>
      <c r="I333">
        <v>1.268E-2</v>
      </c>
      <c r="J333">
        <v>0.53305000000000002</v>
      </c>
      <c r="K333">
        <v>0</v>
      </c>
      <c r="L333">
        <v>0</v>
      </c>
      <c r="M333" t="s">
        <v>477</v>
      </c>
      <c r="N333" s="8" t="e">
        <f>((C$251*H333)+(C$251*I333)+(SUM(C$254:C$257,C$262:C$264)*J333)+(SUM(C$260:C$261,C$266:C$286))+(SUM(C$258:C$259,C$265)*#REF!))*(K333*L333)</f>
        <v>#VALUE!</v>
      </c>
      <c r="O333" t="s">
        <v>538</v>
      </c>
    </row>
    <row r="334" spans="5:15" x14ac:dyDescent="0.2">
      <c r="E334" t="s">
        <v>335</v>
      </c>
      <c r="F334" s="100">
        <v>1.6000000000000001E-3</v>
      </c>
      <c r="G334" t="s">
        <v>394</v>
      </c>
      <c r="H334">
        <v>7.2100000000000003E-3</v>
      </c>
      <c r="I334">
        <v>1.268E-2</v>
      </c>
      <c r="J334">
        <v>5.33E-2</v>
      </c>
      <c r="K334">
        <f>PSI_OC!$A$7</f>
        <v>10</v>
      </c>
      <c r="L334">
        <v>-1</v>
      </c>
      <c r="M334" t="s">
        <v>478</v>
      </c>
      <c r="N334" s="8" t="e">
        <f>((C$251*H334)+(C$251*I334)+(SUM(C$254:C$257,C$262:C$264)*J334)+(SUM(C$260:C$261,C$266:C$286))+(SUM(C$258:C$259,C$265)*#REF!))*(K334*L334)</f>
        <v>#VALUE!</v>
      </c>
      <c r="O334" t="s">
        <v>538</v>
      </c>
    </row>
    <row r="335" spans="5:15" x14ac:dyDescent="0.2">
      <c r="E335" t="s">
        <v>289</v>
      </c>
      <c r="F335" s="100">
        <v>1.6000000000000001E-3</v>
      </c>
      <c r="G335" t="s">
        <v>395</v>
      </c>
      <c r="H335">
        <v>0.72057000000000004</v>
      </c>
      <c r="I335">
        <v>1.2700000000000001E-3</v>
      </c>
      <c r="J335">
        <v>5.3304799999999997</v>
      </c>
      <c r="K335">
        <f>PSI_OC!$A$7</f>
        <v>10</v>
      </c>
      <c r="L335">
        <v>-1</v>
      </c>
      <c r="M335" t="s">
        <v>479</v>
      </c>
      <c r="N335" s="8" t="e">
        <f>((C$251*H335)+(C$251*I335)+(SUM(C$254:C$257,C$262:C$264)*J335)+(SUM(C$260:C$261,C$266:C$286))+(SUM(C$258:C$259,C$265)*#REF!))*(K335*L335)</f>
        <v>#VALUE!</v>
      </c>
      <c r="O335" t="s">
        <v>538</v>
      </c>
    </row>
    <row r="336" spans="5:15" x14ac:dyDescent="0.2">
      <c r="E336" t="s">
        <v>290</v>
      </c>
      <c r="F336" s="100">
        <v>1.6000000000000001E-4</v>
      </c>
      <c r="G336" t="s">
        <v>396</v>
      </c>
      <c r="H336">
        <v>7.2059999999999999E-2</v>
      </c>
      <c r="I336">
        <v>1.2999999999999999E-4</v>
      </c>
      <c r="J336">
        <v>0.53305000000000002</v>
      </c>
      <c r="K336">
        <f>PSI_OC!$A$7</f>
        <v>10</v>
      </c>
      <c r="L336">
        <v>-1</v>
      </c>
      <c r="M336" t="s">
        <v>480</v>
      </c>
      <c r="N336" s="8" t="e">
        <f>((C$251*H336)+(C$251*I336)+(SUM(C$254:C$257,C$262:C$264)*J336)+(SUM(C$260:C$261,C$266:C$286))+(SUM(C$258:C$259,C$265)*#REF!))*(K336*L336)</f>
        <v>#VALUE!</v>
      </c>
      <c r="O336" t="s">
        <v>538</v>
      </c>
    </row>
    <row r="337" spans="5:15" x14ac:dyDescent="0.2">
      <c r="E337" t="s">
        <v>291</v>
      </c>
      <c r="F337" s="100">
        <v>1.6000000000000001E-4</v>
      </c>
      <c r="G337" t="s">
        <v>397</v>
      </c>
      <c r="H337">
        <v>7.2100000000000003E-3</v>
      </c>
      <c r="I337">
        <v>1.2999999999999999E-4</v>
      </c>
      <c r="J337">
        <v>5.3299999999999997E-3</v>
      </c>
      <c r="K337">
        <f>PSI_OC!$A$8</f>
        <v>1</v>
      </c>
      <c r="L337">
        <v>-1</v>
      </c>
      <c r="M337" t="s">
        <v>481</v>
      </c>
      <c r="N337" s="8" t="e">
        <f>((C$251*H337)+(C$251*I337)+(SUM(C$254:C$257,C$262:C$264)*J337)+(SUM(C$260:C$261,C$266:C$286))+(SUM(C$258:C$259,C$265)*#REF!))*(K337*L337)</f>
        <v>#VALUE!</v>
      </c>
      <c r="O337" t="s">
        <v>538</v>
      </c>
    </row>
    <row r="338" spans="5:15" x14ac:dyDescent="0.2">
      <c r="E338" t="s">
        <v>292</v>
      </c>
      <c r="F338" s="100">
        <v>0.16047</v>
      </c>
      <c r="G338" t="s">
        <v>360</v>
      </c>
      <c r="H338">
        <v>7.2100000000000003E-3</v>
      </c>
      <c r="I338">
        <v>1.268E-2</v>
      </c>
      <c r="J338">
        <v>5.33E-2</v>
      </c>
      <c r="K338">
        <f>PSI_OC!$A$6</f>
        <v>100</v>
      </c>
      <c r="L338">
        <v>-1</v>
      </c>
      <c r="M338" t="s">
        <v>444</v>
      </c>
      <c r="N338" s="8" t="e">
        <f>((C$251*H338)+(C$251*I338)+(SUM(C$254:C$257,C$262:C$264)*J338)+(SUM(C$260:C$261,C$266:C$286))+(SUM(C$258:C$259,C$265)*#REF!))*(K338*L338)</f>
        <v>#VALUE!</v>
      </c>
      <c r="O338" t="s">
        <v>538</v>
      </c>
    </row>
    <row r="339" spans="5:15" x14ac:dyDescent="0.2">
      <c r="E339" t="s">
        <v>293</v>
      </c>
      <c r="F339" s="100">
        <v>1.60467</v>
      </c>
      <c r="G339" t="s">
        <v>398</v>
      </c>
      <c r="H339">
        <v>7.2059999999999999E-2</v>
      </c>
      <c r="I339">
        <v>1.26824</v>
      </c>
      <c r="J339">
        <v>5.33E-2</v>
      </c>
      <c r="K339">
        <f>PSI_OC!$A$7</f>
        <v>10</v>
      </c>
      <c r="L339">
        <v>-1</v>
      </c>
      <c r="M339" t="s">
        <v>482</v>
      </c>
      <c r="N339" s="8" t="e">
        <f>((C$251*H339)+(C$251*I339)+(SUM(C$254:C$257,C$262:C$264)*J339)+(SUM(C$260:C$261,C$266:C$286))+(SUM(C$258:C$259,C$265)*#REF!))*(K339*L339)</f>
        <v>#VALUE!</v>
      </c>
      <c r="O339" t="s">
        <v>538</v>
      </c>
    </row>
    <row r="340" spans="5:15" x14ac:dyDescent="0.2">
      <c r="E340" t="s">
        <v>294</v>
      </c>
      <c r="F340" s="100">
        <v>1.6000000000000001E-4</v>
      </c>
      <c r="G340" t="s">
        <v>399</v>
      </c>
      <c r="H340">
        <v>0.72057000000000004</v>
      </c>
      <c r="I340">
        <v>1.2999999999999999E-4</v>
      </c>
      <c r="J340">
        <v>5.33E-2</v>
      </c>
      <c r="K340">
        <f>PSI_OC!$A$8</f>
        <v>1</v>
      </c>
      <c r="L340">
        <v>-1</v>
      </c>
      <c r="M340" t="s">
        <v>483</v>
      </c>
      <c r="N340" s="8" t="e">
        <f>((C$251*H340)+(C$251*I340)+(SUM(C$254:C$257,C$262:C$264)*J340)+(SUM(C$260:C$261,C$266:C$286))+(SUM(C$258:C$259,C$265)*#REF!))*(K340*L340)</f>
        <v>#VALUE!</v>
      </c>
      <c r="O340" t="s">
        <v>538</v>
      </c>
    </row>
    <row r="341" spans="5:15" x14ac:dyDescent="0.2">
      <c r="E341" t="s">
        <v>336</v>
      </c>
      <c r="F341" s="100">
        <v>1.6000000000000001E-3</v>
      </c>
      <c r="G341" t="s">
        <v>400</v>
      </c>
      <c r="H341">
        <v>7.2056899999999997</v>
      </c>
      <c r="I341">
        <v>1.2700000000000001E-3</v>
      </c>
      <c r="J341">
        <v>5.33E-2</v>
      </c>
      <c r="K341">
        <f>PSI_OC!$A$6</f>
        <v>100</v>
      </c>
      <c r="L341">
        <v>-1</v>
      </c>
      <c r="M341" t="s">
        <v>484</v>
      </c>
      <c r="N341" s="8" t="e">
        <f>((C$251*H341)+(C$251*I341)+(SUM(C$254:C$257,C$262:C$264)*J341)+(SUM(C$260:C$261,C$266:C$286))+(SUM(C$258:C$259,C$265)*#REF!))*(K341*L341)</f>
        <v>#VALUE!</v>
      </c>
      <c r="O341" t="s">
        <v>538</v>
      </c>
    </row>
    <row r="342" spans="5:15" x14ac:dyDescent="0.2">
      <c r="E342" t="s">
        <v>295</v>
      </c>
      <c r="F342" s="100">
        <v>1.6000000000000001E-4</v>
      </c>
      <c r="G342" t="s">
        <v>401</v>
      </c>
      <c r="H342">
        <v>7.2100000000000003E-3</v>
      </c>
      <c r="I342">
        <v>1.2999999999999999E-4</v>
      </c>
      <c r="J342">
        <v>53.3048</v>
      </c>
      <c r="K342">
        <f>PSI_OC!$A$6</f>
        <v>100</v>
      </c>
      <c r="L342">
        <v>-1</v>
      </c>
      <c r="M342" t="s">
        <v>485</v>
      </c>
      <c r="N342" s="8" t="e">
        <f>((C$251*H342)+(C$251*I342)+(SUM(C$254:C$257,C$262:C$264)*J342)+(SUM(C$260:C$261,C$266:C$286))+(SUM(C$258:C$259,C$265)*#REF!))*(K342*L342)</f>
        <v>#VALUE!</v>
      </c>
      <c r="O342" t="s">
        <v>538</v>
      </c>
    </row>
    <row r="343" spans="5:15" x14ac:dyDescent="0.2">
      <c r="E343" t="s">
        <v>296</v>
      </c>
      <c r="F343" s="100">
        <v>1.60467</v>
      </c>
      <c r="G343" t="s">
        <v>402</v>
      </c>
      <c r="H343">
        <v>7.2059999999999999E-2</v>
      </c>
      <c r="I343">
        <v>1.26824</v>
      </c>
      <c r="J343">
        <v>5.33E-2</v>
      </c>
      <c r="K343">
        <f>PSI_OC!$A$7</f>
        <v>10</v>
      </c>
      <c r="L343">
        <v>-1</v>
      </c>
      <c r="M343" t="s">
        <v>486</v>
      </c>
      <c r="N343" s="8" t="e">
        <f>((C$251*H343)+(C$251*I343)+(SUM(C$254:C$257,C$262:C$264)*J343)+(SUM(C$260:C$261,C$266:C$286))+(SUM(C$258:C$259,C$265)*#REF!))*(K343*L343)</f>
        <v>#VALUE!</v>
      </c>
      <c r="O343" t="s">
        <v>538</v>
      </c>
    </row>
    <row r="344" spans="5:15" x14ac:dyDescent="0.2">
      <c r="E344" t="s">
        <v>297</v>
      </c>
      <c r="F344" s="100">
        <v>1.6000000000000001E-4</v>
      </c>
      <c r="G344" t="s">
        <v>403</v>
      </c>
      <c r="H344">
        <v>0.72057000000000004</v>
      </c>
      <c r="I344">
        <v>1.2999999999999999E-4</v>
      </c>
      <c r="J344">
        <v>0.53305000000000002</v>
      </c>
      <c r="K344">
        <f>PSI_OC!$A$7</f>
        <v>10</v>
      </c>
      <c r="L344">
        <v>-1</v>
      </c>
      <c r="M344" t="s">
        <v>487</v>
      </c>
      <c r="N344" s="8" t="e">
        <f>((C$251*H344)+(C$251*I344)+(SUM(C$254:C$257,C$262:C$264)*J344)+(SUM(C$260:C$261,C$266:C$286))+(SUM(C$258:C$259,C$265)*#REF!))*(K344*L344)</f>
        <v>#VALUE!</v>
      </c>
      <c r="O344" t="s">
        <v>538</v>
      </c>
    </row>
    <row r="345" spans="5:15" x14ac:dyDescent="0.2">
      <c r="E345" t="s">
        <v>298</v>
      </c>
      <c r="F345" s="100">
        <v>0.16047</v>
      </c>
      <c r="G345" t="s">
        <v>394</v>
      </c>
      <c r="H345">
        <v>7.2059999999999999E-2</v>
      </c>
      <c r="I345">
        <v>1.2700000000000001E-3</v>
      </c>
      <c r="J345">
        <v>5.3299999999999997E-3</v>
      </c>
      <c r="K345">
        <f>PSI_OC!$A$7</f>
        <v>10</v>
      </c>
      <c r="L345">
        <v>-1</v>
      </c>
      <c r="M345" t="s">
        <v>478</v>
      </c>
      <c r="N345" s="8" t="e">
        <f>((C$251*H345)+(C$251*I345)+(SUM(C$254:C$257,C$262:C$264)*J345)+(SUM(C$260:C$261,C$266:C$286))+(SUM(C$258:C$259,C$265)*#REF!))*(K345*L345)</f>
        <v>#VALUE!</v>
      </c>
      <c r="O345" t="s">
        <v>538</v>
      </c>
    </row>
    <row r="346" spans="5:15" x14ac:dyDescent="0.2">
      <c r="E346" t="s">
        <v>299</v>
      </c>
      <c r="F346" s="100">
        <v>1.6000000000000001E-4</v>
      </c>
      <c r="G346" t="s">
        <v>404</v>
      </c>
      <c r="H346">
        <v>7.2000000000000005E-4</v>
      </c>
      <c r="I346">
        <v>1.2999999999999999E-4</v>
      </c>
      <c r="J346">
        <v>5.3299999999999997E-3</v>
      </c>
      <c r="K346">
        <f>PSI_OC!$A$7</f>
        <v>10</v>
      </c>
      <c r="L346">
        <v>-1</v>
      </c>
      <c r="M346" t="s">
        <v>488</v>
      </c>
      <c r="N346" s="8" t="e">
        <f>((C$251*H346)+(C$251*I346)+(SUM(C$254:C$257,C$262:C$264)*J346)+(SUM(C$260:C$261,C$266:C$286))+(SUM(C$258:C$259,C$265)*#REF!))*(K346*L346)</f>
        <v>#VALUE!</v>
      </c>
      <c r="O346" t="s">
        <v>538</v>
      </c>
    </row>
    <row r="347" spans="5:15" x14ac:dyDescent="0.2">
      <c r="E347" t="s">
        <v>300</v>
      </c>
      <c r="F347" s="100">
        <v>0.16047</v>
      </c>
      <c r="G347" t="s">
        <v>405</v>
      </c>
      <c r="H347">
        <v>7.2059999999999999E-2</v>
      </c>
      <c r="I347">
        <v>0.12681999999999999</v>
      </c>
      <c r="J347">
        <v>5.3299999999999997E-3</v>
      </c>
      <c r="K347">
        <f>PSI_OC!$A$7</f>
        <v>10</v>
      </c>
      <c r="L347">
        <v>-1</v>
      </c>
      <c r="M347" t="s">
        <v>489</v>
      </c>
      <c r="N347" s="8" t="e">
        <f>((C$251*H347)+(C$251*I347)+(SUM(C$254:C$257,C$262:C$264)*J347)+(SUM(C$260:C$261,C$266:C$286))+(SUM(C$258:C$259,C$265)*#REF!))*(K347*L347)</f>
        <v>#VALUE!</v>
      </c>
      <c r="O347" t="s">
        <v>538</v>
      </c>
    </row>
    <row r="348" spans="5:15" x14ac:dyDescent="0.2">
      <c r="E348" t="s">
        <v>301</v>
      </c>
      <c r="F348" s="100">
        <v>1.6000000000000001E-3</v>
      </c>
      <c r="G348" t="s">
        <v>406</v>
      </c>
      <c r="H348">
        <v>0.72057000000000004</v>
      </c>
      <c r="I348">
        <v>1.2700000000000001E-3</v>
      </c>
      <c r="J348">
        <v>53.3048</v>
      </c>
      <c r="K348">
        <f>PSI_OC!$A$6</f>
        <v>100</v>
      </c>
      <c r="L348">
        <v>-1</v>
      </c>
      <c r="M348" t="s">
        <v>490</v>
      </c>
      <c r="N348" s="8" t="e">
        <f>((C$251*H348)+(C$251*I348)+(SUM(C$254:C$257,C$262:C$264)*J348)+(SUM(C$260:C$261,C$266:C$286))+(SUM(C$258:C$259,C$265)*#REF!))*(K348*L348)</f>
        <v>#VALUE!</v>
      </c>
      <c r="O348" t="s">
        <v>538</v>
      </c>
    </row>
    <row r="349" spans="5:15" x14ac:dyDescent="0.2">
      <c r="E349" t="s">
        <v>302</v>
      </c>
      <c r="F349" s="100">
        <v>1.6000000000000001E-3</v>
      </c>
      <c r="G349" t="s">
        <v>407</v>
      </c>
      <c r="H349">
        <v>7.2000000000000005E-4</v>
      </c>
      <c r="I349">
        <v>1.2700000000000001E-3</v>
      </c>
      <c r="J349">
        <v>5.33E-2</v>
      </c>
      <c r="K349">
        <f>PSI_OC!$A$6</f>
        <v>100</v>
      </c>
      <c r="L349">
        <v>-1</v>
      </c>
      <c r="M349" t="s">
        <v>491</v>
      </c>
      <c r="N349" s="8" t="e">
        <f>((C$251*H349)+(C$251*I349)+(SUM(C$254:C$257,C$262:C$264)*J349)+(SUM(C$260:C$261,C$266:C$286))+(SUM(C$258:C$259,C$265)*#REF!))*(K349*L349)</f>
        <v>#VALUE!</v>
      </c>
      <c r="O349" t="s">
        <v>538</v>
      </c>
    </row>
    <row r="350" spans="5:15" x14ac:dyDescent="0.2">
      <c r="E350" t="s">
        <v>303</v>
      </c>
      <c r="F350" s="100">
        <v>1.6000000000000001E-3</v>
      </c>
      <c r="G350" t="s">
        <v>408</v>
      </c>
      <c r="H350">
        <v>0.72057000000000004</v>
      </c>
      <c r="I350">
        <v>1.2700000000000001E-3</v>
      </c>
      <c r="J350">
        <v>0.53305000000000002</v>
      </c>
      <c r="K350">
        <f>PSI_OC!$A$7</f>
        <v>10</v>
      </c>
      <c r="L350">
        <v>-1</v>
      </c>
      <c r="M350" t="s">
        <v>492</v>
      </c>
      <c r="N350" s="8" t="e">
        <f>((C$251*H350)+(C$251*I350)+(SUM(C$254:C$257,C$262:C$264)*J350)+(SUM(C$260:C$261,C$266:C$286))+(SUM(C$258:C$259,C$265)*#REF!))*(K350*L350)</f>
        <v>#VALUE!</v>
      </c>
      <c r="O350" t="s">
        <v>538</v>
      </c>
    </row>
    <row r="351" spans="5:15" x14ac:dyDescent="0.2">
      <c r="E351" t="s">
        <v>304</v>
      </c>
      <c r="F351" s="100">
        <v>1.60467</v>
      </c>
      <c r="G351" t="s">
        <v>409</v>
      </c>
      <c r="H351">
        <v>7.2000000000000005E-4</v>
      </c>
      <c r="I351">
        <v>1.26824</v>
      </c>
      <c r="J351">
        <v>53.3048</v>
      </c>
      <c r="K351">
        <f>PSI_OC!$A$6</f>
        <v>100</v>
      </c>
      <c r="L351">
        <v>-1</v>
      </c>
      <c r="M351" t="s">
        <v>493</v>
      </c>
      <c r="N351" s="8" t="e">
        <f>((C$251*H351)+(C$251*I351)+(SUM(C$254:C$257,C$262:C$264)*J351)+(SUM(C$260:C$261,C$266:C$286))+(SUM(C$258:C$259,C$265)*#REF!))*(K351*L351)</f>
        <v>#VALUE!</v>
      </c>
      <c r="O351" t="s">
        <v>538</v>
      </c>
    </row>
    <row r="352" spans="5:15" x14ac:dyDescent="0.2">
      <c r="E352" t="s">
        <v>305</v>
      </c>
      <c r="F352" s="100">
        <v>1.6000000000000001E-3</v>
      </c>
      <c r="G352" t="s">
        <v>410</v>
      </c>
      <c r="H352">
        <v>7.2100000000000003E-3</v>
      </c>
      <c r="I352">
        <v>1.2700000000000001E-3</v>
      </c>
      <c r="J352">
        <v>5.33E-2</v>
      </c>
      <c r="K352">
        <f>PSI_OC!$A$7</f>
        <v>10</v>
      </c>
      <c r="L352">
        <v>-1</v>
      </c>
      <c r="M352" t="s">
        <v>494</v>
      </c>
      <c r="N352" s="8" t="e">
        <f>((C$251*H352)+(C$251*I352)+(SUM(C$254:C$257,C$262:C$264)*J352)+(SUM(C$260:C$261,C$266:C$286))+(SUM(C$258:C$259,C$265)*#REF!))*(K352*L352)</f>
        <v>#VALUE!</v>
      </c>
      <c r="O352" t="s">
        <v>538</v>
      </c>
    </row>
    <row r="353" spans="5:15" x14ac:dyDescent="0.2">
      <c r="E353" t="s">
        <v>306</v>
      </c>
      <c r="F353" s="100">
        <v>1.6049999999999998E-2</v>
      </c>
      <c r="G353" t="s">
        <v>411</v>
      </c>
      <c r="H353">
        <v>7.2100000000000003E-3</v>
      </c>
      <c r="I353">
        <v>1.2700000000000001E-3</v>
      </c>
      <c r="J353">
        <v>5.33E-2</v>
      </c>
      <c r="K353">
        <f>PSI_OC!$A$8</f>
        <v>1</v>
      </c>
      <c r="L353">
        <v>-1</v>
      </c>
      <c r="M353" t="s">
        <v>495</v>
      </c>
      <c r="N353" s="8" t="e">
        <f>((C$251*H353)+(C$251*I353)+(SUM(C$254:C$257,C$262:C$264)*J353)+(SUM(C$260:C$261,C$266:C$286))+(SUM(C$258:C$259,C$265)*#REF!))*(K353*L353)</f>
        <v>#VALUE!</v>
      </c>
      <c r="O353" t="s">
        <v>538</v>
      </c>
    </row>
    <row r="354" spans="5:15" x14ac:dyDescent="0.2">
      <c r="E354" t="s">
        <v>307</v>
      </c>
      <c r="F354" s="100">
        <v>1.6049999999999998E-2</v>
      </c>
      <c r="G354" t="s">
        <v>411</v>
      </c>
      <c r="H354">
        <v>7.2056899999999997</v>
      </c>
      <c r="I354">
        <v>1.2700000000000001E-3</v>
      </c>
      <c r="J354">
        <v>5.33E-2</v>
      </c>
      <c r="K354">
        <f>PSI_OC!$A$8</f>
        <v>1</v>
      </c>
      <c r="L354">
        <v>-1</v>
      </c>
      <c r="M354" t="s">
        <v>495</v>
      </c>
      <c r="N354" s="8" t="e">
        <f>((C$251*H354)+(C$251*I354)+(SUM(C$254:C$257,C$262:C$264)*J354)+(SUM(C$260:C$261,C$266:C$286))+(SUM(C$258:C$259,C$265)*#REF!))*(K354*L354)</f>
        <v>#VALUE!</v>
      </c>
      <c r="O354" t="s">
        <v>538</v>
      </c>
    </row>
    <row r="355" spans="5:15" x14ac:dyDescent="0.2">
      <c r="E355" t="s">
        <v>337</v>
      </c>
      <c r="F355" s="100">
        <v>1.6049999999999998E-2</v>
      </c>
      <c r="G355" t="s">
        <v>412</v>
      </c>
      <c r="H355">
        <v>7.2059999999999999E-2</v>
      </c>
      <c r="I355">
        <v>0.12681999999999999</v>
      </c>
      <c r="J355">
        <v>53.3048</v>
      </c>
      <c r="K355">
        <v>0</v>
      </c>
      <c r="L355">
        <v>0</v>
      </c>
      <c r="M355" t="s">
        <v>496</v>
      </c>
      <c r="N355" s="8" t="e">
        <f>((C$251*H355)+(C$251*I355)+(SUM(C$254:C$257,C$262:C$264)*J355)+(SUM(C$260:C$261,C$266:C$286))+(SUM(C$258:C$259,C$265)*#REF!))*(K355*L355)</f>
        <v>#VALUE!</v>
      </c>
      <c r="O355" t="s">
        <v>538</v>
      </c>
    </row>
    <row r="356" spans="5:15" x14ac:dyDescent="0.2">
      <c r="E356" t="s">
        <v>308</v>
      </c>
      <c r="F356" s="100">
        <v>1.6000000000000001E-3</v>
      </c>
      <c r="G356" t="s">
        <v>413</v>
      </c>
      <c r="H356">
        <v>7.2059999999999999E-2</v>
      </c>
      <c r="I356">
        <v>1.2700000000000001E-3</v>
      </c>
      <c r="J356">
        <v>5.3299999999999997E-3</v>
      </c>
      <c r="K356">
        <f>PSI_OC!$A$7</f>
        <v>10</v>
      </c>
      <c r="L356">
        <v>-1</v>
      </c>
      <c r="M356" t="s">
        <v>497</v>
      </c>
      <c r="N356" s="8" t="e">
        <f>((C$251*H356)+(C$251*I356)+(SUM(C$254:C$257,C$262:C$264)*J356)+(SUM(C$260:C$261,C$266:C$286))+(SUM(C$258:C$259,C$265)*#REF!))*(K356*L356)</f>
        <v>#VALUE!</v>
      </c>
      <c r="O356" t="s">
        <v>538</v>
      </c>
    </row>
    <row r="357" spans="5:15" x14ac:dyDescent="0.2">
      <c r="E357" t="s">
        <v>309</v>
      </c>
      <c r="F357" s="100">
        <v>1.6000000000000001E-3</v>
      </c>
      <c r="G357" t="s">
        <v>413</v>
      </c>
      <c r="H357">
        <v>7.2059999999999999E-2</v>
      </c>
      <c r="I357">
        <v>1.2700000000000001E-3</v>
      </c>
      <c r="J357">
        <v>5.3299999999999997E-3</v>
      </c>
      <c r="K357">
        <f>PSI_OC!$A$7</f>
        <v>10</v>
      </c>
      <c r="L357">
        <v>-1</v>
      </c>
      <c r="M357" t="s">
        <v>497</v>
      </c>
      <c r="N357" s="8" t="e">
        <f>((C$251*H357)+(C$251*I357)+(SUM(C$254:C$257,C$262:C$264)*J357)+(SUM(C$260:C$261,C$266:C$286))+(SUM(C$258:C$259,C$265)*#REF!))*(K357*L357)</f>
        <v>#VALUE!</v>
      </c>
      <c r="O357" t="s">
        <v>538</v>
      </c>
    </row>
    <row r="358" spans="5:15" x14ac:dyDescent="0.2">
      <c r="E358" t="s">
        <v>310</v>
      </c>
      <c r="F358" s="100">
        <v>1.6000000000000001E-3</v>
      </c>
      <c r="G358" t="s">
        <v>413</v>
      </c>
      <c r="H358">
        <v>7.2100000000000003E-3</v>
      </c>
      <c r="I358">
        <v>1.2700000000000001E-3</v>
      </c>
      <c r="J358">
        <v>5.3299999999999997E-3</v>
      </c>
      <c r="K358">
        <v>0</v>
      </c>
      <c r="L358">
        <v>0</v>
      </c>
      <c r="M358" t="s">
        <v>497</v>
      </c>
      <c r="N358" s="8" t="e">
        <f>((C$251*H358)+(C$251*I358)+(SUM(C$254:C$257,C$262:C$264)*J358)+(SUM(C$260:C$261,C$266:C$286))+(SUM(C$258:C$259,C$265)*#REF!))*(K358*L358)</f>
        <v>#VALUE!</v>
      </c>
      <c r="O358" t="s">
        <v>538</v>
      </c>
    </row>
    <row r="359" spans="5:15" x14ac:dyDescent="0.2">
      <c r="E359" t="s">
        <v>311</v>
      </c>
      <c r="F359" s="100">
        <v>1.6000000000000001E-3</v>
      </c>
      <c r="G359" t="s">
        <v>414</v>
      </c>
      <c r="H359">
        <v>0.19017999999999999</v>
      </c>
      <c r="I359">
        <v>1.2700000000000001E-3</v>
      </c>
      <c r="J359">
        <v>5.33E-2</v>
      </c>
      <c r="K359">
        <f>PSI_OC!$A$7</f>
        <v>10</v>
      </c>
      <c r="L359">
        <v>-1</v>
      </c>
      <c r="M359" t="s">
        <v>498</v>
      </c>
      <c r="N359" s="8" t="e">
        <f>((C$251*H359)+(C$251*I359)+(SUM(C$254:C$257,C$262:C$264)*J359)+(SUM(C$260:C$261,C$266:C$286))+(SUM(C$258:C$259,C$265)*#REF!))*(K359*L359)</f>
        <v>#VALUE!</v>
      </c>
      <c r="O359" t="s">
        <v>538</v>
      </c>
    </row>
  </sheetData>
  <mergeCells count="34">
    <mergeCell ref="K251:M252"/>
    <mergeCell ref="N251:O252"/>
    <mergeCell ref="D137:D139"/>
    <mergeCell ref="E137:G137"/>
    <mergeCell ref="E138:G138"/>
    <mergeCell ref="E252:G252"/>
    <mergeCell ref="A249:S250"/>
    <mergeCell ref="A251:A253"/>
    <mergeCell ref="B251:B253"/>
    <mergeCell ref="C251:C253"/>
    <mergeCell ref="D251:D253"/>
    <mergeCell ref="E251:G251"/>
    <mergeCell ref="P251:Q252"/>
    <mergeCell ref="A135:S136"/>
    <mergeCell ref="A137:A139"/>
    <mergeCell ref="B137:B139"/>
    <mergeCell ref="C137:C139"/>
    <mergeCell ref="C23:C25"/>
    <mergeCell ref="L137:N138"/>
    <mergeCell ref="W1:AH2"/>
    <mergeCell ref="AJ1:AQ2"/>
    <mergeCell ref="W3:AC4"/>
    <mergeCell ref="AD3:AH4"/>
    <mergeCell ref="AJ3:AM4"/>
    <mergeCell ref="AN3:AQ4"/>
    <mergeCell ref="A1:T2"/>
    <mergeCell ref="A18:U19"/>
    <mergeCell ref="A21:S22"/>
    <mergeCell ref="A23:A25"/>
    <mergeCell ref="B23:B25"/>
    <mergeCell ref="D23:D25"/>
    <mergeCell ref="E23:G23"/>
    <mergeCell ref="B4:D4"/>
    <mergeCell ref="L23:N24"/>
  </mergeCells>
  <pageMargins left="0.7" right="0.7" top="0.75" bottom="0.75" header="0.3" footer="0.3"/>
  <pageSetup orientation="portrait" horizontalDpi="0" verticalDpi="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8DBD-0109-FE4B-BA7E-DDDC2F87A3DE}">
  <sheetPr codeName="Sheet5"/>
  <dimension ref="A1:AV356"/>
  <sheetViews>
    <sheetView workbookViewId="0">
      <selection activeCell="AU12" sqref="AU12"/>
    </sheetView>
  </sheetViews>
  <sheetFormatPr baseColWidth="10" defaultRowHeight="15" x14ac:dyDescent="0.2"/>
  <cols>
    <col min="1" max="1" width="42.33203125" customWidth="1"/>
    <col min="2" max="3" width="17.6640625" customWidth="1"/>
    <col min="4" max="4" width="31" customWidth="1"/>
    <col min="5" max="5" width="28.5" customWidth="1"/>
    <col min="6" max="6" width="13.33203125" customWidth="1"/>
    <col min="7" max="7" width="23.1640625" customWidth="1"/>
    <col min="15" max="15" width="21.83203125" customWidth="1"/>
    <col min="17" max="17" width="15" customWidth="1"/>
    <col min="19" max="19" width="16.83203125" bestFit="1" customWidth="1"/>
    <col min="32" max="32" width="22.5" customWidth="1"/>
    <col min="33" max="33" width="23.1640625" customWidth="1"/>
    <col min="34" max="34" width="19.83203125" bestFit="1" customWidth="1"/>
    <col min="45" max="45" width="22" customWidth="1"/>
    <col min="46" max="46" width="23.6640625" customWidth="1"/>
    <col min="47" max="47" width="12.5" customWidth="1"/>
  </cols>
  <sheetData>
    <row r="1" spans="1:48" ht="15" customHeight="1" x14ac:dyDescent="0.2">
      <c r="A1" s="317" t="s">
        <v>315</v>
      </c>
      <c r="B1" s="317"/>
      <c r="C1" s="317"/>
      <c r="D1" s="317"/>
      <c r="E1" s="317"/>
      <c r="F1" s="317"/>
      <c r="G1" s="317"/>
      <c r="H1" s="317"/>
      <c r="I1" s="317"/>
      <c r="J1" s="317"/>
      <c r="K1" s="317"/>
      <c r="L1" s="317"/>
      <c r="M1" s="317"/>
      <c r="N1" s="317"/>
      <c r="O1" s="317"/>
      <c r="P1" s="317"/>
      <c r="Q1" s="317"/>
      <c r="R1" s="317"/>
      <c r="S1" s="317"/>
      <c r="T1" s="317"/>
      <c r="U1" s="317"/>
      <c r="X1" s="357" t="s">
        <v>1012</v>
      </c>
      <c r="Y1" s="357"/>
      <c r="Z1" s="357"/>
      <c r="AA1" s="357"/>
      <c r="AB1" s="357"/>
      <c r="AC1" s="357"/>
      <c r="AD1" s="357"/>
      <c r="AE1" s="357"/>
      <c r="AF1" s="357"/>
      <c r="AG1" s="357"/>
      <c r="AH1" s="357"/>
      <c r="AI1" s="357"/>
      <c r="AK1" s="357" t="s">
        <v>1017</v>
      </c>
      <c r="AL1" s="357"/>
      <c r="AM1" s="357"/>
      <c r="AN1" s="357"/>
      <c r="AO1" s="357"/>
      <c r="AP1" s="357"/>
      <c r="AQ1" s="357"/>
      <c r="AR1" s="357"/>
      <c r="AS1" s="357"/>
      <c r="AT1" s="357"/>
      <c r="AU1" s="357"/>
      <c r="AV1" s="357"/>
    </row>
    <row r="2" spans="1:48" ht="15" customHeight="1" x14ac:dyDescent="0.2">
      <c r="A2" s="317"/>
      <c r="B2" s="317"/>
      <c r="C2" s="317"/>
      <c r="D2" s="317"/>
      <c r="E2" s="317"/>
      <c r="F2" s="317"/>
      <c r="G2" s="317"/>
      <c r="H2" s="317"/>
      <c r="I2" s="317"/>
      <c r="J2" s="317"/>
      <c r="K2" s="317"/>
      <c r="L2" s="317"/>
      <c r="M2" s="317"/>
      <c r="N2" s="317"/>
      <c r="O2" s="317"/>
      <c r="P2" s="317"/>
      <c r="Q2" s="317"/>
      <c r="R2" s="317"/>
      <c r="S2" s="317"/>
      <c r="T2" s="317"/>
      <c r="U2" s="317"/>
      <c r="X2" s="357"/>
      <c r="Y2" s="357"/>
      <c r="Z2" s="357"/>
      <c r="AA2" s="357"/>
      <c r="AB2" s="357"/>
      <c r="AC2" s="357"/>
      <c r="AD2" s="357"/>
      <c r="AE2" s="357"/>
      <c r="AF2" s="357"/>
      <c r="AG2" s="357"/>
      <c r="AH2" s="357"/>
      <c r="AI2" s="357"/>
      <c r="AK2" s="357"/>
      <c r="AL2" s="357"/>
      <c r="AM2" s="357"/>
      <c r="AN2" s="357"/>
      <c r="AO2" s="357"/>
      <c r="AP2" s="357"/>
      <c r="AQ2" s="357"/>
      <c r="AR2" s="357"/>
      <c r="AS2" s="357"/>
      <c r="AT2" s="357"/>
      <c r="AU2" s="357"/>
      <c r="AV2" s="357"/>
    </row>
    <row r="3" spans="1:48" ht="13" customHeight="1" x14ac:dyDescent="0.2">
      <c r="B3" s="56"/>
      <c r="C3" s="56"/>
      <c r="D3" s="56"/>
      <c r="E3" s="56"/>
      <c r="F3" s="56"/>
      <c r="X3" s="510" t="s">
        <v>1084</v>
      </c>
      <c r="Y3" s="510"/>
      <c r="Z3" s="510"/>
      <c r="AA3" s="510"/>
      <c r="AB3" s="510"/>
      <c r="AC3" s="510"/>
      <c r="AD3" s="510"/>
      <c r="AE3" s="356" t="s">
        <v>1014</v>
      </c>
      <c r="AF3" s="356"/>
      <c r="AG3" s="356"/>
      <c r="AH3" s="356"/>
      <c r="AI3" s="356"/>
      <c r="AK3" s="510" t="s">
        <v>1084</v>
      </c>
      <c r="AL3" s="510"/>
      <c r="AM3" s="510"/>
      <c r="AN3" s="510"/>
      <c r="AO3" s="510"/>
      <c r="AP3" s="510"/>
      <c r="AQ3" s="510"/>
      <c r="AR3" s="356" t="s">
        <v>1014</v>
      </c>
      <c r="AS3" s="356"/>
      <c r="AT3" s="356"/>
      <c r="AU3" s="356"/>
      <c r="AV3" s="356"/>
    </row>
    <row r="4" spans="1:48" ht="17" customHeight="1" x14ac:dyDescent="0.2">
      <c r="B4" s="495" t="s">
        <v>500</v>
      </c>
      <c r="C4" s="496"/>
      <c r="D4" s="497"/>
      <c r="E4" s="56"/>
      <c r="F4" s="56"/>
      <c r="G4" s="129"/>
      <c r="H4" s="129"/>
      <c r="I4" s="129"/>
      <c r="X4" s="510"/>
      <c r="Y4" s="510"/>
      <c r="Z4" s="510"/>
      <c r="AA4" s="510"/>
      <c r="AB4" s="510"/>
      <c r="AC4" s="510"/>
      <c r="AD4" s="510"/>
      <c r="AE4" s="356"/>
      <c r="AF4" s="356"/>
      <c r="AG4" s="356"/>
      <c r="AH4" s="356"/>
      <c r="AI4" s="356"/>
      <c r="AK4" s="510"/>
      <c r="AL4" s="510"/>
      <c r="AM4" s="510"/>
      <c r="AN4" s="510"/>
      <c r="AO4" s="510"/>
      <c r="AP4" s="510"/>
      <c r="AQ4" s="510"/>
      <c r="AR4" s="356"/>
      <c r="AS4" s="356"/>
      <c r="AT4" s="356"/>
      <c r="AU4" s="356"/>
      <c r="AV4" s="356"/>
    </row>
    <row r="5" spans="1:48" x14ac:dyDescent="0.2">
      <c r="B5" s="83" t="s">
        <v>0</v>
      </c>
      <c r="C5" s="84" t="s">
        <v>3</v>
      </c>
      <c r="D5" s="84" t="s">
        <v>5</v>
      </c>
      <c r="E5" s="56"/>
      <c r="F5" s="56"/>
      <c r="G5" s="129"/>
      <c r="H5" s="129"/>
      <c r="I5" s="129"/>
      <c r="X5" s="109" t="s">
        <v>987</v>
      </c>
      <c r="Y5" s="109" t="s">
        <v>507</v>
      </c>
      <c r="Z5" s="109" t="s">
        <v>663</v>
      </c>
      <c r="AA5" s="109" t="s">
        <v>981</v>
      </c>
      <c r="AB5" s="109" t="s">
        <v>980</v>
      </c>
      <c r="AC5" s="109" t="s">
        <v>915</v>
      </c>
      <c r="AD5" s="109" t="s">
        <v>664</v>
      </c>
      <c r="AF5" s="228" t="s">
        <v>1059</v>
      </c>
      <c r="AG5" s="228" t="s">
        <v>1058</v>
      </c>
      <c r="AH5" s="228" t="s">
        <v>1060</v>
      </c>
      <c r="AI5" s="228" t="s">
        <v>1061</v>
      </c>
      <c r="AK5" s="109" t="s">
        <v>903</v>
      </c>
      <c r="AL5" s="109" t="s">
        <v>137</v>
      </c>
      <c r="AM5" s="109" t="s">
        <v>997</v>
      </c>
      <c r="AN5" s="109" t="s">
        <v>585</v>
      </c>
      <c r="AO5" s="109" t="s">
        <v>995</v>
      </c>
      <c r="AP5" s="109" t="s">
        <v>998</v>
      </c>
      <c r="AQ5" s="109" t="s">
        <v>996</v>
      </c>
      <c r="AS5" s="228" t="s">
        <v>1059</v>
      </c>
      <c r="AT5" s="228" t="s">
        <v>1058</v>
      </c>
      <c r="AU5" s="228" t="s">
        <v>1061</v>
      </c>
    </row>
    <row r="6" spans="1:48" x14ac:dyDescent="0.2">
      <c r="B6" s="238">
        <f>Variables!F4</f>
        <v>100</v>
      </c>
      <c r="C6" s="85" t="s">
        <v>312</v>
      </c>
      <c r="D6" s="85" t="s">
        <v>1020</v>
      </c>
      <c r="E6" s="56"/>
      <c r="F6" s="56"/>
      <c r="H6" s="127"/>
      <c r="I6" s="128"/>
      <c r="X6">
        <f t="shared" ref="X6:X37" si="0">((SUM(B$23:B$31)*F22))*(N22*O22)</f>
        <v>-1058.686886978345</v>
      </c>
      <c r="Y6">
        <f t="shared" ref="Y6:Y37" si="1">(((SUM(B$33:B$37,B$41:B$42,B$45,B$47,B$50,B$52:B$55,B$58:B$63,B$65:B$67,B$69:B$73,B$77,B$79:B$81,B$84:B$85,B$87:B$95,B$97:B$103)*I22)))*(N22*O22)</f>
        <v>-14299.019343781049</v>
      </c>
      <c r="Z6" s="17">
        <f t="shared" ref="Z6:Z37" si="2">((SUM(B$39:B$40,B$76)*K22))*(N22*O22)</f>
        <v>-337.66118650554972</v>
      </c>
      <c r="AA6" s="17">
        <f t="shared" ref="AA6:AA37" si="3">((SUM(B$75,B$83)*J22))*(N22*O22)</f>
        <v>-306.88539113438753</v>
      </c>
      <c r="AB6">
        <f t="shared" ref="AB6:AB37" si="4">((SUM(B$44,B$78)*H22))*(N22*O22)</f>
        <v>-193.24694725221093</v>
      </c>
      <c r="AC6">
        <f t="shared" ref="AC6:AC37" si="5">((SUM(B$105:B$107,B$109:B$117)*M22))*(N22*O22)</f>
        <v>-3179.8351850247905</v>
      </c>
      <c r="AD6">
        <f t="shared" ref="AD6:AD37" si="6">((SUM(B$43,B$46,B$49,B$51,B$56)*L22))*(N22*O22)</f>
        <v>-4688.1247458492535</v>
      </c>
      <c r="AE6" s="109" t="s">
        <v>987</v>
      </c>
      <c r="AF6" s="222">
        <f>SUM(B$23:B$31)</f>
        <v>62275.699234020285</v>
      </c>
      <c r="AG6" s="221">
        <f>Variables!F55</f>
        <v>277800000000</v>
      </c>
      <c r="AH6" s="221">
        <f>AG6*$B$12</f>
        <v>8334000000000</v>
      </c>
      <c r="AI6" s="8">
        <f>AH6/$B$13</f>
        <v>1004.0963855421687</v>
      </c>
      <c r="AK6" s="8">
        <f t="shared" ref="AK6:AK37" si="7">((B$137*F137))*M137*N137</f>
        <v>-129111.73978046377</v>
      </c>
      <c r="AL6" s="8">
        <f t="shared" ref="AL6:AL37" si="8">((SUM(B$138:B$139)*K137))*M137*N137</f>
        <v>-29239.946880064901</v>
      </c>
      <c r="AM6" s="8">
        <f t="shared" ref="AM6:AM37" si="9">((B$140*H137))*M137*N137</f>
        <v>-6597.3943192590114</v>
      </c>
      <c r="AN6" s="8">
        <f t="shared" ref="AN6:AN37" si="10">((SUM(B$141:B$142)*I137))*M137*N137</f>
        <v>-65006.394479742186</v>
      </c>
      <c r="AO6" s="8">
        <f t="shared" ref="AO6:AO37" si="11">((SUM(B$143:B$144,B$148)*J137))*M137*N137</f>
        <v>-58788.657270558891</v>
      </c>
      <c r="AP6" s="8">
        <f t="shared" ref="AP6:AP37" si="12">((SUM(B$146:B$147)*L137))*M137*N137</f>
        <v>-44008.886313928779</v>
      </c>
      <c r="AQ6" s="8">
        <f t="shared" ref="AQ6:AQ37" si="13">J251</f>
        <v>-5177638.5295230001</v>
      </c>
      <c r="AR6" s="109" t="s">
        <v>903</v>
      </c>
      <c r="AS6" s="222">
        <f>B$137</f>
        <v>9931672.2908049058</v>
      </c>
      <c r="AT6" s="8">
        <f>Variables!F69</f>
        <v>450000000000</v>
      </c>
      <c r="AU6">
        <f t="shared" ref="AU6:AU9" si="14">AT6/342600000</f>
        <v>1313.4851138353765</v>
      </c>
    </row>
    <row r="7" spans="1:48" x14ac:dyDescent="0.2">
      <c r="B7" s="238">
        <f>Variables!F5</f>
        <v>10</v>
      </c>
      <c r="C7" s="85" t="s">
        <v>313</v>
      </c>
      <c r="D7" s="85" t="s">
        <v>1020</v>
      </c>
      <c r="E7" s="56"/>
      <c r="F7" s="56"/>
      <c r="H7" s="65"/>
      <c r="L7" s="80"/>
      <c r="M7" s="47"/>
      <c r="N7" s="47"/>
      <c r="X7">
        <f t="shared" si="0"/>
        <v>-105.8686886978345</v>
      </c>
      <c r="Y7">
        <f t="shared" si="1"/>
        <v>-1429.9019343781049</v>
      </c>
      <c r="Z7" s="17">
        <f t="shared" si="2"/>
        <v>-33.766118650554972</v>
      </c>
      <c r="AA7" s="17">
        <f t="shared" si="3"/>
        <v>-30.688539113438754</v>
      </c>
      <c r="AB7">
        <f t="shared" si="4"/>
        <v>-19.324694725221093</v>
      </c>
      <c r="AC7">
        <f t="shared" si="5"/>
        <v>-317.98351850247906</v>
      </c>
      <c r="AD7">
        <f t="shared" si="6"/>
        <v>-468.81247458492533</v>
      </c>
      <c r="AE7" s="109" t="s">
        <v>507</v>
      </c>
      <c r="AF7" s="222">
        <f>SUM(B$33:B$37,B$41:B$42,B$45,B$47,B$50,B$52:B$55,B$58:B$63,B$65:B$67,B$69:B$73,B$77,B$79:B$81,B$84:B$85,B$87:B$95,B$97:B$103)</f>
        <v>461258.68850906612</v>
      </c>
      <c r="AG7" s="8">
        <f>Variables!F49</f>
        <v>836200000000</v>
      </c>
      <c r="AH7" s="221">
        <f t="shared" ref="AH7:AH12" si="15">AG7*$B$12</f>
        <v>25086000000000</v>
      </c>
      <c r="AI7" s="8">
        <f t="shared" ref="AI7:AI12" si="16">AH7/$B$13</f>
        <v>3022.4096385542171</v>
      </c>
      <c r="AK7" s="8">
        <f t="shared" si="7"/>
        <v>-12911.173978046376</v>
      </c>
      <c r="AL7" s="8">
        <f t="shared" si="8"/>
        <v>-2923.9946880064899</v>
      </c>
      <c r="AM7" s="8">
        <f t="shared" si="9"/>
        <v>-659.73943192590116</v>
      </c>
      <c r="AN7" s="8">
        <f t="shared" si="10"/>
        <v>-6500.6394479742185</v>
      </c>
      <c r="AO7" s="8">
        <f t="shared" si="11"/>
        <v>-5878.8657270558897</v>
      </c>
      <c r="AP7" s="8">
        <f t="shared" si="12"/>
        <v>-4400.8886313928779</v>
      </c>
      <c r="AQ7" s="8">
        <f t="shared" si="13"/>
        <v>-517763.85295229999</v>
      </c>
      <c r="AR7" s="109" t="s">
        <v>137</v>
      </c>
      <c r="AS7" s="222">
        <f>SUM(B$138:B$139)</f>
        <v>4059530.6652095784</v>
      </c>
      <c r="AT7" s="8">
        <f>Variables!F64</f>
        <v>332840000000</v>
      </c>
      <c r="AU7">
        <f t="shared" si="14"/>
        <v>971.51196730881497</v>
      </c>
    </row>
    <row r="8" spans="1:48" x14ac:dyDescent="0.2">
      <c r="B8" s="238">
        <f>Variables!F6</f>
        <v>1</v>
      </c>
      <c r="C8" s="85" t="s">
        <v>316</v>
      </c>
      <c r="D8" s="85" t="s">
        <v>1020</v>
      </c>
      <c r="E8" s="56"/>
      <c r="F8" s="56"/>
      <c r="H8" s="8"/>
      <c r="L8" s="80"/>
      <c r="M8" s="47"/>
      <c r="O8" s="47"/>
      <c r="X8">
        <f t="shared" si="0"/>
        <v>-1064.9144569017469</v>
      </c>
      <c r="Y8">
        <f t="shared" si="1"/>
        <v>-14114.515868377423</v>
      </c>
      <c r="Z8" s="17">
        <f t="shared" si="2"/>
        <v>-329.86900527849861</v>
      </c>
      <c r="AA8" s="17">
        <f t="shared" si="3"/>
        <v>-299.80342056974786</v>
      </c>
      <c r="AB8">
        <f t="shared" si="4"/>
        <v>-188.78740231562148</v>
      </c>
      <c r="AC8">
        <f t="shared" si="5"/>
        <v>-317.98351850247906</v>
      </c>
      <c r="AD8">
        <f t="shared" si="6"/>
        <v>-4579.937251714271</v>
      </c>
      <c r="AE8" s="109" t="s">
        <v>663</v>
      </c>
      <c r="AF8" s="222">
        <f>(SUM(B$39:B$40,B$76))</f>
        <v>25973.937423503827</v>
      </c>
      <c r="AG8" s="8">
        <f>Variables!F48</f>
        <v>64400000000</v>
      </c>
      <c r="AH8" s="221">
        <f t="shared" si="15"/>
        <v>1932000000000</v>
      </c>
      <c r="AI8" s="8">
        <f t="shared" si="16"/>
        <v>232.77108433734941</v>
      </c>
      <c r="AK8" s="8">
        <f t="shared" si="7"/>
        <v>-126132.23809322232</v>
      </c>
      <c r="AL8" s="8">
        <f t="shared" si="8"/>
        <v>-29228.620789508965</v>
      </c>
      <c r="AM8" s="8">
        <f t="shared" si="9"/>
        <v>-6445.1467580453436</v>
      </c>
      <c r="AN8" s="8">
        <f t="shared" si="10"/>
        <v>-63506.24691482506</v>
      </c>
      <c r="AO8" s="8">
        <f t="shared" si="11"/>
        <v>-57431.995948930627</v>
      </c>
      <c r="AP8" s="8">
        <f t="shared" si="12"/>
        <v>-43991.839476131783</v>
      </c>
      <c r="AQ8" s="8">
        <f t="shared" si="13"/>
        <v>-5209998.770332519</v>
      </c>
      <c r="AR8" s="109" t="s">
        <v>997</v>
      </c>
      <c r="AS8" s="222">
        <f>B$140</f>
        <v>507491.87071223173</v>
      </c>
      <c r="AT8" s="8">
        <f>Variables!F70</f>
        <v>6040000000</v>
      </c>
      <c r="AU8">
        <f t="shared" si="14"/>
        <v>17.629889083479277</v>
      </c>
    </row>
    <row r="9" spans="1:48" x14ac:dyDescent="0.2">
      <c r="B9" s="16">
        <f>PSI_OC!A9</f>
        <v>510949606.0462392</v>
      </c>
      <c r="C9" s="85" t="s">
        <v>27</v>
      </c>
      <c r="D9" s="85" t="s">
        <v>518</v>
      </c>
      <c r="E9" s="56"/>
      <c r="F9" s="56"/>
      <c r="X9">
        <f t="shared" si="0"/>
        <v>-1064.9144569017469</v>
      </c>
      <c r="Y9">
        <f t="shared" si="1"/>
        <v>-14114.515868377423</v>
      </c>
      <c r="Z9" s="17">
        <f t="shared" si="2"/>
        <v>-32940.147440487548</v>
      </c>
      <c r="AA9" s="17">
        <f t="shared" si="3"/>
        <v>-29937.850233586942</v>
      </c>
      <c r="AB9">
        <f t="shared" si="4"/>
        <v>-18851.982961942605</v>
      </c>
      <c r="AC9">
        <f t="shared" si="5"/>
        <v>-3145.4585884299281</v>
      </c>
      <c r="AD9">
        <f t="shared" si="6"/>
        <v>-457344.60020661709</v>
      </c>
      <c r="AE9" s="109" t="s">
        <v>981</v>
      </c>
      <c r="AF9" s="222">
        <f>SUM(B$75,B$83)</f>
        <v>23606.568548799041</v>
      </c>
      <c r="AG9" s="221">
        <f>Variables!F56</f>
        <v>24300000000</v>
      </c>
      <c r="AH9" s="221">
        <f t="shared" si="15"/>
        <v>729000000000</v>
      </c>
      <c r="AI9" s="8">
        <f t="shared" si="16"/>
        <v>87.831325301204814</v>
      </c>
      <c r="AK9" s="8">
        <f t="shared" si="7"/>
        <v>-12595346.79919878</v>
      </c>
      <c r="AL9" s="8">
        <f t="shared" si="8"/>
        <v>-2924079.938150459</v>
      </c>
      <c r="AM9" s="8">
        <f t="shared" si="9"/>
        <v>-643601.19043725217</v>
      </c>
      <c r="AN9" s="8">
        <f t="shared" si="10"/>
        <v>-6341623.8060930017</v>
      </c>
      <c r="AO9" s="8">
        <f t="shared" si="11"/>
        <v>-5735059.6269632913</v>
      </c>
      <c r="AP9" s="8">
        <f t="shared" si="12"/>
        <v>-4401016.9409246827</v>
      </c>
      <c r="AQ9" s="8">
        <f t="shared" si="13"/>
        <v>-521404380.04337078</v>
      </c>
      <c r="AR9" s="109" t="s">
        <v>585</v>
      </c>
      <c r="AS9" s="222">
        <f>SUM(B$141:B$142)</f>
        <v>5000491.8830570914</v>
      </c>
      <c r="AT9" s="8">
        <f>Variables!F71</f>
        <v>90500000000</v>
      </c>
      <c r="AU9">
        <f t="shared" si="14"/>
        <v>264.15645067133681</v>
      </c>
    </row>
    <row r="10" spans="1:48" x14ac:dyDescent="0.2">
      <c r="B10" s="5">
        <v>770000000</v>
      </c>
      <c r="C10" s="85" t="s">
        <v>920</v>
      </c>
      <c r="D10" s="85" t="s">
        <v>530</v>
      </c>
      <c r="E10" s="56"/>
      <c r="F10" s="56"/>
      <c r="X10">
        <f t="shared" si="0"/>
        <v>-106615.99708864273</v>
      </c>
      <c r="Y10">
        <f t="shared" si="1"/>
        <v>-141145.15868377424</v>
      </c>
      <c r="Z10" s="17">
        <f t="shared" si="2"/>
        <v>-32934.952653002852</v>
      </c>
      <c r="AA10" s="17">
        <f t="shared" si="3"/>
        <v>-29933.128919877185</v>
      </c>
      <c r="AB10">
        <f t="shared" si="4"/>
        <v>-18849.009931984881</v>
      </c>
      <c r="AC10">
        <f t="shared" si="5"/>
        <v>-31454.585884299278</v>
      </c>
      <c r="AD10">
        <f t="shared" si="6"/>
        <v>-457272.47521052725</v>
      </c>
      <c r="AE10" s="109" t="s">
        <v>980</v>
      </c>
      <c r="AF10" s="222">
        <f>(SUM(B$44,B$78))</f>
        <v>14865.14978863161</v>
      </c>
      <c r="AG10" s="8">
        <f>Variables!F52</f>
        <v>1890000000</v>
      </c>
      <c r="AH10" s="221">
        <f t="shared" si="15"/>
        <v>56700000000</v>
      </c>
      <c r="AI10" s="8">
        <f t="shared" si="16"/>
        <v>6.831325301204819</v>
      </c>
      <c r="AK10" s="8">
        <f t="shared" si="7"/>
        <v>-12593360.464740621</v>
      </c>
      <c r="AL10" s="8">
        <f t="shared" si="8"/>
        <v>-2922862.0789508964</v>
      </c>
      <c r="AM10" s="8">
        <f t="shared" si="9"/>
        <v>-643499.69206310983</v>
      </c>
      <c r="AN10" s="8">
        <f t="shared" si="10"/>
        <v>-6340623.7077163914</v>
      </c>
      <c r="AO10" s="8">
        <f t="shared" si="11"/>
        <v>-5734155.1860822067</v>
      </c>
      <c r="AP10" s="8">
        <f t="shared" si="12"/>
        <v>-4399183.9476131778</v>
      </c>
      <c r="AQ10" s="8">
        <f t="shared" si="13"/>
        <v>-5177638.5295230001</v>
      </c>
      <c r="AR10" s="109" t="s">
        <v>995</v>
      </c>
      <c r="AS10" s="222">
        <f>SUM(B$143:B$144,B$148)</f>
        <v>4522204.4054276077</v>
      </c>
      <c r="AT10" s="8">
        <f>Variables!F68</f>
        <v>1190000000000</v>
      </c>
      <c r="AU10">
        <f t="shared" ref="AU10" si="17">AT10/342600000</f>
        <v>3473.43841214244</v>
      </c>
    </row>
    <row r="11" spans="1:48" x14ac:dyDescent="0.2">
      <c r="A11" s="36"/>
      <c r="B11" s="243">
        <v>1.19</v>
      </c>
      <c r="C11" s="85" t="s">
        <v>1027</v>
      </c>
      <c r="D11" s="85" t="s">
        <v>1053</v>
      </c>
      <c r="E11" s="56"/>
      <c r="F11" s="56"/>
      <c r="X11">
        <f t="shared" si="0"/>
        <v>-1058.686886978345</v>
      </c>
      <c r="Y11">
        <f t="shared" si="1"/>
        <v>-141154383.85754442</v>
      </c>
      <c r="Z11" s="17">
        <f t="shared" si="2"/>
        <v>-329401.47440487548</v>
      </c>
      <c r="AA11" s="17">
        <f t="shared" si="3"/>
        <v>-299378.50233586942</v>
      </c>
      <c r="AB11">
        <f t="shared" si="4"/>
        <v>-188519.82961942605</v>
      </c>
      <c r="AC11">
        <f t="shared" si="5"/>
        <v>-31492400.140553627</v>
      </c>
      <c r="AD11">
        <f t="shared" si="6"/>
        <v>-4573446.0020661708</v>
      </c>
      <c r="AE11" s="109" t="s">
        <v>915</v>
      </c>
      <c r="AF11" s="222">
        <f>(SUM(B$105:B$107,B$109:B$117))</f>
        <v>85941.491487156498</v>
      </c>
      <c r="AG11" s="8">
        <f>Variables!F57</f>
        <v>12100000000000</v>
      </c>
      <c r="AH11" s="221">
        <f t="shared" si="15"/>
        <v>363000000000000</v>
      </c>
      <c r="AI11" s="8">
        <f t="shared" si="16"/>
        <v>43734.939759036148</v>
      </c>
      <c r="AK11" s="8">
        <f t="shared" si="7"/>
        <v>-125953467.99198779</v>
      </c>
      <c r="AL11" s="8">
        <f t="shared" si="8"/>
        <v>-29240799.381504592</v>
      </c>
      <c r="AM11" s="8">
        <f t="shared" si="9"/>
        <v>-6436011.9043725226</v>
      </c>
      <c r="AN11" s="8">
        <f t="shared" si="10"/>
        <v>-63416238.060930021</v>
      </c>
      <c r="AO11" s="8">
        <f t="shared" si="11"/>
        <v>-57350596.269632913</v>
      </c>
      <c r="AP11" s="8">
        <f t="shared" si="12"/>
        <v>-44010169.409246832</v>
      </c>
      <c r="AQ11" s="8">
        <f t="shared" si="13"/>
        <v>-5214043800.4337082</v>
      </c>
      <c r="AR11" s="109" t="s">
        <v>998</v>
      </c>
      <c r="AS11" s="222">
        <f>SUM(B$146:B$147)</f>
        <v>6109977.7050183024</v>
      </c>
      <c r="AT11" s="8">
        <f>Variables!F63</f>
        <v>318000000000</v>
      </c>
      <c r="AU11">
        <f>AT11/342600000</f>
        <v>928.19614711033273</v>
      </c>
    </row>
    <row r="12" spans="1:48" x14ac:dyDescent="0.2">
      <c r="A12" s="36"/>
      <c r="B12" s="5">
        <v>30</v>
      </c>
      <c r="C12" s="85" t="s">
        <v>1056</v>
      </c>
      <c r="D12" s="85" t="s">
        <v>64</v>
      </c>
      <c r="E12" s="56"/>
      <c r="F12" s="56"/>
      <c r="X12">
        <f t="shared" si="0"/>
        <v>-1064.9144569017469</v>
      </c>
      <c r="Y12">
        <f t="shared" si="1"/>
        <v>-14114.515868377423</v>
      </c>
      <c r="Z12" s="17">
        <f t="shared" si="2"/>
        <v>-32940.147440487548</v>
      </c>
      <c r="AA12" s="17">
        <f t="shared" si="3"/>
        <v>-299.80342056974786</v>
      </c>
      <c r="AB12">
        <f t="shared" si="4"/>
        <v>-188525.77567934152</v>
      </c>
      <c r="AC12">
        <f t="shared" si="5"/>
        <v>-31488.962480894137</v>
      </c>
      <c r="AD12">
        <f t="shared" si="6"/>
        <v>-4579.937251714271</v>
      </c>
      <c r="AE12" s="109" t="s">
        <v>664</v>
      </c>
      <c r="AF12" s="222">
        <f>(SUM(B$43,B$46,B$49,B$51,B$56))</f>
        <v>360624.98044994258</v>
      </c>
      <c r="AG12" s="8">
        <f>Variables!F53</f>
        <v>20800000000</v>
      </c>
      <c r="AH12" s="221">
        <f t="shared" si="15"/>
        <v>624000000000</v>
      </c>
      <c r="AI12" s="8">
        <f t="shared" si="16"/>
        <v>75.180722891566262</v>
      </c>
      <c r="AK12" s="8">
        <f t="shared" si="7"/>
        <v>-12595346.79919878</v>
      </c>
      <c r="AL12" s="8">
        <f t="shared" si="8"/>
        <v>-29239987.475371551</v>
      </c>
      <c r="AM12" s="8">
        <f t="shared" si="9"/>
        <v>-6436214.901120808</v>
      </c>
      <c r="AN12" s="8">
        <f t="shared" si="10"/>
        <v>-63418238.257683255</v>
      </c>
      <c r="AO12" s="8">
        <f t="shared" si="11"/>
        <v>-573415.51860822062</v>
      </c>
      <c r="AP12" s="8">
        <f t="shared" si="12"/>
        <v>-43991.839476131783</v>
      </c>
      <c r="AQ12" s="8">
        <f t="shared" si="13"/>
        <v>-521404380.04337078</v>
      </c>
      <c r="AR12" s="109" t="s">
        <v>1062</v>
      </c>
      <c r="AS12" s="45">
        <f>B251</f>
        <v>161801204.04759374</v>
      </c>
      <c r="AT12" s="8">
        <f>Variables!F72</f>
        <v>1090000000000</v>
      </c>
      <c r="AU12">
        <f>AT12/342600000</f>
        <v>3181.5528312901342</v>
      </c>
    </row>
    <row r="13" spans="1:48" x14ac:dyDescent="0.2">
      <c r="A13" s="36"/>
      <c r="B13" s="291">
        <f>Variables!F9</f>
        <v>8300000000</v>
      </c>
      <c r="C13" s="292" t="s">
        <v>535</v>
      </c>
      <c r="D13" s="85" t="s">
        <v>1057</v>
      </c>
      <c r="E13" s="56"/>
      <c r="F13" s="56"/>
      <c r="X13">
        <f t="shared" si="0"/>
        <v>-105.8686886978345</v>
      </c>
      <c r="Y13">
        <f t="shared" si="1"/>
        <v>-1429.9019343781049</v>
      </c>
      <c r="Z13" s="17">
        <f t="shared" si="2"/>
        <v>-33.766118650554972</v>
      </c>
      <c r="AA13" s="17">
        <f t="shared" si="3"/>
        <v>-30.688539113438754</v>
      </c>
      <c r="AB13">
        <f t="shared" si="4"/>
        <v>-19.324694725221093</v>
      </c>
      <c r="AC13">
        <f t="shared" si="5"/>
        <v>-31488.962480894137</v>
      </c>
      <c r="AD13">
        <f t="shared" si="6"/>
        <v>-468.81247458492533</v>
      </c>
      <c r="AK13" s="8">
        <f t="shared" si="7"/>
        <v>-12911.173978046376</v>
      </c>
      <c r="AL13" s="8">
        <f t="shared" si="8"/>
        <v>-2923.9946880064899</v>
      </c>
      <c r="AM13" s="8">
        <f t="shared" si="9"/>
        <v>-659.73943192590116</v>
      </c>
      <c r="AN13" s="8">
        <f t="shared" si="10"/>
        <v>-6500.6394479742185</v>
      </c>
      <c r="AO13" s="8">
        <f t="shared" si="11"/>
        <v>-5878.8657270558897</v>
      </c>
      <c r="AP13" s="8">
        <f t="shared" si="12"/>
        <v>-4400.8886313928779</v>
      </c>
      <c r="AQ13" s="8">
        <f t="shared" si="13"/>
        <v>-52132347.944134697</v>
      </c>
      <c r="AR13" s="109"/>
      <c r="AS13" s="222"/>
      <c r="AT13" s="8"/>
    </row>
    <row r="14" spans="1:48" x14ac:dyDescent="0.2">
      <c r="A14" s="36"/>
      <c r="B14" s="56"/>
      <c r="C14" s="56"/>
      <c r="D14" s="56"/>
      <c r="E14" s="56"/>
      <c r="F14" s="56"/>
      <c r="X14">
        <f t="shared" si="0"/>
        <v>-105.8686886978345</v>
      </c>
      <c r="Y14">
        <f t="shared" si="1"/>
        <v>-1429.9019343781049</v>
      </c>
      <c r="Z14" s="17">
        <f t="shared" si="2"/>
        <v>-33.766118650554972</v>
      </c>
      <c r="AA14" s="17">
        <f t="shared" si="3"/>
        <v>-30.688539113438754</v>
      </c>
      <c r="AB14">
        <f t="shared" si="4"/>
        <v>-19.324694725221093</v>
      </c>
      <c r="AC14">
        <f t="shared" si="5"/>
        <v>-317.98351850247906</v>
      </c>
      <c r="AD14">
        <f t="shared" si="6"/>
        <v>-468.81247458492533</v>
      </c>
      <c r="AK14" s="8">
        <f t="shared" si="7"/>
        <v>-12911.173978046376</v>
      </c>
      <c r="AL14" s="8">
        <f t="shared" si="8"/>
        <v>-2923.9946880064899</v>
      </c>
      <c r="AM14" s="8">
        <f t="shared" si="9"/>
        <v>-659.73943192590116</v>
      </c>
      <c r="AN14" s="8">
        <f t="shared" si="10"/>
        <v>-6500.6394479742185</v>
      </c>
      <c r="AO14" s="8">
        <f t="shared" si="11"/>
        <v>-5878.8657270558897</v>
      </c>
      <c r="AP14" s="8">
        <f t="shared" si="12"/>
        <v>-4400.8886313928779</v>
      </c>
      <c r="AQ14" s="8">
        <f t="shared" si="13"/>
        <v>-52132347.944134697</v>
      </c>
      <c r="AR14" s="109"/>
      <c r="AS14" s="222"/>
      <c r="AT14" s="8"/>
    </row>
    <row r="15" spans="1:48" ht="16" thickBot="1" x14ac:dyDescent="0.25">
      <c r="X15">
        <f t="shared" si="0"/>
        <v>-10649.144569017468</v>
      </c>
      <c r="Y15">
        <f t="shared" si="1"/>
        <v>-14115438.385754442</v>
      </c>
      <c r="Z15" s="17">
        <f t="shared" si="2"/>
        <v>0</v>
      </c>
      <c r="AA15" s="17">
        <f t="shared" si="3"/>
        <v>0</v>
      </c>
      <c r="AB15">
        <f t="shared" si="4"/>
        <v>0</v>
      </c>
      <c r="AC15">
        <f t="shared" si="5"/>
        <v>-3179.8351850247905</v>
      </c>
      <c r="AD15">
        <f t="shared" si="6"/>
        <v>0</v>
      </c>
      <c r="AK15" s="8">
        <f t="shared" si="7"/>
        <v>-129111.73978046377</v>
      </c>
      <c r="AL15" s="8">
        <f t="shared" si="8"/>
        <v>-292399874.75371552</v>
      </c>
      <c r="AM15" s="8">
        <f t="shared" si="9"/>
        <v>0</v>
      </c>
      <c r="AN15" s="8">
        <f t="shared" si="10"/>
        <v>-634182382.57683253</v>
      </c>
      <c r="AO15" s="8">
        <f t="shared" si="11"/>
        <v>-58788.657270558891</v>
      </c>
      <c r="AP15" s="8">
        <f t="shared" si="12"/>
        <v>0</v>
      </c>
      <c r="AQ15" s="8">
        <f t="shared" si="13"/>
        <v>-5177638.5295230001</v>
      </c>
    </row>
    <row r="16" spans="1:48" x14ac:dyDescent="0.2">
      <c r="A16" s="504" t="s">
        <v>579</v>
      </c>
      <c r="B16" s="505"/>
      <c r="C16" s="505"/>
      <c r="D16" s="505"/>
      <c r="E16" s="505"/>
      <c r="F16" s="505"/>
      <c r="G16" s="505"/>
      <c r="H16" s="505"/>
      <c r="I16" s="505"/>
      <c r="J16" s="505"/>
      <c r="K16" s="505"/>
      <c r="L16" s="505"/>
      <c r="M16" s="505"/>
      <c r="N16" s="505"/>
      <c r="O16" s="505"/>
      <c r="P16" s="505"/>
      <c r="Q16" s="505"/>
      <c r="R16" s="505"/>
      <c r="S16" s="505"/>
      <c r="T16" s="505"/>
      <c r="U16" s="506"/>
      <c r="X16">
        <f t="shared" si="0"/>
        <v>-106615.99708864273</v>
      </c>
      <c r="Y16">
        <f t="shared" si="1"/>
        <v>-14115438.385754442</v>
      </c>
      <c r="Z16" s="17">
        <f t="shared" si="2"/>
        <v>0</v>
      </c>
      <c r="AA16" s="17">
        <f t="shared" si="3"/>
        <v>0</v>
      </c>
      <c r="AB16">
        <f t="shared" si="4"/>
        <v>0</v>
      </c>
      <c r="AC16">
        <f t="shared" si="5"/>
        <v>-31454.585884299278</v>
      </c>
      <c r="AD16">
        <f t="shared" si="6"/>
        <v>0</v>
      </c>
      <c r="AK16" s="8">
        <f t="shared" si="7"/>
        <v>-129111.73978046377</v>
      </c>
      <c r="AL16" s="8">
        <f t="shared" si="8"/>
        <v>-292399874.75371552</v>
      </c>
      <c r="AM16" s="8">
        <f t="shared" si="9"/>
        <v>0</v>
      </c>
      <c r="AN16" s="8">
        <f t="shared" si="10"/>
        <v>-634182382.57683253</v>
      </c>
      <c r="AO16" s="8">
        <f t="shared" si="11"/>
        <v>-58788.657270558891</v>
      </c>
      <c r="AP16" s="8">
        <f t="shared" si="12"/>
        <v>0</v>
      </c>
      <c r="AQ16" s="8">
        <f t="shared" si="13"/>
        <v>-52099987.70332519</v>
      </c>
    </row>
    <row r="17" spans="1:43" ht="16" thickBot="1" x14ac:dyDescent="0.25">
      <c r="A17" s="507"/>
      <c r="B17" s="508"/>
      <c r="C17" s="508"/>
      <c r="D17" s="508"/>
      <c r="E17" s="508"/>
      <c r="F17" s="508"/>
      <c r="G17" s="508"/>
      <c r="H17" s="508"/>
      <c r="I17" s="508"/>
      <c r="J17" s="508"/>
      <c r="K17" s="508"/>
      <c r="L17" s="508"/>
      <c r="M17" s="508"/>
      <c r="N17" s="508"/>
      <c r="O17" s="508"/>
      <c r="P17" s="508"/>
      <c r="Q17" s="508"/>
      <c r="R17" s="508"/>
      <c r="S17" s="508"/>
      <c r="T17" s="508"/>
      <c r="U17" s="509"/>
      <c r="X17">
        <f t="shared" si="0"/>
        <v>0</v>
      </c>
      <c r="Y17">
        <f t="shared" si="1"/>
        <v>0</v>
      </c>
      <c r="Z17" s="17">
        <f t="shared" si="2"/>
        <v>0</v>
      </c>
      <c r="AA17" s="17">
        <f t="shared" si="3"/>
        <v>0</v>
      </c>
      <c r="AB17">
        <f t="shared" si="4"/>
        <v>0</v>
      </c>
      <c r="AC17">
        <f t="shared" si="5"/>
        <v>0</v>
      </c>
      <c r="AD17">
        <f t="shared" si="6"/>
        <v>0</v>
      </c>
      <c r="AK17" s="8">
        <f t="shared" si="7"/>
        <v>0</v>
      </c>
      <c r="AL17" s="8">
        <f t="shared" si="8"/>
        <v>0</v>
      </c>
      <c r="AM17" s="8">
        <f t="shared" si="9"/>
        <v>0</v>
      </c>
      <c r="AN17" s="8">
        <f t="shared" si="10"/>
        <v>0</v>
      </c>
      <c r="AO17" s="8">
        <f t="shared" si="11"/>
        <v>0</v>
      </c>
      <c r="AP17" s="8">
        <f t="shared" si="12"/>
        <v>0</v>
      </c>
      <c r="AQ17" s="8">
        <f t="shared" si="13"/>
        <v>0</v>
      </c>
    </row>
    <row r="18" spans="1:43" x14ac:dyDescent="0.2">
      <c r="X18">
        <f t="shared" si="0"/>
        <v>10664.090736833634</v>
      </c>
      <c r="Y18">
        <f t="shared" si="1"/>
        <v>141154.38385754442</v>
      </c>
      <c r="Z18" s="17">
        <f t="shared" si="2"/>
        <v>3294.0147440487549</v>
      </c>
      <c r="AA18" s="17">
        <f t="shared" si="3"/>
        <v>2993.7850233586942</v>
      </c>
      <c r="AB18">
        <f t="shared" si="4"/>
        <v>1885.1982961942606</v>
      </c>
      <c r="AC18">
        <f t="shared" si="5"/>
        <v>31492.400140553626</v>
      </c>
      <c r="AD18">
        <f t="shared" si="6"/>
        <v>45734.460020661711</v>
      </c>
      <c r="AK18" s="8">
        <f t="shared" si="7"/>
        <v>1259534.679919878</v>
      </c>
      <c r="AL18" s="8">
        <f t="shared" si="8"/>
        <v>292407.99381504592</v>
      </c>
      <c r="AM18" s="8">
        <f t="shared" si="9"/>
        <v>64360.119043725223</v>
      </c>
      <c r="AN18" s="8">
        <f t="shared" si="10"/>
        <v>634162.38060930022</v>
      </c>
      <c r="AO18" s="8">
        <f t="shared" si="11"/>
        <v>573505.96269632911</v>
      </c>
      <c r="AP18" s="8">
        <f t="shared" si="12"/>
        <v>440101.6940924683</v>
      </c>
      <c r="AQ18" s="8">
        <f t="shared" si="13"/>
        <v>52140438.00433708</v>
      </c>
    </row>
    <row r="19" spans="1:43" ht="15" customHeight="1" x14ac:dyDescent="0.2">
      <c r="A19" s="358" t="s">
        <v>8</v>
      </c>
      <c r="B19" s="363" t="s">
        <v>1026</v>
      </c>
      <c r="C19" s="498" t="s">
        <v>1025</v>
      </c>
      <c r="D19" s="353" t="s">
        <v>658</v>
      </c>
      <c r="E19" s="325" t="s">
        <v>661</v>
      </c>
      <c r="F19" s="326"/>
      <c r="G19" s="327"/>
      <c r="H19" s="79" t="s">
        <v>662</v>
      </c>
      <c r="I19" s="79" t="s">
        <v>507</v>
      </c>
      <c r="J19" s="78" t="s">
        <v>512</v>
      </c>
      <c r="K19" s="131" t="s">
        <v>663</v>
      </c>
      <c r="L19" s="131" t="s">
        <v>664</v>
      </c>
      <c r="M19" s="78" t="s">
        <v>915</v>
      </c>
      <c r="N19" s="328" t="s">
        <v>421</v>
      </c>
      <c r="O19" s="329"/>
      <c r="P19" s="330"/>
      <c r="Q19" s="334" t="s">
        <v>28</v>
      </c>
      <c r="R19" s="335"/>
      <c r="S19" s="338" t="s">
        <v>420</v>
      </c>
      <c r="T19" s="339"/>
      <c r="X19">
        <f t="shared" si="0"/>
        <v>-105.8686886978345</v>
      </c>
      <c r="Y19">
        <f t="shared" si="1"/>
        <v>-14115438.385754442</v>
      </c>
      <c r="Z19" s="17">
        <f t="shared" si="2"/>
        <v>-33.766118650554972</v>
      </c>
      <c r="AA19" s="17">
        <f t="shared" si="3"/>
        <v>-30.688539113438754</v>
      </c>
      <c r="AB19">
        <f t="shared" si="4"/>
        <v>-19.324694725221093</v>
      </c>
      <c r="AC19">
        <f t="shared" si="5"/>
        <v>-317.98351850247906</v>
      </c>
      <c r="AD19">
        <f t="shared" si="6"/>
        <v>-468.81247458492533</v>
      </c>
      <c r="AK19" s="8">
        <f t="shared" si="7"/>
        <v>-12911.173978046376</v>
      </c>
      <c r="AL19" s="8">
        <f t="shared" si="8"/>
        <v>-2923.9946880064899</v>
      </c>
      <c r="AM19" s="8">
        <f t="shared" si="9"/>
        <v>-659.73943192590116</v>
      </c>
      <c r="AN19" s="8">
        <f t="shared" si="10"/>
        <v>-6500.6394479742185</v>
      </c>
      <c r="AO19" s="8">
        <f t="shared" si="11"/>
        <v>-5878.8657270558897</v>
      </c>
      <c r="AP19" s="8">
        <f t="shared" si="12"/>
        <v>-4400.8886313928779</v>
      </c>
      <c r="AQ19" s="8">
        <f t="shared" si="13"/>
        <v>-517763.85295229999</v>
      </c>
    </row>
    <row r="20" spans="1:43" ht="15" customHeight="1" x14ac:dyDescent="0.2">
      <c r="A20" s="358"/>
      <c r="B20" s="363"/>
      <c r="C20" s="499"/>
      <c r="D20" s="353"/>
      <c r="E20" s="196" t="s">
        <v>660</v>
      </c>
      <c r="F20" s="197"/>
      <c r="G20" s="198"/>
      <c r="H20" s="134" t="s">
        <v>509</v>
      </c>
      <c r="I20" s="135" t="s">
        <v>506</v>
      </c>
      <c r="J20" s="1" t="s">
        <v>659</v>
      </c>
      <c r="K20" s="136" t="s">
        <v>502</v>
      </c>
      <c r="L20" s="137" t="s">
        <v>510</v>
      </c>
      <c r="M20" s="200" t="s">
        <v>914</v>
      </c>
      <c r="N20" s="331"/>
      <c r="O20" s="332"/>
      <c r="P20" s="333"/>
      <c r="Q20" s="336"/>
      <c r="R20" s="337"/>
      <c r="S20" s="340"/>
      <c r="T20" s="341"/>
      <c r="X20">
        <f t="shared" si="0"/>
        <v>-106615.99708864273</v>
      </c>
      <c r="Y20">
        <f t="shared" si="1"/>
        <v>-14115438.385754442</v>
      </c>
      <c r="Z20" s="17">
        <f t="shared" si="2"/>
        <v>-329401.47440487548</v>
      </c>
      <c r="AA20" s="17">
        <f t="shared" si="3"/>
        <v>-299378.50233586942</v>
      </c>
      <c r="AB20">
        <f t="shared" si="4"/>
        <v>-188519.82961942605</v>
      </c>
      <c r="AC20">
        <f t="shared" si="5"/>
        <v>-3179.8351850247905</v>
      </c>
      <c r="AD20">
        <f t="shared" si="6"/>
        <v>-4573446.0020661708</v>
      </c>
      <c r="AK20" s="8">
        <f t="shared" si="7"/>
        <v>-125953467.99198779</v>
      </c>
      <c r="AL20" s="8">
        <f t="shared" si="8"/>
        <v>-29240799.381504592</v>
      </c>
      <c r="AM20" s="8">
        <f t="shared" si="9"/>
        <v>-6436011.9043725226</v>
      </c>
      <c r="AN20" s="8">
        <f t="shared" si="10"/>
        <v>-63416238.060930021</v>
      </c>
      <c r="AO20" s="8">
        <f t="shared" si="11"/>
        <v>-57350596.269632913</v>
      </c>
      <c r="AP20" s="8">
        <f t="shared" si="12"/>
        <v>-44010169.409246832</v>
      </c>
      <c r="AQ20" s="8">
        <f t="shared" si="13"/>
        <v>-521323479.441347</v>
      </c>
    </row>
    <row r="21" spans="1:43" x14ac:dyDescent="0.2">
      <c r="A21" s="358"/>
      <c r="B21" s="363"/>
      <c r="C21" s="500"/>
      <c r="D21" s="353"/>
      <c r="E21" s="6" t="s">
        <v>317</v>
      </c>
      <c r="F21" s="58" t="s">
        <v>319</v>
      </c>
      <c r="G21" s="58" t="s">
        <v>5</v>
      </c>
      <c r="H21" s="58" t="s">
        <v>319</v>
      </c>
      <c r="I21" s="58" t="s">
        <v>319</v>
      </c>
      <c r="J21" s="83" t="s">
        <v>319</v>
      </c>
      <c r="K21" s="58" t="s">
        <v>319</v>
      </c>
      <c r="L21" s="58" t="s">
        <v>319</v>
      </c>
      <c r="M21" s="58" t="s">
        <v>319</v>
      </c>
      <c r="N21" s="64" t="s">
        <v>0</v>
      </c>
      <c r="O21" s="64" t="s">
        <v>499</v>
      </c>
      <c r="P21" s="64" t="s">
        <v>5</v>
      </c>
      <c r="Q21" s="64" t="s">
        <v>0</v>
      </c>
      <c r="R21" s="58" t="s">
        <v>5</v>
      </c>
      <c r="S21" s="64" t="s">
        <v>0</v>
      </c>
      <c r="T21" s="58" t="s">
        <v>5</v>
      </c>
      <c r="X21">
        <f t="shared" si="0"/>
        <v>0</v>
      </c>
      <c r="Y21">
        <f t="shared" si="1"/>
        <v>0</v>
      </c>
      <c r="Z21" s="17">
        <f t="shared" si="2"/>
        <v>0</v>
      </c>
      <c r="AA21" s="17">
        <f t="shared" si="3"/>
        <v>0</v>
      </c>
      <c r="AB21">
        <f t="shared" si="4"/>
        <v>0</v>
      </c>
      <c r="AC21">
        <f t="shared" si="5"/>
        <v>0</v>
      </c>
      <c r="AD21">
        <f t="shared" si="6"/>
        <v>0</v>
      </c>
      <c r="AK21" s="8">
        <f t="shared" si="7"/>
        <v>0</v>
      </c>
      <c r="AL21" s="8">
        <f t="shared" si="8"/>
        <v>0</v>
      </c>
      <c r="AM21" s="8">
        <f t="shared" si="9"/>
        <v>0</v>
      </c>
      <c r="AN21" s="8">
        <f t="shared" si="10"/>
        <v>0</v>
      </c>
      <c r="AO21" s="8">
        <f t="shared" si="11"/>
        <v>0</v>
      </c>
      <c r="AP21" s="8">
        <f t="shared" si="12"/>
        <v>0</v>
      </c>
      <c r="AQ21" s="8">
        <f t="shared" si="13"/>
        <v>0</v>
      </c>
    </row>
    <row r="22" spans="1:43" x14ac:dyDescent="0.2">
      <c r="A22" s="191" t="s">
        <v>808</v>
      </c>
      <c r="B22" s="192"/>
      <c r="C22" s="192"/>
      <c r="E22" t="s">
        <v>225</v>
      </c>
      <c r="F22">
        <v>1.7000000000000001E-4</v>
      </c>
      <c r="G22" t="s">
        <v>338</v>
      </c>
      <c r="H22">
        <v>1.2999999999999999E-4</v>
      </c>
      <c r="I22">
        <v>3.1E-4</v>
      </c>
      <c r="J22">
        <v>1.2999999999999999E-4</v>
      </c>
      <c r="K22" s="88">
        <v>1.2999999999999999E-4</v>
      </c>
      <c r="L22">
        <v>1.2999999999999999E-4</v>
      </c>
      <c r="M22">
        <v>3.6999999999999999E-4</v>
      </c>
      <c r="N22">
        <f>PSI_OC!$A$6</f>
        <v>100</v>
      </c>
      <c r="O22">
        <v>-1</v>
      </c>
      <c r="P22" t="s">
        <v>422</v>
      </c>
      <c r="Q22" s="17">
        <f>((SUM(B$23:B$31)*F22)+(SUM(B$33:B$37,B$41:B$42,B$45,B$47,B$50,B$52:B$55,B$58:B$63,B$65:B$67,B$69:B$73,B$77,B$79:B$81,B$84:B$85,B$87:B$95,B$97:B$103)*I22)+(SUM(B$39:B$40,B$76)*K22)+(SUM(B$43,B$46,B$49,B$51,B$56)*L22)+(SUM(B$44,B$78)*H22)+(SUM(B$75,B$83)*J22)+(SUM(B$105:B$107,B$109:B$117)*M22))*(N22*O22)</f>
        <v>-24063.459686525588</v>
      </c>
      <c r="R22" t="s">
        <v>537</v>
      </c>
      <c r="S22" s="45">
        <f>SUM(Q22:Q127)</f>
        <v>-1179182229.8021557</v>
      </c>
      <c r="T22" t="s">
        <v>537</v>
      </c>
      <c r="X22">
        <f t="shared" si="0"/>
        <v>-10649.144569017468</v>
      </c>
      <c r="Y22">
        <f t="shared" si="1"/>
        <v>-141145.15868377424</v>
      </c>
      <c r="Z22" s="17">
        <f t="shared" si="2"/>
        <v>-3298.6900527849862</v>
      </c>
      <c r="AA22" s="17">
        <f t="shared" si="3"/>
        <v>-299378.50233586942</v>
      </c>
      <c r="AB22">
        <f t="shared" si="4"/>
        <v>-1887.8740231562147</v>
      </c>
      <c r="AC22">
        <f t="shared" si="5"/>
        <v>-31454.585884299278</v>
      </c>
      <c r="AD22">
        <f t="shared" si="6"/>
        <v>-45799.372517142714</v>
      </c>
      <c r="AK22" s="8">
        <f t="shared" si="7"/>
        <v>-1261322.3809322231</v>
      </c>
      <c r="AL22" s="8">
        <f t="shared" si="8"/>
        <v>-292286.20789508964</v>
      </c>
      <c r="AM22" s="8">
        <f t="shared" si="9"/>
        <v>-64451.467580453434</v>
      </c>
      <c r="AN22" s="8">
        <f t="shared" si="10"/>
        <v>-635062.46914825065</v>
      </c>
      <c r="AO22" s="8">
        <f t="shared" si="11"/>
        <v>-574319.9594893062</v>
      </c>
      <c r="AP22" s="8">
        <f t="shared" si="12"/>
        <v>-439918.39476131782</v>
      </c>
      <c r="AQ22" s="8">
        <f t="shared" si="13"/>
        <v>-52099987.70332519</v>
      </c>
    </row>
    <row r="23" spans="1:43" x14ac:dyDescent="0.2">
      <c r="A23" s="75" t="s">
        <v>809</v>
      </c>
      <c r="B23" s="193">
        <f>C23*$B$11*($B$9/$B$10)</f>
        <v>1606.9365110154224</v>
      </c>
      <c r="C23" s="193">
        <v>2035</v>
      </c>
      <c r="D23" s="199" t="s">
        <v>660</v>
      </c>
      <c r="E23" t="s">
        <v>226</v>
      </c>
      <c r="F23">
        <v>1.7000000000000001E-4</v>
      </c>
      <c r="G23" t="s">
        <v>339</v>
      </c>
      <c r="H23">
        <v>1.2999999999999999E-4</v>
      </c>
      <c r="I23">
        <v>3.1E-4</v>
      </c>
      <c r="J23">
        <v>1.2999999999999999E-4</v>
      </c>
      <c r="K23" s="88">
        <v>1.2999999999999999E-4</v>
      </c>
      <c r="L23">
        <v>1.2999999999999999E-4</v>
      </c>
      <c r="M23">
        <v>3.6999999999999999E-4</v>
      </c>
      <c r="N23">
        <f>PSI_OC!$A$7</f>
        <v>10</v>
      </c>
      <c r="O23">
        <v>-1</v>
      </c>
      <c r="P23" t="s">
        <v>423</v>
      </c>
      <c r="Q23" s="17">
        <f t="shared" ref="Q23:Q86" si="18">((SUM(B$23:B$31)*F23)+(SUM(B$33:B$37,B$41:B$42,B$45,B$47,B$50,B$52:B$55,B$58:B$63,B$65:B$67,B$69:B$73,B$77,B$79:B$81,B$84:B$85,B$87:B$95,B$97:B$103)*I23)+(SUM(B$39:B$40,B$76)*K23)+(SUM(B$43,B$46,B$49,B$51,B$56)*L23)+(SUM(B$44,B$78)*H23)+(SUM(B$75,B$83)*J23)+(SUM(B$105:B$107,B$109:B$117)*M23))*(N23*O23)</f>
        <v>-2406.3459686525589</v>
      </c>
      <c r="R23" t="s">
        <v>537</v>
      </c>
      <c r="X23">
        <f t="shared" si="0"/>
        <v>0</v>
      </c>
      <c r="Y23">
        <f t="shared" si="1"/>
        <v>0</v>
      </c>
      <c r="Z23" s="17">
        <f t="shared" si="2"/>
        <v>0</v>
      </c>
      <c r="AA23" s="17">
        <f t="shared" si="3"/>
        <v>-299378.50233586942</v>
      </c>
      <c r="AB23">
        <f t="shared" si="4"/>
        <v>0</v>
      </c>
      <c r="AC23">
        <f t="shared" si="5"/>
        <v>0</v>
      </c>
      <c r="AD23">
        <f t="shared" si="6"/>
        <v>0</v>
      </c>
      <c r="AK23" s="8">
        <f t="shared" si="7"/>
        <v>0</v>
      </c>
      <c r="AL23" s="8">
        <f t="shared" si="8"/>
        <v>0</v>
      </c>
      <c r="AM23" s="8">
        <f t="shared" si="9"/>
        <v>0</v>
      </c>
      <c r="AN23" s="8">
        <f t="shared" si="10"/>
        <v>0</v>
      </c>
      <c r="AO23" s="8">
        <f t="shared" si="11"/>
        <v>0</v>
      </c>
      <c r="AP23" s="8">
        <f t="shared" si="12"/>
        <v>0</v>
      </c>
      <c r="AQ23" s="8">
        <f t="shared" si="13"/>
        <v>0</v>
      </c>
    </row>
    <row r="24" spans="1:43" x14ac:dyDescent="0.2">
      <c r="A24" s="75" t="s">
        <v>810</v>
      </c>
      <c r="B24" s="193">
        <f t="shared" ref="B24:B87" si="19">C24*$B$11*($B$9/$B$10)</f>
        <v>4449.6743191999531</v>
      </c>
      <c r="C24" s="193">
        <v>5635</v>
      </c>
      <c r="D24" s="199" t="s">
        <v>660</v>
      </c>
      <c r="E24" t="s">
        <v>227</v>
      </c>
      <c r="F24">
        <v>1.7099999999999999E-3</v>
      </c>
      <c r="G24" t="s">
        <v>340</v>
      </c>
      <c r="H24">
        <v>1.2700000000000001E-3</v>
      </c>
      <c r="I24">
        <v>3.0599999999999998E-3</v>
      </c>
      <c r="J24">
        <v>1.2700000000000001E-3</v>
      </c>
      <c r="K24" s="88">
        <v>1.2700000000000001E-3</v>
      </c>
      <c r="L24">
        <v>1.2700000000000001E-3</v>
      </c>
      <c r="M24">
        <v>3.6999999999999999E-4</v>
      </c>
      <c r="N24">
        <f>PSI_OC!$A$7</f>
        <v>10</v>
      </c>
      <c r="O24">
        <v>-1</v>
      </c>
      <c r="P24" t="s">
        <v>424</v>
      </c>
      <c r="Q24" s="17">
        <f t="shared" si="18"/>
        <v>-20895.810923659788</v>
      </c>
      <c r="R24" t="s">
        <v>537</v>
      </c>
      <c r="X24">
        <f t="shared" si="0"/>
        <v>0</v>
      </c>
      <c r="Y24">
        <f t="shared" si="1"/>
        <v>0</v>
      </c>
      <c r="Z24" s="17">
        <f t="shared" si="2"/>
        <v>0</v>
      </c>
      <c r="AA24" s="17">
        <f t="shared" si="3"/>
        <v>0</v>
      </c>
      <c r="AB24">
        <f t="shared" si="4"/>
        <v>0</v>
      </c>
      <c r="AC24">
        <f t="shared" si="5"/>
        <v>0</v>
      </c>
      <c r="AD24">
        <f t="shared" si="6"/>
        <v>0</v>
      </c>
      <c r="AK24" s="8">
        <f t="shared" si="7"/>
        <v>0</v>
      </c>
      <c r="AL24" s="8">
        <f t="shared" si="8"/>
        <v>0</v>
      </c>
      <c r="AM24" s="8">
        <f t="shared" si="9"/>
        <v>0</v>
      </c>
      <c r="AN24" s="8">
        <f t="shared" si="10"/>
        <v>0</v>
      </c>
      <c r="AO24" s="8">
        <f t="shared" si="11"/>
        <v>0</v>
      </c>
      <c r="AP24" s="8">
        <f t="shared" si="12"/>
        <v>0</v>
      </c>
      <c r="AQ24" s="8">
        <f t="shared" si="13"/>
        <v>0</v>
      </c>
    </row>
    <row r="25" spans="1:43" x14ac:dyDescent="0.2">
      <c r="A25" s="75" t="s">
        <v>811</v>
      </c>
      <c r="B25" s="193">
        <f t="shared" si="19"/>
        <v>41477.12392019463</v>
      </c>
      <c r="C25" s="193">
        <v>52526</v>
      </c>
      <c r="D25" s="199" t="s">
        <v>660</v>
      </c>
      <c r="E25" t="s">
        <v>228</v>
      </c>
      <c r="F25">
        <v>1.7099999999999999E-3</v>
      </c>
      <c r="G25" t="s">
        <v>341</v>
      </c>
      <c r="H25">
        <v>0.12681999999999999</v>
      </c>
      <c r="I25">
        <v>3.0599999999999998E-3</v>
      </c>
      <c r="J25">
        <v>0.12681999999999999</v>
      </c>
      <c r="K25" s="88">
        <v>0.12681999999999999</v>
      </c>
      <c r="L25">
        <v>0.12681999999999999</v>
      </c>
      <c r="M25">
        <v>3.6600000000000001E-3</v>
      </c>
      <c r="N25">
        <f>PSI_OC!$A$7</f>
        <v>10</v>
      </c>
      <c r="O25">
        <v>-1</v>
      </c>
      <c r="P25" t="s">
        <v>425</v>
      </c>
      <c r="Q25" s="17">
        <f t="shared" si="18"/>
        <v>-557399.46975634329</v>
      </c>
      <c r="R25" t="s">
        <v>537</v>
      </c>
      <c r="X25">
        <f t="shared" si="0"/>
        <v>0</v>
      </c>
      <c r="Y25">
        <f t="shared" si="1"/>
        <v>0</v>
      </c>
      <c r="Z25" s="17">
        <f t="shared" si="2"/>
        <v>0</v>
      </c>
      <c r="AA25" s="17">
        <f t="shared" si="3"/>
        <v>299.33128919877186</v>
      </c>
      <c r="AB25">
        <f t="shared" si="4"/>
        <v>0</v>
      </c>
      <c r="AC25">
        <f t="shared" si="5"/>
        <v>0</v>
      </c>
      <c r="AD25">
        <f t="shared" si="6"/>
        <v>0</v>
      </c>
      <c r="AK25" s="8">
        <f t="shared" si="7"/>
        <v>0</v>
      </c>
      <c r="AL25" s="8">
        <f t="shared" si="8"/>
        <v>0</v>
      </c>
      <c r="AM25" s="8">
        <f t="shared" si="9"/>
        <v>0</v>
      </c>
      <c r="AN25" s="8">
        <f t="shared" si="10"/>
        <v>0</v>
      </c>
      <c r="AO25" s="8">
        <f t="shared" si="11"/>
        <v>0</v>
      </c>
      <c r="AP25" s="8">
        <f t="shared" si="12"/>
        <v>0</v>
      </c>
      <c r="AQ25" s="8">
        <f t="shared" si="13"/>
        <v>0</v>
      </c>
    </row>
    <row r="26" spans="1:43" x14ac:dyDescent="0.2">
      <c r="A26" s="75" t="s">
        <v>812</v>
      </c>
      <c r="B26" s="193">
        <f t="shared" si="19"/>
        <v>5638.0966528993204</v>
      </c>
      <c r="C26" s="193">
        <v>7140</v>
      </c>
      <c r="D26" s="199" t="s">
        <v>660</v>
      </c>
      <c r="E26" t="s">
        <v>229</v>
      </c>
      <c r="F26">
        <v>1.712E-2</v>
      </c>
      <c r="G26" t="s">
        <v>342</v>
      </c>
      <c r="H26">
        <v>1.268E-2</v>
      </c>
      <c r="I26">
        <v>3.0599999999999998E-3</v>
      </c>
      <c r="J26">
        <v>1.268E-2</v>
      </c>
      <c r="K26" s="88">
        <v>1.268E-2</v>
      </c>
      <c r="L26">
        <v>1.268E-2</v>
      </c>
      <c r="M26">
        <v>3.6600000000000001E-3</v>
      </c>
      <c r="N26">
        <f>PSI_OC!$A$6</f>
        <v>100</v>
      </c>
      <c r="O26">
        <v>-1</v>
      </c>
      <c r="P26" t="s">
        <v>426</v>
      </c>
      <c r="Q26" s="17">
        <f t="shared" si="18"/>
        <v>-818205.3083721085</v>
      </c>
      <c r="R26" t="s">
        <v>537</v>
      </c>
      <c r="X26">
        <f t="shared" si="0"/>
        <v>-1058.686886978345</v>
      </c>
      <c r="Y26">
        <f t="shared" si="1"/>
        <v>-141145.15868377424</v>
      </c>
      <c r="Z26" s="17">
        <f t="shared" si="2"/>
        <v>-329401.47440487548</v>
      </c>
      <c r="AA26" s="17">
        <f t="shared" si="3"/>
        <v>-2993879.4496328896</v>
      </c>
      <c r="AB26">
        <f t="shared" si="4"/>
        <v>-1885257.7567934154</v>
      </c>
      <c r="AC26">
        <f t="shared" si="5"/>
        <v>-3179.8351850247905</v>
      </c>
      <c r="AD26">
        <f t="shared" si="6"/>
        <v>-45735902.520583518</v>
      </c>
      <c r="AK26" s="8">
        <f t="shared" si="7"/>
        <v>-125953467.99198779</v>
      </c>
      <c r="AL26" s="8">
        <f t="shared" si="8"/>
        <v>-2922862.0789508964</v>
      </c>
      <c r="AM26" s="8">
        <f t="shared" si="9"/>
        <v>-64362149.01120808</v>
      </c>
      <c r="AN26" s="8">
        <f t="shared" si="10"/>
        <v>-634182382.57683253</v>
      </c>
      <c r="AO26" s="8">
        <f t="shared" si="11"/>
        <v>-5734155.1860822067</v>
      </c>
      <c r="AP26" s="8">
        <f t="shared" si="12"/>
        <v>-4399183.9476131778</v>
      </c>
      <c r="AQ26" s="8">
        <f t="shared" si="13"/>
        <v>-52140114401.928993</v>
      </c>
    </row>
    <row r="27" spans="1:43" x14ac:dyDescent="0.2">
      <c r="A27" s="75" t="s">
        <v>813</v>
      </c>
      <c r="B27" s="193">
        <f t="shared" si="19"/>
        <v>276.3772869068294</v>
      </c>
      <c r="C27" s="193">
        <v>350</v>
      </c>
      <c r="D27" s="199" t="s">
        <v>660</v>
      </c>
      <c r="E27" t="s">
        <v>230</v>
      </c>
      <c r="F27">
        <v>1.7000000000000001E-4</v>
      </c>
      <c r="G27" t="s">
        <v>343</v>
      </c>
      <c r="H27">
        <v>0.12681999999999999</v>
      </c>
      <c r="I27">
        <v>3.0602</v>
      </c>
      <c r="J27">
        <v>0.12681999999999999</v>
      </c>
      <c r="K27" s="88">
        <v>0.12681999999999999</v>
      </c>
      <c r="L27">
        <v>0.12681999999999999</v>
      </c>
      <c r="M27">
        <v>3.6644000000000001</v>
      </c>
      <c r="N27">
        <f>PSI_OC!$A$6</f>
        <v>100</v>
      </c>
      <c r="O27">
        <v>-1</v>
      </c>
      <c r="P27" t="s">
        <v>427</v>
      </c>
      <c r="Q27" s="17">
        <f t="shared" si="18"/>
        <v>-178038588.49341136</v>
      </c>
      <c r="R27" t="s">
        <v>537</v>
      </c>
      <c r="X27">
        <f t="shared" si="0"/>
        <v>0</v>
      </c>
      <c r="Y27">
        <f t="shared" si="1"/>
        <v>0</v>
      </c>
      <c r="Z27" s="17">
        <f t="shared" si="2"/>
        <v>0</v>
      </c>
      <c r="AA27" s="17">
        <f t="shared" si="3"/>
        <v>0</v>
      </c>
      <c r="AB27">
        <f t="shared" si="4"/>
        <v>0</v>
      </c>
      <c r="AC27">
        <f t="shared" si="5"/>
        <v>0</v>
      </c>
      <c r="AD27">
        <f t="shared" si="6"/>
        <v>0</v>
      </c>
      <c r="AK27" s="8">
        <f t="shared" si="7"/>
        <v>0</v>
      </c>
      <c r="AL27" s="8">
        <f t="shared" si="8"/>
        <v>0</v>
      </c>
      <c r="AM27" s="8">
        <f t="shared" si="9"/>
        <v>0</v>
      </c>
      <c r="AN27" s="8">
        <f t="shared" si="10"/>
        <v>0</v>
      </c>
      <c r="AO27" s="8">
        <f t="shared" si="11"/>
        <v>0</v>
      </c>
      <c r="AP27" s="8">
        <f t="shared" si="12"/>
        <v>0</v>
      </c>
      <c r="AQ27" s="8">
        <f t="shared" si="13"/>
        <v>0</v>
      </c>
    </row>
    <row r="28" spans="1:43" x14ac:dyDescent="0.2">
      <c r="A28" s="75" t="s">
        <v>814</v>
      </c>
      <c r="B28" s="193">
        <f t="shared" si="19"/>
        <v>1831.9865874966977</v>
      </c>
      <c r="C28" s="193">
        <v>2320</v>
      </c>
      <c r="D28" s="199" t="s">
        <v>660</v>
      </c>
      <c r="E28" t="s">
        <v>231</v>
      </c>
      <c r="F28">
        <v>1.7099999999999999E-3</v>
      </c>
      <c r="G28" t="s">
        <v>344</v>
      </c>
      <c r="H28">
        <v>1.26824</v>
      </c>
      <c r="I28">
        <v>3.0599999999999998E-3</v>
      </c>
      <c r="J28">
        <v>1.2700000000000001E-3</v>
      </c>
      <c r="K28" s="88">
        <v>0.12681999999999999</v>
      </c>
      <c r="L28">
        <v>1.2700000000000001E-3</v>
      </c>
      <c r="M28">
        <v>3.6639999999999999E-2</v>
      </c>
      <c r="N28">
        <f>PSI_OC!$A$7</f>
        <v>10</v>
      </c>
      <c r="O28">
        <v>-1</v>
      </c>
      <c r="P28" t="s">
        <v>428</v>
      </c>
      <c r="Q28" s="17">
        <f t="shared" si="18"/>
        <v>-273014.05659828638</v>
      </c>
      <c r="R28" t="s">
        <v>537</v>
      </c>
      <c r="X28">
        <f t="shared" si="0"/>
        <v>-1064.9144569017469</v>
      </c>
      <c r="Y28">
        <f t="shared" si="1"/>
        <v>-1411543.8385754442</v>
      </c>
      <c r="Z28" s="17">
        <f t="shared" si="2"/>
        <v>-329.86900527849861</v>
      </c>
      <c r="AA28" s="17">
        <f t="shared" si="3"/>
        <v>-30.688539113438754</v>
      </c>
      <c r="AB28">
        <f t="shared" si="4"/>
        <v>-19.324694725221093</v>
      </c>
      <c r="AC28">
        <f t="shared" si="5"/>
        <v>-31488.962480894137</v>
      </c>
      <c r="AD28">
        <f t="shared" si="6"/>
        <v>-468.81247458492533</v>
      </c>
      <c r="AK28" s="8">
        <f t="shared" si="7"/>
        <v>-126132.23809322232</v>
      </c>
      <c r="AL28" s="8">
        <f t="shared" si="8"/>
        <v>-2923.9946880064899</v>
      </c>
      <c r="AM28" s="8">
        <f t="shared" si="9"/>
        <v>-659.73943192590116</v>
      </c>
      <c r="AN28" s="8">
        <f t="shared" si="10"/>
        <v>-6500.6394479742185</v>
      </c>
      <c r="AO28" s="8">
        <f t="shared" si="11"/>
        <v>-5878.8657270558897</v>
      </c>
      <c r="AP28" s="8">
        <f t="shared" si="12"/>
        <v>-43991.839476131783</v>
      </c>
      <c r="AQ28" s="8">
        <f t="shared" si="13"/>
        <v>-52132347.944134697</v>
      </c>
    </row>
    <row r="29" spans="1:43" x14ac:dyDescent="0.2">
      <c r="A29" s="75" t="s">
        <v>815</v>
      </c>
      <c r="B29" s="193">
        <f t="shared" si="19"/>
        <v>3429.4473058181716</v>
      </c>
      <c r="C29" s="193">
        <v>4343</v>
      </c>
      <c r="D29" s="199" t="s">
        <v>660</v>
      </c>
      <c r="E29" t="s">
        <v>232</v>
      </c>
      <c r="F29">
        <v>1.7000000000000001E-4</v>
      </c>
      <c r="G29" t="s">
        <v>345</v>
      </c>
      <c r="H29">
        <v>1.2999999999999999E-4</v>
      </c>
      <c r="I29">
        <v>3.1E-4</v>
      </c>
      <c r="J29">
        <v>1.2999999999999999E-4</v>
      </c>
      <c r="K29" s="88">
        <v>1.2999999999999999E-4</v>
      </c>
      <c r="L29">
        <v>1.2999999999999999E-4</v>
      </c>
      <c r="M29">
        <v>3.6639999999999999E-2</v>
      </c>
      <c r="N29">
        <f>PSI_OC!$A$7</f>
        <v>10</v>
      </c>
      <c r="O29">
        <v>-1</v>
      </c>
      <c r="P29" t="s">
        <v>429</v>
      </c>
      <c r="Q29" s="17">
        <f t="shared" si="18"/>
        <v>-33577.324931044219</v>
      </c>
      <c r="R29" t="s">
        <v>537</v>
      </c>
      <c r="X29">
        <f t="shared" si="0"/>
        <v>-1066433.9839630569</v>
      </c>
      <c r="Y29">
        <f t="shared" si="1"/>
        <v>-141145.15868377424</v>
      </c>
      <c r="Z29" s="17">
        <f t="shared" si="2"/>
        <v>-3293.4952653002852</v>
      </c>
      <c r="AA29" s="17">
        <f t="shared" si="3"/>
        <v>-2993.3128919877186</v>
      </c>
      <c r="AB29">
        <f t="shared" si="4"/>
        <v>-1884.9009931984881</v>
      </c>
      <c r="AC29">
        <f t="shared" si="5"/>
        <v>-31488.962480894137</v>
      </c>
      <c r="AD29">
        <f t="shared" si="6"/>
        <v>-45727.247521052719</v>
      </c>
      <c r="AK29" s="8">
        <f t="shared" si="7"/>
        <v>-1259336.0464740619</v>
      </c>
      <c r="AL29" s="8">
        <f t="shared" si="8"/>
        <v>-292286.20789508964</v>
      </c>
      <c r="AM29" s="8">
        <f t="shared" si="9"/>
        <v>-64349.969206310991</v>
      </c>
      <c r="AN29" s="8">
        <f t="shared" si="10"/>
        <v>-634062.37077163917</v>
      </c>
      <c r="AO29" s="8">
        <f t="shared" si="11"/>
        <v>-573415.51860822062</v>
      </c>
      <c r="AP29" s="8">
        <f t="shared" si="12"/>
        <v>-439918.39476131776</v>
      </c>
      <c r="AQ29" s="8">
        <f t="shared" si="13"/>
        <v>-5209998.770332519</v>
      </c>
    </row>
    <row r="30" spans="1:43" x14ac:dyDescent="0.2">
      <c r="A30" s="75" t="s">
        <v>816</v>
      </c>
      <c r="B30" s="193">
        <f t="shared" si="19"/>
        <v>198.20199718175479</v>
      </c>
      <c r="C30" s="193">
        <v>251</v>
      </c>
      <c r="D30" s="199" t="s">
        <v>660</v>
      </c>
      <c r="E30" t="s">
        <v>233</v>
      </c>
      <c r="F30">
        <v>1.7000000000000001E-4</v>
      </c>
      <c r="G30" t="s">
        <v>345</v>
      </c>
      <c r="H30">
        <v>1.2999999999999999E-4</v>
      </c>
      <c r="I30">
        <v>3.1E-4</v>
      </c>
      <c r="J30">
        <v>1.2999999999999999E-4</v>
      </c>
      <c r="K30" s="88">
        <v>1.2999999999999999E-4</v>
      </c>
      <c r="L30">
        <v>1.2999999999999999E-4</v>
      </c>
      <c r="M30">
        <v>3.6999999999999999E-4</v>
      </c>
      <c r="N30">
        <f>PSI_OC!$A$7</f>
        <v>10</v>
      </c>
      <c r="O30">
        <v>-1</v>
      </c>
      <c r="P30" t="s">
        <v>429</v>
      </c>
      <c r="Q30" s="17">
        <f t="shared" si="18"/>
        <v>-2406.3459686525589</v>
      </c>
      <c r="R30" t="s">
        <v>537</v>
      </c>
      <c r="X30">
        <f t="shared" si="0"/>
        <v>-10661.599708864273</v>
      </c>
      <c r="Y30">
        <f t="shared" si="1"/>
        <v>-1429.9019343781049</v>
      </c>
      <c r="Z30" s="17">
        <f t="shared" si="2"/>
        <v>-329411.86397984496</v>
      </c>
      <c r="AA30" s="17">
        <f t="shared" si="3"/>
        <v>-299387.94496328896</v>
      </c>
      <c r="AB30">
        <f t="shared" si="4"/>
        <v>-188525.77567934152</v>
      </c>
      <c r="AC30">
        <f t="shared" si="5"/>
        <v>-317.98351850247906</v>
      </c>
      <c r="AD30">
        <f t="shared" si="6"/>
        <v>-4573590.2520583514</v>
      </c>
      <c r="AK30" s="8">
        <f t="shared" si="7"/>
        <v>-125957440.66090414</v>
      </c>
      <c r="AL30" s="8">
        <f t="shared" si="8"/>
        <v>-29239987.475371551</v>
      </c>
      <c r="AM30" s="8">
        <f t="shared" si="9"/>
        <v>-6436214.901120808</v>
      </c>
      <c r="AN30" s="8">
        <f t="shared" si="10"/>
        <v>-63418238.257683255</v>
      </c>
      <c r="AO30" s="8">
        <f t="shared" si="11"/>
        <v>-57352405.15139509</v>
      </c>
      <c r="AP30" s="8">
        <f t="shared" si="12"/>
        <v>-44008947.413705826</v>
      </c>
      <c r="AQ30" s="8">
        <f t="shared" si="13"/>
        <v>-521404380.04337078</v>
      </c>
    </row>
    <row r="31" spans="1:43" x14ac:dyDescent="0.2">
      <c r="A31" s="75" t="s">
        <v>817</v>
      </c>
      <c r="B31" s="193">
        <f t="shared" si="19"/>
        <v>3367.8546533075064</v>
      </c>
      <c r="C31" s="193">
        <v>4265</v>
      </c>
      <c r="D31" s="199" t="s">
        <v>660</v>
      </c>
      <c r="E31" t="s">
        <v>320</v>
      </c>
      <c r="F31">
        <v>1.7099999999999999E-3</v>
      </c>
      <c r="G31" t="s">
        <v>344</v>
      </c>
      <c r="H31">
        <v>0</v>
      </c>
      <c r="I31">
        <v>0.30602000000000001</v>
      </c>
      <c r="J31">
        <v>0</v>
      </c>
      <c r="K31" s="88">
        <v>0</v>
      </c>
      <c r="L31">
        <v>0</v>
      </c>
      <c r="M31">
        <v>3.6999999999999999E-4</v>
      </c>
      <c r="N31">
        <f>PSI_OC!$A$6</f>
        <v>100</v>
      </c>
      <c r="O31">
        <v>-1</v>
      </c>
      <c r="P31" t="s">
        <v>428</v>
      </c>
      <c r="Q31" s="17">
        <f t="shared" si="18"/>
        <v>-14129267.365508484</v>
      </c>
      <c r="R31" t="s">
        <v>537</v>
      </c>
      <c r="X31">
        <f t="shared" si="0"/>
        <v>-106640.90736833634</v>
      </c>
      <c r="Y31">
        <f t="shared" si="1"/>
        <v>-1411543.8385754442</v>
      </c>
      <c r="Z31" s="17">
        <f t="shared" si="2"/>
        <v>-329411.86397984496</v>
      </c>
      <c r="AA31" s="17">
        <f t="shared" si="3"/>
        <v>-299387.94496328896</v>
      </c>
      <c r="AB31">
        <f t="shared" si="4"/>
        <v>-188525.77567934152</v>
      </c>
      <c r="AC31">
        <f t="shared" si="5"/>
        <v>-31488.962480894137</v>
      </c>
      <c r="AD31">
        <f t="shared" si="6"/>
        <v>-4573590.2520583514</v>
      </c>
      <c r="AK31" s="8">
        <f t="shared" si="7"/>
        <v>-125957440.66090414</v>
      </c>
      <c r="AL31" s="8">
        <f t="shared" si="8"/>
        <v>-29239987.475371551</v>
      </c>
      <c r="AM31" s="8">
        <f t="shared" si="9"/>
        <v>-6436214.901120808</v>
      </c>
      <c r="AN31" s="8">
        <f t="shared" si="10"/>
        <v>-63418238.257683255</v>
      </c>
      <c r="AO31" s="8">
        <f t="shared" si="11"/>
        <v>-57352405.15139509</v>
      </c>
      <c r="AP31" s="8">
        <f t="shared" si="12"/>
        <v>-44008947.413705826</v>
      </c>
      <c r="AQ31" s="8">
        <f t="shared" si="13"/>
        <v>-5209998.770332519</v>
      </c>
    </row>
    <row r="32" spans="1:43" x14ac:dyDescent="0.2">
      <c r="A32" s="191" t="s">
        <v>818</v>
      </c>
      <c r="B32" s="193">
        <f t="shared" si="19"/>
        <v>0</v>
      </c>
      <c r="C32" s="192"/>
      <c r="D32" s="1"/>
      <c r="E32" t="s">
        <v>321</v>
      </c>
      <c r="F32">
        <v>1.712E-2</v>
      </c>
      <c r="G32" t="s">
        <v>344</v>
      </c>
      <c r="H32">
        <v>0</v>
      </c>
      <c r="I32">
        <v>0.30602000000000001</v>
      </c>
      <c r="J32">
        <v>0</v>
      </c>
      <c r="K32" s="88">
        <v>0</v>
      </c>
      <c r="L32">
        <v>0</v>
      </c>
      <c r="M32">
        <v>3.6600000000000001E-3</v>
      </c>
      <c r="N32">
        <f>PSI_OC!$A$6</f>
        <v>100</v>
      </c>
      <c r="O32">
        <v>-1</v>
      </c>
      <c r="P32" t="s">
        <v>428</v>
      </c>
      <c r="Q32" s="17">
        <f t="shared" si="18"/>
        <v>-14253508.968727384</v>
      </c>
      <c r="R32" t="s">
        <v>537</v>
      </c>
      <c r="X32">
        <f t="shared" si="0"/>
        <v>-106640.90736833634</v>
      </c>
      <c r="Y32">
        <f t="shared" si="1"/>
        <v>-141145.15868377424</v>
      </c>
      <c r="Z32" s="17">
        <f t="shared" si="2"/>
        <v>-329411.86397984496</v>
      </c>
      <c r="AA32" s="17">
        <f t="shared" si="3"/>
        <v>-299387.94496328896</v>
      </c>
      <c r="AB32">
        <f t="shared" si="4"/>
        <v>-188525.77567934152</v>
      </c>
      <c r="AC32">
        <f t="shared" si="5"/>
        <v>-3149240.0140553624</v>
      </c>
      <c r="AD32">
        <f t="shared" si="6"/>
        <v>-4573590.2520583514</v>
      </c>
      <c r="AK32" s="8">
        <f t="shared" si="7"/>
        <v>-125957440.66090414</v>
      </c>
      <c r="AL32" s="8">
        <f t="shared" si="8"/>
        <v>-29239987.475371551</v>
      </c>
      <c r="AM32" s="8">
        <f t="shared" si="9"/>
        <v>-6436214.901120808</v>
      </c>
      <c r="AN32" s="8">
        <f t="shared" si="10"/>
        <v>-63418238.257683255</v>
      </c>
      <c r="AO32" s="8">
        <f t="shared" si="11"/>
        <v>-57352405.15139509</v>
      </c>
      <c r="AP32" s="8">
        <f t="shared" si="12"/>
        <v>-44008947.413705826</v>
      </c>
      <c r="AQ32" s="8">
        <f t="shared" si="13"/>
        <v>-52132347.944134697</v>
      </c>
    </row>
    <row r="33" spans="1:43" x14ac:dyDescent="0.2">
      <c r="A33" s="75" t="s">
        <v>819</v>
      </c>
      <c r="B33" s="193">
        <f t="shared" si="19"/>
        <v>2815.1000794938477</v>
      </c>
      <c r="C33" s="193">
        <v>3565</v>
      </c>
      <c r="D33" s="135" t="s">
        <v>506</v>
      </c>
      <c r="E33" t="s">
        <v>234</v>
      </c>
      <c r="F33">
        <v>1.712E-2</v>
      </c>
      <c r="G33" t="s">
        <v>344</v>
      </c>
      <c r="H33">
        <v>0</v>
      </c>
      <c r="I33">
        <v>0.30602000000000001</v>
      </c>
      <c r="J33">
        <v>0</v>
      </c>
      <c r="K33" s="88">
        <v>0</v>
      </c>
      <c r="L33">
        <v>0</v>
      </c>
      <c r="M33">
        <v>3.6600000000000001E-3</v>
      </c>
      <c r="N33">
        <v>0</v>
      </c>
      <c r="O33">
        <v>0</v>
      </c>
      <c r="P33" t="s">
        <v>428</v>
      </c>
      <c r="Q33" s="17">
        <f t="shared" si="18"/>
        <v>0</v>
      </c>
      <c r="R33" t="s">
        <v>537</v>
      </c>
      <c r="X33">
        <f t="shared" si="0"/>
        <v>-105.8686886978345</v>
      </c>
      <c r="Y33">
        <f t="shared" si="1"/>
        <v>-1429.9019343781049</v>
      </c>
      <c r="Z33" s="17">
        <f t="shared" si="2"/>
        <v>-32940.147440487548</v>
      </c>
      <c r="AA33" s="17">
        <f t="shared" si="3"/>
        <v>-29937.850233586942</v>
      </c>
      <c r="AB33">
        <f t="shared" si="4"/>
        <v>-18851.982961942605</v>
      </c>
      <c r="AC33">
        <f t="shared" si="5"/>
        <v>-317.98351850247906</v>
      </c>
      <c r="AD33">
        <f t="shared" si="6"/>
        <v>-457344.60020661709</v>
      </c>
      <c r="AK33" s="8">
        <f t="shared" si="7"/>
        <v>-12595346.79919878</v>
      </c>
      <c r="AL33" s="8">
        <f t="shared" si="8"/>
        <v>-2924079.938150459</v>
      </c>
      <c r="AM33" s="8">
        <f t="shared" si="9"/>
        <v>-643601.19043725217</v>
      </c>
      <c r="AN33" s="8">
        <f t="shared" si="10"/>
        <v>-6341623.8060930017</v>
      </c>
      <c r="AO33" s="8">
        <f t="shared" si="11"/>
        <v>-5735059.6269632913</v>
      </c>
      <c r="AP33" s="8">
        <f t="shared" si="12"/>
        <v>-4401016.9409246827</v>
      </c>
      <c r="AQ33" s="8">
        <f t="shared" si="13"/>
        <v>-5214011440.1928988</v>
      </c>
    </row>
    <row r="34" spans="1:43" x14ac:dyDescent="0.2">
      <c r="A34" s="75" t="s">
        <v>820</v>
      </c>
      <c r="B34" s="193">
        <f t="shared" si="19"/>
        <v>9661.3603008715927</v>
      </c>
      <c r="C34" s="193">
        <v>12235</v>
      </c>
      <c r="D34" s="135" t="s">
        <v>506</v>
      </c>
      <c r="E34" t="s">
        <v>235</v>
      </c>
      <c r="F34">
        <v>0.17124</v>
      </c>
      <c r="G34" t="s">
        <v>346</v>
      </c>
      <c r="H34">
        <v>0.12681999999999999</v>
      </c>
      <c r="I34">
        <v>0.30602000000000001</v>
      </c>
      <c r="J34">
        <v>0.12681999999999999</v>
      </c>
      <c r="K34" s="88">
        <v>0.12681999999999999</v>
      </c>
      <c r="L34">
        <v>0.12681999999999999</v>
      </c>
      <c r="M34">
        <v>0.36643999999999999</v>
      </c>
      <c r="N34">
        <f>PSI_OC!$A$8</f>
        <v>1</v>
      </c>
      <c r="O34">
        <v>1</v>
      </c>
      <c r="P34" t="s">
        <v>430</v>
      </c>
      <c r="Q34" s="17">
        <f t="shared" si="18"/>
        <v>237218.33281919509</v>
      </c>
      <c r="R34" t="s">
        <v>537</v>
      </c>
      <c r="X34">
        <f t="shared" si="0"/>
        <v>-10649.144569017468</v>
      </c>
      <c r="Y34">
        <f t="shared" si="1"/>
        <v>-141145.15868377424</v>
      </c>
      <c r="Z34" s="17">
        <f t="shared" si="2"/>
        <v>-3298.6900527849862</v>
      </c>
      <c r="AA34" s="17">
        <f t="shared" si="3"/>
        <v>-2998.0342056974782</v>
      </c>
      <c r="AB34">
        <f t="shared" si="4"/>
        <v>-1887.8740231562147</v>
      </c>
      <c r="AC34">
        <f t="shared" si="5"/>
        <v>-31454.585884299278</v>
      </c>
      <c r="AD34">
        <f t="shared" si="6"/>
        <v>-45799.372517142714</v>
      </c>
      <c r="AK34" s="8">
        <f t="shared" si="7"/>
        <v>-1261322.3809322231</v>
      </c>
      <c r="AL34" s="8">
        <f t="shared" si="8"/>
        <v>-292286.20789508964</v>
      </c>
      <c r="AM34" s="8">
        <f t="shared" si="9"/>
        <v>-64451.467580453434</v>
      </c>
      <c r="AN34" s="8">
        <f t="shared" si="10"/>
        <v>-635062.46914825065</v>
      </c>
      <c r="AO34" s="8">
        <f t="shared" si="11"/>
        <v>-574319.9594893062</v>
      </c>
      <c r="AP34" s="8">
        <f t="shared" si="12"/>
        <v>-439918.39476131782</v>
      </c>
      <c r="AQ34" s="8">
        <f t="shared" si="13"/>
        <v>-52099987.70332519</v>
      </c>
    </row>
    <row r="35" spans="1:43" x14ac:dyDescent="0.2">
      <c r="A35" s="75" t="s">
        <v>821</v>
      </c>
      <c r="B35" s="193">
        <f t="shared" si="19"/>
        <v>1300.5525472444228</v>
      </c>
      <c r="C35" s="193">
        <v>1647</v>
      </c>
      <c r="D35" s="135" t="s">
        <v>506</v>
      </c>
      <c r="E35" t="s">
        <v>236</v>
      </c>
      <c r="F35">
        <v>1.7000000000000001E-4</v>
      </c>
      <c r="G35" t="s">
        <v>347</v>
      </c>
      <c r="H35">
        <v>1.2999999999999999E-4</v>
      </c>
      <c r="I35">
        <v>3.0602</v>
      </c>
      <c r="J35">
        <v>1.2999999999999999E-4</v>
      </c>
      <c r="K35" s="88">
        <v>1.2999999999999999E-4</v>
      </c>
      <c r="L35">
        <v>1.2999999999999999E-4</v>
      </c>
      <c r="M35">
        <v>3.6999999999999999E-4</v>
      </c>
      <c r="N35">
        <f>PSI_OC!$A$7</f>
        <v>10</v>
      </c>
      <c r="O35">
        <v>-1</v>
      </c>
      <c r="P35" t="s">
        <v>431</v>
      </c>
      <c r="Q35" s="17">
        <f t="shared" si="18"/>
        <v>-14116414.829788718</v>
      </c>
      <c r="R35" t="s">
        <v>537</v>
      </c>
      <c r="X35">
        <f t="shared" si="0"/>
        <v>-10649.144569017468</v>
      </c>
      <c r="Y35">
        <f t="shared" si="1"/>
        <v>-141145.15868377424</v>
      </c>
      <c r="Z35" s="17">
        <f t="shared" si="2"/>
        <v>-3298.6900527849862</v>
      </c>
      <c r="AA35" s="17">
        <f t="shared" si="3"/>
        <v>-2998.0342056974782</v>
      </c>
      <c r="AB35">
        <f t="shared" si="4"/>
        <v>-1887.8740231562147</v>
      </c>
      <c r="AC35">
        <f t="shared" si="5"/>
        <v>-31454.585884299278</v>
      </c>
      <c r="AD35">
        <f t="shared" si="6"/>
        <v>-45799.372517142714</v>
      </c>
      <c r="AK35" s="8">
        <f t="shared" si="7"/>
        <v>-1261322.3809322231</v>
      </c>
      <c r="AL35" s="8">
        <f t="shared" si="8"/>
        <v>-292286.20789508964</v>
      </c>
      <c r="AM35" s="8">
        <f t="shared" si="9"/>
        <v>-64451.467580453434</v>
      </c>
      <c r="AN35" s="8">
        <f t="shared" si="10"/>
        <v>-635062.46914825065</v>
      </c>
      <c r="AO35" s="8">
        <f t="shared" si="11"/>
        <v>-574319.9594893062</v>
      </c>
      <c r="AP35" s="8">
        <f t="shared" si="12"/>
        <v>-439918.39476131782</v>
      </c>
      <c r="AQ35" s="8">
        <f t="shared" si="13"/>
        <v>-521323479.441347</v>
      </c>
    </row>
    <row r="36" spans="1:43" x14ac:dyDescent="0.2">
      <c r="A36" s="75" t="s">
        <v>822</v>
      </c>
      <c r="B36" s="193">
        <f t="shared" si="19"/>
        <v>2405.2720454805781</v>
      </c>
      <c r="C36" s="193">
        <v>3046</v>
      </c>
      <c r="D36" s="135" t="s">
        <v>506</v>
      </c>
      <c r="E36" t="s">
        <v>237</v>
      </c>
      <c r="F36">
        <v>1.712E-2</v>
      </c>
      <c r="G36" t="s">
        <v>348</v>
      </c>
      <c r="H36">
        <v>0.12681999999999999</v>
      </c>
      <c r="I36">
        <v>0.30602000000000001</v>
      </c>
      <c r="J36">
        <v>0.12681999999999999</v>
      </c>
      <c r="K36" s="88">
        <v>0.12681999999999999</v>
      </c>
      <c r="L36">
        <v>0.12681999999999999</v>
      </c>
      <c r="M36">
        <v>3.6999999999999999E-4</v>
      </c>
      <c r="N36">
        <f>PSI_OC!$A$6</f>
        <v>100</v>
      </c>
      <c r="O36">
        <v>-1</v>
      </c>
      <c r="P36" t="s">
        <v>432</v>
      </c>
      <c r="Q36" s="17">
        <f t="shared" si="18"/>
        <v>-19615980.026454449</v>
      </c>
      <c r="R36" t="s">
        <v>537</v>
      </c>
      <c r="X36">
        <f t="shared" si="0"/>
        <v>1064.9144569017469</v>
      </c>
      <c r="Y36">
        <f t="shared" si="1"/>
        <v>1411543.8385754442</v>
      </c>
      <c r="Z36" s="17">
        <f t="shared" si="2"/>
        <v>329.86900527849861</v>
      </c>
      <c r="AA36" s="17">
        <f t="shared" si="3"/>
        <v>299.80342056974786</v>
      </c>
      <c r="AB36">
        <f t="shared" si="4"/>
        <v>188.78740231562148</v>
      </c>
      <c r="AC36">
        <f t="shared" si="5"/>
        <v>314924.00140553626</v>
      </c>
      <c r="AD36">
        <f t="shared" si="6"/>
        <v>4579.937251714271</v>
      </c>
      <c r="AK36" s="8">
        <f t="shared" si="7"/>
        <v>126132.23809322232</v>
      </c>
      <c r="AL36" s="8">
        <f t="shared" si="8"/>
        <v>29228.620789508965</v>
      </c>
      <c r="AM36" s="8">
        <f t="shared" si="9"/>
        <v>6445.1467580453436</v>
      </c>
      <c r="AN36" s="8">
        <f t="shared" si="10"/>
        <v>63506.24691482506</v>
      </c>
      <c r="AO36" s="8">
        <f t="shared" si="11"/>
        <v>57431.995948930627</v>
      </c>
      <c r="AP36" s="8">
        <f t="shared" si="12"/>
        <v>43991.839476131783</v>
      </c>
      <c r="AQ36" s="8">
        <f t="shared" si="13"/>
        <v>521404380.04337078</v>
      </c>
    </row>
    <row r="37" spans="1:43" x14ac:dyDescent="0.2">
      <c r="A37" s="75" t="s">
        <v>823</v>
      </c>
      <c r="B37" s="193">
        <f t="shared" si="19"/>
        <v>1300.5525472444228</v>
      </c>
      <c r="C37" s="193">
        <v>1647</v>
      </c>
      <c r="D37" s="135" t="s">
        <v>506</v>
      </c>
      <c r="E37" t="s">
        <v>238</v>
      </c>
      <c r="F37">
        <v>0</v>
      </c>
      <c r="G37" t="s">
        <v>349</v>
      </c>
      <c r="H37">
        <v>0</v>
      </c>
      <c r="I37">
        <v>0</v>
      </c>
      <c r="J37">
        <v>0</v>
      </c>
      <c r="K37" s="88">
        <v>0</v>
      </c>
      <c r="L37">
        <v>0</v>
      </c>
      <c r="M37">
        <v>0</v>
      </c>
      <c r="N37">
        <f>PSI_OC!$A$7</f>
        <v>10</v>
      </c>
      <c r="O37">
        <v>-1</v>
      </c>
      <c r="P37" t="s">
        <v>433</v>
      </c>
      <c r="Q37" s="17">
        <f t="shared" si="18"/>
        <v>0</v>
      </c>
      <c r="R37" t="s">
        <v>537</v>
      </c>
      <c r="X37">
        <f t="shared" si="0"/>
        <v>0</v>
      </c>
      <c r="Y37">
        <f t="shared" si="1"/>
        <v>-14299.019343781049</v>
      </c>
      <c r="Z37" s="17">
        <f t="shared" si="2"/>
        <v>0</v>
      </c>
      <c r="AA37" s="17">
        <f t="shared" si="3"/>
        <v>0</v>
      </c>
      <c r="AB37">
        <f t="shared" si="4"/>
        <v>0</v>
      </c>
      <c r="AC37">
        <f t="shared" si="5"/>
        <v>0</v>
      </c>
      <c r="AD37">
        <f t="shared" si="6"/>
        <v>0</v>
      </c>
      <c r="AK37" s="8">
        <f t="shared" si="7"/>
        <v>0</v>
      </c>
      <c r="AL37" s="8">
        <f t="shared" si="8"/>
        <v>0</v>
      </c>
      <c r="AM37" s="8">
        <f t="shared" si="9"/>
        <v>0</v>
      </c>
      <c r="AN37" s="8">
        <f t="shared" si="10"/>
        <v>0</v>
      </c>
      <c r="AO37" s="8">
        <f t="shared" si="11"/>
        <v>0</v>
      </c>
      <c r="AP37" s="8">
        <f t="shared" si="12"/>
        <v>0</v>
      </c>
      <c r="AQ37" s="8">
        <f t="shared" si="13"/>
        <v>-5177638.5295230001</v>
      </c>
    </row>
    <row r="38" spans="1:43" x14ac:dyDescent="0.2">
      <c r="A38" s="191" t="s">
        <v>824</v>
      </c>
      <c r="B38" s="193">
        <f t="shared" si="19"/>
        <v>0</v>
      </c>
      <c r="C38" s="192"/>
      <c r="D38" s="1"/>
      <c r="E38" t="s">
        <v>239</v>
      </c>
      <c r="F38">
        <v>1.7099999999999999E-3</v>
      </c>
      <c r="G38" t="s">
        <v>348</v>
      </c>
      <c r="H38">
        <v>1.2700000000000001E-3</v>
      </c>
      <c r="I38">
        <v>3.0599999999999998E-3</v>
      </c>
      <c r="J38">
        <v>0.12681999999999999</v>
      </c>
      <c r="K38" s="88">
        <v>1.2700000000000001E-3</v>
      </c>
      <c r="L38">
        <v>1.2700000000000001E-3</v>
      </c>
      <c r="M38">
        <v>3.6600000000000001E-3</v>
      </c>
      <c r="N38">
        <f>PSI_OC!$A$6</f>
        <v>100</v>
      </c>
      <c r="O38">
        <v>-1</v>
      </c>
      <c r="P38" t="s">
        <v>432</v>
      </c>
      <c r="Q38" s="17">
        <f t="shared" si="18"/>
        <v>-533613.32806604437</v>
      </c>
      <c r="R38" t="s">
        <v>537</v>
      </c>
      <c r="X38">
        <f t="shared" ref="X38:X69" si="20">((SUM(B$23:B$31)*F54))*(N54*O54)</f>
        <v>-10661.599708864273</v>
      </c>
      <c r="Y38">
        <f t="shared" ref="Y38:Y69" si="21">(((SUM(B$33:B$37,B$41:B$42,B$45,B$47,B$50,B$52:B$55,B$58:B$63,B$65:B$67,B$69:B$73,B$77,B$79:B$81,B$84:B$85,B$87:B$95,B$97:B$103)*I54)))*(N54*O54)</f>
        <v>-14115438.385754442</v>
      </c>
      <c r="Z38" s="17">
        <f t="shared" ref="Z38:Z69" si="22">((SUM(B$39:B$40,B$76)*K54))*(N54*O54)</f>
        <v>-32940.147440487548</v>
      </c>
      <c r="AA38" s="17">
        <f t="shared" ref="AA38:AA69" si="23">((SUM(B$75,B$83)*J54))*(N54*O54)</f>
        <v>-29937.850233586942</v>
      </c>
      <c r="AB38">
        <f t="shared" ref="AB38:AB69" si="24">((SUM(B$44,B$78)*H54))*(N54*O54)</f>
        <v>-18851.982961942605</v>
      </c>
      <c r="AC38">
        <f t="shared" ref="AC38:AC69" si="25">((SUM(B$105:B$107,B$109:B$117)*M54))*(N54*O54)</f>
        <v>0</v>
      </c>
      <c r="AD38">
        <f t="shared" ref="AD38:AD69" si="26">((SUM(B$43,B$46,B$49,B$51,B$56)*L54))*(N54*O54)</f>
        <v>-457344.60020661709</v>
      </c>
      <c r="AK38" s="8">
        <f t="shared" ref="AK38:AK69" si="27">((B$137*F169))*M169*N169</f>
        <v>-12595346.79919878</v>
      </c>
      <c r="AL38" s="8">
        <f t="shared" ref="AL38:AL69" si="28">((SUM(B$138:B$139)*K169))*M169*N169</f>
        <v>-2924079.938150459</v>
      </c>
      <c r="AM38" s="8">
        <f t="shared" ref="AM38:AM69" si="29">((B$140*H169))*M169*N169</f>
        <v>-643601.19043725217</v>
      </c>
      <c r="AN38" s="8">
        <f t="shared" ref="AN38:AN69" si="30">((SUM(B$141:B$142)*I169))*M169*N169</f>
        <v>-6341623.8060930017</v>
      </c>
      <c r="AO38" s="8">
        <f t="shared" ref="AO38:AO69" si="31">((SUM(B$143:B$144,B$148)*J169))*M169*N169</f>
        <v>-5735059.6269632913</v>
      </c>
      <c r="AP38" s="8">
        <f t="shared" ref="AP38:AP69" si="32">((SUM(B$146:B$147)*L169))*M169*N169</f>
        <v>-4401016.9409246827</v>
      </c>
      <c r="AQ38" s="8">
        <f t="shared" ref="AQ38:AQ69" si="33">J283</f>
        <v>-521404380.04337078</v>
      </c>
    </row>
    <row r="39" spans="1:43" x14ac:dyDescent="0.2">
      <c r="A39" s="75" t="s">
        <v>825</v>
      </c>
      <c r="B39" s="193">
        <f t="shared" si="19"/>
        <v>12719.672392843451</v>
      </c>
      <c r="C39" s="193">
        <v>16108</v>
      </c>
      <c r="D39" s="136" t="s">
        <v>502</v>
      </c>
      <c r="E39" t="s">
        <v>240</v>
      </c>
      <c r="F39">
        <v>0</v>
      </c>
      <c r="G39" t="s">
        <v>348</v>
      </c>
      <c r="H39">
        <v>0</v>
      </c>
      <c r="I39">
        <v>0</v>
      </c>
      <c r="J39">
        <v>0.12681999999999999</v>
      </c>
      <c r="K39" s="88">
        <v>0</v>
      </c>
      <c r="L39">
        <v>0</v>
      </c>
      <c r="M39">
        <v>0</v>
      </c>
      <c r="N39">
        <f>PSI_OC!$A$6</f>
        <v>100</v>
      </c>
      <c r="O39">
        <v>-1</v>
      </c>
      <c r="P39" t="s">
        <v>432</v>
      </c>
      <c r="Q39" s="17">
        <f t="shared" si="18"/>
        <v>-299378.50233586942</v>
      </c>
      <c r="R39" t="s">
        <v>537</v>
      </c>
      <c r="X39">
        <f t="shared" si="20"/>
        <v>-1064.9144569017469</v>
      </c>
      <c r="Y39">
        <f t="shared" si="21"/>
        <v>-1411543.8385754442</v>
      </c>
      <c r="Z39" s="17">
        <f t="shared" si="22"/>
        <v>-3293.4952653002852</v>
      </c>
      <c r="AA39" s="17">
        <f t="shared" si="23"/>
        <v>-2993.3128919877186</v>
      </c>
      <c r="AB39">
        <f t="shared" si="24"/>
        <v>-1884.9009931984881</v>
      </c>
      <c r="AC39">
        <f t="shared" si="25"/>
        <v>-314924.00140553626</v>
      </c>
      <c r="AD39">
        <f t="shared" si="26"/>
        <v>-45727.247521052719</v>
      </c>
      <c r="AK39" s="8">
        <f t="shared" si="27"/>
        <v>-1259336.0464740619</v>
      </c>
      <c r="AL39" s="8">
        <f t="shared" si="28"/>
        <v>-292286.20789508964</v>
      </c>
      <c r="AM39" s="8">
        <f t="shared" si="29"/>
        <v>-64349.969206310991</v>
      </c>
      <c r="AN39" s="8">
        <f t="shared" si="30"/>
        <v>-634062.37077163917</v>
      </c>
      <c r="AO39" s="8">
        <f t="shared" si="31"/>
        <v>-573415.51860822062</v>
      </c>
      <c r="AP39" s="8">
        <f t="shared" si="32"/>
        <v>-439918.39476131776</v>
      </c>
      <c r="AQ39" s="8">
        <f t="shared" si="33"/>
        <v>-52132347.944134697</v>
      </c>
    </row>
    <row r="40" spans="1:43" x14ac:dyDescent="0.2">
      <c r="A40" s="75" t="s">
        <v>826</v>
      </c>
      <c r="B40" s="193">
        <f t="shared" si="19"/>
        <v>11170.380287382881</v>
      </c>
      <c r="C40" s="193">
        <v>14146</v>
      </c>
      <c r="D40" s="136" t="s">
        <v>502</v>
      </c>
      <c r="E40" t="s">
        <v>241</v>
      </c>
      <c r="F40">
        <v>0</v>
      </c>
      <c r="G40" t="s">
        <v>350</v>
      </c>
      <c r="H40">
        <v>0</v>
      </c>
      <c r="I40">
        <v>0</v>
      </c>
      <c r="J40">
        <v>0</v>
      </c>
      <c r="K40" s="88">
        <v>0</v>
      </c>
      <c r="L40">
        <v>0</v>
      </c>
      <c r="M40">
        <v>0</v>
      </c>
      <c r="N40">
        <f>PSI_OC!$A$6</f>
        <v>100</v>
      </c>
      <c r="O40">
        <v>-1</v>
      </c>
      <c r="P40" t="s">
        <v>434</v>
      </c>
      <c r="Q40" s="17">
        <f t="shared" si="18"/>
        <v>0</v>
      </c>
      <c r="R40" t="s">
        <v>537</v>
      </c>
      <c r="X40">
        <f t="shared" si="20"/>
        <v>-1058.686886978345</v>
      </c>
      <c r="Y40">
        <f t="shared" si="21"/>
        <v>-14299.019343781049</v>
      </c>
      <c r="Z40" s="17">
        <f t="shared" si="22"/>
        <v>-3298.6900527849862</v>
      </c>
      <c r="AA40" s="17">
        <f t="shared" si="23"/>
        <v>-2998.0342056974782</v>
      </c>
      <c r="AB40">
        <f t="shared" si="24"/>
        <v>-1887.8740231562147</v>
      </c>
      <c r="AC40">
        <f t="shared" si="25"/>
        <v>-31454.585884299278</v>
      </c>
      <c r="AD40">
        <f t="shared" si="26"/>
        <v>-45799.372517142714</v>
      </c>
      <c r="AK40" s="8">
        <f t="shared" si="27"/>
        <v>-1261322.3809322231</v>
      </c>
      <c r="AL40" s="8">
        <f t="shared" si="28"/>
        <v>-292286.20789508964</v>
      </c>
      <c r="AM40" s="8">
        <f t="shared" si="29"/>
        <v>-64451.467580453434</v>
      </c>
      <c r="AN40" s="8">
        <f t="shared" si="30"/>
        <v>-635062.46914825065</v>
      </c>
      <c r="AO40" s="8">
        <f t="shared" si="31"/>
        <v>-574319.9594893062</v>
      </c>
      <c r="AP40" s="8">
        <f t="shared" si="32"/>
        <v>-439918.39476131782</v>
      </c>
      <c r="AQ40" s="8">
        <f t="shared" si="33"/>
        <v>-52099987.70332519</v>
      </c>
    </row>
    <row r="41" spans="1:43" x14ac:dyDescent="0.2">
      <c r="A41" s="75" t="s">
        <v>827</v>
      </c>
      <c r="B41" s="193">
        <f t="shared" si="19"/>
        <v>4300.4305842702652</v>
      </c>
      <c r="C41" s="193">
        <v>5446</v>
      </c>
      <c r="D41" s="135" t="s">
        <v>506</v>
      </c>
      <c r="E41" t="s">
        <v>242</v>
      </c>
      <c r="F41">
        <v>0</v>
      </c>
      <c r="G41" t="s">
        <v>351</v>
      </c>
      <c r="H41">
        <v>0</v>
      </c>
      <c r="I41">
        <v>0</v>
      </c>
      <c r="J41">
        <v>1.268E-2</v>
      </c>
      <c r="K41" s="88">
        <v>0</v>
      </c>
      <c r="L41">
        <v>0</v>
      </c>
      <c r="M41">
        <v>0</v>
      </c>
      <c r="N41">
        <f>PSI_OC!$A$8</f>
        <v>1</v>
      </c>
      <c r="O41">
        <v>1</v>
      </c>
      <c r="P41" t="s">
        <v>435</v>
      </c>
      <c r="Q41" s="17">
        <f t="shared" si="18"/>
        <v>299.33128919877186</v>
      </c>
      <c r="R41" t="s">
        <v>537</v>
      </c>
      <c r="X41">
        <f t="shared" si="20"/>
        <v>-105.8686886978345</v>
      </c>
      <c r="Y41">
        <f t="shared" si="21"/>
        <v>-14114.515868377423</v>
      </c>
      <c r="Z41" s="17">
        <f t="shared" si="22"/>
        <v>-329.86900527849861</v>
      </c>
      <c r="AA41" s="17">
        <f t="shared" si="23"/>
        <v>-299.80342056974786</v>
      </c>
      <c r="AB41">
        <f t="shared" si="24"/>
        <v>-188.78740231562148</v>
      </c>
      <c r="AC41">
        <f t="shared" si="25"/>
        <v>-317.98351850247906</v>
      </c>
      <c r="AD41">
        <f t="shared" si="26"/>
        <v>-4579.937251714271</v>
      </c>
      <c r="AK41" s="8">
        <f t="shared" si="27"/>
        <v>-126132.23809322232</v>
      </c>
      <c r="AL41" s="8">
        <f t="shared" si="28"/>
        <v>-29228.620789508965</v>
      </c>
      <c r="AM41" s="8">
        <f t="shared" si="29"/>
        <v>-6445.1467580453436</v>
      </c>
      <c r="AN41" s="8">
        <f t="shared" si="30"/>
        <v>-63506.24691482506</v>
      </c>
      <c r="AO41" s="8">
        <f t="shared" si="31"/>
        <v>-57431.995948930627</v>
      </c>
      <c r="AP41" s="8">
        <f t="shared" si="32"/>
        <v>-43991.839476131783</v>
      </c>
      <c r="AQ41" s="8">
        <f t="shared" si="33"/>
        <v>-5209998.770332519</v>
      </c>
    </row>
    <row r="42" spans="1:43" x14ac:dyDescent="0.2">
      <c r="A42" s="75" t="s">
        <v>828</v>
      </c>
      <c r="B42" s="193">
        <f t="shared" si="19"/>
        <v>18979.223116587556</v>
      </c>
      <c r="C42" s="193">
        <v>24035</v>
      </c>
      <c r="D42" s="135" t="s">
        <v>506</v>
      </c>
      <c r="E42" t="s">
        <v>243</v>
      </c>
      <c r="F42">
        <v>1.7000000000000001E-4</v>
      </c>
      <c r="G42" t="s">
        <v>352</v>
      </c>
      <c r="H42">
        <v>1.26824</v>
      </c>
      <c r="I42">
        <v>3.0599999999999998E-3</v>
      </c>
      <c r="J42">
        <v>1.26824</v>
      </c>
      <c r="K42" s="88">
        <v>0.12681999999999999</v>
      </c>
      <c r="L42">
        <v>1.26824</v>
      </c>
      <c r="M42">
        <v>3.6999999999999999E-4</v>
      </c>
      <c r="N42">
        <f>PSI_OC!$A$6</f>
        <v>100</v>
      </c>
      <c r="O42">
        <v>-1</v>
      </c>
      <c r="P42" t="s">
        <v>436</v>
      </c>
      <c r="Q42" s="17">
        <f>((SUM(B$23:B$31)*F42)+(SUM(B$33:B$37,B$41:B$42,B$45,B$47,B$50,B$52:B$55,B$58:B$63,B$65:B$67,B$69:B$73,B$77,B$79:B$81,B$84:B$85,B$87:B$95,B$97:B$103)*I42)+(SUM(B$39:B$40,B$76)*K42)+(SUM(B$43,B$46,B$49,B$51,B$56)*L42)+(SUM(B$44,B$78)*H42)+(SUM(B$75,B$83)*J42)+(SUM(B$105:B$107,B$109:B$117)*M42))*(N42*O42)</f>
        <v>-51089824.882170483</v>
      </c>
      <c r="R42" t="s">
        <v>537</v>
      </c>
      <c r="X42">
        <f t="shared" si="20"/>
        <v>0</v>
      </c>
      <c r="Y42">
        <f t="shared" si="21"/>
        <v>0</v>
      </c>
      <c r="Z42" s="17">
        <f t="shared" si="22"/>
        <v>0</v>
      </c>
      <c r="AA42" s="17">
        <f t="shared" si="23"/>
        <v>0</v>
      </c>
      <c r="AB42">
        <f t="shared" si="24"/>
        <v>0</v>
      </c>
      <c r="AC42">
        <f t="shared" si="25"/>
        <v>-317.98351850247906</v>
      </c>
      <c r="AD42">
        <f t="shared" si="26"/>
        <v>0</v>
      </c>
      <c r="AK42" s="8">
        <f t="shared" si="27"/>
        <v>0</v>
      </c>
      <c r="AL42" s="8">
        <f t="shared" si="28"/>
        <v>0</v>
      </c>
      <c r="AM42" s="8">
        <f t="shared" si="29"/>
        <v>0</v>
      </c>
      <c r="AN42" s="8">
        <f t="shared" si="30"/>
        <v>0</v>
      </c>
      <c r="AO42" s="8">
        <f t="shared" si="31"/>
        <v>0</v>
      </c>
      <c r="AP42" s="8">
        <f t="shared" si="32"/>
        <v>0</v>
      </c>
      <c r="AQ42" s="8">
        <f t="shared" si="33"/>
        <v>-5209998.770332519</v>
      </c>
    </row>
    <row r="43" spans="1:43" x14ac:dyDescent="0.2">
      <c r="A43" s="75" t="s">
        <v>829</v>
      </c>
      <c r="B43" s="193">
        <f t="shared" si="19"/>
        <v>1467.168568779683</v>
      </c>
      <c r="C43" s="193">
        <v>1858</v>
      </c>
      <c r="D43" s="137" t="s">
        <v>510</v>
      </c>
      <c r="E43" t="s">
        <v>244</v>
      </c>
      <c r="F43">
        <v>1.712E-2</v>
      </c>
      <c r="G43" t="s">
        <v>353</v>
      </c>
      <c r="H43">
        <v>1.2700000000000001E-3</v>
      </c>
      <c r="I43">
        <v>3.0599999999999998E-3</v>
      </c>
      <c r="J43">
        <v>1.2700000000000001E-3</v>
      </c>
      <c r="K43" s="88">
        <v>1.2700000000000001E-3</v>
      </c>
      <c r="L43">
        <v>1.2700000000000001E-3</v>
      </c>
      <c r="M43">
        <v>3.6600000000000001E-3</v>
      </c>
      <c r="N43">
        <v>0</v>
      </c>
      <c r="O43">
        <v>0</v>
      </c>
      <c r="P43" t="s">
        <v>437</v>
      </c>
      <c r="Q43" s="17">
        <f t="shared" si="18"/>
        <v>0</v>
      </c>
      <c r="R43" t="s">
        <v>537</v>
      </c>
      <c r="X43">
        <f t="shared" si="20"/>
        <v>-105.8686886978345</v>
      </c>
      <c r="Y43">
        <f t="shared" si="21"/>
        <v>-1411543.8385754442</v>
      </c>
      <c r="Z43" s="17">
        <f t="shared" si="22"/>
        <v>-329.86900527849861</v>
      </c>
      <c r="AA43" s="17">
        <f t="shared" si="23"/>
        <v>-299.80342056974786</v>
      </c>
      <c r="AB43">
        <f t="shared" si="24"/>
        <v>-188.78740231562148</v>
      </c>
      <c r="AC43">
        <f t="shared" si="25"/>
        <v>-3145.4585884299281</v>
      </c>
      <c r="AD43">
        <f t="shared" si="26"/>
        <v>-4579.937251714271</v>
      </c>
      <c r="AK43" s="8">
        <f t="shared" si="27"/>
        <v>-126132.23809322232</v>
      </c>
      <c r="AL43" s="8">
        <f t="shared" si="28"/>
        <v>-29228.620789508965</v>
      </c>
      <c r="AM43" s="8">
        <f t="shared" si="29"/>
        <v>-6445.1467580453436</v>
      </c>
      <c r="AN43" s="8">
        <f t="shared" si="30"/>
        <v>-63506.24691482506</v>
      </c>
      <c r="AO43" s="8">
        <f t="shared" si="31"/>
        <v>-57431.995948930627</v>
      </c>
      <c r="AP43" s="8">
        <f t="shared" si="32"/>
        <v>-43991.839476131783</v>
      </c>
      <c r="AQ43" s="8">
        <f t="shared" si="33"/>
        <v>-517763.85295229999</v>
      </c>
    </row>
    <row r="44" spans="1:43" x14ac:dyDescent="0.2">
      <c r="A44" s="75" t="s">
        <v>830</v>
      </c>
      <c r="B44" s="193">
        <f t="shared" si="19"/>
        <v>3580.2703395301842</v>
      </c>
      <c r="C44" s="193">
        <v>4534</v>
      </c>
      <c r="D44" s="134" t="s">
        <v>509</v>
      </c>
      <c r="E44" t="s">
        <v>245</v>
      </c>
      <c r="F44">
        <v>1.7099999999999999E-3</v>
      </c>
      <c r="G44" t="s">
        <v>351</v>
      </c>
      <c r="H44">
        <v>1.2999999999999999E-4</v>
      </c>
      <c r="I44">
        <v>0.30602000000000001</v>
      </c>
      <c r="J44">
        <v>1.2999999999999999E-4</v>
      </c>
      <c r="K44" s="88">
        <v>1.2700000000000001E-3</v>
      </c>
      <c r="L44">
        <v>1.2999999999999999E-4</v>
      </c>
      <c r="M44">
        <v>3.6639999999999999E-2</v>
      </c>
      <c r="N44">
        <f>PSI_OC!$A$7</f>
        <v>10</v>
      </c>
      <c r="O44">
        <v>-1</v>
      </c>
      <c r="P44" t="s">
        <v>435</v>
      </c>
      <c r="Q44" s="17">
        <f t="shared" si="18"/>
        <v>-1444946.4102269418</v>
      </c>
      <c r="R44" t="s">
        <v>537</v>
      </c>
      <c r="X44">
        <f t="shared" si="20"/>
        <v>-10649.144569017468</v>
      </c>
      <c r="Y44">
        <f t="shared" si="21"/>
        <v>-141145.15868377424</v>
      </c>
      <c r="Z44" s="17">
        <f t="shared" si="22"/>
        <v>-3294118.6397984494</v>
      </c>
      <c r="AA44" s="17">
        <f t="shared" si="23"/>
        <v>-2993879.4496328896</v>
      </c>
      <c r="AB44">
        <f t="shared" si="24"/>
        <v>-1885257.7567934154</v>
      </c>
      <c r="AC44">
        <f t="shared" si="25"/>
        <v>-31492400.140553627</v>
      </c>
      <c r="AD44">
        <f t="shared" si="26"/>
        <v>-45735902.520583518</v>
      </c>
      <c r="AK44" s="8">
        <f t="shared" si="27"/>
        <v>-1259574406.6090415</v>
      </c>
      <c r="AL44" s="8">
        <f t="shared" si="28"/>
        <v>-292399874.75371552</v>
      </c>
      <c r="AM44" s="8">
        <f t="shared" si="29"/>
        <v>-64362149.01120808</v>
      </c>
      <c r="AN44" s="8">
        <f t="shared" si="30"/>
        <v>-634182382.57683253</v>
      </c>
      <c r="AO44" s="8">
        <f t="shared" si="31"/>
        <v>-573524051.51395094</v>
      </c>
      <c r="AP44" s="8">
        <f t="shared" si="32"/>
        <v>-440089474.13705832</v>
      </c>
      <c r="AQ44" s="8">
        <f t="shared" si="33"/>
        <v>-52099987.70332519</v>
      </c>
    </row>
    <row r="45" spans="1:43" x14ac:dyDescent="0.2">
      <c r="A45" s="75" t="s">
        <v>831</v>
      </c>
      <c r="B45" s="193">
        <f t="shared" si="19"/>
        <v>15337.360124546707</v>
      </c>
      <c r="C45" s="193">
        <v>19423</v>
      </c>
      <c r="D45" s="135" t="s">
        <v>506</v>
      </c>
      <c r="E45" t="s">
        <v>246</v>
      </c>
      <c r="F45">
        <v>1.71244</v>
      </c>
      <c r="G45" t="s">
        <v>354</v>
      </c>
      <c r="H45">
        <v>1.268E-2</v>
      </c>
      <c r="I45">
        <v>3.0599999999999999E-2</v>
      </c>
      <c r="J45">
        <v>1.268E-2</v>
      </c>
      <c r="K45" s="88">
        <v>1.268E-2</v>
      </c>
      <c r="L45">
        <v>1.268E-2</v>
      </c>
      <c r="M45">
        <v>3.6639999999999999E-2</v>
      </c>
      <c r="N45">
        <f>PSI_OC!$A$7</f>
        <v>10</v>
      </c>
      <c r="O45">
        <v>-1</v>
      </c>
      <c r="P45" t="s">
        <v>438</v>
      </c>
      <c r="Q45" s="17">
        <f t="shared" si="18"/>
        <v>-1292967.0617992645</v>
      </c>
      <c r="R45" t="s">
        <v>537</v>
      </c>
      <c r="X45">
        <f t="shared" si="20"/>
        <v>-106615.99708864273</v>
      </c>
      <c r="Y45">
        <f t="shared" si="21"/>
        <v>-141145.15868377424</v>
      </c>
      <c r="Z45" s="17">
        <f t="shared" si="22"/>
        <v>-329401.47440487548</v>
      </c>
      <c r="AA45" s="17">
        <f t="shared" si="23"/>
        <v>-299378.50233586942</v>
      </c>
      <c r="AB45">
        <f t="shared" si="24"/>
        <v>-188519.82961942605</v>
      </c>
      <c r="AC45">
        <f t="shared" si="25"/>
        <v>-31492400.140553627</v>
      </c>
      <c r="AD45">
        <f t="shared" si="26"/>
        <v>-4573446.0020661708</v>
      </c>
      <c r="AK45" s="8">
        <f t="shared" si="27"/>
        <v>-125953467.99198779</v>
      </c>
      <c r="AL45" s="8">
        <f t="shared" si="28"/>
        <v>-29240799.381504592</v>
      </c>
      <c r="AM45" s="8">
        <f t="shared" si="29"/>
        <v>-6436011.9043725226</v>
      </c>
      <c r="AN45" s="8">
        <f t="shared" si="30"/>
        <v>-63416238.060930021</v>
      </c>
      <c r="AO45" s="8">
        <f t="shared" si="31"/>
        <v>-57350596.269632913</v>
      </c>
      <c r="AP45" s="8">
        <f t="shared" si="32"/>
        <v>-44010169.409246832</v>
      </c>
      <c r="AQ45" s="8">
        <f t="shared" si="33"/>
        <v>-52140114401.928993</v>
      </c>
    </row>
    <row r="46" spans="1:43" x14ac:dyDescent="0.2">
      <c r="A46" s="75" t="s">
        <v>832</v>
      </c>
      <c r="B46" s="193">
        <f t="shared" si="19"/>
        <v>25416.444953343194</v>
      </c>
      <c r="C46" s="193">
        <v>32187</v>
      </c>
      <c r="D46" s="137" t="s">
        <v>510</v>
      </c>
      <c r="E46" t="s">
        <v>247</v>
      </c>
      <c r="F46">
        <v>1.712E-2</v>
      </c>
      <c r="G46" t="s">
        <v>354</v>
      </c>
      <c r="H46">
        <v>1.26824</v>
      </c>
      <c r="I46">
        <v>3.1E-4</v>
      </c>
      <c r="J46">
        <v>1.26824</v>
      </c>
      <c r="K46" s="88">
        <v>1.26824</v>
      </c>
      <c r="L46">
        <v>1.26824</v>
      </c>
      <c r="M46">
        <v>3.6999999999999999E-4</v>
      </c>
      <c r="N46">
        <f>PSI_OC!$A$7</f>
        <v>10</v>
      </c>
      <c r="O46">
        <v>-1</v>
      </c>
      <c r="P46" t="s">
        <v>438</v>
      </c>
      <c r="Q46" s="17">
        <f t="shared" si="18"/>
        <v>-5403325.3218425717</v>
      </c>
      <c r="R46" t="s">
        <v>537</v>
      </c>
      <c r="X46">
        <f t="shared" si="20"/>
        <v>0</v>
      </c>
      <c r="Y46">
        <f t="shared" si="21"/>
        <v>0</v>
      </c>
      <c r="Z46" s="17">
        <f t="shared" si="22"/>
        <v>0</v>
      </c>
      <c r="AA46" s="17">
        <f t="shared" si="23"/>
        <v>0</v>
      </c>
      <c r="AB46">
        <f t="shared" si="24"/>
        <v>0</v>
      </c>
      <c r="AC46">
        <f t="shared" si="25"/>
        <v>0</v>
      </c>
      <c r="AD46">
        <f t="shared" si="26"/>
        <v>0</v>
      </c>
      <c r="AK46" s="8">
        <f t="shared" si="27"/>
        <v>0</v>
      </c>
      <c r="AL46" s="8">
        <f t="shared" si="28"/>
        <v>0</v>
      </c>
      <c r="AM46" s="8">
        <f t="shared" si="29"/>
        <v>0</v>
      </c>
      <c r="AN46" s="8">
        <f t="shared" si="30"/>
        <v>0</v>
      </c>
      <c r="AO46" s="8">
        <f t="shared" si="31"/>
        <v>0</v>
      </c>
      <c r="AP46" s="8">
        <f t="shared" si="32"/>
        <v>0</v>
      </c>
      <c r="AQ46" s="8">
        <f t="shared" si="33"/>
        <v>0</v>
      </c>
    </row>
    <row r="47" spans="1:43" x14ac:dyDescent="0.2">
      <c r="A47" s="75" t="s">
        <v>833</v>
      </c>
      <c r="B47" s="193">
        <f t="shared" si="19"/>
        <v>347.44573211144268</v>
      </c>
      <c r="C47" s="193">
        <v>440</v>
      </c>
      <c r="D47" s="135" t="s">
        <v>506</v>
      </c>
      <c r="E47" t="s">
        <v>248</v>
      </c>
      <c r="F47">
        <v>0.17124</v>
      </c>
      <c r="G47" t="s">
        <v>350</v>
      </c>
      <c r="H47">
        <v>1.26824</v>
      </c>
      <c r="I47">
        <v>0.30602000000000001</v>
      </c>
      <c r="J47">
        <v>1.26824</v>
      </c>
      <c r="K47" s="88">
        <v>1.26824</v>
      </c>
      <c r="L47">
        <v>1.26824</v>
      </c>
      <c r="M47">
        <v>3.6639999999999999E-2</v>
      </c>
      <c r="N47">
        <f>PSI_OC!$A$7</f>
        <v>10</v>
      </c>
      <c r="O47">
        <v>-1</v>
      </c>
      <c r="P47" t="s">
        <v>434</v>
      </c>
      <c r="Q47" s="17">
        <f t="shared" si="18"/>
        <v>-6940589.545105502</v>
      </c>
      <c r="R47" t="s">
        <v>537</v>
      </c>
      <c r="X47">
        <f t="shared" si="20"/>
        <v>-1058.686886978345</v>
      </c>
      <c r="Y47">
        <f t="shared" si="21"/>
        <v>-141145.15868377424</v>
      </c>
      <c r="Z47" s="17">
        <f t="shared" si="22"/>
        <v>-32934.952653002852</v>
      </c>
      <c r="AA47" s="17">
        <f t="shared" si="23"/>
        <v>-29933.128919877185</v>
      </c>
      <c r="AB47">
        <f t="shared" si="24"/>
        <v>-18849.009931984881</v>
      </c>
      <c r="AC47">
        <f t="shared" si="25"/>
        <v>-31454.585884299278</v>
      </c>
      <c r="AD47">
        <f t="shared" si="26"/>
        <v>-457272.47521052725</v>
      </c>
      <c r="AK47" s="8">
        <f t="shared" si="27"/>
        <v>-12593360.464740621</v>
      </c>
      <c r="AL47" s="8">
        <f t="shared" si="28"/>
        <v>-2922862.0789508964</v>
      </c>
      <c r="AM47" s="8">
        <f t="shared" si="29"/>
        <v>-643499.69206310983</v>
      </c>
      <c r="AN47" s="8">
        <f t="shared" si="30"/>
        <v>-6340623.7077163914</v>
      </c>
      <c r="AO47" s="8">
        <f t="shared" si="31"/>
        <v>-5734155.1860822067</v>
      </c>
      <c r="AP47" s="8">
        <f t="shared" si="32"/>
        <v>-4399183.9476131778</v>
      </c>
      <c r="AQ47" s="8">
        <f t="shared" si="33"/>
        <v>-521323479.441347</v>
      </c>
    </row>
    <row r="48" spans="1:43" x14ac:dyDescent="0.2">
      <c r="A48" s="191" t="s">
        <v>834</v>
      </c>
      <c r="B48" s="193">
        <f t="shared" si="19"/>
        <v>0</v>
      </c>
      <c r="C48" s="192"/>
      <c r="D48" s="1"/>
      <c r="E48" t="s">
        <v>322</v>
      </c>
      <c r="F48">
        <v>0.17124</v>
      </c>
      <c r="G48" t="s">
        <v>355</v>
      </c>
      <c r="H48">
        <v>1.26824</v>
      </c>
      <c r="I48">
        <v>3.0599999999999999E-2</v>
      </c>
      <c r="J48">
        <v>1.26824</v>
      </c>
      <c r="K48" s="88">
        <v>1.26824</v>
      </c>
      <c r="L48">
        <v>1.26824</v>
      </c>
      <c r="M48">
        <v>3.6644000000000001</v>
      </c>
      <c r="N48">
        <f>PSI_OC!$A$7</f>
        <v>10</v>
      </c>
      <c r="O48">
        <v>-1</v>
      </c>
      <c r="P48" t="s">
        <v>439</v>
      </c>
      <c r="Q48" s="17">
        <f t="shared" si="18"/>
        <v>-8787941.9167882986</v>
      </c>
      <c r="R48" t="s">
        <v>537</v>
      </c>
      <c r="X48">
        <f t="shared" si="20"/>
        <v>0</v>
      </c>
      <c r="Y48">
        <f t="shared" si="21"/>
        <v>0</v>
      </c>
      <c r="Z48" s="17">
        <f t="shared" si="22"/>
        <v>0</v>
      </c>
      <c r="AA48" s="17">
        <f t="shared" si="23"/>
        <v>0</v>
      </c>
      <c r="AB48">
        <f t="shared" si="24"/>
        <v>0</v>
      </c>
      <c r="AC48">
        <f t="shared" si="25"/>
        <v>0</v>
      </c>
      <c r="AD48">
        <f t="shared" si="26"/>
        <v>0</v>
      </c>
      <c r="AK48" s="8">
        <f t="shared" si="27"/>
        <v>0</v>
      </c>
      <c r="AL48" s="8">
        <f t="shared" si="28"/>
        <v>0</v>
      </c>
      <c r="AM48" s="8">
        <f t="shared" si="29"/>
        <v>0</v>
      </c>
      <c r="AN48" s="8">
        <f t="shared" si="30"/>
        <v>0</v>
      </c>
      <c r="AO48" s="8">
        <f t="shared" si="31"/>
        <v>0</v>
      </c>
      <c r="AP48" s="8">
        <f t="shared" si="32"/>
        <v>0</v>
      </c>
      <c r="AQ48" s="8">
        <f t="shared" si="33"/>
        <v>0</v>
      </c>
    </row>
    <row r="49" spans="1:43" x14ac:dyDescent="0.2">
      <c r="A49" s="75" t="s">
        <v>834</v>
      </c>
      <c r="B49" s="193">
        <f t="shared" si="19"/>
        <v>330671.99974437157</v>
      </c>
      <c r="C49" s="193">
        <v>418758</v>
      </c>
      <c r="D49" s="137" t="s">
        <v>510</v>
      </c>
      <c r="E49" t="s">
        <v>249</v>
      </c>
      <c r="F49">
        <v>1.7000000000000001E-4</v>
      </c>
      <c r="G49" t="s">
        <v>356</v>
      </c>
      <c r="H49">
        <v>0.12681999999999999</v>
      </c>
      <c r="I49">
        <v>3.1E-4</v>
      </c>
      <c r="J49">
        <v>0.12681999999999999</v>
      </c>
      <c r="K49" s="88">
        <v>0.12681999999999999</v>
      </c>
      <c r="L49">
        <v>0.12681999999999999</v>
      </c>
      <c r="M49">
        <v>3.6999999999999999E-4</v>
      </c>
      <c r="N49">
        <f>PSI_OC!$A$7</f>
        <v>10</v>
      </c>
      <c r="O49">
        <v>-1</v>
      </c>
      <c r="P49" t="s">
        <v>440</v>
      </c>
      <c r="Q49" s="17">
        <f t="shared" si="18"/>
        <v>-540928.33498421265</v>
      </c>
      <c r="R49" t="s">
        <v>537</v>
      </c>
      <c r="X49">
        <f t="shared" si="20"/>
        <v>-10649.144569017468</v>
      </c>
      <c r="Y49">
        <f t="shared" si="21"/>
        <v>-14115438.385754442</v>
      </c>
      <c r="Z49" s="17">
        <f t="shared" si="22"/>
        <v>-337.66118650554972</v>
      </c>
      <c r="AA49" s="17">
        <f t="shared" si="23"/>
        <v>-306.88539113438753</v>
      </c>
      <c r="AB49">
        <f t="shared" si="24"/>
        <v>-193.24694725221093</v>
      </c>
      <c r="AC49">
        <f t="shared" si="25"/>
        <v>-31454.585884299278</v>
      </c>
      <c r="AD49">
        <f t="shared" si="26"/>
        <v>-4688.1247458492535</v>
      </c>
      <c r="AK49" s="8">
        <f t="shared" si="27"/>
        <v>-129111.73978046377</v>
      </c>
      <c r="AL49" s="8">
        <f t="shared" si="28"/>
        <v>-29239.946880064901</v>
      </c>
      <c r="AM49" s="8">
        <f t="shared" si="29"/>
        <v>-6597.3943192590114</v>
      </c>
      <c r="AN49" s="8">
        <f t="shared" si="30"/>
        <v>-65006.394479742186</v>
      </c>
      <c r="AO49" s="8">
        <f t="shared" si="31"/>
        <v>-58788.657270558891</v>
      </c>
      <c r="AP49" s="8">
        <f t="shared" si="32"/>
        <v>-44008.886313928779</v>
      </c>
      <c r="AQ49" s="8">
        <f t="shared" si="33"/>
        <v>-521323479.441347</v>
      </c>
    </row>
    <row r="50" spans="1:43" x14ac:dyDescent="0.2">
      <c r="A50" s="75" t="s">
        <v>835</v>
      </c>
      <c r="B50" s="193">
        <f t="shared" si="19"/>
        <v>44213.259060572236</v>
      </c>
      <c r="C50" s="193">
        <v>55991</v>
      </c>
      <c r="D50" s="135" t="s">
        <v>506</v>
      </c>
      <c r="E50" t="s">
        <v>323</v>
      </c>
      <c r="F50">
        <v>1.7099999999999999E-3</v>
      </c>
      <c r="G50" t="s">
        <v>357</v>
      </c>
      <c r="H50">
        <v>1.2700000000000001E-3</v>
      </c>
      <c r="I50">
        <v>3.0599999999999998E-3</v>
      </c>
      <c r="J50">
        <v>1.2700000000000001E-3</v>
      </c>
      <c r="K50" s="88">
        <v>1.2700000000000001E-3</v>
      </c>
      <c r="L50">
        <v>1.2700000000000001E-3</v>
      </c>
      <c r="M50">
        <v>3.6600000000000001E-3</v>
      </c>
      <c r="N50">
        <f>PSI_OC!$A$6</f>
        <v>100</v>
      </c>
      <c r="O50">
        <v>-1</v>
      </c>
      <c r="P50" t="s">
        <v>441</v>
      </c>
      <c r="Q50" s="17">
        <f t="shared" si="18"/>
        <v>-237232.85993587237</v>
      </c>
      <c r="R50" t="s">
        <v>537</v>
      </c>
      <c r="X50">
        <f t="shared" si="20"/>
        <v>0</v>
      </c>
      <c r="Y50">
        <f t="shared" si="21"/>
        <v>0</v>
      </c>
      <c r="Z50" s="17">
        <f t="shared" si="22"/>
        <v>0</v>
      </c>
      <c r="AA50" s="17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0</v>
      </c>
      <c r="AK50" s="8">
        <f t="shared" si="27"/>
        <v>0</v>
      </c>
      <c r="AL50" s="8">
        <f t="shared" si="28"/>
        <v>0</v>
      </c>
      <c r="AM50" s="8">
        <f t="shared" si="29"/>
        <v>0</v>
      </c>
      <c r="AN50" s="8">
        <f t="shared" si="30"/>
        <v>0</v>
      </c>
      <c r="AO50" s="8">
        <f t="shared" si="31"/>
        <v>0</v>
      </c>
      <c r="AP50" s="8">
        <f t="shared" si="32"/>
        <v>0</v>
      </c>
      <c r="AQ50" s="8">
        <f t="shared" si="33"/>
        <v>0</v>
      </c>
    </row>
    <row r="51" spans="1:43" x14ac:dyDescent="0.2">
      <c r="A51" s="75" t="s">
        <v>836</v>
      </c>
      <c r="B51" s="193">
        <f t="shared" si="19"/>
        <v>2372.8964204429208</v>
      </c>
      <c r="C51" s="193">
        <v>3005</v>
      </c>
      <c r="D51" s="137" t="s">
        <v>510</v>
      </c>
      <c r="E51" t="s">
        <v>324</v>
      </c>
      <c r="F51">
        <v>1.7099999999999999E-3</v>
      </c>
      <c r="G51" t="s">
        <v>357</v>
      </c>
      <c r="H51">
        <v>1.2700000000000001E-3</v>
      </c>
      <c r="I51">
        <v>3.0599999999999998E-3</v>
      </c>
      <c r="J51">
        <v>1.2700000000000001E-3</v>
      </c>
      <c r="K51" s="88">
        <v>1.2700000000000001E-3</v>
      </c>
      <c r="L51">
        <v>1.2700000000000001E-3</v>
      </c>
      <c r="M51">
        <v>3.6600000000000001E-3</v>
      </c>
      <c r="N51">
        <f>PSI_OC!$A$6</f>
        <v>100</v>
      </c>
      <c r="O51">
        <v>-1</v>
      </c>
      <c r="P51" t="s">
        <v>441</v>
      </c>
      <c r="Q51" s="17">
        <f t="shared" si="18"/>
        <v>-237232.85993587237</v>
      </c>
      <c r="R51" t="s">
        <v>537</v>
      </c>
      <c r="X51">
        <f t="shared" si="20"/>
        <v>-10649.144569017468</v>
      </c>
      <c r="Y51">
        <f t="shared" si="21"/>
        <v>-14299.019343781049</v>
      </c>
      <c r="Z51" s="17">
        <f t="shared" si="22"/>
        <v>-329401.47440487548</v>
      </c>
      <c r="AA51" s="17">
        <f t="shared" si="23"/>
        <v>-299378.50233586942</v>
      </c>
      <c r="AB51">
        <f t="shared" si="24"/>
        <v>-188519.82961942605</v>
      </c>
      <c r="AC51">
        <f t="shared" si="25"/>
        <v>-31454.585884299278</v>
      </c>
      <c r="AD51">
        <f t="shared" si="26"/>
        <v>-4573446.0020661708</v>
      </c>
      <c r="AK51" s="8">
        <f t="shared" si="27"/>
        <v>-125953467.99198779</v>
      </c>
      <c r="AL51" s="8">
        <f t="shared" si="28"/>
        <v>-29240799.381504592</v>
      </c>
      <c r="AM51" s="8">
        <f t="shared" si="29"/>
        <v>-6436011.9043725226</v>
      </c>
      <c r="AN51" s="8">
        <f t="shared" si="30"/>
        <v>-63416238.060930021</v>
      </c>
      <c r="AO51" s="8">
        <f t="shared" si="31"/>
        <v>-57350596.269632913</v>
      </c>
      <c r="AP51" s="8">
        <f t="shared" si="32"/>
        <v>-44010169.409246832</v>
      </c>
      <c r="AQ51" s="8">
        <f t="shared" si="33"/>
        <v>-5214043800.4337082</v>
      </c>
    </row>
    <row r="52" spans="1:43" x14ac:dyDescent="0.2">
      <c r="A52" s="75" t="s">
        <v>837</v>
      </c>
      <c r="B52" s="193">
        <f t="shared" si="19"/>
        <v>2473.1818931205421</v>
      </c>
      <c r="C52" s="193">
        <v>3132</v>
      </c>
      <c r="D52" s="135" t="s">
        <v>506</v>
      </c>
      <c r="E52" t="s">
        <v>250</v>
      </c>
      <c r="F52">
        <v>1.7099999999999999E-3</v>
      </c>
      <c r="G52" t="s">
        <v>358</v>
      </c>
      <c r="H52">
        <v>1.2700000000000001E-3</v>
      </c>
      <c r="I52">
        <v>0.30602000000000001</v>
      </c>
      <c r="J52">
        <v>1.2700000000000001E-3</v>
      </c>
      <c r="K52" s="88">
        <v>1.2700000000000001E-3</v>
      </c>
      <c r="L52">
        <v>1.2700000000000001E-3</v>
      </c>
      <c r="M52">
        <v>0.36643999999999999</v>
      </c>
      <c r="N52">
        <f>PSI_OC!$A$7</f>
        <v>10</v>
      </c>
      <c r="O52">
        <v>1</v>
      </c>
      <c r="P52" t="s">
        <v>442</v>
      </c>
      <c r="Q52" s="17">
        <f t="shared" si="18"/>
        <v>1732931.1515177602</v>
      </c>
      <c r="R52" t="s">
        <v>537</v>
      </c>
      <c r="X52">
        <f t="shared" si="20"/>
        <v>-1058.686886978345</v>
      </c>
      <c r="Y52">
        <f t="shared" si="21"/>
        <v>-14299.019343781049</v>
      </c>
      <c r="Z52" s="17">
        <f t="shared" si="22"/>
        <v>-337.66118650554972</v>
      </c>
      <c r="AA52" s="17">
        <f t="shared" si="23"/>
        <v>-306.88539113438753</v>
      </c>
      <c r="AB52">
        <f t="shared" si="24"/>
        <v>-193.24694725221093</v>
      </c>
      <c r="AC52">
        <f t="shared" si="25"/>
        <v>-3179.8351850247905</v>
      </c>
      <c r="AD52">
        <f t="shared" si="26"/>
        <v>-4688.1247458492535</v>
      </c>
      <c r="AK52" s="8">
        <f t="shared" si="27"/>
        <v>-129111.73978046377</v>
      </c>
      <c r="AL52" s="8">
        <f t="shared" si="28"/>
        <v>-29239.946880064901</v>
      </c>
      <c r="AM52" s="8">
        <f t="shared" si="29"/>
        <v>-6597.3943192590114</v>
      </c>
      <c r="AN52" s="8">
        <f t="shared" si="30"/>
        <v>-65006.394479742186</v>
      </c>
      <c r="AO52" s="8">
        <f t="shared" si="31"/>
        <v>-58788.657270558891</v>
      </c>
      <c r="AP52" s="8">
        <f t="shared" si="32"/>
        <v>-44008.886313928779</v>
      </c>
      <c r="AQ52" s="8">
        <f t="shared" si="33"/>
        <v>-5177638.5295230001</v>
      </c>
    </row>
    <row r="53" spans="1:43" x14ac:dyDescent="0.2">
      <c r="A53" s="75" t="s">
        <v>838</v>
      </c>
      <c r="B53" s="193">
        <f t="shared" si="19"/>
        <v>3746.8863610654444</v>
      </c>
      <c r="C53" s="193">
        <v>4745</v>
      </c>
      <c r="D53" s="135" t="s">
        <v>506</v>
      </c>
      <c r="E53" t="s">
        <v>251</v>
      </c>
      <c r="F53">
        <v>0</v>
      </c>
      <c r="G53" t="s">
        <v>359</v>
      </c>
      <c r="H53">
        <v>0</v>
      </c>
      <c r="I53">
        <v>3.1E-4</v>
      </c>
      <c r="J53">
        <v>0</v>
      </c>
      <c r="K53" s="88">
        <v>0</v>
      </c>
      <c r="L53">
        <v>0</v>
      </c>
      <c r="M53">
        <v>0</v>
      </c>
      <c r="N53">
        <f>PSI_OC!$A$6</f>
        <v>100</v>
      </c>
      <c r="O53">
        <v>-1</v>
      </c>
      <c r="P53" t="s">
        <v>443</v>
      </c>
      <c r="Q53" s="17">
        <f t="shared" si="18"/>
        <v>-14299.019343781049</v>
      </c>
      <c r="R53" t="s">
        <v>537</v>
      </c>
      <c r="X53">
        <f t="shared" si="20"/>
        <v>-1058.686886978345</v>
      </c>
      <c r="Y53">
        <f t="shared" si="21"/>
        <v>-141145.15868377424</v>
      </c>
      <c r="Z53" s="17">
        <f t="shared" si="22"/>
        <v>-337.66118650554972</v>
      </c>
      <c r="AA53" s="17">
        <f t="shared" si="23"/>
        <v>-306.88539113438753</v>
      </c>
      <c r="AB53">
        <f t="shared" si="24"/>
        <v>-193.24694725221093</v>
      </c>
      <c r="AC53">
        <f t="shared" si="25"/>
        <v>-3179.8351850247905</v>
      </c>
      <c r="AD53">
        <f t="shared" si="26"/>
        <v>-4688.1247458492535</v>
      </c>
      <c r="AK53" s="8">
        <f t="shared" si="27"/>
        <v>-129111.73978046377</v>
      </c>
      <c r="AL53" s="8">
        <f t="shared" si="28"/>
        <v>-29239.946880064901</v>
      </c>
      <c r="AM53" s="8">
        <f t="shared" si="29"/>
        <v>-6597.3943192590114</v>
      </c>
      <c r="AN53" s="8">
        <f t="shared" si="30"/>
        <v>-65006.394479742186</v>
      </c>
      <c r="AO53" s="8">
        <f t="shared" si="31"/>
        <v>-58788.657270558891</v>
      </c>
      <c r="AP53" s="8">
        <f t="shared" si="32"/>
        <v>-44008.886313928779</v>
      </c>
      <c r="AQ53" s="8">
        <f t="shared" si="33"/>
        <v>-52099987.70332519</v>
      </c>
    </row>
    <row r="54" spans="1:43" x14ac:dyDescent="0.2">
      <c r="A54" s="75" t="s">
        <v>839</v>
      </c>
      <c r="B54" s="193">
        <f t="shared" si="19"/>
        <v>8082.0615185468541</v>
      </c>
      <c r="C54" s="193">
        <v>10235</v>
      </c>
      <c r="D54" s="135" t="s">
        <v>506</v>
      </c>
      <c r="E54" t="s">
        <v>252</v>
      </c>
      <c r="F54">
        <v>1.712E-2</v>
      </c>
      <c r="G54" t="s">
        <v>360</v>
      </c>
      <c r="H54">
        <v>0.12681999999999999</v>
      </c>
      <c r="I54">
        <v>3.0602</v>
      </c>
      <c r="J54">
        <v>0.12681999999999999</v>
      </c>
      <c r="K54" s="88">
        <v>0.12681999999999999</v>
      </c>
      <c r="L54">
        <v>0.12681999999999999</v>
      </c>
      <c r="M54">
        <v>0</v>
      </c>
      <c r="N54">
        <f>PSI_OC!$A$7</f>
        <v>10</v>
      </c>
      <c r="O54">
        <v>-1</v>
      </c>
      <c r="P54" t="s">
        <v>444</v>
      </c>
      <c r="Q54" s="17">
        <f t="shared" si="18"/>
        <v>-14665174.566305941</v>
      </c>
      <c r="R54" t="s">
        <v>537</v>
      </c>
      <c r="X54">
        <f t="shared" si="20"/>
        <v>-1064.9144569017469</v>
      </c>
      <c r="Y54">
        <f t="shared" si="21"/>
        <v>-141145.15868377424</v>
      </c>
      <c r="Z54" s="17">
        <f t="shared" si="22"/>
        <v>-329.86900527849861</v>
      </c>
      <c r="AA54" s="17">
        <f t="shared" si="23"/>
        <v>-299.80342056974786</v>
      </c>
      <c r="AB54">
        <f t="shared" si="24"/>
        <v>-188.78740231562148</v>
      </c>
      <c r="AC54">
        <f t="shared" si="25"/>
        <v>-3149240.0140553624</v>
      </c>
      <c r="AD54">
        <f t="shared" si="26"/>
        <v>-4579.937251714271</v>
      </c>
      <c r="AK54" s="8">
        <f t="shared" si="27"/>
        <v>-126132.23809322232</v>
      </c>
      <c r="AL54" s="8">
        <f t="shared" si="28"/>
        <v>-29228.620789508965</v>
      </c>
      <c r="AM54" s="8">
        <f t="shared" si="29"/>
        <v>-6445.1467580453436</v>
      </c>
      <c r="AN54" s="8">
        <f t="shared" si="30"/>
        <v>-63506.24691482506</v>
      </c>
      <c r="AO54" s="8">
        <f t="shared" si="31"/>
        <v>-57431.995948930627</v>
      </c>
      <c r="AP54" s="8">
        <f t="shared" si="32"/>
        <v>-43991.839476131783</v>
      </c>
      <c r="AQ54" s="8">
        <f t="shared" si="33"/>
        <v>-5209998.770332519</v>
      </c>
    </row>
    <row r="55" spans="1:43" x14ac:dyDescent="0.2">
      <c r="A55" s="75" t="s">
        <v>840</v>
      </c>
      <c r="B55" s="193">
        <f t="shared" si="19"/>
        <v>135.81969527992757</v>
      </c>
      <c r="C55" s="193">
        <v>172</v>
      </c>
      <c r="D55" s="135" t="s">
        <v>506</v>
      </c>
      <c r="E55" t="s">
        <v>253</v>
      </c>
      <c r="F55">
        <v>1.7099999999999999E-3</v>
      </c>
      <c r="G55" t="s">
        <v>361</v>
      </c>
      <c r="H55">
        <v>1.268E-2</v>
      </c>
      <c r="I55">
        <v>0.30602000000000001</v>
      </c>
      <c r="J55">
        <v>1.268E-2</v>
      </c>
      <c r="K55" s="88">
        <v>1.268E-2</v>
      </c>
      <c r="L55">
        <v>1.268E-2</v>
      </c>
      <c r="M55">
        <v>0.36643999999999999</v>
      </c>
      <c r="N55">
        <f>PSI_OC!$A$7</f>
        <v>10</v>
      </c>
      <c r="O55">
        <v>-1</v>
      </c>
      <c r="P55" t="s">
        <v>445</v>
      </c>
      <c r="Q55" s="17">
        <f t="shared" si="18"/>
        <v>-1781431.7111094212</v>
      </c>
      <c r="R55" t="s">
        <v>537</v>
      </c>
      <c r="X55">
        <f t="shared" si="20"/>
        <v>-1064.9144569017469</v>
      </c>
      <c r="Y55">
        <f t="shared" si="21"/>
        <v>-14114.515868377423</v>
      </c>
      <c r="Z55" s="17">
        <f t="shared" si="22"/>
        <v>-329.86900527849861</v>
      </c>
      <c r="AA55" s="17">
        <f t="shared" si="23"/>
        <v>-299.80342056974786</v>
      </c>
      <c r="AB55">
        <f t="shared" si="24"/>
        <v>-188.78740231562148</v>
      </c>
      <c r="AC55">
        <f t="shared" si="25"/>
        <v>-3145.4585884299281</v>
      </c>
      <c r="AD55">
        <f t="shared" si="26"/>
        <v>-4579.937251714271</v>
      </c>
      <c r="AK55" s="8">
        <f t="shared" si="27"/>
        <v>-126132.23809322232</v>
      </c>
      <c r="AL55" s="8">
        <f t="shared" si="28"/>
        <v>-29228.620789508965</v>
      </c>
      <c r="AM55" s="8">
        <f t="shared" si="29"/>
        <v>-6445.1467580453436</v>
      </c>
      <c r="AN55" s="8">
        <f t="shared" si="30"/>
        <v>-63506.24691482506</v>
      </c>
      <c r="AO55" s="8">
        <f t="shared" si="31"/>
        <v>-57431.995948930627</v>
      </c>
      <c r="AP55" s="8">
        <f t="shared" si="32"/>
        <v>-43991.839476131783</v>
      </c>
      <c r="AQ55" s="8">
        <f t="shared" si="33"/>
        <v>-5209998.770332519</v>
      </c>
    </row>
    <row r="56" spans="1:43" x14ac:dyDescent="0.2">
      <c r="A56" s="75" t="s">
        <v>841</v>
      </c>
      <c r="B56" s="193">
        <f t="shared" si="19"/>
        <v>696.47076300521007</v>
      </c>
      <c r="C56" s="193">
        <v>882</v>
      </c>
      <c r="D56" s="137" t="s">
        <v>510</v>
      </c>
      <c r="E56" t="s">
        <v>325</v>
      </c>
      <c r="F56">
        <v>1.7000000000000001E-4</v>
      </c>
      <c r="G56" t="s">
        <v>362</v>
      </c>
      <c r="H56">
        <v>1.2700000000000001E-3</v>
      </c>
      <c r="I56">
        <v>3.1E-4</v>
      </c>
      <c r="J56">
        <v>1.2700000000000001E-3</v>
      </c>
      <c r="K56" s="88">
        <v>1.2700000000000001E-3</v>
      </c>
      <c r="L56">
        <v>1.2700000000000001E-3</v>
      </c>
      <c r="M56">
        <v>3.6600000000000001E-3</v>
      </c>
      <c r="N56">
        <f>PSI_OC!$A$6</f>
        <v>100</v>
      </c>
      <c r="O56">
        <v>-1</v>
      </c>
      <c r="P56" t="s">
        <v>446</v>
      </c>
      <c r="Q56" s="17">
        <f t="shared" si="18"/>
        <v>-100796.26291384007</v>
      </c>
      <c r="R56" t="s">
        <v>537</v>
      </c>
      <c r="X56">
        <f t="shared" si="20"/>
        <v>0</v>
      </c>
      <c r="Y56">
        <f t="shared" si="21"/>
        <v>0</v>
      </c>
      <c r="Z56" s="17">
        <f t="shared" si="22"/>
        <v>0</v>
      </c>
      <c r="AA56" s="17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0</v>
      </c>
      <c r="AK56" s="8">
        <f t="shared" si="27"/>
        <v>0</v>
      </c>
      <c r="AL56" s="8">
        <f t="shared" si="28"/>
        <v>0</v>
      </c>
      <c r="AM56" s="8">
        <f t="shared" si="29"/>
        <v>0</v>
      </c>
      <c r="AN56" s="8">
        <f t="shared" si="30"/>
        <v>0</v>
      </c>
      <c r="AO56" s="8">
        <f t="shared" si="31"/>
        <v>0</v>
      </c>
      <c r="AP56" s="8">
        <f t="shared" si="32"/>
        <v>0</v>
      </c>
      <c r="AQ56" s="8">
        <f t="shared" si="33"/>
        <v>0</v>
      </c>
    </row>
    <row r="57" spans="1:43" x14ac:dyDescent="0.2">
      <c r="A57" s="191" t="s">
        <v>842</v>
      </c>
      <c r="B57" s="193">
        <f t="shared" si="19"/>
        <v>0</v>
      </c>
      <c r="C57" s="192"/>
      <c r="D57" s="1"/>
      <c r="E57" t="s">
        <v>254</v>
      </c>
      <c r="F57">
        <v>1.7000000000000001E-4</v>
      </c>
      <c r="G57" t="s">
        <v>363</v>
      </c>
      <c r="H57">
        <v>1.2700000000000001E-3</v>
      </c>
      <c r="I57">
        <v>3.0599999999999998E-3</v>
      </c>
      <c r="J57">
        <v>1.2700000000000001E-3</v>
      </c>
      <c r="K57" s="88">
        <v>1.2700000000000001E-3</v>
      </c>
      <c r="L57">
        <v>1.2700000000000001E-3</v>
      </c>
      <c r="M57">
        <v>3.6999999999999999E-4</v>
      </c>
      <c r="N57">
        <f>PSI_OC!$A$7</f>
        <v>10</v>
      </c>
      <c r="O57">
        <v>-1</v>
      </c>
      <c r="P57" t="s">
        <v>447</v>
      </c>
      <c r="Q57" s="17">
        <f t="shared" si="18"/>
        <v>-19936.765155455876</v>
      </c>
      <c r="R57" t="s">
        <v>537</v>
      </c>
      <c r="X57">
        <f t="shared" si="20"/>
        <v>0</v>
      </c>
      <c r="Y57">
        <f t="shared" si="21"/>
        <v>0</v>
      </c>
      <c r="Z57" s="17">
        <f t="shared" si="22"/>
        <v>0</v>
      </c>
      <c r="AA57" s="1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0</v>
      </c>
      <c r="AK57" s="8">
        <f t="shared" si="27"/>
        <v>0</v>
      </c>
      <c r="AL57" s="8">
        <f t="shared" si="28"/>
        <v>0</v>
      </c>
      <c r="AM57" s="8">
        <f t="shared" si="29"/>
        <v>0</v>
      </c>
      <c r="AN57" s="8">
        <f t="shared" si="30"/>
        <v>0</v>
      </c>
      <c r="AO57" s="8">
        <f t="shared" si="31"/>
        <v>0</v>
      </c>
      <c r="AP57" s="8">
        <f t="shared" si="32"/>
        <v>0</v>
      </c>
      <c r="AQ57" s="8">
        <f t="shared" si="33"/>
        <v>0</v>
      </c>
    </row>
    <row r="58" spans="1:43" x14ac:dyDescent="0.2">
      <c r="A58" s="75" t="s">
        <v>843</v>
      </c>
      <c r="B58" s="193">
        <f t="shared" si="19"/>
        <v>88897.149158277258</v>
      </c>
      <c r="C58" s="193">
        <v>112578</v>
      </c>
      <c r="D58" s="135" t="s">
        <v>506</v>
      </c>
      <c r="E58" t="s">
        <v>255</v>
      </c>
      <c r="F58">
        <v>0</v>
      </c>
      <c r="G58" t="s">
        <v>364</v>
      </c>
      <c r="H58">
        <v>0</v>
      </c>
      <c r="I58">
        <v>0</v>
      </c>
      <c r="J58">
        <v>0</v>
      </c>
      <c r="K58" s="88">
        <v>0</v>
      </c>
      <c r="L58">
        <v>0</v>
      </c>
      <c r="M58">
        <v>3.6999999999999999E-4</v>
      </c>
      <c r="N58">
        <f>PSI_OC!$A$7</f>
        <v>10</v>
      </c>
      <c r="O58">
        <v>-1</v>
      </c>
      <c r="P58" t="s">
        <v>448</v>
      </c>
      <c r="Q58" s="17">
        <f t="shared" si="18"/>
        <v>-317.98351850247906</v>
      </c>
      <c r="R58" t="s">
        <v>537</v>
      </c>
      <c r="X58">
        <f t="shared" si="20"/>
        <v>-10661.599708864273</v>
      </c>
      <c r="Y58">
        <f t="shared" si="21"/>
        <v>-1411543.8385754442</v>
      </c>
      <c r="Z58" s="17">
        <f t="shared" si="22"/>
        <v>-32940.147440487548</v>
      </c>
      <c r="AA58" s="17">
        <f t="shared" si="23"/>
        <v>-29937.850233586942</v>
      </c>
      <c r="AB58">
        <f t="shared" si="24"/>
        <v>-18851.982961942605</v>
      </c>
      <c r="AC58">
        <f t="shared" si="25"/>
        <v>-3145.4585884299281</v>
      </c>
      <c r="AD58">
        <f t="shared" si="26"/>
        <v>-457344.60020661709</v>
      </c>
      <c r="AK58" s="8">
        <f t="shared" si="27"/>
        <v>-12595346.79919878</v>
      </c>
      <c r="AL58" s="8">
        <f t="shared" si="28"/>
        <v>-2924079.938150459</v>
      </c>
      <c r="AM58" s="8">
        <f t="shared" si="29"/>
        <v>-643601.19043725217</v>
      </c>
      <c r="AN58" s="8">
        <f t="shared" si="30"/>
        <v>-6341623.8060930017</v>
      </c>
      <c r="AO58" s="8">
        <f t="shared" si="31"/>
        <v>-5735059.6269632913</v>
      </c>
      <c r="AP58" s="8">
        <f t="shared" si="32"/>
        <v>-4401016.9409246827</v>
      </c>
      <c r="AQ58" s="8">
        <f t="shared" si="33"/>
        <v>-517763.85295229999</v>
      </c>
    </row>
    <row r="59" spans="1:43" x14ac:dyDescent="0.2">
      <c r="A59" s="75" t="s">
        <v>844</v>
      </c>
      <c r="B59" s="193">
        <f t="shared" si="19"/>
        <v>2049.1401700663491</v>
      </c>
      <c r="C59" s="193">
        <v>2595</v>
      </c>
      <c r="D59" s="135" t="s">
        <v>506</v>
      </c>
      <c r="E59" t="s">
        <v>256</v>
      </c>
      <c r="F59">
        <v>1.7000000000000001E-4</v>
      </c>
      <c r="G59" t="s">
        <v>365</v>
      </c>
      <c r="H59">
        <v>1.2700000000000001E-3</v>
      </c>
      <c r="I59">
        <v>0.30602000000000001</v>
      </c>
      <c r="J59">
        <v>1.2700000000000001E-3</v>
      </c>
      <c r="K59" s="88">
        <v>1.2700000000000001E-3</v>
      </c>
      <c r="L59">
        <v>1.2700000000000001E-3</v>
      </c>
      <c r="M59">
        <v>3.6600000000000001E-3</v>
      </c>
      <c r="N59">
        <f>PSI_OC!$A$7</f>
        <v>10</v>
      </c>
      <c r="O59">
        <v>-1</v>
      </c>
      <c r="P59" t="s">
        <v>449</v>
      </c>
      <c r="Q59" s="17">
        <f>((SUM(B$23:B$31)*F59)+(SUM(B$33:B$37,B$41:B$42,B$45,B$47,B$50,B$52:B$55,B$58:B$63,B$65:B$67,B$69:B$73,B$77,B$79:B$81,B$84:B$85,B$87:B$95,B$97:B$103)*I59)+(SUM(B$39:B$40,B$76)*K59)+(SUM(B$43,B$46,B$49,B$51,B$56)*L59)+(SUM(B$44,B$78)*H59)+(SUM(B$75,B$83)*J59)+(SUM(B$105:B$107,B$109:B$117)*M59))*(N59*O59)</f>
        <v>-1420193.5629324501</v>
      </c>
      <c r="R59" t="s">
        <v>537</v>
      </c>
      <c r="X59">
        <f t="shared" si="20"/>
        <v>-1064.9144569017469</v>
      </c>
      <c r="Y59">
        <f t="shared" si="21"/>
        <v>-14114.515868377423</v>
      </c>
      <c r="Z59" s="17">
        <f t="shared" si="22"/>
        <v>-329.86900527849861</v>
      </c>
      <c r="AA59" s="17">
        <f t="shared" si="23"/>
        <v>-299.80342056974786</v>
      </c>
      <c r="AB59">
        <f t="shared" si="24"/>
        <v>-188.78740231562148</v>
      </c>
      <c r="AC59">
        <f t="shared" si="25"/>
        <v>-3145.4585884299281</v>
      </c>
      <c r="AD59">
        <f t="shared" si="26"/>
        <v>-4579.937251714271</v>
      </c>
      <c r="AK59" s="8">
        <f t="shared" si="27"/>
        <v>-126132.23809322232</v>
      </c>
      <c r="AL59" s="8">
        <f t="shared" si="28"/>
        <v>-29228.620789508965</v>
      </c>
      <c r="AM59" s="8">
        <f t="shared" si="29"/>
        <v>-6445.1467580453436</v>
      </c>
      <c r="AN59" s="8">
        <f t="shared" si="30"/>
        <v>-63506.24691482506</v>
      </c>
      <c r="AO59" s="8">
        <f t="shared" si="31"/>
        <v>-57431.995948930627</v>
      </c>
      <c r="AP59" s="8">
        <f t="shared" si="32"/>
        <v>-43991.839476131783</v>
      </c>
      <c r="AQ59" s="8">
        <f t="shared" si="33"/>
        <v>-52132347.944134697</v>
      </c>
    </row>
    <row r="60" spans="1:43" x14ac:dyDescent="0.2">
      <c r="A60" s="75" t="s">
        <v>845</v>
      </c>
      <c r="B60" s="193">
        <f t="shared" si="19"/>
        <v>5312.7611037404231</v>
      </c>
      <c r="C60" s="193">
        <v>6728</v>
      </c>
      <c r="D60" s="135" t="s">
        <v>506</v>
      </c>
      <c r="E60" t="s">
        <v>257</v>
      </c>
      <c r="F60">
        <v>1.7099999999999999E-3</v>
      </c>
      <c r="G60" t="s">
        <v>366</v>
      </c>
      <c r="H60">
        <v>1.26824</v>
      </c>
      <c r="I60">
        <v>3.0599999999999998E-3</v>
      </c>
      <c r="J60">
        <v>1.26824</v>
      </c>
      <c r="K60" s="88">
        <v>1.26824</v>
      </c>
      <c r="L60">
        <v>1.26824</v>
      </c>
      <c r="M60">
        <v>3.6644000000000001</v>
      </c>
      <c r="N60">
        <f>PSI_OC!$A$6</f>
        <v>100</v>
      </c>
      <c r="O60">
        <v>-1</v>
      </c>
      <c r="P60" t="s">
        <v>450</v>
      </c>
      <c r="Q60" s="17">
        <f t="shared" si="18"/>
        <v>-85553352.81061469</v>
      </c>
      <c r="R60" t="s">
        <v>537</v>
      </c>
      <c r="X60">
        <f t="shared" si="20"/>
        <v>-1064.9144569017469</v>
      </c>
      <c r="Y60">
        <f t="shared" si="21"/>
        <v>-14114.515868377423</v>
      </c>
      <c r="Z60" s="17">
        <f t="shared" si="22"/>
        <v>-329.86900527849861</v>
      </c>
      <c r="AA60" s="17">
        <f t="shared" si="23"/>
        <v>-299.80342056974786</v>
      </c>
      <c r="AB60">
        <f t="shared" si="24"/>
        <v>-188.78740231562148</v>
      </c>
      <c r="AC60">
        <f t="shared" si="25"/>
        <v>-3145.4585884299281</v>
      </c>
      <c r="AD60">
        <f t="shared" si="26"/>
        <v>-4579.937251714271</v>
      </c>
      <c r="AK60" s="8">
        <f t="shared" si="27"/>
        <v>-126132.23809322232</v>
      </c>
      <c r="AL60" s="8">
        <f t="shared" si="28"/>
        <v>-29228.620789508965</v>
      </c>
      <c r="AM60" s="8">
        <f t="shared" si="29"/>
        <v>-6445.1467580453436</v>
      </c>
      <c r="AN60" s="8">
        <f t="shared" si="30"/>
        <v>-63506.24691482506</v>
      </c>
      <c r="AO60" s="8">
        <f t="shared" si="31"/>
        <v>-57431.995948930627</v>
      </c>
      <c r="AP60" s="8">
        <f t="shared" si="32"/>
        <v>-43991.839476131783</v>
      </c>
      <c r="AQ60" s="8">
        <f t="shared" si="33"/>
        <v>-52132347.944134697</v>
      </c>
    </row>
    <row r="61" spans="1:43" x14ac:dyDescent="0.2">
      <c r="A61" s="75" t="s">
        <v>846</v>
      </c>
      <c r="B61" s="193">
        <f t="shared" si="19"/>
        <v>0</v>
      </c>
      <c r="C61" s="193">
        <v>0</v>
      </c>
      <c r="D61" s="135" t="s">
        <v>506</v>
      </c>
      <c r="E61" t="s">
        <v>258</v>
      </c>
      <c r="F61">
        <v>1.712E-2</v>
      </c>
      <c r="G61" t="s">
        <v>367</v>
      </c>
      <c r="H61">
        <v>0.12681999999999999</v>
      </c>
      <c r="I61">
        <v>3.0599999999999998E-3</v>
      </c>
      <c r="J61">
        <v>0.12681999999999999</v>
      </c>
      <c r="K61" s="88">
        <v>0.12681999999999999</v>
      </c>
      <c r="L61">
        <v>0.12681999999999999</v>
      </c>
      <c r="M61">
        <v>3.6644000000000001</v>
      </c>
      <c r="N61">
        <f>PSI_OC!$A$6</f>
        <v>100</v>
      </c>
      <c r="O61">
        <v>-1</v>
      </c>
      <c r="P61" t="s">
        <v>451</v>
      </c>
      <c r="Q61" s="17">
        <f t="shared" si="18"/>
        <v>-37130907.104752384</v>
      </c>
      <c r="R61" t="s">
        <v>537</v>
      </c>
      <c r="X61">
        <f t="shared" si="20"/>
        <v>0</v>
      </c>
      <c r="Y61">
        <f t="shared" si="21"/>
        <v>0</v>
      </c>
      <c r="Z61" s="17">
        <f t="shared" si="22"/>
        <v>0</v>
      </c>
      <c r="AA61" s="17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0</v>
      </c>
      <c r="AK61" s="8">
        <f t="shared" si="27"/>
        <v>0</v>
      </c>
      <c r="AL61" s="8">
        <f t="shared" si="28"/>
        <v>0</v>
      </c>
      <c r="AM61" s="8">
        <f t="shared" si="29"/>
        <v>0</v>
      </c>
      <c r="AN61" s="8">
        <f t="shared" si="30"/>
        <v>0</v>
      </c>
      <c r="AO61" s="8">
        <f t="shared" si="31"/>
        <v>0</v>
      </c>
      <c r="AP61" s="8">
        <f t="shared" si="32"/>
        <v>0</v>
      </c>
      <c r="AQ61" s="8">
        <f t="shared" si="33"/>
        <v>0</v>
      </c>
    </row>
    <row r="62" spans="1:43" x14ac:dyDescent="0.2">
      <c r="A62" s="75" t="s">
        <v>847</v>
      </c>
      <c r="B62" s="193">
        <f t="shared" si="19"/>
        <v>337.18029002633187</v>
      </c>
      <c r="C62" s="193">
        <v>427</v>
      </c>
      <c r="D62" s="135" t="s">
        <v>506</v>
      </c>
      <c r="E62" t="s">
        <v>326</v>
      </c>
      <c r="F62">
        <v>1.7099999999999999E-3</v>
      </c>
      <c r="G62" t="s">
        <v>365</v>
      </c>
      <c r="H62">
        <v>1.2700000000000001E-3</v>
      </c>
      <c r="I62">
        <v>3.0599999999999998E-3</v>
      </c>
      <c r="J62">
        <v>1.2700000000000001E-3</v>
      </c>
      <c r="K62" s="88">
        <v>1.2700000000000001E-3</v>
      </c>
      <c r="L62">
        <v>1.2700000000000001E-3</v>
      </c>
      <c r="M62">
        <v>3.6600000000000001E-3</v>
      </c>
      <c r="N62">
        <v>0</v>
      </c>
      <c r="O62">
        <v>0</v>
      </c>
      <c r="P62" t="s">
        <v>449</v>
      </c>
      <c r="Q62" s="17">
        <f t="shared" si="18"/>
        <v>0</v>
      </c>
      <c r="R62" t="s">
        <v>537</v>
      </c>
      <c r="X62">
        <f t="shared" si="20"/>
        <v>0</v>
      </c>
      <c r="Y62">
        <f t="shared" si="21"/>
        <v>0</v>
      </c>
      <c r="Z62" s="17">
        <f t="shared" si="22"/>
        <v>-3298.6900527849862</v>
      </c>
      <c r="AA62" s="17">
        <f t="shared" si="23"/>
        <v>-2998.0342056974782</v>
      </c>
      <c r="AB62">
        <f t="shared" si="24"/>
        <v>-1887.8740231562147</v>
      </c>
      <c r="AC62">
        <f t="shared" si="25"/>
        <v>-3149240.0140553624</v>
      </c>
      <c r="AD62">
        <f t="shared" si="26"/>
        <v>-45799.372517142714</v>
      </c>
      <c r="AK62" s="8">
        <f t="shared" si="27"/>
        <v>-1261322.3809322231</v>
      </c>
      <c r="AL62" s="8">
        <f t="shared" si="28"/>
        <v>-292286.20789508964</v>
      </c>
      <c r="AM62" s="8">
        <f t="shared" si="29"/>
        <v>-64451.467580453434</v>
      </c>
      <c r="AN62" s="8">
        <f t="shared" si="30"/>
        <v>-635062.46914825065</v>
      </c>
      <c r="AO62" s="8">
        <f t="shared" si="31"/>
        <v>-574319.9594893062</v>
      </c>
      <c r="AP62" s="8">
        <f t="shared" si="32"/>
        <v>-439918.39476131782</v>
      </c>
      <c r="AQ62" s="8">
        <f t="shared" si="33"/>
        <v>-52099987.70332519</v>
      </c>
    </row>
    <row r="63" spans="1:43" x14ac:dyDescent="0.2">
      <c r="A63" s="75" t="s">
        <v>848</v>
      </c>
      <c r="B63" s="193">
        <f t="shared" si="19"/>
        <v>844.13519915257314</v>
      </c>
      <c r="C63" s="193">
        <v>1069</v>
      </c>
      <c r="D63" s="135" t="s">
        <v>506</v>
      </c>
      <c r="E63" t="s">
        <v>259</v>
      </c>
      <c r="F63">
        <v>1.7000000000000001E-4</v>
      </c>
      <c r="G63" t="s">
        <v>368</v>
      </c>
      <c r="H63">
        <v>1.268E-2</v>
      </c>
      <c r="I63">
        <v>3.0599999999999998E-3</v>
      </c>
      <c r="J63">
        <v>1.268E-2</v>
      </c>
      <c r="K63" s="88">
        <v>1.268E-2</v>
      </c>
      <c r="L63">
        <v>1.268E-2</v>
      </c>
      <c r="M63">
        <v>3.6600000000000001E-3</v>
      </c>
      <c r="N63">
        <f>PSI_OC!$A$6</f>
        <v>100</v>
      </c>
      <c r="O63">
        <v>-1</v>
      </c>
      <c r="P63" t="s">
        <v>452</v>
      </c>
      <c r="Q63" s="17">
        <f t="shared" si="18"/>
        <v>-712647.99817044404</v>
      </c>
      <c r="R63" t="s">
        <v>537</v>
      </c>
      <c r="X63">
        <f t="shared" si="20"/>
        <v>0</v>
      </c>
      <c r="Y63">
        <f t="shared" si="21"/>
        <v>0</v>
      </c>
      <c r="Z63" s="17">
        <f t="shared" si="22"/>
        <v>0</v>
      </c>
      <c r="AA63" s="17">
        <f t="shared" si="23"/>
        <v>0</v>
      </c>
      <c r="AB63">
        <f t="shared" si="24"/>
        <v>0</v>
      </c>
      <c r="AC63">
        <f t="shared" si="25"/>
        <v>0</v>
      </c>
      <c r="AD63">
        <f t="shared" si="26"/>
        <v>0</v>
      </c>
      <c r="AK63" s="8">
        <f t="shared" si="27"/>
        <v>0</v>
      </c>
      <c r="AL63" s="8">
        <f t="shared" si="28"/>
        <v>0</v>
      </c>
      <c r="AM63" s="8">
        <f t="shared" si="29"/>
        <v>0</v>
      </c>
      <c r="AN63" s="8">
        <f t="shared" si="30"/>
        <v>0</v>
      </c>
      <c r="AO63" s="8">
        <f t="shared" si="31"/>
        <v>0</v>
      </c>
      <c r="AP63" s="8">
        <f t="shared" si="32"/>
        <v>0</v>
      </c>
      <c r="AQ63" s="8">
        <f t="shared" si="33"/>
        <v>0</v>
      </c>
    </row>
    <row r="64" spans="1:43" x14ac:dyDescent="0.2">
      <c r="A64" s="191" t="s">
        <v>849</v>
      </c>
      <c r="B64" s="193">
        <f t="shared" si="19"/>
        <v>0</v>
      </c>
      <c r="C64" s="192"/>
      <c r="D64" s="1"/>
      <c r="E64" t="s">
        <v>260</v>
      </c>
      <c r="F64">
        <v>0</v>
      </c>
      <c r="G64" t="s">
        <v>368</v>
      </c>
      <c r="H64">
        <v>0</v>
      </c>
      <c r="I64">
        <v>3.0599999999999998E-3</v>
      </c>
      <c r="J64">
        <v>0</v>
      </c>
      <c r="K64" s="88">
        <v>0</v>
      </c>
      <c r="L64">
        <v>0</v>
      </c>
      <c r="M64">
        <v>3.6639999999999999E-2</v>
      </c>
      <c r="N64">
        <v>0</v>
      </c>
      <c r="O64">
        <v>0</v>
      </c>
      <c r="P64" t="s">
        <v>452</v>
      </c>
      <c r="Q64" s="17">
        <f t="shared" si="18"/>
        <v>0</v>
      </c>
      <c r="R64" t="s">
        <v>537</v>
      </c>
      <c r="X64">
        <f t="shared" si="20"/>
        <v>0</v>
      </c>
      <c r="Y64">
        <f t="shared" si="21"/>
        <v>0</v>
      </c>
      <c r="Z64" s="17">
        <f t="shared" si="22"/>
        <v>0</v>
      </c>
      <c r="AA64" s="17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0</v>
      </c>
      <c r="AK64" s="8">
        <f t="shared" si="27"/>
        <v>0</v>
      </c>
      <c r="AL64" s="8">
        <f t="shared" si="28"/>
        <v>0</v>
      </c>
      <c r="AM64" s="8">
        <f t="shared" si="29"/>
        <v>0</v>
      </c>
      <c r="AN64" s="8">
        <f t="shared" si="30"/>
        <v>0</v>
      </c>
      <c r="AO64" s="8">
        <f t="shared" si="31"/>
        <v>0</v>
      </c>
      <c r="AP64" s="8">
        <f t="shared" si="32"/>
        <v>0</v>
      </c>
      <c r="AQ64" s="8">
        <f t="shared" si="33"/>
        <v>0</v>
      </c>
    </row>
    <row r="65" spans="1:43" x14ac:dyDescent="0.2">
      <c r="A65" s="75" t="s">
        <v>850</v>
      </c>
      <c r="B65" s="193">
        <f t="shared" si="19"/>
        <v>1273.7044679449025</v>
      </c>
      <c r="C65" s="193">
        <v>1613</v>
      </c>
      <c r="D65" s="135" t="s">
        <v>506</v>
      </c>
      <c r="E65" t="s">
        <v>327</v>
      </c>
      <c r="F65">
        <v>1.7099999999999999E-3</v>
      </c>
      <c r="G65" t="s">
        <v>368</v>
      </c>
      <c r="H65">
        <v>1.2999999999999999E-4</v>
      </c>
      <c r="I65">
        <v>0.30602000000000001</v>
      </c>
      <c r="J65">
        <v>1.2999999999999999E-4</v>
      </c>
      <c r="K65" s="88">
        <v>1.2999999999999999E-4</v>
      </c>
      <c r="L65">
        <v>1.2999999999999999E-4</v>
      </c>
      <c r="M65">
        <v>3.6600000000000001E-3</v>
      </c>
      <c r="N65">
        <f>PSI_OC!$A$6</f>
        <v>100</v>
      </c>
      <c r="O65">
        <v>-1</v>
      </c>
      <c r="P65" t="s">
        <v>452</v>
      </c>
      <c r="Q65" s="17">
        <f t="shared" si="18"/>
        <v>-14163068.034478499</v>
      </c>
      <c r="R65" t="s">
        <v>537</v>
      </c>
      <c r="X65">
        <f t="shared" si="20"/>
        <v>-105.8686886978345</v>
      </c>
      <c r="Y65">
        <f t="shared" si="21"/>
        <v>-14115438.385754442</v>
      </c>
      <c r="Z65" s="17">
        <f t="shared" si="22"/>
        <v>-33.766118650554972</v>
      </c>
      <c r="AA65" s="17">
        <f t="shared" si="23"/>
        <v>-30.688539113438754</v>
      </c>
      <c r="AB65">
        <f t="shared" si="24"/>
        <v>-19.324694725221093</v>
      </c>
      <c r="AC65">
        <f t="shared" si="25"/>
        <v>-317.98351850247906</v>
      </c>
      <c r="AD65">
        <f t="shared" si="26"/>
        <v>-468.81247458492533</v>
      </c>
      <c r="AK65" s="8">
        <f t="shared" si="27"/>
        <v>-12911.173978046376</v>
      </c>
      <c r="AL65" s="8">
        <f t="shared" si="28"/>
        <v>-2923.9946880064899</v>
      </c>
      <c r="AM65" s="8">
        <f t="shared" si="29"/>
        <v>-659.73943192590116</v>
      </c>
      <c r="AN65" s="8">
        <f t="shared" si="30"/>
        <v>-6500.6394479742185</v>
      </c>
      <c r="AO65" s="8">
        <f t="shared" si="31"/>
        <v>-5878.8657270558897</v>
      </c>
      <c r="AP65" s="8">
        <f t="shared" si="32"/>
        <v>-4400.8886313928779</v>
      </c>
      <c r="AQ65" s="8">
        <f t="shared" si="33"/>
        <v>-517763.85295229999</v>
      </c>
    </row>
    <row r="66" spans="1:43" x14ac:dyDescent="0.2">
      <c r="A66" s="75" t="s">
        <v>851</v>
      </c>
      <c r="B66" s="193">
        <f t="shared" si="19"/>
        <v>14922.794194186463</v>
      </c>
      <c r="C66" s="193">
        <v>18898</v>
      </c>
      <c r="D66" s="135" t="s">
        <v>506</v>
      </c>
      <c r="E66" t="s">
        <v>328</v>
      </c>
      <c r="F66">
        <v>1.7000000000000001E-4</v>
      </c>
      <c r="G66" t="s">
        <v>368</v>
      </c>
      <c r="H66">
        <v>1.2999999999999999E-4</v>
      </c>
      <c r="I66">
        <v>0.30602000000000001</v>
      </c>
      <c r="J66">
        <v>1.2999999999999999E-4</v>
      </c>
      <c r="K66" s="88">
        <v>1.2999999999999999E-4</v>
      </c>
      <c r="L66">
        <v>1.2999999999999999E-4</v>
      </c>
      <c r="M66">
        <v>3.6600000000000001E-3</v>
      </c>
      <c r="N66">
        <v>0</v>
      </c>
      <c r="O66">
        <v>0</v>
      </c>
      <c r="P66" t="s">
        <v>452</v>
      </c>
      <c r="Q66" s="17">
        <f t="shared" si="18"/>
        <v>0</v>
      </c>
      <c r="R66" t="s">
        <v>537</v>
      </c>
      <c r="X66">
        <f t="shared" si="20"/>
        <v>0</v>
      </c>
      <c r="Y66">
        <f t="shared" si="21"/>
        <v>0</v>
      </c>
      <c r="Z66" s="17">
        <f t="shared" si="22"/>
        <v>0</v>
      </c>
      <c r="AA66" s="17">
        <f t="shared" si="23"/>
        <v>0</v>
      </c>
      <c r="AB66">
        <f t="shared" si="24"/>
        <v>0</v>
      </c>
      <c r="AC66">
        <f t="shared" si="25"/>
        <v>0</v>
      </c>
      <c r="AD66">
        <f t="shared" si="26"/>
        <v>0</v>
      </c>
      <c r="AK66" s="8">
        <f t="shared" si="27"/>
        <v>0</v>
      </c>
      <c r="AL66" s="8">
        <f t="shared" si="28"/>
        <v>0</v>
      </c>
      <c r="AM66" s="8">
        <f t="shared" si="29"/>
        <v>0</v>
      </c>
      <c r="AN66" s="8">
        <f t="shared" si="30"/>
        <v>0</v>
      </c>
      <c r="AO66" s="8">
        <f t="shared" si="31"/>
        <v>0</v>
      </c>
      <c r="AP66" s="8">
        <f t="shared" si="32"/>
        <v>0</v>
      </c>
      <c r="AQ66" s="8">
        <f t="shared" si="33"/>
        <v>0</v>
      </c>
    </row>
    <row r="67" spans="1:43" x14ac:dyDescent="0.2">
      <c r="A67" s="75" t="s">
        <v>852</v>
      </c>
      <c r="B67" s="193">
        <f t="shared" si="19"/>
        <v>504.58596095275425</v>
      </c>
      <c r="C67" s="193">
        <v>639</v>
      </c>
      <c r="D67" s="135" t="s">
        <v>506</v>
      </c>
      <c r="E67" t="s">
        <v>261</v>
      </c>
      <c r="F67">
        <v>1.7099999999999999E-3</v>
      </c>
      <c r="G67" t="s">
        <v>369</v>
      </c>
      <c r="H67">
        <v>0.12681999999999999</v>
      </c>
      <c r="I67">
        <v>3.1E-4</v>
      </c>
      <c r="J67">
        <v>0.12681999999999999</v>
      </c>
      <c r="K67" s="88">
        <v>0.12681999999999999</v>
      </c>
      <c r="L67">
        <v>0.12681999999999999</v>
      </c>
      <c r="M67">
        <v>3.6600000000000001E-3</v>
      </c>
      <c r="N67">
        <f>PSI_OC!$A$6</f>
        <v>100</v>
      </c>
      <c r="O67">
        <v>-1</v>
      </c>
      <c r="P67" t="s">
        <v>453</v>
      </c>
      <c r="Q67" s="17">
        <f t="shared" si="18"/>
        <v>-5447148.5582234394</v>
      </c>
      <c r="R67" t="s">
        <v>537</v>
      </c>
      <c r="X67">
        <f t="shared" si="20"/>
        <v>-10649.144569017468</v>
      </c>
      <c r="Y67">
        <f t="shared" si="21"/>
        <v>-141145.15868377424</v>
      </c>
      <c r="Z67" s="17">
        <f t="shared" si="22"/>
        <v>-3294118.6397984494</v>
      </c>
      <c r="AA67" s="17">
        <f t="shared" si="23"/>
        <v>-2993879.4496328896</v>
      </c>
      <c r="AB67">
        <f t="shared" si="24"/>
        <v>-1885257.7567934154</v>
      </c>
      <c r="AC67">
        <f t="shared" si="25"/>
        <v>-31492400.140553627</v>
      </c>
      <c r="AD67">
        <f t="shared" si="26"/>
        <v>-45735902.520583518</v>
      </c>
      <c r="AK67" s="8">
        <f t="shared" si="27"/>
        <v>-1259574406.6090415</v>
      </c>
      <c r="AL67" s="8">
        <f t="shared" si="28"/>
        <v>-292399874.75371552</v>
      </c>
      <c r="AM67" s="8">
        <f t="shared" si="29"/>
        <v>-64362149.01120808</v>
      </c>
      <c r="AN67" s="8">
        <f t="shared" si="30"/>
        <v>-634182382.57683253</v>
      </c>
      <c r="AO67" s="8">
        <f t="shared" si="31"/>
        <v>-573524051.51395094</v>
      </c>
      <c r="AP67" s="8">
        <f t="shared" si="32"/>
        <v>-440089474.13705832</v>
      </c>
      <c r="AQ67" s="8">
        <f t="shared" si="33"/>
        <v>-5177638.5295230001</v>
      </c>
    </row>
    <row r="68" spans="1:43" x14ac:dyDescent="0.2">
      <c r="A68" s="191" t="s">
        <v>853</v>
      </c>
      <c r="B68" s="193">
        <f t="shared" si="19"/>
        <v>0</v>
      </c>
      <c r="C68" s="192"/>
      <c r="D68" s="1"/>
      <c r="E68" t="s">
        <v>263</v>
      </c>
      <c r="F68">
        <v>1.7000000000000001E-4</v>
      </c>
      <c r="G68" t="s">
        <v>370</v>
      </c>
      <c r="H68">
        <v>1.2999999999999999E-4</v>
      </c>
      <c r="I68">
        <v>3.1E-4</v>
      </c>
      <c r="J68">
        <v>1.2999999999999999E-4</v>
      </c>
      <c r="K68" s="88">
        <v>1.2999999999999999E-4</v>
      </c>
      <c r="L68">
        <v>1.2999999999999999E-4</v>
      </c>
      <c r="M68">
        <v>3.6999999999999999E-4</v>
      </c>
      <c r="N68">
        <f>PSI_OC!$A$6</f>
        <v>100</v>
      </c>
      <c r="O68">
        <v>-1</v>
      </c>
      <c r="P68" t="s">
        <v>454</v>
      </c>
      <c r="Q68" s="17">
        <f t="shared" si="18"/>
        <v>-24063.459686525588</v>
      </c>
      <c r="R68" t="s">
        <v>537</v>
      </c>
      <c r="X68">
        <f t="shared" si="20"/>
        <v>-10649.144569017468</v>
      </c>
      <c r="Y68">
        <f t="shared" si="21"/>
        <v>-141145.15868377424</v>
      </c>
      <c r="Z68" s="17">
        <f t="shared" si="22"/>
        <v>-3294118.6397984494</v>
      </c>
      <c r="AA68" s="17">
        <f t="shared" si="23"/>
        <v>-2993879.4496328896</v>
      </c>
      <c r="AB68">
        <f t="shared" si="24"/>
        <v>-1885257.7567934154</v>
      </c>
      <c r="AC68">
        <f t="shared" si="25"/>
        <v>-31454.585884299278</v>
      </c>
      <c r="AD68">
        <f t="shared" si="26"/>
        <v>-45735902.520583518</v>
      </c>
      <c r="AK68" s="8">
        <f t="shared" si="27"/>
        <v>-1259574406.6090415</v>
      </c>
      <c r="AL68" s="8">
        <f t="shared" si="28"/>
        <v>-292399874.75371552</v>
      </c>
      <c r="AM68" s="8">
        <f t="shared" si="29"/>
        <v>-64362149.01120808</v>
      </c>
      <c r="AN68" s="8">
        <f t="shared" si="30"/>
        <v>-634182382.57683253</v>
      </c>
      <c r="AO68" s="8">
        <f t="shared" si="31"/>
        <v>-573524051.51395094</v>
      </c>
      <c r="AP68" s="8">
        <f t="shared" si="32"/>
        <v>-440089474.13705832</v>
      </c>
      <c r="AQ68" s="8">
        <f t="shared" si="33"/>
        <v>-521323479.441347</v>
      </c>
    </row>
    <row r="69" spans="1:43" x14ac:dyDescent="0.2">
      <c r="A69" s="75" t="s">
        <v>854</v>
      </c>
      <c r="B69" s="193">
        <f t="shared" si="19"/>
        <v>71258.750707883402</v>
      </c>
      <c r="C69" s="193">
        <v>90241</v>
      </c>
      <c r="D69" s="135" t="s">
        <v>506</v>
      </c>
      <c r="E69" t="s">
        <v>262</v>
      </c>
      <c r="F69">
        <v>1.7000000000000001E-4</v>
      </c>
      <c r="G69" t="s">
        <v>370</v>
      </c>
      <c r="H69">
        <v>1.2999999999999999E-4</v>
      </c>
      <c r="I69">
        <v>3.0599999999999998E-3</v>
      </c>
      <c r="J69">
        <v>1.2999999999999999E-4</v>
      </c>
      <c r="K69" s="88">
        <v>1.2999999999999999E-4</v>
      </c>
      <c r="L69">
        <v>1.2999999999999999E-4</v>
      </c>
      <c r="M69">
        <v>3.6999999999999999E-4</v>
      </c>
      <c r="N69">
        <f>PSI_OC!$A$6</f>
        <v>100</v>
      </c>
      <c r="O69">
        <v>-1</v>
      </c>
      <c r="P69" t="s">
        <v>454</v>
      </c>
      <c r="Q69" s="17">
        <f t="shared" si="18"/>
        <v>-150909.59902651879</v>
      </c>
      <c r="R69" t="s">
        <v>537</v>
      </c>
      <c r="X69">
        <f t="shared" si="20"/>
        <v>-1058.686886978345</v>
      </c>
      <c r="Y69">
        <f t="shared" si="21"/>
        <v>-14299.019343781049</v>
      </c>
      <c r="Z69" s="17">
        <f t="shared" si="22"/>
        <v>-3298.6900527849862</v>
      </c>
      <c r="AA69" s="17">
        <f t="shared" si="23"/>
        <v>-2998.0342056974782</v>
      </c>
      <c r="AB69">
        <f t="shared" si="24"/>
        <v>-1887.8740231562147</v>
      </c>
      <c r="AC69">
        <f t="shared" si="25"/>
        <v>-3179.8351850247905</v>
      </c>
      <c r="AD69">
        <f t="shared" si="26"/>
        <v>-45799.372517142714</v>
      </c>
      <c r="AK69" s="8">
        <f t="shared" si="27"/>
        <v>-1261322.3809322231</v>
      </c>
      <c r="AL69" s="8">
        <f t="shared" si="28"/>
        <v>-292286.20789508964</v>
      </c>
      <c r="AM69" s="8">
        <f t="shared" si="29"/>
        <v>-64451.467580453434</v>
      </c>
      <c r="AN69" s="8">
        <f t="shared" si="30"/>
        <v>-635062.46914825065</v>
      </c>
      <c r="AO69" s="8">
        <f t="shared" si="31"/>
        <v>-574319.9594893062</v>
      </c>
      <c r="AP69" s="8">
        <f t="shared" si="32"/>
        <v>-439918.39476131782</v>
      </c>
      <c r="AQ69" s="8">
        <f t="shared" si="33"/>
        <v>-52099987.70332519</v>
      </c>
    </row>
    <row r="70" spans="1:43" x14ac:dyDescent="0.2">
      <c r="A70" s="75" t="s">
        <v>855</v>
      </c>
      <c r="B70" s="193">
        <f t="shared" si="19"/>
        <v>4552.3287400510608</v>
      </c>
      <c r="C70" s="193">
        <v>5765</v>
      </c>
      <c r="D70" s="135" t="s">
        <v>506</v>
      </c>
      <c r="E70" t="s">
        <v>264</v>
      </c>
      <c r="F70">
        <v>1.7099999999999999E-3</v>
      </c>
      <c r="G70" t="s">
        <v>371</v>
      </c>
      <c r="H70">
        <v>1.2700000000000001E-3</v>
      </c>
      <c r="I70">
        <v>3.0599999999999999E-2</v>
      </c>
      <c r="J70">
        <v>1.2700000000000001E-3</v>
      </c>
      <c r="K70" s="88">
        <v>1.2700000000000001E-3</v>
      </c>
      <c r="L70">
        <v>1.2700000000000001E-3</v>
      </c>
      <c r="M70">
        <v>3.6644000000000001</v>
      </c>
      <c r="N70">
        <f>PSI_OC!$A$7</f>
        <v>10</v>
      </c>
      <c r="O70">
        <v>-1</v>
      </c>
      <c r="P70" t="s">
        <v>455</v>
      </c>
      <c r="Q70" s="17">
        <f t="shared" si="18"/>
        <v>-3296848.4842759166</v>
      </c>
      <c r="R70" t="s">
        <v>537</v>
      </c>
      <c r="X70">
        <f t="shared" ref="X70:X101" si="34">((SUM(B$23:B$31)*F86))*(N86*O86)</f>
        <v>-10664339.83963057</v>
      </c>
      <c r="Y70">
        <f t="shared" ref="Y70:Y101" si="35">(((SUM(B$33:B$37,B$41:B$42,B$45,B$47,B$50,B$52:B$55,B$58:B$63,B$65:B$67,B$69:B$73,B$77,B$79:B$81,B$84:B$85,B$87:B$95,B$97:B$103)*I86)))*(N86*O86)</f>
        <v>-141154383.85754442</v>
      </c>
      <c r="Z70" s="17">
        <f t="shared" ref="Z70:Z101" si="36">((SUM(B$39:B$40,B$76)*K86))*(N86*O86)</f>
        <v>-3294118.6397984494</v>
      </c>
      <c r="AA70" s="17">
        <f t="shared" ref="AA70:AA101" si="37">((SUM(B$75,B$83)*J86))*(N86*O86)</f>
        <v>-2993879.4496328896</v>
      </c>
      <c r="AB70">
        <f t="shared" ref="AB70:AB101" si="38">((SUM(B$44,B$78)*H86))*(N86*O86)</f>
        <v>-1885257.7567934154</v>
      </c>
      <c r="AC70">
        <f t="shared" ref="AC70:AC101" si="39">((SUM(B$105:B$107,B$109:B$117)*M86))*(N86*O86)</f>
        <v>-31492400.140553627</v>
      </c>
      <c r="AD70">
        <f t="shared" ref="AD70:AD101" si="40">((SUM(B$43,B$46,B$49,B$51,B$56)*L86))*(N86*O86)</f>
        <v>-45735902.520583518</v>
      </c>
      <c r="AK70" s="8">
        <f t="shared" ref="AK70:AK101" si="41">((B$137*F201))*M201*N201</f>
        <v>-1259574406.6090415</v>
      </c>
      <c r="AL70" s="8">
        <f t="shared" ref="AL70:AL101" si="42">((SUM(B$138:B$139)*K201))*M201*N201</f>
        <v>-292399874.75371552</v>
      </c>
      <c r="AM70" s="8">
        <f t="shared" ref="AM70:AM101" si="43">((B$140*H201))*M201*N201</f>
        <v>-64362149.01120808</v>
      </c>
      <c r="AN70" s="8">
        <f t="shared" ref="AN70:AN101" si="44">((SUM(B$141:B$142)*I201))*M201*N201</f>
        <v>-634182382.57683253</v>
      </c>
      <c r="AO70" s="8">
        <f t="shared" ref="AO70:AO101" si="45">((SUM(B$143:B$144,B$148)*J201))*M201*N201</f>
        <v>-573524051.51395094</v>
      </c>
      <c r="AP70" s="8">
        <f t="shared" ref="AP70:AP101" si="46">((SUM(B$146:B$147)*L201))*M201*N201</f>
        <v>-440089474.13705832</v>
      </c>
      <c r="AQ70" s="8">
        <f t="shared" ref="AQ70:AQ101" si="47">J315</f>
        <v>-521323479.441347</v>
      </c>
    </row>
    <row r="71" spans="1:43" x14ac:dyDescent="0.2">
      <c r="A71" s="75" t="s">
        <v>856</v>
      </c>
      <c r="B71" s="193">
        <f t="shared" si="19"/>
        <v>21405.026046238356</v>
      </c>
      <c r="C71" s="193">
        <v>27107</v>
      </c>
      <c r="D71" s="135" t="s">
        <v>506</v>
      </c>
      <c r="E71" t="s">
        <v>265</v>
      </c>
      <c r="F71">
        <v>1.7099999999999999E-3</v>
      </c>
      <c r="G71" t="s">
        <v>371</v>
      </c>
      <c r="H71">
        <v>1.2700000000000001E-3</v>
      </c>
      <c r="I71">
        <v>3.0599999999999998E-3</v>
      </c>
      <c r="J71">
        <v>1.2700000000000001E-3</v>
      </c>
      <c r="K71" s="88">
        <v>1.2700000000000001E-3</v>
      </c>
      <c r="L71">
        <v>1.2700000000000001E-3</v>
      </c>
      <c r="M71">
        <v>3.6600000000000001E-3</v>
      </c>
      <c r="N71">
        <f>PSI_OC!$A$7</f>
        <v>10</v>
      </c>
      <c r="O71">
        <v>-1</v>
      </c>
      <c r="P71" t="s">
        <v>455</v>
      </c>
      <c r="Q71" s="17">
        <f t="shared" si="18"/>
        <v>-23723.285993587237</v>
      </c>
      <c r="R71" t="s">
        <v>537</v>
      </c>
      <c r="X71">
        <f t="shared" si="34"/>
        <v>-105.8686886978345</v>
      </c>
      <c r="Y71">
        <f t="shared" si="35"/>
        <v>-1429.9019343781049</v>
      </c>
      <c r="Z71" s="17">
        <f t="shared" si="36"/>
        <v>-33.766118650554972</v>
      </c>
      <c r="AA71" s="17">
        <f t="shared" si="37"/>
        <v>-30.688539113438754</v>
      </c>
      <c r="AB71">
        <f t="shared" si="38"/>
        <v>-19.324694725221093</v>
      </c>
      <c r="AC71">
        <f t="shared" si="39"/>
        <v>-317.98351850247906</v>
      </c>
      <c r="AD71">
        <f t="shared" si="40"/>
        <v>-468.81247458492533</v>
      </c>
      <c r="AK71" s="8">
        <f t="shared" si="41"/>
        <v>-12911.173978046376</v>
      </c>
      <c r="AL71" s="8">
        <f t="shared" si="42"/>
        <v>-2923.9946880064899</v>
      </c>
      <c r="AM71" s="8">
        <f t="shared" si="43"/>
        <v>-659.73943192590116</v>
      </c>
      <c r="AN71" s="8">
        <f t="shared" si="44"/>
        <v>-6500.6394479742185</v>
      </c>
      <c r="AO71" s="8">
        <f t="shared" si="45"/>
        <v>-5878.8657270558897</v>
      </c>
      <c r="AP71" s="8">
        <f t="shared" si="46"/>
        <v>-4400.8886313928779</v>
      </c>
      <c r="AQ71" s="8">
        <f t="shared" si="47"/>
        <v>-5209998.770332519</v>
      </c>
    </row>
    <row r="72" spans="1:43" x14ac:dyDescent="0.2">
      <c r="A72" s="75" t="s">
        <v>857</v>
      </c>
      <c r="B72" s="193">
        <f t="shared" si="19"/>
        <v>48017.000177801368</v>
      </c>
      <c r="C72" s="193">
        <v>60808</v>
      </c>
      <c r="D72" s="135" t="s">
        <v>506</v>
      </c>
      <c r="E72" t="s">
        <v>266</v>
      </c>
      <c r="F72">
        <v>1.7000000000000001E-4</v>
      </c>
      <c r="G72" t="s">
        <v>371</v>
      </c>
      <c r="H72">
        <v>1.2700000000000001E-3</v>
      </c>
      <c r="I72">
        <v>3.0599999999999999E-2</v>
      </c>
      <c r="J72">
        <v>1.2700000000000001E-3</v>
      </c>
      <c r="K72" s="88">
        <v>1.2700000000000001E-3</v>
      </c>
      <c r="L72">
        <v>1.2700000000000001E-3</v>
      </c>
      <c r="M72">
        <v>0.36643999999999999</v>
      </c>
      <c r="N72">
        <v>0</v>
      </c>
      <c r="O72">
        <v>0</v>
      </c>
      <c r="P72" t="s">
        <v>455</v>
      </c>
      <c r="Q72" s="17">
        <f t="shared" si="18"/>
        <v>0</v>
      </c>
      <c r="R72" t="s">
        <v>537</v>
      </c>
      <c r="X72">
        <f t="shared" si="34"/>
        <v>-105.8686886978345</v>
      </c>
      <c r="Y72">
        <f t="shared" si="35"/>
        <v>-1429.9019343781049</v>
      </c>
      <c r="Z72" s="17">
        <f t="shared" si="36"/>
        <v>-33.766118650554972</v>
      </c>
      <c r="AA72" s="17">
        <f t="shared" si="37"/>
        <v>-30.688539113438754</v>
      </c>
      <c r="AB72">
        <f t="shared" si="38"/>
        <v>-19.324694725221093</v>
      </c>
      <c r="AC72">
        <f t="shared" si="39"/>
        <v>-317.98351850247906</v>
      </c>
      <c r="AD72">
        <f t="shared" si="40"/>
        <v>-468.81247458492533</v>
      </c>
      <c r="AK72" s="8">
        <f t="shared" si="41"/>
        <v>-12911.173978046376</v>
      </c>
      <c r="AL72" s="8">
        <f t="shared" si="42"/>
        <v>-2923.9946880064899</v>
      </c>
      <c r="AM72" s="8">
        <f t="shared" si="43"/>
        <v>-659.73943192590116</v>
      </c>
      <c r="AN72" s="8">
        <f t="shared" si="44"/>
        <v>-6500.6394479742185</v>
      </c>
      <c r="AO72" s="8">
        <f t="shared" si="45"/>
        <v>-5878.8657270558897</v>
      </c>
      <c r="AP72" s="8">
        <f t="shared" si="46"/>
        <v>-4400.8886313928779</v>
      </c>
      <c r="AQ72" s="8">
        <f t="shared" si="47"/>
        <v>-5209998.770332519</v>
      </c>
    </row>
    <row r="73" spans="1:43" x14ac:dyDescent="0.2">
      <c r="A73" s="75" t="s">
        <v>858</v>
      </c>
      <c r="B73" s="193">
        <f t="shared" si="19"/>
        <v>627.77126597408392</v>
      </c>
      <c r="C73" s="193">
        <v>795</v>
      </c>
      <c r="D73" s="135" t="s">
        <v>506</v>
      </c>
      <c r="E73" t="s">
        <v>267</v>
      </c>
      <c r="F73">
        <v>1.712E-2</v>
      </c>
      <c r="G73" t="s">
        <v>372</v>
      </c>
      <c r="H73">
        <v>1.2999999999999999E-4</v>
      </c>
      <c r="I73">
        <v>3.0599999999999998E-3</v>
      </c>
      <c r="J73">
        <v>1.2999999999999999E-4</v>
      </c>
      <c r="K73" s="88">
        <v>1.2999999999999999E-4</v>
      </c>
      <c r="L73">
        <v>1.2999999999999999E-4</v>
      </c>
      <c r="M73">
        <v>3.6999999999999999E-4</v>
      </c>
      <c r="N73">
        <v>0</v>
      </c>
      <c r="O73">
        <v>0</v>
      </c>
      <c r="P73" t="s">
        <v>456</v>
      </c>
      <c r="Q73" s="17">
        <f t="shared" si="18"/>
        <v>0</v>
      </c>
      <c r="R73" t="s">
        <v>537</v>
      </c>
      <c r="X73">
        <f t="shared" si="34"/>
        <v>0</v>
      </c>
      <c r="Y73">
        <f t="shared" si="35"/>
        <v>0</v>
      </c>
      <c r="Z73" s="17">
        <f t="shared" si="36"/>
        <v>0</v>
      </c>
      <c r="AA73" s="17">
        <f t="shared" si="37"/>
        <v>0</v>
      </c>
      <c r="AB73">
        <f t="shared" si="38"/>
        <v>0</v>
      </c>
      <c r="AC73">
        <f t="shared" si="39"/>
        <v>0</v>
      </c>
      <c r="AD73">
        <f t="shared" si="40"/>
        <v>0</v>
      </c>
      <c r="AK73" s="8">
        <f t="shared" si="41"/>
        <v>0</v>
      </c>
      <c r="AL73" s="8">
        <f t="shared" si="42"/>
        <v>0</v>
      </c>
      <c r="AM73" s="8">
        <f t="shared" si="43"/>
        <v>0</v>
      </c>
      <c r="AN73" s="8">
        <f t="shared" si="44"/>
        <v>0</v>
      </c>
      <c r="AO73" s="8">
        <f t="shared" si="45"/>
        <v>0</v>
      </c>
      <c r="AP73" s="8">
        <f t="shared" si="46"/>
        <v>0</v>
      </c>
      <c r="AQ73" s="8">
        <f t="shared" si="47"/>
        <v>0</v>
      </c>
    </row>
    <row r="74" spans="1:43" x14ac:dyDescent="0.2">
      <c r="A74" s="191" t="s">
        <v>859</v>
      </c>
      <c r="B74" s="193">
        <f t="shared" si="19"/>
        <v>0</v>
      </c>
      <c r="C74" s="192"/>
      <c r="D74" s="1"/>
      <c r="E74" t="s">
        <v>329</v>
      </c>
      <c r="F74">
        <v>1.712E-2</v>
      </c>
      <c r="G74" s="75" t="s">
        <v>373</v>
      </c>
      <c r="H74">
        <v>0.12681999999999999</v>
      </c>
      <c r="I74">
        <v>0.30602000000000001</v>
      </c>
      <c r="J74">
        <v>0.12681999999999999</v>
      </c>
      <c r="K74" s="88">
        <v>0.12681999999999999</v>
      </c>
      <c r="L74">
        <v>0.12681999999999999</v>
      </c>
      <c r="M74">
        <v>3.6600000000000001E-3</v>
      </c>
      <c r="N74">
        <f>PSI_OC!$A$7</f>
        <v>10</v>
      </c>
      <c r="O74">
        <v>-1</v>
      </c>
      <c r="P74" t="s">
        <v>457</v>
      </c>
      <c r="Q74" s="17">
        <f t="shared" si="18"/>
        <v>-1964425.4777153723</v>
      </c>
      <c r="R74" t="s">
        <v>537</v>
      </c>
      <c r="X74">
        <f t="shared" si="34"/>
        <v>0</v>
      </c>
      <c r="Y74">
        <f t="shared" si="35"/>
        <v>0</v>
      </c>
      <c r="Z74" s="17">
        <f t="shared" si="36"/>
        <v>0</v>
      </c>
      <c r="AA74" s="17">
        <f t="shared" si="37"/>
        <v>0</v>
      </c>
      <c r="AB74">
        <f t="shared" si="38"/>
        <v>0</v>
      </c>
      <c r="AC74">
        <f t="shared" si="39"/>
        <v>0</v>
      </c>
      <c r="AD74">
        <f t="shared" si="40"/>
        <v>0</v>
      </c>
      <c r="AK74" s="8">
        <f t="shared" si="41"/>
        <v>0</v>
      </c>
      <c r="AL74" s="8">
        <f t="shared" si="42"/>
        <v>0</v>
      </c>
      <c r="AM74" s="8">
        <f t="shared" si="43"/>
        <v>0</v>
      </c>
      <c r="AN74" s="8">
        <f t="shared" si="44"/>
        <v>0</v>
      </c>
      <c r="AO74" s="8">
        <f t="shared" si="45"/>
        <v>0</v>
      </c>
      <c r="AP74" s="8">
        <f t="shared" si="46"/>
        <v>0</v>
      </c>
      <c r="AQ74" s="8">
        <f t="shared" si="47"/>
        <v>0</v>
      </c>
    </row>
    <row r="75" spans="1:43" x14ac:dyDescent="0.2">
      <c r="A75" s="75" t="s">
        <v>860</v>
      </c>
      <c r="B75" s="193">
        <f t="shared" si="19"/>
        <v>19073.191394135876</v>
      </c>
      <c r="C75" s="193">
        <v>24154</v>
      </c>
      <c r="D75" s="1" t="s">
        <v>659</v>
      </c>
      <c r="E75" t="s">
        <v>314</v>
      </c>
      <c r="F75">
        <v>1.7099999999999999E-3</v>
      </c>
      <c r="G75" s="75" t="s">
        <v>374</v>
      </c>
      <c r="H75">
        <v>1.2700000000000001E-3</v>
      </c>
      <c r="I75">
        <v>3.0599999999999998E-3</v>
      </c>
      <c r="J75">
        <v>1.2700000000000001E-3</v>
      </c>
      <c r="K75" s="88">
        <v>1.2700000000000001E-3</v>
      </c>
      <c r="L75">
        <v>1.2700000000000001E-3</v>
      </c>
      <c r="M75">
        <v>3.6600000000000001E-3</v>
      </c>
      <c r="N75">
        <f>PSI_OC!$A$7</f>
        <v>10</v>
      </c>
      <c r="O75">
        <v>-1</v>
      </c>
      <c r="P75" t="s">
        <v>458</v>
      </c>
      <c r="Q75" s="17">
        <f t="shared" si="18"/>
        <v>-23723.285993587237</v>
      </c>
      <c r="R75" t="s">
        <v>537</v>
      </c>
      <c r="X75">
        <f t="shared" si="34"/>
        <v>-105.8686886978345</v>
      </c>
      <c r="Y75">
        <f t="shared" si="35"/>
        <v>-1429.9019343781049</v>
      </c>
      <c r="Z75" s="17">
        <f t="shared" si="36"/>
        <v>-33.766118650554972</v>
      </c>
      <c r="AA75" s="17">
        <f t="shared" si="37"/>
        <v>-30.688539113438754</v>
      </c>
      <c r="AB75">
        <f t="shared" si="38"/>
        <v>-19.324694725221093</v>
      </c>
      <c r="AC75">
        <f t="shared" si="39"/>
        <v>-317.98351850247906</v>
      </c>
      <c r="AD75">
        <f t="shared" si="40"/>
        <v>-468.81247458492533</v>
      </c>
      <c r="AK75" s="8">
        <f t="shared" si="41"/>
        <v>-12911.173978046376</v>
      </c>
      <c r="AL75" s="8">
        <f t="shared" si="42"/>
        <v>-2923.9946880064899</v>
      </c>
      <c r="AM75" s="8">
        <f t="shared" si="43"/>
        <v>-659.73943192590116</v>
      </c>
      <c r="AN75" s="8">
        <f t="shared" si="44"/>
        <v>-6500.6394479742185</v>
      </c>
      <c r="AO75" s="8">
        <f t="shared" si="45"/>
        <v>-5878.8657270558897</v>
      </c>
      <c r="AP75" s="8">
        <f t="shared" si="46"/>
        <v>-4400.8886313928779</v>
      </c>
      <c r="AQ75" s="8">
        <f t="shared" si="47"/>
        <v>-517763.85295229999</v>
      </c>
    </row>
    <row r="76" spans="1:43" x14ac:dyDescent="0.2">
      <c r="A76" s="75" t="s">
        <v>861</v>
      </c>
      <c r="B76" s="193">
        <f t="shared" si="19"/>
        <v>2083.8847432774937</v>
      </c>
      <c r="C76" s="193">
        <v>2639</v>
      </c>
      <c r="D76" s="136" t="s">
        <v>502</v>
      </c>
      <c r="E76" t="s">
        <v>268</v>
      </c>
      <c r="F76">
        <v>1.7099999999999999E-3</v>
      </c>
      <c r="G76" s="75" t="s">
        <v>374</v>
      </c>
      <c r="H76">
        <v>1.2700000000000001E-3</v>
      </c>
      <c r="I76">
        <v>3.0599999999999998E-3</v>
      </c>
      <c r="J76">
        <v>1.2700000000000001E-3</v>
      </c>
      <c r="K76" s="88">
        <v>1.2700000000000001E-3</v>
      </c>
      <c r="L76">
        <v>1.2700000000000001E-3</v>
      </c>
      <c r="M76">
        <v>3.6600000000000001E-3</v>
      </c>
      <c r="N76">
        <f>PSI_OC!$A$7</f>
        <v>10</v>
      </c>
      <c r="O76">
        <v>-1</v>
      </c>
      <c r="P76" t="s">
        <v>458</v>
      </c>
      <c r="Q76" s="17">
        <f t="shared" si="18"/>
        <v>-23723.285993587237</v>
      </c>
      <c r="R76" t="s">
        <v>537</v>
      </c>
      <c r="X76">
        <f t="shared" si="34"/>
        <v>0</v>
      </c>
      <c r="Y76">
        <f t="shared" si="35"/>
        <v>0</v>
      </c>
      <c r="Z76" s="17">
        <f t="shared" si="36"/>
        <v>0</v>
      </c>
      <c r="AA76" s="17">
        <f t="shared" si="37"/>
        <v>0</v>
      </c>
      <c r="AB76">
        <f t="shared" si="38"/>
        <v>0</v>
      </c>
      <c r="AC76">
        <f t="shared" si="39"/>
        <v>0</v>
      </c>
      <c r="AD76">
        <f t="shared" si="40"/>
        <v>0</v>
      </c>
      <c r="AK76" s="8">
        <f t="shared" si="41"/>
        <v>0</v>
      </c>
      <c r="AL76" s="8">
        <f t="shared" si="42"/>
        <v>0</v>
      </c>
      <c r="AM76" s="8">
        <f t="shared" si="43"/>
        <v>0</v>
      </c>
      <c r="AN76" s="8">
        <f t="shared" si="44"/>
        <v>0</v>
      </c>
      <c r="AO76" s="8">
        <f t="shared" si="45"/>
        <v>0</v>
      </c>
      <c r="AP76" s="8">
        <f t="shared" si="46"/>
        <v>0</v>
      </c>
      <c r="AQ76" s="8">
        <f t="shared" si="47"/>
        <v>0</v>
      </c>
    </row>
    <row r="77" spans="1:43" x14ac:dyDescent="0.2">
      <c r="A77" s="75" t="s">
        <v>862</v>
      </c>
      <c r="B77" s="193">
        <f t="shared" si="19"/>
        <v>14501.91106869692</v>
      </c>
      <c r="C77" s="193">
        <v>18365</v>
      </c>
      <c r="D77" s="135" t="s">
        <v>506</v>
      </c>
      <c r="E77" t="s">
        <v>269</v>
      </c>
      <c r="F77">
        <v>1.7000000000000001E-4</v>
      </c>
      <c r="G77" s="75" t="s">
        <v>374</v>
      </c>
      <c r="H77">
        <v>1.2700000000000001E-3</v>
      </c>
      <c r="I77">
        <v>3.0599999999999998E-3</v>
      </c>
      <c r="J77">
        <v>1.2700000000000001E-3</v>
      </c>
      <c r="K77" s="88">
        <v>1.2700000000000001E-3</v>
      </c>
      <c r="L77">
        <v>1.2700000000000001E-3</v>
      </c>
      <c r="M77">
        <v>3.6600000000000001E-3</v>
      </c>
      <c r="N77">
        <v>0</v>
      </c>
      <c r="O77">
        <v>0</v>
      </c>
      <c r="P77" t="s">
        <v>458</v>
      </c>
      <c r="Q77" s="17">
        <f>((SUM(B$23:B$31)*F77)+(SUM(B$33:B$37,B$41:B$42,B$45,B$47,B$50,B$52:B$55,B$58:B$63,B$65:B$67,B$69:B$73,B$77,B$79:B$81,B$84:B$85,B$87:B$95,B$97:B$103)*I77)+(SUM(B$39:B$40,B$76)*K77)+(SUM(B$43,B$46,B$49,B$51,B$56)*L77)+(SUM(B$44,B$78)*H77)+(SUM(B$75,B$83)*J77)+(SUM(B$105:B$107,B$109:B$117)*M77))*(N77*O77)</f>
        <v>0</v>
      </c>
      <c r="R77" t="s">
        <v>537</v>
      </c>
      <c r="X77">
        <f t="shared" si="34"/>
        <v>0</v>
      </c>
      <c r="Y77">
        <f t="shared" si="35"/>
        <v>0</v>
      </c>
      <c r="Z77" s="17">
        <f t="shared" si="36"/>
        <v>0</v>
      </c>
      <c r="AA77" s="17">
        <f t="shared" si="37"/>
        <v>0</v>
      </c>
      <c r="AB77">
        <f t="shared" si="38"/>
        <v>0</v>
      </c>
      <c r="AC77">
        <f t="shared" si="39"/>
        <v>0</v>
      </c>
      <c r="AD77">
        <f t="shared" si="40"/>
        <v>0</v>
      </c>
      <c r="AK77" s="8">
        <f t="shared" si="41"/>
        <v>0</v>
      </c>
      <c r="AL77" s="8">
        <f t="shared" si="42"/>
        <v>0</v>
      </c>
      <c r="AM77" s="8">
        <f t="shared" si="43"/>
        <v>0</v>
      </c>
      <c r="AN77" s="8">
        <f t="shared" si="44"/>
        <v>0</v>
      </c>
      <c r="AO77" s="8">
        <f t="shared" si="45"/>
        <v>0</v>
      </c>
      <c r="AP77" s="8">
        <f t="shared" si="46"/>
        <v>0</v>
      </c>
      <c r="AQ77" s="8">
        <f t="shared" si="47"/>
        <v>0</v>
      </c>
    </row>
    <row r="78" spans="1:43" x14ac:dyDescent="0.2">
      <c r="A78" s="75" t="s">
        <v>863</v>
      </c>
      <c r="B78" s="193">
        <f t="shared" si="19"/>
        <v>11284.879449101427</v>
      </c>
      <c r="C78" s="193">
        <v>14291</v>
      </c>
      <c r="D78" s="134" t="s">
        <v>509</v>
      </c>
      <c r="E78" t="s">
        <v>270</v>
      </c>
      <c r="F78">
        <v>0</v>
      </c>
      <c r="G78" s="75" t="s">
        <v>375</v>
      </c>
      <c r="H78">
        <v>1.2700000000000001E-3</v>
      </c>
      <c r="I78">
        <v>0</v>
      </c>
      <c r="J78">
        <v>1.2700000000000001E-3</v>
      </c>
      <c r="K78" s="88">
        <v>1.2700000000000001E-3</v>
      </c>
      <c r="L78">
        <v>1.2700000000000001E-3</v>
      </c>
      <c r="M78">
        <v>0.36643999999999999</v>
      </c>
      <c r="N78">
        <f>PSI_OC!$A$6</f>
        <v>100</v>
      </c>
      <c r="O78">
        <v>-1</v>
      </c>
      <c r="P78" t="s">
        <v>459</v>
      </c>
      <c r="Q78" s="17">
        <f t="shared" si="18"/>
        <v>-3203223.9848541436</v>
      </c>
      <c r="R78" t="s">
        <v>537</v>
      </c>
      <c r="X78">
        <f t="shared" si="34"/>
        <v>-1064.9144569017469</v>
      </c>
      <c r="Y78">
        <f t="shared" si="35"/>
        <v>-14114.515868377423</v>
      </c>
      <c r="Z78" s="17">
        <f t="shared" si="36"/>
        <v>-329.86900527849861</v>
      </c>
      <c r="AA78" s="17">
        <f t="shared" si="37"/>
        <v>-29937.850233586942</v>
      </c>
      <c r="AB78">
        <f t="shared" si="38"/>
        <v>-188.78740231562148</v>
      </c>
      <c r="AC78">
        <f t="shared" si="39"/>
        <v>-3145.4585884299281</v>
      </c>
      <c r="AD78">
        <f t="shared" si="40"/>
        <v>-4579.937251714271</v>
      </c>
      <c r="AK78" s="8">
        <f t="shared" si="41"/>
        <v>-126132.23809322232</v>
      </c>
      <c r="AL78" s="8">
        <f t="shared" si="42"/>
        <v>-29228.620789508965</v>
      </c>
      <c r="AM78" s="8">
        <f t="shared" si="43"/>
        <v>-6445.1467580453436</v>
      </c>
      <c r="AN78" s="8">
        <f t="shared" si="44"/>
        <v>-63506.24691482506</v>
      </c>
      <c r="AO78" s="8">
        <f t="shared" si="45"/>
        <v>-57431.995948930627</v>
      </c>
      <c r="AP78" s="8">
        <f t="shared" si="46"/>
        <v>-43991.839476131783</v>
      </c>
      <c r="AQ78" s="8">
        <f t="shared" si="47"/>
        <v>-5209998.770332519</v>
      </c>
    </row>
    <row r="79" spans="1:43" x14ac:dyDescent="0.2">
      <c r="A79" s="75" t="s">
        <v>864</v>
      </c>
      <c r="B79" s="193">
        <f t="shared" si="19"/>
        <v>2563.9915731042142</v>
      </c>
      <c r="C79" s="193">
        <v>3247</v>
      </c>
      <c r="D79" s="135" t="s">
        <v>506</v>
      </c>
      <c r="E79" t="s">
        <v>271</v>
      </c>
      <c r="F79">
        <v>0.17124</v>
      </c>
      <c r="G79" s="75" t="s">
        <v>376</v>
      </c>
      <c r="H79">
        <v>0.12681999999999999</v>
      </c>
      <c r="I79">
        <v>3.0602</v>
      </c>
      <c r="J79">
        <v>0.12681999999999999</v>
      </c>
      <c r="K79" s="88">
        <v>0.12681999999999999</v>
      </c>
      <c r="L79">
        <v>0.12681999999999999</v>
      </c>
      <c r="M79">
        <v>3.6644000000000001</v>
      </c>
      <c r="N79">
        <v>0</v>
      </c>
      <c r="O79">
        <v>0</v>
      </c>
      <c r="P79" t="s">
        <v>460</v>
      </c>
      <c r="Q79" s="17">
        <f t="shared" si="18"/>
        <v>0</v>
      </c>
      <c r="R79" t="s">
        <v>537</v>
      </c>
      <c r="X79">
        <f t="shared" si="34"/>
        <v>-105.8686886978345</v>
      </c>
      <c r="Y79">
        <f t="shared" si="35"/>
        <v>-14115438.385754442</v>
      </c>
      <c r="Z79" s="17">
        <f t="shared" si="36"/>
        <v>-33.766118650554972</v>
      </c>
      <c r="AA79" s="17">
        <f t="shared" si="37"/>
        <v>-30.688539113438754</v>
      </c>
      <c r="AB79">
        <f t="shared" si="38"/>
        <v>-19.324694725221093</v>
      </c>
      <c r="AC79">
        <f t="shared" si="39"/>
        <v>-317.98351850247906</v>
      </c>
      <c r="AD79">
        <f t="shared" si="40"/>
        <v>-468.81247458492533</v>
      </c>
      <c r="AK79" s="8">
        <f t="shared" si="41"/>
        <v>-12911.173978046376</v>
      </c>
      <c r="AL79" s="8">
        <f t="shared" si="42"/>
        <v>-2923.9946880064899</v>
      </c>
      <c r="AM79" s="8">
        <f t="shared" si="43"/>
        <v>-659.73943192590116</v>
      </c>
      <c r="AN79" s="8">
        <f t="shared" si="44"/>
        <v>-6500.6394479742185</v>
      </c>
      <c r="AO79" s="8">
        <f t="shared" si="45"/>
        <v>-5878.8657270558897</v>
      </c>
      <c r="AP79" s="8">
        <f t="shared" si="46"/>
        <v>-4400.8886313928779</v>
      </c>
      <c r="AQ79" s="8">
        <f t="shared" si="47"/>
        <v>-517763.85295229999</v>
      </c>
    </row>
    <row r="80" spans="1:43" x14ac:dyDescent="0.2">
      <c r="A80" s="75" t="s">
        <v>865</v>
      </c>
      <c r="B80" s="193">
        <f t="shared" si="19"/>
        <v>1630.6259927502933</v>
      </c>
      <c r="C80" s="193">
        <v>2065</v>
      </c>
      <c r="D80" s="135" t="s">
        <v>506</v>
      </c>
      <c r="E80" t="s">
        <v>272</v>
      </c>
      <c r="F80">
        <v>0</v>
      </c>
      <c r="G80" t="s">
        <v>377</v>
      </c>
      <c r="H80">
        <v>1.26824</v>
      </c>
      <c r="I80">
        <v>3.0599999999999998E-3</v>
      </c>
      <c r="J80">
        <v>1.26824</v>
      </c>
      <c r="K80" s="88">
        <v>1.26824</v>
      </c>
      <c r="L80">
        <v>1.26824</v>
      </c>
      <c r="M80">
        <v>3.6644000000000001</v>
      </c>
      <c r="N80">
        <v>0</v>
      </c>
      <c r="O80">
        <v>0</v>
      </c>
      <c r="P80" t="s">
        <v>461</v>
      </c>
      <c r="Q80" s="17">
        <f t="shared" si="18"/>
        <v>0</v>
      </c>
      <c r="R80" t="s">
        <v>537</v>
      </c>
      <c r="X80">
        <f t="shared" si="34"/>
        <v>-10661.599708864273</v>
      </c>
      <c r="Y80">
        <f t="shared" si="35"/>
        <v>-14114.515868377423</v>
      </c>
      <c r="Z80" s="17">
        <f t="shared" si="36"/>
        <v>-329.86900527849861</v>
      </c>
      <c r="AA80" s="17">
        <f t="shared" si="37"/>
        <v>-299.80342056974786</v>
      </c>
      <c r="AB80">
        <f t="shared" si="38"/>
        <v>-188.78740231562148</v>
      </c>
      <c r="AC80">
        <f t="shared" si="39"/>
        <v>-3145.4585884299281</v>
      </c>
      <c r="AD80">
        <f t="shared" si="40"/>
        <v>-4579.937251714271</v>
      </c>
      <c r="AK80" s="8">
        <f t="shared" si="41"/>
        <v>-126132.23809322232</v>
      </c>
      <c r="AL80" s="8">
        <f t="shared" si="42"/>
        <v>-29228.620789508965</v>
      </c>
      <c r="AM80" s="8">
        <f t="shared" si="43"/>
        <v>-6445.1467580453436</v>
      </c>
      <c r="AN80" s="8">
        <f t="shared" si="44"/>
        <v>-63506.24691482506</v>
      </c>
      <c r="AO80" s="8">
        <f t="shared" si="45"/>
        <v>-57431.995948930627</v>
      </c>
      <c r="AP80" s="8">
        <f t="shared" si="46"/>
        <v>-43991.839476131783</v>
      </c>
      <c r="AQ80" s="8">
        <f t="shared" si="47"/>
        <v>-52132347.944134697</v>
      </c>
    </row>
    <row r="81" spans="1:43" x14ac:dyDescent="0.2">
      <c r="A81" s="75" t="s">
        <v>866</v>
      </c>
      <c r="B81" s="193">
        <f t="shared" si="19"/>
        <v>1569.822989630791</v>
      </c>
      <c r="C81" s="193">
        <v>1988</v>
      </c>
      <c r="D81" s="135" t="s">
        <v>506</v>
      </c>
      <c r="E81" t="s">
        <v>273</v>
      </c>
      <c r="F81">
        <v>1.7000000000000001E-4</v>
      </c>
      <c r="G81" t="s">
        <v>378</v>
      </c>
      <c r="H81">
        <v>1.2999999999999999E-4</v>
      </c>
      <c r="I81">
        <v>3.0602</v>
      </c>
      <c r="J81">
        <v>1.2999999999999999E-4</v>
      </c>
      <c r="K81" s="88">
        <v>1.2999999999999999E-4</v>
      </c>
      <c r="L81">
        <v>1.2999999999999999E-4</v>
      </c>
      <c r="M81">
        <v>3.6999999999999999E-4</v>
      </c>
      <c r="N81">
        <f>PSI_OC!$A$7</f>
        <v>10</v>
      </c>
      <c r="O81">
        <v>-1</v>
      </c>
      <c r="P81" t="s">
        <v>462</v>
      </c>
      <c r="Q81" s="17">
        <f t="shared" si="18"/>
        <v>-14116414.829788718</v>
      </c>
      <c r="R81" t="s">
        <v>537</v>
      </c>
      <c r="X81">
        <f t="shared" si="34"/>
        <v>-10649.144569017468</v>
      </c>
      <c r="Y81">
        <f t="shared" si="35"/>
        <v>-141145.15868377424</v>
      </c>
      <c r="Z81" s="17">
        <f t="shared" si="36"/>
        <v>-32934.952653002852</v>
      </c>
      <c r="AA81" s="17">
        <f t="shared" si="37"/>
        <v>-29933.128919877185</v>
      </c>
      <c r="AB81">
        <f t="shared" si="38"/>
        <v>-18849.009931984881</v>
      </c>
      <c r="AC81">
        <f t="shared" si="39"/>
        <v>-31492400.140553627</v>
      </c>
      <c r="AD81">
        <f t="shared" si="40"/>
        <v>-457272.47521052725</v>
      </c>
      <c r="AK81" s="8">
        <f t="shared" si="41"/>
        <v>-12593360.464740621</v>
      </c>
      <c r="AL81" s="8">
        <f t="shared" si="42"/>
        <v>-2922862.0789508964</v>
      </c>
      <c r="AM81" s="8">
        <f t="shared" si="43"/>
        <v>-643499.69206310983</v>
      </c>
      <c r="AN81" s="8">
        <f t="shared" si="44"/>
        <v>-6340623.7077163914</v>
      </c>
      <c r="AO81" s="8">
        <f t="shared" si="45"/>
        <v>-5734155.1860822067</v>
      </c>
      <c r="AP81" s="8">
        <f t="shared" si="46"/>
        <v>-4399183.9476131778</v>
      </c>
      <c r="AQ81" s="8">
        <f t="shared" si="47"/>
        <v>-521323479.441347</v>
      </c>
    </row>
    <row r="82" spans="1:43" x14ac:dyDescent="0.2">
      <c r="A82" s="191" t="s">
        <v>867</v>
      </c>
      <c r="B82" s="193">
        <f t="shared" si="19"/>
        <v>0</v>
      </c>
      <c r="C82" s="192"/>
      <c r="D82" s="1"/>
      <c r="E82" t="s">
        <v>274</v>
      </c>
      <c r="F82">
        <v>1.7000000000000001E-4</v>
      </c>
      <c r="G82" t="s">
        <v>379</v>
      </c>
      <c r="H82">
        <v>1.2999999999999999E-4</v>
      </c>
      <c r="I82">
        <v>3.1E-4</v>
      </c>
      <c r="J82">
        <v>1.2999999999999999E-4</v>
      </c>
      <c r="K82" s="88">
        <v>1.2999999999999999E-4</v>
      </c>
      <c r="L82">
        <v>1.2999999999999999E-4</v>
      </c>
      <c r="M82">
        <v>3.6999999999999999E-4</v>
      </c>
      <c r="N82">
        <v>0</v>
      </c>
      <c r="O82">
        <v>0</v>
      </c>
      <c r="P82" t="s">
        <v>463</v>
      </c>
      <c r="Q82" s="17">
        <f t="shared" si="18"/>
        <v>0</v>
      </c>
      <c r="R82" t="s">
        <v>537</v>
      </c>
      <c r="X82">
        <f t="shared" si="34"/>
        <v>-10649.144569017468</v>
      </c>
      <c r="Y82">
        <f t="shared" si="35"/>
        <v>-141145.15868377424</v>
      </c>
      <c r="Z82" s="17">
        <f t="shared" si="36"/>
        <v>-3298.6900527849862</v>
      </c>
      <c r="AA82" s="17">
        <f t="shared" si="37"/>
        <v>-2998.0342056974782</v>
      </c>
      <c r="AB82">
        <f t="shared" si="38"/>
        <v>-1887.8740231562147</v>
      </c>
      <c r="AC82">
        <f t="shared" si="39"/>
        <v>-314889.62480894139</v>
      </c>
      <c r="AD82">
        <f t="shared" si="40"/>
        <v>-45799.372517142714</v>
      </c>
      <c r="AK82" s="8">
        <f t="shared" si="41"/>
        <v>-1261322.3809322231</v>
      </c>
      <c r="AL82" s="8">
        <f t="shared" si="42"/>
        <v>-292286.20789508964</v>
      </c>
      <c r="AM82" s="8">
        <f t="shared" si="43"/>
        <v>-64451.467580453434</v>
      </c>
      <c r="AN82" s="8">
        <f t="shared" si="44"/>
        <v>-635062.46914825065</v>
      </c>
      <c r="AO82" s="8">
        <f t="shared" si="45"/>
        <v>-574319.9594893062</v>
      </c>
      <c r="AP82" s="8">
        <f t="shared" si="46"/>
        <v>-439918.39476131782</v>
      </c>
      <c r="AQ82" s="8">
        <f t="shared" si="47"/>
        <v>-52140114401.928993</v>
      </c>
    </row>
    <row r="83" spans="1:43" x14ac:dyDescent="0.2">
      <c r="A83" s="75" t="s">
        <v>868</v>
      </c>
      <c r="B83" s="193">
        <f t="shared" si="19"/>
        <v>4533.3771546631642</v>
      </c>
      <c r="C83" s="193">
        <v>5741</v>
      </c>
      <c r="D83" s="1" t="s">
        <v>659</v>
      </c>
      <c r="E83" t="s">
        <v>275</v>
      </c>
      <c r="F83">
        <v>1.7099999999999999E-3</v>
      </c>
      <c r="G83" t="s">
        <v>377</v>
      </c>
      <c r="H83">
        <v>1.26824</v>
      </c>
      <c r="I83">
        <v>3.0599999999999998E-3</v>
      </c>
      <c r="J83">
        <v>1.26824</v>
      </c>
      <c r="K83" s="88">
        <v>1.26824</v>
      </c>
      <c r="L83">
        <v>1.26824</v>
      </c>
      <c r="M83">
        <v>3.6644000000000001</v>
      </c>
      <c r="N83">
        <f>PSI_OC!$A$6</f>
        <v>100</v>
      </c>
      <c r="O83">
        <v>-1</v>
      </c>
      <c r="P83" t="s">
        <v>461</v>
      </c>
      <c r="Q83" s="17">
        <f t="shared" si="18"/>
        <v>-85553352.81061469</v>
      </c>
      <c r="R83" t="s">
        <v>537</v>
      </c>
      <c r="X83">
        <f t="shared" si="34"/>
        <v>-10649.144569017468</v>
      </c>
      <c r="Y83">
        <f t="shared" si="35"/>
        <v>-141145.15868377424</v>
      </c>
      <c r="Z83" s="17">
        <f t="shared" si="36"/>
        <v>-3298.6900527849862</v>
      </c>
      <c r="AA83" s="17">
        <f t="shared" si="37"/>
        <v>-2998.0342056974782</v>
      </c>
      <c r="AB83">
        <f t="shared" si="38"/>
        <v>-1887.8740231562147</v>
      </c>
      <c r="AC83">
        <f t="shared" si="39"/>
        <v>-31454.585884299278</v>
      </c>
      <c r="AD83">
        <f t="shared" si="40"/>
        <v>-45799.372517142714</v>
      </c>
      <c r="AK83" s="8">
        <f t="shared" si="41"/>
        <v>-1261322.3809322231</v>
      </c>
      <c r="AL83" s="8">
        <f t="shared" si="42"/>
        <v>-292286.20789508964</v>
      </c>
      <c r="AM83" s="8">
        <f t="shared" si="43"/>
        <v>-64451.467580453434</v>
      </c>
      <c r="AN83" s="8">
        <f t="shared" si="44"/>
        <v>-635062.46914825065</v>
      </c>
      <c r="AO83" s="8">
        <f t="shared" si="45"/>
        <v>-574319.9594893062</v>
      </c>
      <c r="AP83" s="8">
        <f t="shared" si="46"/>
        <v>-439918.39476131782</v>
      </c>
      <c r="AQ83" s="8">
        <f t="shared" si="47"/>
        <v>-52099987.70332519</v>
      </c>
    </row>
    <row r="84" spans="1:43" x14ac:dyDescent="0.2">
      <c r="A84" s="75" t="s">
        <v>869</v>
      </c>
      <c r="B84" s="193">
        <f t="shared" si="19"/>
        <v>7565.6308167266643</v>
      </c>
      <c r="C84" s="193">
        <v>9581</v>
      </c>
      <c r="D84" s="135" t="s">
        <v>506</v>
      </c>
      <c r="E84" t="s">
        <v>276</v>
      </c>
      <c r="F84">
        <v>1.7099999999999999E-3</v>
      </c>
      <c r="G84" t="s">
        <v>377</v>
      </c>
      <c r="H84">
        <v>1.26824</v>
      </c>
      <c r="I84">
        <v>3.0599999999999998E-3</v>
      </c>
      <c r="J84">
        <v>1.26824</v>
      </c>
      <c r="K84" s="88">
        <v>1.26824</v>
      </c>
      <c r="L84">
        <v>1.26824</v>
      </c>
      <c r="M84">
        <v>3.6600000000000001E-3</v>
      </c>
      <c r="N84">
        <f>PSI_OC!$A$6</f>
        <v>100</v>
      </c>
      <c r="O84">
        <v>-1</v>
      </c>
      <c r="P84" t="s">
        <v>461</v>
      </c>
      <c r="Q84" s="17">
        <f t="shared" si="18"/>
        <v>-54092407.25594537</v>
      </c>
      <c r="R84" t="s">
        <v>537</v>
      </c>
      <c r="X84">
        <f t="shared" si="34"/>
        <v>-1064.9144569017469</v>
      </c>
      <c r="Y84">
        <f t="shared" si="35"/>
        <v>-14114.515868377423</v>
      </c>
      <c r="Z84" s="17">
        <f t="shared" si="36"/>
        <v>-329.86900527849861</v>
      </c>
      <c r="AA84" s="17">
        <f t="shared" si="37"/>
        <v>-299.80342056974786</v>
      </c>
      <c r="AB84">
        <f t="shared" si="38"/>
        <v>-188.78740231562148</v>
      </c>
      <c r="AC84">
        <f t="shared" si="39"/>
        <v>-3145.4585884299281</v>
      </c>
      <c r="AD84">
        <f t="shared" si="40"/>
        <v>-4579.937251714271</v>
      </c>
      <c r="AK84" s="8">
        <f t="shared" si="41"/>
        <v>-126132.23809322232</v>
      </c>
      <c r="AL84" s="8">
        <f t="shared" si="42"/>
        <v>-29228.620789508965</v>
      </c>
      <c r="AM84" s="8">
        <f t="shared" si="43"/>
        <v>-659.73943192590116</v>
      </c>
      <c r="AN84" s="8">
        <f t="shared" si="44"/>
        <v>-63506.24691482506</v>
      </c>
      <c r="AO84" s="8">
        <f t="shared" si="45"/>
        <v>-57431.995948930627</v>
      </c>
      <c r="AP84" s="8">
        <f t="shared" si="46"/>
        <v>-43991.839476131783</v>
      </c>
      <c r="AQ84" s="8">
        <f t="shared" si="47"/>
        <v>-5214011440.1928988</v>
      </c>
    </row>
    <row r="85" spans="1:43" x14ac:dyDescent="0.2">
      <c r="A85" s="75" t="s">
        <v>870</v>
      </c>
      <c r="B85" s="193">
        <f t="shared" si="19"/>
        <v>1808.2971057618265</v>
      </c>
      <c r="C85" s="193">
        <v>2290</v>
      </c>
      <c r="D85" s="135" t="s">
        <v>506</v>
      </c>
      <c r="E85" t="s">
        <v>277</v>
      </c>
      <c r="F85">
        <v>1.7000000000000001E-4</v>
      </c>
      <c r="G85" t="s">
        <v>380</v>
      </c>
      <c r="H85">
        <v>1.2700000000000001E-3</v>
      </c>
      <c r="I85">
        <v>3.1E-4</v>
      </c>
      <c r="J85">
        <v>1.2700000000000001E-3</v>
      </c>
      <c r="K85" s="88">
        <v>1.2700000000000001E-3</v>
      </c>
      <c r="L85">
        <v>1.2700000000000001E-3</v>
      </c>
      <c r="M85">
        <v>3.6999999999999999E-4</v>
      </c>
      <c r="N85">
        <f>PSI_OC!$A$6</f>
        <v>100</v>
      </c>
      <c r="O85">
        <v>-1</v>
      </c>
      <c r="P85" t="s">
        <v>464</v>
      </c>
      <c r="Q85" s="17">
        <f t="shared" si="18"/>
        <v>-72521.512214565562</v>
      </c>
      <c r="R85" t="s">
        <v>537</v>
      </c>
      <c r="X85">
        <f t="shared" si="34"/>
        <v>0</v>
      </c>
      <c r="Y85">
        <f t="shared" si="35"/>
        <v>0</v>
      </c>
      <c r="Z85" s="17">
        <f t="shared" si="36"/>
        <v>0</v>
      </c>
      <c r="AA85" s="17">
        <f t="shared" si="37"/>
        <v>0</v>
      </c>
      <c r="AB85">
        <f t="shared" si="38"/>
        <v>0</v>
      </c>
      <c r="AC85">
        <f t="shared" si="39"/>
        <v>0</v>
      </c>
      <c r="AD85">
        <f t="shared" si="40"/>
        <v>0</v>
      </c>
      <c r="AK85" s="8">
        <f t="shared" si="41"/>
        <v>0</v>
      </c>
      <c r="AL85" s="8">
        <f t="shared" si="42"/>
        <v>0</v>
      </c>
      <c r="AM85" s="8">
        <f t="shared" si="43"/>
        <v>0</v>
      </c>
      <c r="AN85" s="8">
        <f t="shared" si="44"/>
        <v>0</v>
      </c>
      <c r="AO85" s="8">
        <f t="shared" si="45"/>
        <v>0</v>
      </c>
      <c r="AP85" s="8">
        <f t="shared" si="46"/>
        <v>0</v>
      </c>
      <c r="AQ85" s="8">
        <f t="shared" si="47"/>
        <v>0</v>
      </c>
    </row>
    <row r="86" spans="1:43" x14ac:dyDescent="0.2">
      <c r="A86" s="191" t="s">
        <v>871</v>
      </c>
      <c r="B86" s="193">
        <f t="shared" si="19"/>
        <v>0</v>
      </c>
      <c r="C86" s="192"/>
      <c r="D86" s="1"/>
      <c r="E86" t="s">
        <v>278</v>
      </c>
      <c r="F86">
        <v>1.71244</v>
      </c>
      <c r="G86" t="s">
        <v>381</v>
      </c>
      <c r="H86">
        <v>1.26824</v>
      </c>
      <c r="I86">
        <v>3.0602</v>
      </c>
      <c r="J86">
        <v>1.26824</v>
      </c>
      <c r="K86" s="88">
        <v>1.26824</v>
      </c>
      <c r="L86">
        <v>1.26824</v>
      </c>
      <c r="M86">
        <v>3.6644000000000001</v>
      </c>
      <c r="N86">
        <f>PSI_OC!$A$6</f>
        <v>100</v>
      </c>
      <c r="O86">
        <v>-1</v>
      </c>
      <c r="P86" t="s">
        <v>465</v>
      </c>
      <c r="Q86" s="17">
        <f t="shared" si="18"/>
        <v>-237220282.20453686</v>
      </c>
      <c r="R86" t="s">
        <v>537</v>
      </c>
      <c r="X86">
        <f t="shared" si="34"/>
        <v>-1064.9144569017469</v>
      </c>
      <c r="Y86">
        <f t="shared" si="35"/>
        <v>-14114.515868377423</v>
      </c>
      <c r="Z86" s="17">
        <f t="shared" si="36"/>
        <v>-329.86900527849861</v>
      </c>
      <c r="AA86" s="17">
        <f t="shared" si="37"/>
        <v>-299.80342056974786</v>
      </c>
      <c r="AB86">
        <f t="shared" si="38"/>
        <v>-188.78740231562148</v>
      </c>
      <c r="AC86">
        <f t="shared" si="39"/>
        <v>-3145.4585884299281</v>
      </c>
      <c r="AD86">
        <f t="shared" si="40"/>
        <v>-4579.937251714271</v>
      </c>
      <c r="AK86" s="8">
        <f t="shared" si="41"/>
        <v>-1259336.0464740619</v>
      </c>
      <c r="AL86" s="8">
        <f t="shared" si="42"/>
        <v>-292286.20789508964</v>
      </c>
      <c r="AM86" s="8">
        <f t="shared" si="43"/>
        <v>-6445.1467580453436</v>
      </c>
      <c r="AN86" s="8">
        <f t="shared" si="44"/>
        <v>-6341623.8060930017</v>
      </c>
      <c r="AO86" s="8">
        <f t="shared" si="45"/>
        <v>-57431.995948930627</v>
      </c>
      <c r="AP86" s="8">
        <f t="shared" si="46"/>
        <v>-4401016.9409246827</v>
      </c>
      <c r="AQ86" s="8">
        <f t="shared" si="47"/>
        <v>-5209998.770332519</v>
      </c>
    </row>
    <row r="87" spans="1:43" x14ac:dyDescent="0.2">
      <c r="A87" s="75" t="s">
        <v>872</v>
      </c>
      <c r="B87" s="193">
        <f t="shared" si="19"/>
        <v>4689.727734113314</v>
      </c>
      <c r="C87" s="193">
        <v>5939</v>
      </c>
      <c r="D87" s="135" t="s">
        <v>506</v>
      </c>
      <c r="E87" t="s">
        <v>330</v>
      </c>
      <c r="F87">
        <v>1.7000000000000001E-4</v>
      </c>
      <c r="G87" t="s">
        <v>382</v>
      </c>
      <c r="H87">
        <v>1.2999999999999999E-4</v>
      </c>
      <c r="I87">
        <v>3.1E-4</v>
      </c>
      <c r="J87">
        <v>1.2999999999999999E-4</v>
      </c>
      <c r="K87" s="88">
        <v>1.2999999999999999E-4</v>
      </c>
      <c r="L87">
        <v>1.2999999999999999E-4</v>
      </c>
      <c r="M87">
        <v>3.6999999999999999E-4</v>
      </c>
      <c r="N87">
        <f>PSI_OC!$A$7</f>
        <v>10</v>
      </c>
      <c r="O87">
        <v>-1</v>
      </c>
      <c r="P87" t="s">
        <v>466</v>
      </c>
      <c r="Q87" s="17">
        <f t="shared" ref="Q87:Q99" si="48">((SUM(B$23:B$31)*F87)+(SUM(B$33:B$37,B$41:B$42,B$45,B$47,B$50,B$52:B$55,B$58:B$63,B$65:B$67,B$69:B$73,B$77,B$79:B$81,B$84:B$85,B$87:B$95,B$97:B$103)*I87)+(SUM(B$39:B$40,B$76)*K87)+(SUM(B$43,B$46,B$49,B$51,B$56)*L87)+(SUM(B$44,B$78)*H87)+(SUM(B$75,B$83)*J87)+(SUM(B$105:B$107,B$109:B$117)*M87))*(N87*O87)</f>
        <v>-2406.3459686525589</v>
      </c>
      <c r="R87" t="s">
        <v>537</v>
      </c>
      <c r="X87">
        <f t="shared" si="34"/>
        <v>-1064.9144569017469</v>
      </c>
      <c r="Y87">
        <f t="shared" si="35"/>
        <v>-1411543.8385754442</v>
      </c>
      <c r="Z87" s="17">
        <f t="shared" si="36"/>
        <v>-329.86900527849861</v>
      </c>
      <c r="AA87" s="17">
        <f t="shared" si="37"/>
        <v>-299.80342056974786</v>
      </c>
      <c r="AB87">
        <f t="shared" si="38"/>
        <v>-188.78740231562148</v>
      </c>
      <c r="AC87">
        <f t="shared" si="39"/>
        <v>-317.98351850247906</v>
      </c>
      <c r="AD87">
        <f t="shared" si="40"/>
        <v>-4579.937251714271</v>
      </c>
      <c r="AK87" s="8">
        <f t="shared" si="41"/>
        <v>-126132.23809322232</v>
      </c>
      <c r="AL87" s="8">
        <f t="shared" si="42"/>
        <v>-29228.620789508965</v>
      </c>
      <c r="AM87" s="8">
        <f t="shared" si="43"/>
        <v>-6445.1467580453436</v>
      </c>
      <c r="AN87" s="8">
        <f t="shared" si="44"/>
        <v>-63506.24691482506</v>
      </c>
      <c r="AO87" s="8">
        <f t="shared" si="45"/>
        <v>-57431.995948930627</v>
      </c>
      <c r="AP87" s="8">
        <f t="shared" si="46"/>
        <v>-43991.839476131783</v>
      </c>
      <c r="AQ87" s="8">
        <f t="shared" si="47"/>
        <v>-52132347.944134697</v>
      </c>
    </row>
    <row r="88" spans="1:43" x14ac:dyDescent="0.2">
      <c r="A88" s="75" t="s">
        <v>873</v>
      </c>
      <c r="B88" s="193">
        <f t="shared" ref="B88:B90" si="49">C88*$B$11*($B$9/$B$10)</f>
        <v>5422.5223691119927</v>
      </c>
      <c r="C88" s="193">
        <v>6867</v>
      </c>
      <c r="D88" s="135" t="s">
        <v>506</v>
      </c>
      <c r="E88" t="s">
        <v>279</v>
      </c>
      <c r="F88">
        <v>1.7000000000000001E-4</v>
      </c>
      <c r="G88" t="s">
        <v>382</v>
      </c>
      <c r="H88">
        <v>1.2999999999999999E-4</v>
      </c>
      <c r="I88">
        <v>3.1E-4</v>
      </c>
      <c r="J88">
        <v>1.2999999999999999E-4</v>
      </c>
      <c r="K88" s="88">
        <v>1.2999999999999999E-4</v>
      </c>
      <c r="L88">
        <v>1.2999999999999999E-4</v>
      </c>
      <c r="M88">
        <v>3.6999999999999999E-4</v>
      </c>
      <c r="N88">
        <f>PSI_OC!$A$7</f>
        <v>10</v>
      </c>
      <c r="O88">
        <v>-1</v>
      </c>
      <c r="P88" t="s">
        <v>466</v>
      </c>
      <c r="Q88" s="17">
        <f t="shared" si="48"/>
        <v>-2406.3459686525589</v>
      </c>
      <c r="R88" t="s">
        <v>537</v>
      </c>
      <c r="X88">
        <f t="shared" si="34"/>
        <v>-105.8686886978345</v>
      </c>
      <c r="Y88">
        <f t="shared" si="35"/>
        <v>-1429.9019343781049</v>
      </c>
      <c r="Z88" s="17">
        <f t="shared" si="36"/>
        <v>-33.766118650554972</v>
      </c>
      <c r="AA88" s="17">
        <f t="shared" si="37"/>
        <v>-30.688539113438754</v>
      </c>
      <c r="AB88">
        <f t="shared" si="38"/>
        <v>-19.324694725221093</v>
      </c>
      <c r="AC88">
        <f t="shared" si="39"/>
        <v>-317.98351850247906</v>
      </c>
      <c r="AD88">
        <f t="shared" si="40"/>
        <v>-468.81247458492533</v>
      </c>
      <c r="AK88" s="8">
        <f t="shared" si="41"/>
        <v>-12911.173978046376</v>
      </c>
      <c r="AL88" s="8">
        <f t="shared" si="42"/>
        <v>-2923.9946880064899</v>
      </c>
      <c r="AM88" s="8">
        <f t="shared" si="43"/>
        <v>-659.73943192590116</v>
      </c>
      <c r="AN88" s="8">
        <f t="shared" si="44"/>
        <v>-6500.6394479742185</v>
      </c>
      <c r="AO88" s="8">
        <f t="shared" si="45"/>
        <v>-5878.8657270558897</v>
      </c>
      <c r="AP88" s="8">
        <f t="shared" si="46"/>
        <v>-4400.8886313928779</v>
      </c>
      <c r="AQ88" s="8">
        <f t="shared" si="47"/>
        <v>-517763.85295229999</v>
      </c>
    </row>
    <row r="89" spans="1:43" x14ac:dyDescent="0.2">
      <c r="A89" s="75" t="s">
        <v>874</v>
      </c>
      <c r="B89" s="193">
        <f t="shared" si="49"/>
        <v>9097.5506355816615</v>
      </c>
      <c r="C89" s="193">
        <v>11521</v>
      </c>
      <c r="D89" s="135" t="s">
        <v>506</v>
      </c>
      <c r="E89" t="s">
        <v>280</v>
      </c>
      <c r="F89">
        <v>1.7000000000000001E-4</v>
      </c>
      <c r="G89" t="s">
        <v>382</v>
      </c>
      <c r="H89">
        <v>1.2999999999999999E-4</v>
      </c>
      <c r="I89">
        <v>3.0599999999999998E-3</v>
      </c>
      <c r="J89">
        <v>1.2999999999999999E-4</v>
      </c>
      <c r="K89" s="88">
        <v>1.2999999999999999E-4</v>
      </c>
      <c r="L89">
        <v>1.2999999999999999E-4</v>
      </c>
      <c r="M89">
        <v>3.6999999999999999E-4</v>
      </c>
      <c r="N89">
        <v>0</v>
      </c>
      <c r="O89">
        <v>0</v>
      </c>
      <c r="P89" t="s">
        <v>466</v>
      </c>
      <c r="Q89" s="17">
        <f t="shared" si="48"/>
        <v>0</v>
      </c>
      <c r="R89" t="s">
        <v>537</v>
      </c>
      <c r="X89">
        <f t="shared" si="34"/>
        <v>-10.58686886978345</v>
      </c>
      <c r="Y89">
        <f t="shared" si="35"/>
        <v>-142.99019343781049</v>
      </c>
      <c r="Z89" s="17">
        <f t="shared" si="36"/>
        <v>-3.376611865055497</v>
      </c>
      <c r="AA89" s="17">
        <f t="shared" si="37"/>
        <v>-3.0688539113438753</v>
      </c>
      <c r="AB89">
        <f t="shared" si="38"/>
        <v>-1.9324694725221092</v>
      </c>
      <c r="AC89">
        <f t="shared" si="39"/>
        <v>-31.798351850247904</v>
      </c>
      <c r="AD89">
        <f t="shared" si="40"/>
        <v>-46.881247458492531</v>
      </c>
      <c r="AK89" s="8">
        <f t="shared" si="41"/>
        <v>-1291.1173978046377</v>
      </c>
      <c r="AL89" s="8">
        <f t="shared" si="42"/>
        <v>-292.399468800649</v>
      </c>
      <c r="AM89" s="8">
        <f t="shared" si="43"/>
        <v>-65.973943192590113</v>
      </c>
      <c r="AN89" s="8">
        <f t="shared" si="44"/>
        <v>-650.06394479742187</v>
      </c>
      <c r="AO89" s="8">
        <f t="shared" si="45"/>
        <v>-587.88657270558895</v>
      </c>
      <c r="AP89" s="8">
        <f t="shared" si="46"/>
        <v>-440.08886313928781</v>
      </c>
      <c r="AQ89" s="8">
        <f t="shared" si="47"/>
        <v>-5213234.7944134697</v>
      </c>
    </row>
    <row r="90" spans="1:43" x14ac:dyDescent="0.2">
      <c r="A90" s="75" t="s">
        <v>875</v>
      </c>
      <c r="B90" s="193">
        <f t="shared" si="49"/>
        <v>3911.9230838183789</v>
      </c>
      <c r="C90" s="193">
        <v>4954</v>
      </c>
      <c r="D90" s="135" t="s">
        <v>506</v>
      </c>
      <c r="E90" t="s">
        <v>331</v>
      </c>
      <c r="F90">
        <v>1.7099999999999999E-3</v>
      </c>
      <c r="G90" t="s">
        <v>383</v>
      </c>
      <c r="H90">
        <v>1.2700000000000001E-3</v>
      </c>
      <c r="I90">
        <v>3.0599999999999998E-3</v>
      </c>
      <c r="J90">
        <v>1.2700000000000001E-3</v>
      </c>
      <c r="K90" s="88">
        <v>1.2700000000000001E-3</v>
      </c>
      <c r="L90">
        <v>1.2700000000000001E-3</v>
      </c>
      <c r="M90">
        <v>3.6999999999999999E-4</v>
      </c>
      <c r="N90">
        <v>0</v>
      </c>
      <c r="O90">
        <v>0</v>
      </c>
      <c r="P90" t="s">
        <v>467</v>
      </c>
      <c r="Q90" s="17">
        <f t="shared" si="48"/>
        <v>0</v>
      </c>
      <c r="R90" t="s">
        <v>537</v>
      </c>
      <c r="X90">
        <f t="shared" si="34"/>
        <v>-10649.144569017468</v>
      </c>
      <c r="Y90">
        <f t="shared" si="35"/>
        <v>-141145.15868377424</v>
      </c>
      <c r="Z90" s="17">
        <f t="shared" si="36"/>
        <v>-32934.952653002852</v>
      </c>
      <c r="AA90" s="17">
        <f t="shared" si="37"/>
        <v>-29933.128919877185</v>
      </c>
      <c r="AB90">
        <f t="shared" si="38"/>
        <v>-18849.009931984881</v>
      </c>
      <c r="AC90">
        <f t="shared" si="39"/>
        <v>-31492400.140553627</v>
      </c>
      <c r="AD90">
        <f t="shared" si="40"/>
        <v>-457272.47521052725</v>
      </c>
      <c r="AK90" s="8">
        <f t="shared" si="41"/>
        <v>-12593360.464740621</v>
      </c>
      <c r="AL90" s="8">
        <f t="shared" si="42"/>
        <v>-292399874.75371552</v>
      </c>
      <c r="AM90" s="8">
        <f t="shared" si="43"/>
        <v>-643499.69206310983</v>
      </c>
      <c r="AN90" s="8">
        <f t="shared" si="44"/>
        <v>-6340623.7077163914</v>
      </c>
      <c r="AO90" s="8">
        <f t="shared" si="45"/>
        <v>-5734155.1860822067</v>
      </c>
      <c r="AP90" s="8">
        <f t="shared" si="46"/>
        <v>-440089474.13705832</v>
      </c>
      <c r="AQ90" s="8">
        <f t="shared" si="47"/>
        <v>-5214043800.4337082</v>
      </c>
    </row>
    <row r="91" spans="1:43" x14ac:dyDescent="0.2">
      <c r="A91" s="75" t="s">
        <v>876</v>
      </c>
      <c r="B91" s="193">
        <f>C91*$B$11*($B$9/$B$10)</f>
        <v>7440.0765635318476</v>
      </c>
      <c r="C91" s="193">
        <v>9422</v>
      </c>
      <c r="D91" s="135" t="s">
        <v>506</v>
      </c>
      <c r="E91" t="s">
        <v>281</v>
      </c>
      <c r="F91">
        <v>1.7000000000000001E-4</v>
      </c>
      <c r="G91" t="s">
        <v>384</v>
      </c>
      <c r="H91">
        <v>1.2999999999999999E-4</v>
      </c>
      <c r="I91">
        <v>3.1E-4</v>
      </c>
      <c r="J91">
        <v>1.2999999999999999E-4</v>
      </c>
      <c r="K91" s="88">
        <v>1.2999999999999999E-4</v>
      </c>
      <c r="L91">
        <v>1.2999999999999999E-4</v>
      </c>
      <c r="M91">
        <v>3.6999999999999999E-4</v>
      </c>
      <c r="N91">
        <f>PSI_OC!$A$7</f>
        <v>10</v>
      </c>
      <c r="O91">
        <v>-1</v>
      </c>
      <c r="P91" t="s">
        <v>468</v>
      </c>
      <c r="Q91" s="17">
        <f t="shared" si="48"/>
        <v>-2406.3459686525589</v>
      </c>
      <c r="R91" t="s">
        <v>537</v>
      </c>
      <c r="X91">
        <f t="shared" si="34"/>
        <v>-106640.90736833634</v>
      </c>
      <c r="Y91">
        <f t="shared" si="35"/>
        <v>-14114.515868377423</v>
      </c>
      <c r="Z91" s="17">
        <f t="shared" si="36"/>
        <v>-329411.86397984496</v>
      </c>
      <c r="AA91" s="17">
        <f t="shared" si="37"/>
        <v>-299387.94496328896</v>
      </c>
      <c r="AB91">
        <f t="shared" si="38"/>
        <v>-188525.77567934152</v>
      </c>
      <c r="AC91">
        <f t="shared" si="39"/>
        <v>-314924.00140553626</v>
      </c>
      <c r="AD91">
        <f t="shared" si="40"/>
        <v>-4573590.2520583514</v>
      </c>
      <c r="AK91" s="8">
        <f t="shared" si="41"/>
        <v>-125957440.66090414</v>
      </c>
      <c r="AL91" s="8">
        <f t="shared" si="42"/>
        <v>-2924079.938150459</v>
      </c>
      <c r="AM91" s="8">
        <f t="shared" si="43"/>
        <v>-6436214.901120808</v>
      </c>
      <c r="AN91" s="8">
        <f t="shared" si="44"/>
        <v>-63418238.257683255</v>
      </c>
      <c r="AO91" s="8">
        <f t="shared" si="45"/>
        <v>-57352405.15139509</v>
      </c>
      <c r="AP91" s="8">
        <f t="shared" si="46"/>
        <v>-4401016.9409246827</v>
      </c>
      <c r="AQ91" s="8">
        <f t="shared" si="47"/>
        <v>-5214011440.1928988</v>
      </c>
    </row>
    <row r="92" spans="1:43" x14ac:dyDescent="0.2">
      <c r="A92" s="75" t="s">
        <v>877</v>
      </c>
      <c r="B92" s="193">
        <f t="shared" ref="B92:B117" si="50">C92*$B$11*($B$9/$B$10)</f>
        <v>262.16359786590675</v>
      </c>
      <c r="C92" s="193">
        <v>332</v>
      </c>
      <c r="D92" s="135" t="s">
        <v>506</v>
      </c>
      <c r="E92" t="s">
        <v>282</v>
      </c>
      <c r="F92">
        <v>1.712E-2</v>
      </c>
      <c r="G92" t="s">
        <v>385</v>
      </c>
      <c r="H92">
        <v>0.12681999999999999</v>
      </c>
      <c r="I92">
        <v>0.30602000000000001</v>
      </c>
      <c r="J92">
        <v>0.12681999999999999</v>
      </c>
      <c r="K92" s="88">
        <v>0.12681999999999999</v>
      </c>
      <c r="L92">
        <v>0.12681999999999999</v>
      </c>
      <c r="M92">
        <v>3.6639999999999999E-2</v>
      </c>
      <c r="N92">
        <v>0</v>
      </c>
      <c r="O92">
        <v>0</v>
      </c>
      <c r="P92" t="s">
        <v>469</v>
      </c>
      <c r="Q92" s="17">
        <f t="shared" si="48"/>
        <v>0</v>
      </c>
      <c r="R92" t="s">
        <v>537</v>
      </c>
      <c r="X92">
        <f t="shared" si="34"/>
        <v>-10.58686886978345</v>
      </c>
      <c r="Y92">
        <f t="shared" si="35"/>
        <v>-142.99019343781049</v>
      </c>
      <c r="Z92" s="17">
        <f t="shared" si="36"/>
        <v>-3.376611865055497</v>
      </c>
      <c r="AA92" s="17">
        <f t="shared" si="37"/>
        <v>-3.0688539113438753</v>
      </c>
      <c r="AB92">
        <f t="shared" si="38"/>
        <v>-1.9324694725221092</v>
      </c>
      <c r="AC92">
        <f t="shared" si="39"/>
        <v>-314.5458588429928</v>
      </c>
      <c r="AD92">
        <f t="shared" si="40"/>
        <v>-46.881247458492531</v>
      </c>
      <c r="AK92" s="8">
        <f t="shared" si="41"/>
        <v>-1291.1173978046377</v>
      </c>
      <c r="AL92" s="8">
        <f t="shared" si="42"/>
        <v>-292.399468800649</v>
      </c>
      <c r="AM92" s="8">
        <f t="shared" si="43"/>
        <v>-65.973943192590113</v>
      </c>
      <c r="AN92" s="8">
        <f t="shared" si="44"/>
        <v>-650.06394479742187</v>
      </c>
      <c r="AO92" s="8">
        <f t="shared" si="45"/>
        <v>-587.88657270558895</v>
      </c>
      <c r="AP92" s="8">
        <f t="shared" si="46"/>
        <v>-440.08886313928781</v>
      </c>
      <c r="AQ92" s="8">
        <f t="shared" si="47"/>
        <v>-52140438.00433708</v>
      </c>
    </row>
    <row r="93" spans="1:43" x14ac:dyDescent="0.2">
      <c r="A93" s="75" t="s">
        <v>878</v>
      </c>
      <c r="B93" s="193">
        <f t="shared" si="50"/>
        <v>1610.0951085800718</v>
      </c>
      <c r="C93" s="193">
        <v>2039</v>
      </c>
      <c r="D93" s="135" t="s">
        <v>506</v>
      </c>
      <c r="E93" t="s">
        <v>332</v>
      </c>
      <c r="F93">
        <v>1.712E-2</v>
      </c>
      <c r="G93" t="s">
        <v>386</v>
      </c>
      <c r="H93">
        <v>1.268E-2</v>
      </c>
      <c r="I93">
        <v>3.0599999999999998E-3</v>
      </c>
      <c r="J93">
        <v>1.268E-2</v>
      </c>
      <c r="K93" s="88">
        <v>1.268E-2</v>
      </c>
      <c r="L93">
        <v>1.268E-2</v>
      </c>
      <c r="M93">
        <v>3.6999999999999999E-4</v>
      </c>
      <c r="N93">
        <v>0</v>
      </c>
      <c r="O93">
        <v>0</v>
      </c>
      <c r="P93" t="s">
        <v>470</v>
      </c>
      <c r="Q93" s="17">
        <f t="shared" si="48"/>
        <v>0</v>
      </c>
      <c r="R93" t="s">
        <v>537</v>
      </c>
      <c r="X93">
        <f t="shared" si="34"/>
        <v>-1058.686886978345</v>
      </c>
      <c r="Y93">
        <f t="shared" si="35"/>
        <v>0</v>
      </c>
      <c r="Z93" s="17">
        <f t="shared" si="36"/>
        <v>-3298.6900527849862</v>
      </c>
      <c r="AA93" s="17">
        <f t="shared" si="37"/>
        <v>-2998.0342056974782</v>
      </c>
      <c r="AB93">
        <f t="shared" si="38"/>
        <v>-1887.8740231562147</v>
      </c>
      <c r="AC93">
        <f t="shared" si="39"/>
        <v>-3179.8351850247905</v>
      </c>
      <c r="AD93">
        <f t="shared" si="40"/>
        <v>-45799.372517142714</v>
      </c>
      <c r="AK93" s="8">
        <f t="shared" si="41"/>
        <v>-1261322.3809322231</v>
      </c>
      <c r="AL93" s="8">
        <f t="shared" si="42"/>
        <v>-292286.20789508964</v>
      </c>
      <c r="AM93" s="8">
        <f t="shared" si="43"/>
        <v>-64451.467580453434</v>
      </c>
      <c r="AN93" s="8">
        <f t="shared" si="44"/>
        <v>-635062.46914825065</v>
      </c>
      <c r="AO93" s="8">
        <f t="shared" si="45"/>
        <v>-574319.9594893062</v>
      </c>
      <c r="AP93" s="8">
        <f t="shared" si="46"/>
        <v>-439918.39476131782</v>
      </c>
      <c r="AQ93" s="8">
        <f t="shared" si="47"/>
        <v>-52099987.70332519</v>
      </c>
    </row>
    <row r="94" spans="1:43" x14ac:dyDescent="0.2">
      <c r="A94" s="75" t="s">
        <v>879</v>
      </c>
      <c r="B94" s="193">
        <f t="shared" si="50"/>
        <v>7053.148361862286</v>
      </c>
      <c r="C94" s="193">
        <v>8932</v>
      </c>
      <c r="D94" s="135" t="s">
        <v>506</v>
      </c>
      <c r="E94" t="s">
        <v>283</v>
      </c>
      <c r="F94">
        <v>1.7099999999999999E-3</v>
      </c>
      <c r="G94" t="s">
        <v>387</v>
      </c>
      <c r="H94">
        <v>1.2700000000000001E-3</v>
      </c>
      <c r="I94">
        <v>3.0599999999999998E-3</v>
      </c>
      <c r="J94">
        <v>0.12681999999999999</v>
      </c>
      <c r="K94" s="88">
        <v>1.2700000000000001E-3</v>
      </c>
      <c r="L94">
        <v>1.2700000000000001E-3</v>
      </c>
      <c r="M94">
        <v>3.6600000000000001E-3</v>
      </c>
      <c r="N94">
        <f>PSI_OC!$A$7</f>
        <v>10</v>
      </c>
      <c r="O94">
        <v>-1</v>
      </c>
      <c r="P94" t="s">
        <v>471</v>
      </c>
      <c r="Q94" s="17">
        <f t="shared" si="48"/>
        <v>-53361.332806604434</v>
      </c>
      <c r="R94" t="s">
        <v>537</v>
      </c>
      <c r="X94">
        <f t="shared" si="34"/>
        <v>-1058.686886978345</v>
      </c>
      <c r="Y94">
        <f t="shared" si="35"/>
        <v>-14299.019343781049</v>
      </c>
      <c r="Z94" s="17">
        <f t="shared" si="36"/>
        <v>-337.66118650554972</v>
      </c>
      <c r="AA94" s="17">
        <f t="shared" si="37"/>
        <v>-306.88539113438753</v>
      </c>
      <c r="AB94">
        <f t="shared" si="38"/>
        <v>-193.24694725221093</v>
      </c>
      <c r="AC94">
        <f t="shared" si="39"/>
        <v>-3179.8351850247905</v>
      </c>
      <c r="AD94">
        <f t="shared" si="40"/>
        <v>-4688.1247458492535</v>
      </c>
      <c r="AK94" s="8">
        <f t="shared" si="41"/>
        <v>-129111.73978046377</v>
      </c>
      <c r="AL94" s="8">
        <f t="shared" si="42"/>
        <v>-29239.946880064901</v>
      </c>
      <c r="AM94" s="8">
        <f t="shared" si="43"/>
        <v>-6597.3943192590114</v>
      </c>
      <c r="AN94" s="8">
        <f t="shared" si="44"/>
        <v>-65006.394479742186</v>
      </c>
      <c r="AO94" s="8">
        <f t="shared" si="45"/>
        <v>-58788.657270558891</v>
      </c>
      <c r="AP94" s="8">
        <f t="shared" si="46"/>
        <v>-44008.886313928779</v>
      </c>
      <c r="AQ94" s="8">
        <f t="shared" si="47"/>
        <v>-5177638.5295230001</v>
      </c>
    </row>
    <row r="95" spans="1:43" x14ac:dyDescent="0.2">
      <c r="A95" s="75" t="s">
        <v>880</v>
      </c>
      <c r="B95" s="193">
        <f t="shared" si="50"/>
        <v>812.54922350607842</v>
      </c>
      <c r="C95" s="193">
        <v>1029</v>
      </c>
      <c r="D95" s="135" t="s">
        <v>506</v>
      </c>
      <c r="E95" t="s">
        <v>284</v>
      </c>
      <c r="F95">
        <v>1.7000000000000001E-4</v>
      </c>
      <c r="G95" t="s">
        <v>388</v>
      </c>
      <c r="H95">
        <v>1.2999999999999999E-4</v>
      </c>
      <c r="I95">
        <v>3.0602</v>
      </c>
      <c r="J95">
        <v>1.2999999999999999E-4</v>
      </c>
      <c r="K95" s="88">
        <v>1.2999999999999999E-4</v>
      </c>
      <c r="L95">
        <v>1.2999999999999999E-4</v>
      </c>
      <c r="M95">
        <v>3.6999999999999999E-4</v>
      </c>
      <c r="N95">
        <f>PSI_OC!$A$7</f>
        <v>10</v>
      </c>
      <c r="O95">
        <v>-1</v>
      </c>
      <c r="P95" t="s">
        <v>472</v>
      </c>
      <c r="Q95" s="17">
        <f t="shared" si="48"/>
        <v>-14116414.829788718</v>
      </c>
      <c r="R95" t="s">
        <v>537</v>
      </c>
      <c r="X95">
        <f t="shared" si="34"/>
        <v>-1064.9144569017469</v>
      </c>
      <c r="Y95">
        <f t="shared" si="35"/>
        <v>-14114.515868377423</v>
      </c>
      <c r="Z95" s="17">
        <f t="shared" si="36"/>
        <v>-329411.86397984496</v>
      </c>
      <c r="AA95" s="17">
        <f t="shared" si="37"/>
        <v>-299.80342056974786</v>
      </c>
      <c r="AB95">
        <f t="shared" si="38"/>
        <v>-188525.77567934152</v>
      </c>
      <c r="AC95">
        <f t="shared" si="39"/>
        <v>-3145.4585884299281</v>
      </c>
      <c r="AD95">
        <f t="shared" si="40"/>
        <v>-4573590.2520583514</v>
      </c>
      <c r="AK95" s="8">
        <f t="shared" si="41"/>
        <v>-125957440.66090414</v>
      </c>
      <c r="AL95" s="8">
        <f t="shared" si="42"/>
        <v>-29239987.475371551</v>
      </c>
      <c r="AM95" s="8">
        <f t="shared" si="43"/>
        <v>-6436214.901120808</v>
      </c>
      <c r="AN95" s="8">
        <f t="shared" si="44"/>
        <v>-63418238.257683255</v>
      </c>
      <c r="AO95" s="8">
        <f t="shared" si="45"/>
        <v>-57352405.15139509</v>
      </c>
      <c r="AP95" s="8">
        <f t="shared" si="46"/>
        <v>-44008947.413705826</v>
      </c>
      <c r="AQ95" s="8">
        <f t="shared" si="47"/>
        <v>-5209998.770332519</v>
      </c>
    </row>
    <row r="96" spans="1:43" x14ac:dyDescent="0.2">
      <c r="A96" s="191" t="s">
        <v>881</v>
      </c>
      <c r="B96" s="193">
        <f t="shared" si="50"/>
        <v>0</v>
      </c>
      <c r="C96" s="192"/>
      <c r="D96" s="1"/>
      <c r="E96" t="s">
        <v>285</v>
      </c>
      <c r="F96">
        <v>1.712E-2</v>
      </c>
      <c r="G96" t="s">
        <v>389</v>
      </c>
      <c r="H96">
        <v>1.2700000000000001E-3</v>
      </c>
      <c r="I96">
        <v>3.0599999999999998E-3</v>
      </c>
      <c r="J96">
        <v>1.2700000000000001E-3</v>
      </c>
      <c r="K96" s="88">
        <v>1.2700000000000001E-3</v>
      </c>
      <c r="L96">
        <v>1.2700000000000001E-3</v>
      </c>
      <c r="M96">
        <v>3.6600000000000001E-3</v>
      </c>
      <c r="N96">
        <f>PSI_OC!$A$7</f>
        <v>10</v>
      </c>
      <c r="O96">
        <v>-1</v>
      </c>
      <c r="P96" t="s">
        <v>473</v>
      </c>
      <c r="Q96" s="17">
        <f t="shared" si="48"/>
        <v>-33319.971245549765</v>
      </c>
      <c r="R96" t="s">
        <v>537</v>
      </c>
      <c r="X96">
        <f t="shared" si="34"/>
        <v>-105.8686886978345</v>
      </c>
      <c r="Y96">
        <f t="shared" si="35"/>
        <v>-14114.515868377423</v>
      </c>
      <c r="Z96" s="17">
        <f t="shared" si="36"/>
        <v>-33.766118650554972</v>
      </c>
      <c r="AA96" s="17">
        <f t="shared" si="37"/>
        <v>-30.688539113438754</v>
      </c>
      <c r="AB96">
        <f t="shared" si="38"/>
        <v>-19.324694725221093</v>
      </c>
      <c r="AC96">
        <f t="shared" si="39"/>
        <v>-3145.4585884299281</v>
      </c>
      <c r="AD96">
        <f t="shared" si="40"/>
        <v>-468.81247458492533</v>
      </c>
      <c r="AK96" s="8">
        <f t="shared" si="41"/>
        <v>-12911.173978046376</v>
      </c>
      <c r="AL96" s="8">
        <f t="shared" si="42"/>
        <v>-2923.9946880064899</v>
      </c>
      <c r="AM96" s="8">
        <f t="shared" si="43"/>
        <v>-659.73943192590116</v>
      </c>
      <c r="AN96" s="8">
        <f t="shared" si="44"/>
        <v>-6500.6394479742185</v>
      </c>
      <c r="AO96" s="8">
        <f t="shared" si="45"/>
        <v>-5878.8657270558897</v>
      </c>
      <c r="AP96" s="8">
        <f t="shared" si="46"/>
        <v>-4400.8886313928779</v>
      </c>
      <c r="AQ96" s="8">
        <f t="shared" si="47"/>
        <v>-5209998.770332519</v>
      </c>
    </row>
    <row r="97" spans="1:43" x14ac:dyDescent="0.2">
      <c r="A97" s="75" t="s">
        <v>882</v>
      </c>
      <c r="B97" s="193">
        <f t="shared" si="50"/>
        <v>874.93152540790561</v>
      </c>
      <c r="C97" s="193">
        <v>1108</v>
      </c>
      <c r="D97" s="135" t="s">
        <v>506</v>
      </c>
      <c r="E97" t="s">
        <v>286</v>
      </c>
      <c r="F97">
        <v>1.7099999999999999E-3</v>
      </c>
      <c r="G97" t="s">
        <v>390</v>
      </c>
      <c r="H97">
        <v>1.268E-2</v>
      </c>
      <c r="I97">
        <v>3.0599999999999998E-3</v>
      </c>
      <c r="J97">
        <v>1.268E-2</v>
      </c>
      <c r="K97" s="88">
        <v>1.268E-2</v>
      </c>
      <c r="L97">
        <v>1.268E-2</v>
      </c>
      <c r="M97">
        <v>3.6644000000000001</v>
      </c>
      <c r="N97">
        <f>PSI_OC!$A$6</f>
        <v>100</v>
      </c>
      <c r="O97">
        <v>-1</v>
      </c>
      <c r="P97" t="s">
        <v>474</v>
      </c>
      <c r="Q97" s="17">
        <f>((SUM(B$23:B$31)*F97)+(SUM(B$33:B$37,B$41:B$42,B$45,B$47,B$50,B$52:B$55,B$58:B$63,B$65:B$67,B$69:B$73,B$77,B$79:B$81,B$84:B$85,B$87:B$95,B$97:B$103)*I97)+(SUM(B$39:B$40,B$76)*K97)+(SUM(B$43,B$46,B$49,B$51,B$56)*L97)+(SUM(B$44,B$78)*H97)+(SUM(B$75,B$83)*J97)+(SUM(B$105:B$107,B$109:B$117)*M97))*(N97*O97)</f>
        <v>-32183184.010521811</v>
      </c>
      <c r="R97" t="s">
        <v>537</v>
      </c>
      <c r="X97">
        <f t="shared" si="34"/>
        <v>-1064.9144569017469</v>
      </c>
      <c r="Y97">
        <f t="shared" si="35"/>
        <v>-14114.515868377423</v>
      </c>
      <c r="Z97" s="17">
        <f t="shared" si="36"/>
        <v>-329.86900527849861</v>
      </c>
      <c r="AA97" s="17">
        <f t="shared" si="37"/>
        <v>-299387.94496328896</v>
      </c>
      <c r="AB97">
        <f t="shared" si="38"/>
        <v>-19.324694725221093</v>
      </c>
      <c r="AC97">
        <f t="shared" si="39"/>
        <v>-314924.00140553626</v>
      </c>
      <c r="AD97">
        <f t="shared" si="40"/>
        <v>-468.81247458492533</v>
      </c>
      <c r="AK97" s="8">
        <f t="shared" si="41"/>
        <v>-126132.23809322232</v>
      </c>
      <c r="AL97" s="8">
        <f t="shared" si="42"/>
        <v>-2923.9946880064899</v>
      </c>
      <c r="AM97" s="8">
        <f t="shared" si="43"/>
        <v>-659.73943192590116</v>
      </c>
      <c r="AN97" s="8">
        <f t="shared" si="44"/>
        <v>-6500.6394479742185</v>
      </c>
      <c r="AO97" s="8">
        <f t="shared" si="45"/>
        <v>-5878.8657270558897</v>
      </c>
      <c r="AP97" s="8">
        <f t="shared" si="46"/>
        <v>-4400.8886313928779</v>
      </c>
      <c r="AQ97" s="8">
        <f t="shared" si="47"/>
        <v>-517763.85295229999</v>
      </c>
    </row>
    <row r="98" spans="1:43" x14ac:dyDescent="0.2">
      <c r="A98" s="75" t="s">
        <v>883</v>
      </c>
      <c r="B98" s="193">
        <f t="shared" si="50"/>
        <v>739.11183012797801</v>
      </c>
      <c r="C98" s="193">
        <v>936</v>
      </c>
      <c r="D98" s="135" t="s">
        <v>506</v>
      </c>
      <c r="E98" t="s">
        <v>287</v>
      </c>
      <c r="F98">
        <v>1.7099999999999999E-3</v>
      </c>
      <c r="G98" t="s">
        <v>391</v>
      </c>
      <c r="H98">
        <v>1.2700000000000001E-3</v>
      </c>
      <c r="I98">
        <v>3.0599999999999998E-3</v>
      </c>
      <c r="J98">
        <v>1.2700000000000001E-3</v>
      </c>
      <c r="K98" s="88">
        <v>1.2700000000000001E-3</v>
      </c>
      <c r="L98">
        <v>1.2700000000000001E-3</v>
      </c>
      <c r="M98">
        <v>3.6639999999999999E-2</v>
      </c>
      <c r="N98">
        <f>PSI_OC!$A$6</f>
        <v>100</v>
      </c>
      <c r="O98">
        <v>-1</v>
      </c>
      <c r="P98" t="s">
        <v>475</v>
      </c>
      <c r="Q98" s="17">
        <f t="shared" si="48"/>
        <v>-520667.89886051446</v>
      </c>
      <c r="R98" t="s">
        <v>537</v>
      </c>
      <c r="X98">
        <f t="shared" si="34"/>
        <v>-105.8686886978345</v>
      </c>
      <c r="Y98">
        <f t="shared" si="35"/>
        <v>-1411543.8385754442</v>
      </c>
      <c r="Z98" s="17">
        <f t="shared" si="36"/>
        <v>-33.766118650554972</v>
      </c>
      <c r="AA98" s="17">
        <f t="shared" si="37"/>
        <v>-30.688539113438754</v>
      </c>
      <c r="AB98">
        <f t="shared" si="38"/>
        <v>-19.324694725221093</v>
      </c>
      <c r="AC98">
        <f t="shared" si="39"/>
        <v>-317.98351850247906</v>
      </c>
      <c r="AD98">
        <f t="shared" si="40"/>
        <v>-468.81247458492533</v>
      </c>
      <c r="AK98" s="8">
        <f t="shared" si="41"/>
        <v>-12911.173978046376</v>
      </c>
      <c r="AL98" s="8">
        <f t="shared" si="42"/>
        <v>-2923.9946880064899</v>
      </c>
      <c r="AM98" s="8">
        <f t="shared" si="43"/>
        <v>-659.73943192590116</v>
      </c>
      <c r="AN98" s="8">
        <f t="shared" si="44"/>
        <v>-6500.6394479742185</v>
      </c>
      <c r="AO98" s="8">
        <f t="shared" si="45"/>
        <v>-5878.8657270558897</v>
      </c>
      <c r="AP98" s="8">
        <f t="shared" si="46"/>
        <v>-4400.8886313928779</v>
      </c>
      <c r="AQ98" s="8">
        <f t="shared" si="47"/>
        <v>-517763.85295229999</v>
      </c>
    </row>
    <row r="99" spans="1:43" x14ac:dyDescent="0.2">
      <c r="A99" s="75" t="s">
        <v>884</v>
      </c>
      <c r="B99" s="193">
        <f t="shared" si="50"/>
        <v>993.37893408226114</v>
      </c>
      <c r="C99" s="193">
        <v>1258</v>
      </c>
      <c r="D99" s="135" t="s">
        <v>506</v>
      </c>
      <c r="E99" t="s">
        <v>288</v>
      </c>
      <c r="F99">
        <v>1.7099999999999999E-3</v>
      </c>
      <c r="G99" t="s">
        <v>392</v>
      </c>
      <c r="H99">
        <v>1.2700000000000001E-3</v>
      </c>
      <c r="I99">
        <v>3.0599999999999998E-3</v>
      </c>
      <c r="J99">
        <v>1.2700000000000001E-3</v>
      </c>
      <c r="K99" s="88">
        <v>1.2700000000000001E-3</v>
      </c>
      <c r="L99">
        <v>1.2700000000000001E-3</v>
      </c>
      <c r="M99">
        <v>3.6600000000000001E-3</v>
      </c>
      <c r="N99">
        <f>PSI_OC!$A$6</f>
        <v>100</v>
      </c>
      <c r="O99">
        <v>-1</v>
      </c>
      <c r="P99" t="s">
        <v>476</v>
      </c>
      <c r="Q99" s="17">
        <f t="shared" si="48"/>
        <v>-237232.85993587237</v>
      </c>
      <c r="R99" t="s">
        <v>537</v>
      </c>
      <c r="X99">
        <f t="shared" si="34"/>
        <v>-1064.9144569017469</v>
      </c>
      <c r="Y99">
        <f t="shared" si="35"/>
        <v>-14114.515868377423</v>
      </c>
      <c r="Z99" s="17">
        <f t="shared" si="36"/>
        <v>-32940.147440487548</v>
      </c>
      <c r="AA99" s="17">
        <f t="shared" si="37"/>
        <v>-299.80342056974786</v>
      </c>
      <c r="AB99">
        <f t="shared" si="38"/>
        <v>-18851.982961942605</v>
      </c>
      <c r="AC99">
        <f t="shared" si="39"/>
        <v>-3145.4585884299281</v>
      </c>
      <c r="AD99">
        <f t="shared" si="40"/>
        <v>-457344.60020661709</v>
      </c>
      <c r="AK99" s="8">
        <f t="shared" si="41"/>
        <v>-12595346.79919878</v>
      </c>
      <c r="AL99" s="8">
        <f t="shared" si="42"/>
        <v>-2924079.938150459</v>
      </c>
      <c r="AM99" s="8">
        <f t="shared" si="43"/>
        <v>-643601.19043725217</v>
      </c>
      <c r="AN99" s="8">
        <f t="shared" si="44"/>
        <v>-6341623.8060930017</v>
      </c>
      <c r="AO99" s="8">
        <f t="shared" si="45"/>
        <v>-5735059.6269632913</v>
      </c>
      <c r="AP99" s="8">
        <f t="shared" si="46"/>
        <v>-4401016.9409246827</v>
      </c>
      <c r="AQ99" s="8">
        <f t="shared" si="47"/>
        <v>-52132347.944134697</v>
      </c>
    </row>
    <row r="100" spans="1:43" x14ac:dyDescent="0.2">
      <c r="A100" s="75" t="s">
        <v>885</v>
      </c>
      <c r="B100" s="193">
        <f t="shared" si="50"/>
        <v>415.35557975140642</v>
      </c>
      <c r="C100" s="193">
        <v>526</v>
      </c>
      <c r="D100" s="135" t="s">
        <v>506</v>
      </c>
      <c r="E100" t="s">
        <v>333</v>
      </c>
      <c r="F100">
        <v>1.7099999999999999E-3</v>
      </c>
      <c r="G100" t="s">
        <v>340</v>
      </c>
      <c r="H100">
        <v>1.2700000000000001E-3</v>
      </c>
      <c r="I100">
        <v>3.0599999999999998E-3</v>
      </c>
      <c r="J100">
        <v>1.2700000000000001E-3</v>
      </c>
      <c r="K100" s="88">
        <v>1.2700000000000001E-3</v>
      </c>
      <c r="L100">
        <v>1.2700000000000001E-3</v>
      </c>
      <c r="M100">
        <v>3.6600000000000001E-3</v>
      </c>
      <c r="N100">
        <f>PSI_OC!$A$7</f>
        <v>10</v>
      </c>
      <c r="O100">
        <v>-1</v>
      </c>
      <c r="P100" t="s">
        <v>424</v>
      </c>
      <c r="Q100" s="17">
        <f>((SUM(B$23:B$31)*F100)+(SUM(B$33:B$37,B$41:B$42,B$45,B$47,B$50,B$52:B$55,B$58:B$63,B$65:B$67,B$69:B$73,B$77,B$79:B$81,B$84:B$85,B$87:B$95,B$97:B$103)*I100)+(SUM(B$39:B$40,B$76)*K100)+(SUM(B$43,B$46,B$49,B$51,B$56)*L100)+(SUM(B$44,B$78)*H100)+(SUM(B$75,B$83)*J100)+(SUM(B$105:B$107,B$109:B$117)*M100))*(N100*O100)</f>
        <v>-23723.285993587237</v>
      </c>
      <c r="R100" t="s">
        <v>537</v>
      </c>
      <c r="X100">
        <f t="shared" si="34"/>
        <v>-10649.144569017468</v>
      </c>
      <c r="Y100">
        <f t="shared" si="35"/>
        <v>-14115438.385754442</v>
      </c>
      <c r="Z100" s="17">
        <f t="shared" si="36"/>
        <v>-3298.6900527849862</v>
      </c>
      <c r="AA100" s="17">
        <f t="shared" si="37"/>
        <v>-306.88539113438753</v>
      </c>
      <c r="AB100">
        <f t="shared" si="38"/>
        <v>-1887.8740231562147</v>
      </c>
      <c r="AC100">
        <f t="shared" si="39"/>
        <v>-314889.62480894139</v>
      </c>
      <c r="AD100">
        <f t="shared" si="40"/>
        <v>-45799.372517142714</v>
      </c>
      <c r="AK100" s="8">
        <f t="shared" si="41"/>
        <v>-1261322.3809322231</v>
      </c>
      <c r="AL100" s="8">
        <f t="shared" si="42"/>
        <v>-292286.20789508964</v>
      </c>
      <c r="AM100" s="8">
        <f t="shared" si="43"/>
        <v>-64451.467580453434</v>
      </c>
      <c r="AN100" s="8">
        <f t="shared" si="44"/>
        <v>-635062.46914825065</v>
      </c>
      <c r="AO100" s="8">
        <f t="shared" si="45"/>
        <v>-574319.9594893062</v>
      </c>
      <c r="AP100" s="8">
        <f t="shared" si="46"/>
        <v>-439918.39476131782</v>
      </c>
      <c r="AQ100" s="8">
        <f t="shared" si="47"/>
        <v>-52099987.70332519</v>
      </c>
    </row>
    <row r="101" spans="1:43" x14ac:dyDescent="0.2">
      <c r="A101" s="75" t="s">
        <v>886</v>
      </c>
      <c r="B101" s="193">
        <f t="shared" si="50"/>
        <v>8571.6441410675234</v>
      </c>
      <c r="C101" s="193">
        <v>10855</v>
      </c>
      <c r="D101" s="135" t="s">
        <v>506</v>
      </c>
      <c r="E101" t="s">
        <v>334</v>
      </c>
      <c r="F101">
        <v>1.712E-2</v>
      </c>
      <c r="G101" t="s">
        <v>393</v>
      </c>
      <c r="H101">
        <v>1.268E-2</v>
      </c>
      <c r="I101">
        <v>3.0599999999999999E-2</v>
      </c>
      <c r="J101">
        <v>1.268E-2</v>
      </c>
      <c r="K101" s="88">
        <v>1.268E-2</v>
      </c>
      <c r="L101">
        <v>1.268E-2</v>
      </c>
      <c r="M101">
        <v>3.6639999999999999E-2</v>
      </c>
      <c r="N101">
        <v>0</v>
      </c>
      <c r="O101">
        <v>0</v>
      </c>
      <c r="P101" t="s">
        <v>477</v>
      </c>
      <c r="Q101" s="17">
        <f t="shared" ref="Q101:Q127" si="51">((SUM(B$23:B$31)*F101)+(SUM(B$33:B$37,B$41:B$42,B$45,B$47,B$50,B$52:B$55,B$58:B$63,B$65:B$67,B$69:B$73,B$77,B$79:B$81,B$84:B$85,B$87:B$95,B$97:B$103)*I101)+(SUM(B$39:B$40,B$76)*K101)+(SUM(B$43,B$46,B$49,B$51,B$56)*L101)+(SUM(B$44,B$78)*H101)+(SUM(B$75,B$83)*J101)+(SUM(B$105:B$107,B$109:B$117)*M101))*(N101*O101)</f>
        <v>0</v>
      </c>
      <c r="R101" t="s">
        <v>537</v>
      </c>
      <c r="X101">
        <f t="shared" si="34"/>
        <v>-1058.686886978345</v>
      </c>
      <c r="Y101">
        <f t="shared" si="35"/>
        <v>-141145.15868377424</v>
      </c>
      <c r="Z101" s="17">
        <f t="shared" si="36"/>
        <v>-3298.6900527849862</v>
      </c>
      <c r="AA101" s="17">
        <f t="shared" si="37"/>
        <v>-299378.50233586942</v>
      </c>
      <c r="AB101">
        <f t="shared" si="38"/>
        <v>-1887.8740231562147</v>
      </c>
      <c r="AC101">
        <f t="shared" si="39"/>
        <v>-3179.8351850247905</v>
      </c>
      <c r="AD101">
        <f t="shared" si="40"/>
        <v>-45799.372517142714</v>
      </c>
      <c r="AK101" s="8">
        <f t="shared" si="41"/>
        <v>-1261322.3809322231</v>
      </c>
      <c r="AL101" s="8">
        <f t="shared" si="42"/>
        <v>-292286.20789508964</v>
      </c>
      <c r="AM101" s="8">
        <f t="shared" si="43"/>
        <v>-64451.467580453434</v>
      </c>
      <c r="AN101" s="8">
        <f t="shared" si="44"/>
        <v>-635062.46914825065</v>
      </c>
      <c r="AO101" s="8">
        <f t="shared" si="45"/>
        <v>-574319.9594893062</v>
      </c>
      <c r="AP101" s="8">
        <f t="shared" si="46"/>
        <v>-439918.39476131782</v>
      </c>
      <c r="AQ101" s="8">
        <f t="shared" si="47"/>
        <v>-52099987.70332519</v>
      </c>
    </row>
    <row r="102" spans="1:43" x14ac:dyDescent="0.2">
      <c r="A102" s="75" t="s">
        <v>887</v>
      </c>
      <c r="B102" s="193">
        <f t="shared" si="50"/>
        <v>2546.6192864986424</v>
      </c>
      <c r="C102" s="193">
        <v>3225</v>
      </c>
      <c r="D102" s="135" t="s">
        <v>506</v>
      </c>
      <c r="E102" t="s">
        <v>335</v>
      </c>
      <c r="F102">
        <v>1.7099999999999999E-3</v>
      </c>
      <c r="G102" t="s">
        <v>394</v>
      </c>
      <c r="H102">
        <v>1.2700000000000001E-3</v>
      </c>
      <c r="I102">
        <v>3.0599999999999998E-3</v>
      </c>
      <c r="J102">
        <v>1.2700000000000001E-3</v>
      </c>
      <c r="K102" s="88">
        <v>1.2700000000000001E-3</v>
      </c>
      <c r="L102">
        <v>1.2700000000000001E-3</v>
      </c>
      <c r="M102">
        <v>3.6600000000000001E-3</v>
      </c>
      <c r="N102">
        <f>PSI_OC!$A$7</f>
        <v>10</v>
      </c>
      <c r="O102">
        <v>-1</v>
      </c>
      <c r="P102" t="s">
        <v>478</v>
      </c>
      <c r="Q102" s="17">
        <f t="shared" si="51"/>
        <v>-23723.285993587237</v>
      </c>
      <c r="R102" t="s">
        <v>537</v>
      </c>
      <c r="X102">
        <f t="shared" ref="X102:X111" si="52">((SUM(B$23:B$31)*F118))*(N118*O118)</f>
        <v>-1064.9144569017469</v>
      </c>
      <c r="Y102">
        <f t="shared" ref="Y102:Y111" si="53">(((SUM(B$33:B$37,B$41:B$42,B$45,B$47,B$50,B$52:B$55,B$58:B$63,B$65:B$67,B$69:B$73,B$77,B$79:B$81,B$84:B$85,B$87:B$95,B$97:B$103)*I118)))*(N118*O118)</f>
        <v>-14114.515868377423</v>
      </c>
      <c r="Z102" s="17">
        <f t="shared" ref="Z102:Z111" si="54">((SUM(B$39:B$40,B$76)*K118))*(N118*O118)</f>
        <v>-329.86900527849861</v>
      </c>
      <c r="AA102" s="17">
        <f t="shared" ref="AA102:AA111" si="55">((SUM(B$75,B$83)*J118))*(N118*O118)</f>
        <v>-299.80342056974786</v>
      </c>
      <c r="AB102">
        <f t="shared" ref="AB102:AB111" si="56">((SUM(B$44,B$78)*H118))*(N118*O118)</f>
        <v>-188.78740231562148</v>
      </c>
      <c r="AC102">
        <f t="shared" ref="AC102:AC111" si="57">((SUM(B$105:B$107,B$109:B$117)*M118))*(N118*O118)</f>
        <v>-3145.4585884299281</v>
      </c>
      <c r="AD102">
        <f t="shared" ref="AD102:AD111" si="58">((SUM(B$43,B$46,B$49,B$51,B$56)*L118))*(N118*O118)</f>
        <v>-4579.937251714271</v>
      </c>
      <c r="AK102" s="8">
        <f t="shared" ref="AK102:AK111" si="59">((B$137*F233))*M233*N233</f>
        <v>-126132.23809322232</v>
      </c>
      <c r="AL102" s="8">
        <f t="shared" ref="AL102:AL111" si="60">((SUM(B$138:B$139)*K233))*M233*N233</f>
        <v>-29228.620789508965</v>
      </c>
      <c r="AM102" s="8">
        <f t="shared" ref="AM102:AM111" si="61">((B$140*H233))*M233*N233</f>
        <v>-6445.1467580453436</v>
      </c>
      <c r="AN102" s="8">
        <f t="shared" ref="AN102:AN111" si="62">((SUM(B$141:B$142)*I233))*M233*N233</f>
        <v>-63506.24691482506</v>
      </c>
      <c r="AO102" s="8">
        <f t="shared" ref="AO102:AO111" si="63">((SUM(B$143:B$144,B$148)*J233))*M233*N233</f>
        <v>-57431.995948930627</v>
      </c>
      <c r="AP102" s="8">
        <f t="shared" ref="AP102:AP111" si="64">((SUM(B$146:B$147)*L233))*M233*N233</f>
        <v>-43991.839476131783</v>
      </c>
      <c r="AQ102" s="8">
        <f t="shared" ref="AQ102:AQ111" si="65">J347</f>
        <v>-521404380.04337078</v>
      </c>
    </row>
    <row r="103" spans="1:43" x14ac:dyDescent="0.2">
      <c r="A103" s="75" t="s">
        <v>888</v>
      </c>
      <c r="B103" s="193">
        <f t="shared" si="50"/>
        <v>2076.7778987570323</v>
      </c>
      <c r="C103" s="193">
        <v>2630</v>
      </c>
      <c r="D103" s="135" t="s">
        <v>506</v>
      </c>
      <c r="E103" t="s">
        <v>289</v>
      </c>
      <c r="F103">
        <v>1.7099999999999999E-3</v>
      </c>
      <c r="G103" t="s">
        <v>395</v>
      </c>
      <c r="H103">
        <v>1.2700000000000001E-3</v>
      </c>
      <c r="I103">
        <v>0.30602000000000001</v>
      </c>
      <c r="J103">
        <v>1.2700000000000001E-3</v>
      </c>
      <c r="K103" s="88">
        <v>1.2700000000000001E-3</v>
      </c>
      <c r="L103">
        <v>1.2700000000000001E-3</v>
      </c>
      <c r="M103">
        <v>3.6999999999999999E-4</v>
      </c>
      <c r="N103">
        <f>PSI_OC!$A$7</f>
        <v>10</v>
      </c>
      <c r="O103">
        <v>-1</v>
      </c>
      <c r="P103" t="s">
        <v>479</v>
      </c>
      <c r="Q103" s="17">
        <f t="shared" si="51"/>
        <v>-1418325.1336307265</v>
      </c>
      <c r="R103" t="s">
        <v>537</v>
      </c>
      <c r="X103">
        <f t="shared" si="52"/>
        <v>-10649.144569017468</v>
      </c>
      <c r="Y103">
        <f t="shared" si="53"/>
        <v>-141154383.85754442</v>
      </c>
      <c r="Z103" s="17">
        <f t="shared" si="54"/>
        <v>-3294118.6397984494</v>
      </c>
      <c r="AA103" s="17">
        <f t="shared" si="55"/>
        <v>-2998.0342056974782</v>
      </c>
      <c r="AB103">
        <f t="shared" si="56"/>
        <v>-1885257.7567934154</v>
      </c>
      <c r="AC103">
        <f t="shared" si="57"/>
        <v>-31454.585884299278</v>
      </c>
      <c r="AD103">
        <f t="shared" si="58"/>
        <v>-45735902.520583518</v>
      </c>
      <c r="AK103" s="8">
        <f t="shared" si="59"/>
        <v>-1259574406.6090415</v>
      </c>
      <c r="AL103" s="8">
        <f t="shared" si="60"/>
        <v>-292399874.75371552</v>
      </c>
      <c r="AM103" s="8">
        <f t="shared" si="61"/>
        <v>-64362149.01120808</v>
      </c>
      <c r="AN103" s="8">
        <f t="shared" si="62"/>
        <v>-634182382.57683253</v>
      </c>
      <c r="AO103" s="8">
        <f t="shared" si="63"/>
        <v>-573524051.51395094</v>
      </c>
      <c r="AP103" s="8">
        <f t="shared" si="64"/>
        <v>-440089474.13705832</v>
      </c>
      <c r="AQ103" s="8">
        <f t="shared" si="65"/>
        <v>-521323479.441347</v>
      </c>
    </row>
    <row r="104" spans="1:43" x14ac:dyDescent="0.2">
      <c r="A104" s="191" t="s">
        <v>889</v>
      </c>
      <c r="B104" s="193">
        <f t="shared" si="50"/>
        <v>0</v>
      </c>
      <c r="C104" s="192"/>
      <c r="D104" s="1"/>
      <c r="E104" t="s">
        <v>290</v>
      </c>
      <c r="F104">
        <v>1.7000000000000001E-4</v>
      </c>
      <c r="G104" t="s">
        <v>396</v>
      </c>
      <c r="H104">
        <v>1.2999999999999999E-4</v>
      </c>
      <c r="I104">
        <v>3.1E-4</v>
      </c>
      <c r="J104">
        <v>1.2999999999999999E-4</v>
      </c>
      <c r="K104" s="88">
        <v>1.2999999999999999E-4</v>
      </c>
      <c r="L104">
        <v>1.2999999999999999E-4</v>
      </c>
      <c r="M104">
        <v>3.6999999999999999E-4</v>
      </c>
      <c r="N104">
        <f>PSI_OC!$A$7</f>
        <v>10</v>
      </c>
      <c r="O104">
        <v>-1</v>
      </c>
      <c r="P104" t="s">
        <v>480</v>
      </c>
      <c r="Q104" s="17">
        <f t="shared" si="51"/>
        <v>-2406.3459686525589</v>
      </c>
      <c r="R104" t="s">
        <v>537</v>
      </c>
      <c r="X104">
        <f t="shared" si="52"/>
        <v>-105.8686886978345</v>
      </c>
      <c r="Y104">
        <f t="shared" si="53"/>
        <v>-14114.515868377423</v>
      </c>
      <c r="Z104" s="17">
        <f t="shared" si="54"/>
        <v>-329.86900527849861</v>
      </c>
      <c r="AA104" s="17">
        <f t="shared" si="55"/>
        <v>-299.80342056974786</v>
      </c>
      <c r="AB104">
        <f t="shared" si="56"/>
        <v>-188.78740231562148</v>
      </c>
      <c r="AC104">
        <f t="shared" si="57"/>
        <v>-3145.4585884299281</v>
      </c>
      <c r="AD104">
        <f t="shared" si="58"/>
        <v>-4579.937251714271</v>
      </c>
      <c r="AK104" s="8">
        <f t="shared" si="59"/>
        <v>-126132.23809322232</v>
      </c>
      <c r="AL104" s="8">
        <f t="shared" si="60"/>
        <v>-29228.620789508965</v>
      </c>
      <c r="AM104" s="8">
        <f t="shared" si="61"/>
        <v>-6445.1467580453436</v>
      </c>
      <c r="AN104" s="8">
        <f t="shared" si="62"/>
        <v>-63506.24691482506</v>
      </c>
      <c r="AO104" s="8">
        <f t="shared" si="63"/>
        <v>-57431.995948930627</v>
      </c>
      <c r="AP104" s="8">
        <f t="shared" si="64"/>
        <v>-43991.839476131783</v>
      </c>
      <c r="AQ104" s="8">
        <f t="shared" si="65"/>
        <v>-52132347.944134697</v>
      </c>
    </row>
    <row r="105" spans="1:43" x14ac:dyDescent="0.2">
      <c r="A105" s="75" t="s">
        <v>890</v>
      </c>
      <c r="B105" s="193">
        <f t="shared" si="50"/>
        <v>10312.821048580548</v>
      </c>
      <c r="C105" s="193">
        <v>13060</v>
      </c>
      <c r="D105" s="200" t="s">
        <v>914</v>
      </c>
      <c r="E105" t="s">
        <v>291</v>
      </c>
      <c r="F105">
        <v>1.7000000000000001E-4</v>
      </c>
      <c r="G105" t="s">
        <v>397</v>
      </c>
      <c r="H105">
        <v>1.2999999999999999E-4</v>
      </c>
      <c r="I105">
        <v>3.1E-4</v>
      </c>
      <c r="J105">
        <v>1.2999999999999999E-4</v>
      </c>
      <c r="K105" s="88">
        <v>1.2999999999999999E-4</v>
      </c>
      <c r="L105">
        <v>1.2999999999999999E-4</v>
      </c>
      <c r="M105">
        <v>3.6999999999999999E-4</v>
      </c>
      <c r="N105">
        <f>PSI_OC!$A$8</f>
        <v>1</v>
      </c>
      <c r="O105">
        <v>-1</v>
      </c>
      <c r="P105" t="s">
        <v>481</v>
      </c>
      <c r="Q105" s="17">
        <f t="shared" si="51"/>
        <v>-240.63459686525587</v>
      </c>
      <c r="R105" t="s">
        <v>537</v>
      </c>
      <c r="X105">
        <f t="shared" si="52"/>
        <v>-1066.1599708864273</v>
      </c>
      <c r="Y105">
        <f t="shared" si="53"/>
        <v>-1411.4515868377423</v>
      </c>
      <c r="Z105" s="17">
        <f t="shared" si="54"/>
        <v>-32.986900527849862</v>
      </c>
      <c r="AA105" s="17">
        <f t="shared" si="55"/>
        <v>-29938.794496328897</v>
      </c>
      <c r="AB105">
        <f t="shared" si="56"/>
        <v>-18.878740231562148</v>
      </c>
      <c r="AC105">
        <f t="shared" si="57"/>
        <v>-314.5458588429928</v>
      </c>
      <c r="AD105">
        <f t="shared" si="58"/>
        <v>-457.99372517142712</v>
      </c>
      <c r="AK105" s="8">
        <f t="shared" si="59"/>
        <v>-12613.223809322231</v>
      </c>
      <c r="AL105" s="8">
        <f t="shared" si="60"/>
        <v>-2922.8620789508964</v>
      </c>
      <c r="AM105" s="8">
        <f t="shared" si="61"/>
        <v>-644.51467580453436</v>
      </c>
      <c r="AN105" s="8">
        <f t="shared" si="62"/>
        <v>-6350.624691482506</v>
      </c>
      <c r="AO105" s="8">
        <f t="shared" si="63"/>
        <v>-5743.1995948930626</v>
      </c>
      <c r="AP105" s="8">
        <f t="shared" si="64"/>
        <v>-4399.1839476131781</v>
      </c>
      <c r="AQ105" s="8">
        <f t="shared" si="65"/>
        <v>-5213234.7944134697</v>
      </c>
    </row>
    <row r="106" spans="1:43" x14ac:dyDescent="0.2">
      <c r="A106" s="75" t="s">
        <v>891</v>
      </c>
      <c r="B106" s="193">
        <f t="shared" si="50"/>
        <v>5324.6058446078587</v>
      </c>
      <c r="C106" s="193">
        <v>6743</v>
      </c>
      <c r="D106" s="200" t="s">
        <v>914</v>
      </c>
      <c r="E106" t="s">
        <v>292</v>
      </c>
      <c r="F106">
        <v>1.7099999999999999E-3</v>
      </c>
      <c r="G106" t="s">
        <v>360</v>
      </c>
      <c r="H106">
        <v>1.268E-2</v>
      </c>
      <c r="I106">
        <v>3.0599999999999998E-3</v>
      </c>
      <c r="J106">
        <v>1.268E-2</v>
      </c>
      <c r="K106" s="88">
        <v>1.268E-2</v>
      </c>
      <c r="L106">
        <v>1.268E-2</v>
      </c>
      <c r="M106">
        <v>3.6644000000000001</v>
      </c>
      <c r="N106">
        <f>PSI_OC!$A$6</f>
        <v>100</v>
      </c>
      <c r="O106">
        <v>-1</v>
      </c>
      <c r="P106" t="s">
        <v>444</v>
      </c>
      <c r="Q106" s="17">
        <f t="shared" si="51"/>
        <v>-32183184.010521811</v>
      </c>
      <c r="R106" t="s">
        <v>537</v>
      </c>
      <c r="X106">
        <f t="shared" si="52"/>
        <v>-106.49144569017469</v>
      </c>
      <c r="Y106">
        <f t="shared" si="53"/>
        <v>-1411.4515868377423</v>
      </c>
      <c r="Z106" s="17">
        <f t="shared" si="54"/>
        <v>-32.986900527849862</v>
      </c>
      <c r="AA106" s="17">
        <f t="shared" si="55"/>
        <v>-29.980342056974784</v>
      </c>
      <c r="AB106">
        <f t="shared" si="56"/>
        <v>-18.878740231562148</v>
      </c>
      <c r="AC106">
        <f t="shared" si="57"/>
        <v>-314.5458588429928</v>
      </c>
      <c r="AD106">
        <f t="shared" si="58"/>
        <v>-457.99372517142712</v>
      </c>
      <c r="AK106" s="8">
        <f t="shared" si="59"/>
        <v>-12613.223809322231</v>
      </c>
      <c r="AL106" s="8">
        <f t="shared" si="60"/>
        <v>-2922.8620789508964</v>
      </c>
      <c r="AM106" s="8">
        <f t="shared" si="61"/>
        <v>-644.51467580453436</v>
      </c>
      <c r="AN106" s="8">
        <f t="shared" si="62"/>
        <v>-6350.624691482506</v>
      </c>
      <c r="AO106" s="8">
        <f t="shared" si="63"/>
        <v>-5743.1995948930626</v>
      </c>
      <c r="AP106" s="8">
        <f t="shared" si="64"/>
        <v>-4399.1839476131781</v>
      </c>
      <c r="AQ106" s="8">
        <f t="shared" si="65"/>
        <v>-520999.87703325186</v>
      </c>
    </row>
    <row r="107" spans="1:43" x14ac:dyDescent="0.2">
      <c r="A107" s="75" t="s">
        <v>892</v>
      </c>
      <c r="B107" s="193">
        <f t="shared" si="50"/>
        <v>5371.1951586864379</v>
      </c>
      <c r="C107" s="193">
        <v>6802</v>
      </c>
      <c r="D107" s="200" t="s">
        <v>914</v>
      </c>
      <c r="E107" t="s">
        <v>293</v>
      </c>
      <c r="F107">
        <v>0.17124</v>
      </c>
      <c r="G107" t="s">
        <v>398</v>
      </c>
      <c r="H107">
        <v>1.26824</v>
      </c>
      <c r="I107">
        <v>3.0599999999999998E-3</v>
      </c>
      <c r="J107">
        <v>1.26824</v>
      </c>
      <c r="K107" s="88">
        <v>1.26824</v>
      </c>
      <c r="L107">
        <v>1.26824</v>
      </c>
      <c r="M107">
        <v>0.36643999999999999</v>
      </c>
      <c r="N107">
        <f>PSI_OC!$A$7</f>
        <v>10</v>
      </c>
      <c r="O107">
        <v>-1</v>
      </c>
      <c r="P107" t="s">
        <v>482</v>
      </c>
      <c r="Q107" s="17">
        <f t="shared" si="51"/>
        <v>-5826595.2613230776</v>
      </c>
      <c r="R107" t="s">
        <v>537</v>
      </c>
      <c r="X107">
        <f t="shared" si="52"/>
        <v>0</v>
      </c>
      <c r="Y107">
        <f t="shared" si="53"/>
        <v>0</v>
      </c>
      <c r="Z107" s="17">
        <f t="shared" si="54"/>
        <v>0</v>
      </c>
      <c r="AA107" s="17">
        <f t="shared" si="55"/>
        <v>0</v>
      </c>
      <c r="AB107">
        <f t="shared" si="56"/>
        <v>0</v>
      </c>
      <c r="AC107">
        <f t="shared" si="57"/>
        <v>0</v>
      </c>
      <c r="AD107">
        <f t="shared" si="58"/>
        <v>0</v>
      </c>
      <c r="AK107" s="8">
        <f t="shared" si="59"/>
        <v>0</v>
      </c>
      <c r="AL107" s="8">
        <f t="shared" si="60"/>
        <v>0</v>
      </c>
      <c r="AM107" s="8">
        <f t="shared" si="61"/>
        <v>0</v>
      </c>
      <c r="AN107" s="8">
        <f t="shared" si="62"/>
        <v>0</v>
      </c>
      <c r="AO107" s="8">
        <f t="shared" si="63"/>
        <v>0</v>
      </c>
      <c r="AP107" s="8">
        <f t="shared" si="64"/>
        <v>0</v>
      </c>
      <c r="AQ107" s="8">
        <f t="shared" si="65"/>
        <v>0</v>
      </c>
    </row>
    <row r="108" spans="1:43" x14ac:dyDescent="0.2">
      <c r="A108" s="191" t="s">
        <v>893</v>
      </c>
      <c r="B108" s="193">
        <f t="shared" si="50"/>
        <v>0</v>
      </c>
      <c r="C108" s="192"/>
      <c r="D108" s="200"/>
      <c r="E108" t="s">
        <v>294</v>
      </c>
      <c r="F108">
        <v>1.7000000000000001E-4</v>
      </c>
      <c r="G108" t="s">
        <v>399</v>
      </c>
      <c r="H108">
        <v>1.2999999999999999E-4</v>
      </c>
      <c r="I108">
        <v>3.1E-4</v>
      </c>
      <c r="J108">
        <v>1.2999999999999999E-4</v>
      </c>
      <c r="K108" s="88">
        <v>1.2999999999999999E-4</v>
      </c>
      <c r="L108">
        <v>1.2999999999999999E-4</v>
      </c>
      <c r="M108">
        <v>3.6600000000000001E-3</v>
      </c>
      <c r="N108">
        <f>PSI_OC!$A$8</f>
        <v>1</v>
      </c>
      <c r="O108">
        <v>-1</v>
      </c>
      <c r="P108" t="s">
        <v>483</v>
      </c>
      <c r="Q108" s="17">
        <f t="shared" si="51"/>
        <v>-523.38210385800073</v>
      </c>
      <c r="R108" t="s">
        <v>537</v>
      </c>
      <c r="X108">
        <f t="shared" si="52"/>
        <v>-1064.9144569017469</v>
      </c>
      <c r="Y108">
        <f t="shared" si="53"/>
        <v>-14114.515868377423</v>
      </c>
      <c r="Z108" s="17">
        <f t="shared" si="54"/>
        <v>-329.86900527849861</v>
      </c>
      <c r="AA108" s="17">
        <f t="shared" si="55"/>
        <v>-299.80342056974786</v>
      </c>
      <c r="AB108">
        <f t="shared" si="56"/>
        <v>-188.78740231562148</v>
      </c>
      <c r="AC108">
        <f t="shared" si="57"/>
        <v>-3145.4585884299281</v>
      </c>
      <c r="AD108">
        <f t="shared" si="58"/>
        <v>-4579.937251714271</v>
      </c>
      <c r="AK108" s="8">
        <f t="shared" si="59"/>
        <v>-126132.23809322232</v>
      </c>
      <c r="AL108" s="8">
        <f t="shared" si="60"/>
        <v>-29228.620789508965</v>
      </c>
      <c r="AM108" s="8">
        <f t="shared" si="61"/>
        <v>-6445.1467580453436</v>
      </c>
      <c r="AN108" s="8">
        <f t="shared" si="62"/>
        <v>-63506.24691482506</v>
      </c>
      <c r="AO108" s="8">
        <f t="shared" si="63"/>
        <v>-57431.995948930627</v>
      </c>
      <c r="AP108" s="8">
        <f t="shared" si="64"/>
        <v>-43991.839476131783</v>
      </c>
      <c r="AQ108" s="8">
        <f t="shared" si="65"/>
        <v>-52132347.944134697</v>
      </c>
    </row>
    <row r="109" spans="1:43" x14ac:dyDescent="0.2">
      <c r="A109" s="75" t="s">
        <v>894</v>
      </c>
      <c r="B109" s="193">
        <f t="shared" si="50"/>
        <v>23229.90578921459</v>
      </c>
      <c r="C109" s="193">
        <v>29418</v>
      </c>
      <c r="D109" s="200" t="s">
        <v>914</v>
      </c>
      <c r="E109" t="s">
        <v>336</v>
      </c>
      <c r="F109">
        <v>1.7000000000000001E-4</v>
      </c>
      <c r="G109" t="s">
        <v>400</v>
      </c>
      <c r="H109">
        <v>1.2700000000000001E-3</v>
      </c>
      <c r="I109">
        <v>0</v>
      </c>
      <c r="J109">
        <v>1.2700000000000001E-3</v>
      </c>
      <c r="K109" s="88">
        <v>1.2700000000000001E-3</v>
      </c>
      <c r="L109">
        <v>1.2700000000000001E-3</v>
      </c>
      <c r="M109">
        <v>3.6999999999999999E-4</v>
      </c>
      <c r="N109">
        <f>PSI_OC!$A$6</f>
        <v>100</v>
      </c>
      <c r="O109">
        <v>-1</v>
      </c>
      <c r="P109" t="s">
        <v>484</v>
      </c>
      <c r="Q109" s="17">
        <f t="shared" si="51"/>
        <v>-58222.492870784525</v>
      </c>
      <c r="R109" t="s">
        <v>537</v>
      </c>
      <c r="X109">
        <f t="shared" si="52"/>
        <v>-1064.9144569017469</v>
      </c>
      <c r="Y109">
        <f t="shared" si="53"/>
        <v>-14114.515868377423</v>
      </c>
      <c r="Z109" s="17">
        <f t="shared" si="54"/>
        <v>-329.86900527849861</v>
      </c>
      <c r="AA109" s="17">
        <f t="shared" si="55"/>
        <v>-29937.850233586942</v>
      </c>
      <c r="AB109">
        <f t="shared" si="56"/>
        <v>-188.78740231562148</v>
      </c>
      <c r="AC109">
        <f t="shared" si="57"/>
        <v>-3145.4585884299281</v>
      </c>
      <c r="AD109">
        <f t="shared" si="58"/>
        <v>-4579.937251714271</v>
      </c>
      <c r="AK109" s="8">
        <f t="shared" si="59"/>
        <v>-126132.23809322232</v>
      </c>
      <c r="AL109" s="8">
        <f t="shared" si="60"/>
        <v>-29228.620789508965</v>
      </c>
      <c r="AM109" s="8">
        <f t="shared" si="61"/>
        <v>-6445.1467580453436</v>
      </c>
      <c r="AN109" s="8">
        <f t="shared" si="62"/>
        <v>-63506.24691482506</v>
      </c>
      <c r="AO109" s="8">
        <f t="shared" si="63"/>
        <v>-57431.995948930627</v>
      </c>
      <c r="AP109" s="8">
        <f t="shared" si="64"/>
        <v>-43991.839476131783</v>
      </c>
      <c r="AQ109" s="8">
        <f t="shared" si="65"/>
        <v>-52132347.944134697</v>
      </c>
    </row>
    <row r="110" spans="1:43" x14ac:dyDescent="0.2">
      <c r="A110" s="75" t="s">
        <v>895</v>
      </c>
      <c r="B110" s="193">
        <f t="shared" si="50"/>
        <v>33191.332858727881</v>
      </c>
      <c r="C110" s="193">
        <v>42033</v>
      </c>
      <c r="D110" s="200" t="s">
        <v>914</v>
      </c>
      <c r="E110" t="s">
        <v>295</v>
      </c>
      <c r="F110">
        <v>1.7000000000000001E-4</v>
      </c>
      <c r="G110" t="s">
        <v>401</v>
      </c>
      <c r="H110">
        <v>1.2999999999999999E-4</v>
      </c>
      <c r="I110">
        <v>3.1E-4</v>
      </c>
      <c r="J110">
        <v>1.2999999999999999E-4</v>
      </c>
      <c r="K110" s="88">
        <v>1.2999999999999999E-4</v>
      </c>
      <c r="L110">
        <v>1.2999999999999999E-4</v>
      </c>
      <c r="M110">
        <v>3.6999999999999999E-4</v>
      </c>
      <c r="N110">
        <f>PSI_OC!$A$6</f>
        <v>100</v>
      </c>
      <c r="O110">
        <v>-1</v>
      </c>
      <c r="P110" t="s">
        <v>485</v>
      </c>
      <c r="Q110" s="17">
        <f t="shared" si="51"/>
        <v>-24063.459686525588</v>
      </c>
      <c r="R110" t="s">
        <v>537</v>
      </c>
      <c r="X110">
        <f t="shared" si="52"/>
        <v>0</v>
      </c>
      <c r="Y110">
        <f t="shared" si="53"/>
        <v>0</v>
      </c>
      <c r="Z110" s="17">
        <f t="shared" si="54"/>
        <v>0</v>
      </c>
      <c r="AA110" s="17">
        <f t="shared" si="55"/>
        <v>0</v>
      </c>
      <c r="AB110">
        <f t="shared" si="56"/>
        <v>0</v>
      </c>
      <c r="AC110">
        <f t="shared" si="57"/>
        <v>0</v>
      </c>
      <c r="AD110">
        <f t="shared" si="58"/>
        <v>0</v>
      </c>
      <c r="AK110" s="8">
        <f t="shared" si="59"/>
        <v>0</v>
      </c>
      <c r="AL110" s="8">
        <f t="shared" si="60"/>
        <v>0</v>
      </c>
      <c r="AM110" s="8">
        <f t="shared" si="61"/>
        <v>0</v>
      </c>
      <c r="AN110" s="8">
        <f t="shared" si="62"/>
        <v>0</v>
      </c>
      <c r="AO110" s="8">
        <f t="shared" si="63"/>
        <v>0</v>
      </c>
      <c r="AP110" s="8">
        <f t="shared" si="64"/>
        <v>0</v>
      </c>
      <c r="AQ110" s="8">
        <f t="shared" si="65"/>
        <v>0</v>
      </c>
    </row>
    <row r="111" spans="1:43" x14ac:dyDescent="0.2">
      <c r="A111" s="75" t="s">
        <v>896</v>
      </c>
      <c r="B111" s="193">
        <f t="shared" si="50"/>
        <v>2297.0900788913336</v>
      </c>
      <c r="C111" s="193">
        <v>2909</v>
      </c>
      <c r="D111" s="200" t="s">
        <v>914</v>
      </c>
      <c r="E111" t="s">
        <v>296</v>
      </c>
      <c r="F111">
        <v>1.7099999999999999E-3</v>
      </c>
      <c r="G111" t="s">
        <v>402</v>
      </c>
      <c r="H111">
        <v>1.26824</v>
      </c>
      <c r="I111">
        <v>3.0599999999999998E-3</v>
      </c>
      <c r="J111">
        <v>1.2700000000000001E-3</v>
      </c>
      <c r="K111" s="88">
        <v>1.26824</v>
      </c>
      <c r="L111">
        <v>1.26824</v>
      </c>
      <c r="M111">
        <v>3.6600000000000001E-3</v>
      </c>
      <c r="N111">
        <f>PSI_OC!$A$7</f>
        <v>10</v>
      </c>
      <c r="O111">
        <v>-1</v>
      </c>
      <c r="P111" t="s">
        <v>486</v>
      </c>
      <c r="Q111" s="17">
        <f t="shared" si="51"/>
        <v>-5110152.5840518177</v>
      </c>
      <c r="R111" t="s">
        <v>537</v>
      </c>
      <c r="X111">
        <f t="shared" si="52"/>
        <v>-1064.9144569017469</v>
      </c>
      <c r="Y111">
        <f t="shared" si="53"/>
        <v>-1429.9019343781049</v>
      </c>
      <c r="Z111" s="17">
        <f t="shared" si="54"/>
        <v>-329.86900527849861</v>
      </c>
      <c r="AA111" s="17">
        <f t="shared" si="55"/>
        <v>-299.80342056974786</v>
      </c>
      <c r="AB111">
        <f t="shared" si="56"/>
        <v>-188.78740231562148</v>
      </c>
      <c r="AC111">
        <f t="shared" si="57"/>
        <v>-3145.4585884299281</v>
      </c>
      <c r="AD111">
        <f t="shared" si="58"/>
        <v>-4579.937251714271</v>
      </c>
      <c r="AK111" s="8">
        <f t="shared" si="59"/>
        <v>-126132.23809322232</v>
      </c>
      <c r="AL111" s="8">
        <f t="shared" si="60"/>
        <v>-29228.620789508965</v>
      </c>
      <c r="AM111" s="8">
        <f t="shared" si="61"/>
        <v>-6445.1467580453436</v>
      </c>
      <c r="AN111" s="8">
        <f t="shared" si="62"/>
        <v>-63506.24691482506</v>
      </c>
      <c r="AO111" s="8">
        <f t="shared" si="63"/>
        <v>-57431.995948930627</v>
      </c>
      <c r="AP111" s="8">
        <f t="shared" si="64"/>
        <v>-43991.839476131783</v>
      </c>
      <c r="AQ111" s="8">
        <f t="shared" si="65"/>
        <v>-5209998.770332519</v>
      </c>
    </row>
    <row r="112" spans="1:43" x14ac:dyDescent="0.2">
      <c r="A112" s="75" t="s">
        <v>897</v>
      </c>
      <c r="B112" s="193">
        <f t="shared" si="50"/>
        <v>267.6911436040433</v>
      </c>
      <c r="C112" s="193">
        <v>339</v>
      </c>
      <c r="D112" s="200" t="s">
        <v>914</v>
      </c>
      <c r="E112" t="s">
        <v>297</v>
      </c>
      <c r="F112">
        <v>1.7000000000000001E-4</v>
      </c>
      <c r="G112" t="s">
        <v>403</v>
      </c>
      <c r="H112">
        <v>1.2999999999999999E-4</v>
      </c>
      <c r="I112">
        <v>3.0599999999999998E-3</v>
      </c>
      <c r="J112">
        <v>1.2999999999999999E-4</v>
      </c>
      <c r="K112" s="88">
        <v>1.2999999999999999E-4</v>
      </c>
      <c r="L112">
        <v>1.2999999999999999E-4</v>
      </c>
      <c r="M112">
        <v>3.6600000000000001E-3</v>
      </c>
      <c r="N112">
        <f>PSI_OC!$A$7</f>
        <v>10</v>
      </c>
      <c r="O112">
        <v>-1</v>
      </c>
      <c r="P112" t="s">
        <v>487</v>
      </c>
      <c r="Q112" s="17">
        <f t="shared" si="51"/>
        <v>-17918.434972579329</v>
      </c>
      <c r="R112" t="s">
        <v>537</v>
      </c>
    </row>
    <row r="113" spans="1:27" x14ac:dyDescent="0.2">
      <c r="A113" s="75" t="s">
        <v>898</v>
      </c>
      <c r="B113" s="193">
        <f t="shared" si="50"/>
        <v>794.38728750934388</v>
      </c>
      <c r="C113" s="193">
        <v>1006</v>
      </c>
      <c r="D113" s="200" t="s">
        <v>914</v>
      </c>
      <c r="E113" t="s">
        <v>298</v>
      </c>
      <c r="F113">
        <v>1.7099999999999999E-3</v>
      </c>
      <c r="G113" t="s">
        <v>394</v>
      </c>
      <c r="H113">
        <v>1.2999999999999999E-4</v>
      </c>
      <c r="I113">
        <v>3.0599999999999998E-3</v>
      </c>
      <c r="J113">
        <v>1.26824</v>
      </c>
      <c r="K113" s="88">
        <v>1.2700000000000001E-3</v>
      </c>
      <c r="L113">
        <v>1.2999999999999999E-4</v>
      </c>
      <c r="M113">
        <v>0.36643999999999999</v>
      </c>
      <c r="N113">
        <f>PSI_OC!$A$7</f>
        <v>10</v>
      </c>
      <c r="O113">
        <v>-1</v>
      </c>
      <c r="P113" t="s">
        <v>478</v>
      </c>
      <c r="Q113" s="17">
        <f t="shared" si="51"/>
        <v>-630309.38286869309</v>
      </c>
      <c r="R113" t="s">
        <v>537</v>
      </c>
    </row>
    <row r="114" spans="1:27" x14ac:dyDescent="0.2">
      <c r="A114" s="75" t="s">
        <v>899</v>
      </c>
      <c r="B114" s="193">
        <f t="shared" si="50"/>
        <v>983.90314138831263</v>
      </c>
      <c r="C114" s="193">
        <v>1246</v>
      </c>
      <c r="D114" s="200" t="s">
        <v>914</v>
      </c>
      <c r="E114" t="s">
        <v>299</v>
      </c>
      <c r="F114">
        <v>1.7000000000000001E-4</v>
      </c>
      <c r="G114" t="s">
        <v>404</v>
      </c>
      <c r="H114">
        <v>1.2999999999999999E-4</v>
      </c>
      <c r="I114">
        <v>0.30602000000000001</v>
      </c>
      <c r="J114">
        <v>1.2999999999999999E-4</v>
      </c>
      <c r="K114" s="88">
        <v>1.2999999999999999E-4</v>
      </c>
      <c r="L114">
        <v>1.2999999999999999E-4</v>
      </c>
      <c r="M114">
        <v>3.6999999999999999E-4</v>
      </c>
      <c r="N114">
        <f>PSI_OC!$A$7</f>
        <v>10</v>
      </c>
      <c r="O114">
        <v>-1</v>
      </c>
      <c r="P114" t="s">
        <v>488</v>
      </c>
      <c r="Q114" s="17">
        <f t="shared" si="51"/>
        <v>-1412520.2826097186</v>
      </c>
      <c r="R114" t="s">
        <v>537</v>
      </c>
    </row>
    <row r="115" spans="1:27" x14ac:dyDescent="0.2">
      <c r="A115" s="75" t="s">
        <v>900</v>
      </c>
      <c r="B115" s="193">
        <f t="shared" si="50"/>
        <v>886.77626627534107</v>
      </c>
      <c r="C115" s="193">
        <v>1123</v>
      </c>
      <c r="D115" s="200" t="s">
        <v>914</v>
      </c>
      <c r="E115" t="s">
        <v>300</v>
      </c>
      <c r="F115">
        <v>1.7099999999999999E-3</v>
      </c>
      <c r="G115" t="s">
        <v>405</v>
      </c>
      <c r="H115">
        <v>0.12681999999999999</v>
      </c>
      <c r="I115">
        <v>3.0599999999999998E-3</v>
      </c>
      <c r="J115">
        <v>1.2700000000000001E-3</v>
      </c>
      <c r="K115" s="88">
        <v>0.12681999999999999</v>
      </c>
      <c r="L115">
        <v>0.12681999999999999</v>
      </c>
      <c r="M115">
        <v>3.6600000000000001E-3</v>
      </c>
      <c r="N115">
        <f>PSI_OC!$A$7</f>
        <v>10</v>
      </c>
      <c r="O115">
        <v>-1</v>
      </c>
      <c r="P115" t="s">
        <v>489</v>
      </c>
      <c r="Q115" s="17">
        <f t="shared" si="51"/>
        <v>-527761.42294332606</v>
      </c>
      <c r="R115" t="s">
        <v>537</v>
      </c>
    </row>
    <row r="116" spans="1:27" x14ac:dyDescent="0.2">
      <c r="A116" s="75" t="s">
        <v>901</v>
      </c>
      <c r="B116" s="193">
        <f t="shared" si="50"/>
        <v>572.49580859271805</v>
      </c>
      <c r="C116" s="193">
        <v>725</v>
      </c>
      <c r="D116" s="200" t="s">
        <v>914</v>
      </c>
      <c r="E116" t="s">
        <v>301</v>
      </c>
      <c r="F116">
        <v>1.7099999999999999E-3</v>
      </c>
      <c r="G116" t="s">
        <v>406</v>
      </c>
      <c r="H116">
        <v>1.2700000000000001E-3</v>
      </c>
      <c r="I116">
        <v>0.30602000000000001</v>
      </c>
      <c r="J116">
        <v>1.2999999999999999E-4</v>
      </c>
      <c r="K116" s="88">
        <v>1.2700000000000001E-3</v>
      </c>
      <c r="L116">
        <v>1.2700000000000001E-3</v>
      </c>
      <c r="M116">
        <v>3.6639999999999999E-2</v>
      </c>
      <c r="N116">
        <f>PSI_OC!$A$6</f>
        <v>100</v>
      </c>
      <c r="O116">
        <v>-1</v>
      </c>
      <c r="P116" t="s">
        <v>490</v>
      </c>
      <c r="Q116" s="17">
        <f t="shared" si="51"/>
        <v>-14492269.977116616</v>
      </c>
      <c r="R116" t="s">
        <v>537</v>
      </c>
      <c r="Z116" s="17"/>
      <c r="AA116" s="17"/>
    </row>
    <row r="117" spans="1:27" x14ac:dyDescent="0.2">
      <c r="A117" s="75" t="s">
        <v>902</v>
      </c>
      <c r="B117" s="193">
        <f t="shared" si="50"/>
        <v>2709.2870610780906</v>
      </c>
      <c r="C117" s="193">
        <v>3431</v>
      </c>
      <c r="D117" s="200" t="s">
        <v>914</v>
      </c>
      <c r="E117" t="s">
        <v>302</v>
      </c>
      <c r="F117">
        <v>1.7000000000000001E-4</v>
      </c>
      <c r="G117" t="s">
        <v>407</v>
      </c>
      <c r="H117">
        <v>1.2700000000000001E-3</v>
      </c>
      <c r="I117">
        <v>3.0599999999999998E-3</v>
      </c>
      <c r="J117">
        <v>0.12681999999999999</v>
      </c>
      <c r="K117" s="88">
        <v>1.2700000000000001E-3</v>
      </c>
      <c r="L117">
        <v>1.2700000000000001E-3</v>
      </c>
      <c r="M117">
        <v>3.6999999999999999E-4</v>
      </c>
      <c r="N117">
        <f>PSI_OC!$A$6</f>
        <v>100</v>
      </c>
      <c r="O117">
        <v>-1</v>
      </c>
      <c r="P117" t="s">
        <v>491</v>
      </c>
      <c r="Q117" s="17">
        <f t="shared" si="51"/>
        <v>-495748.11968473066</v>
      </c>
      <c r="R117" t="s">
        <v>537</v>
      </c>
    </row>
    <row r="118" spans="1:27" x14ac:dyDescent="0.2">
      <c r="A118" s="75"/>
      <c r="B118" s="193"/>
      <c r="C118" s="193"/>
      <c r="E118" t="s">
        <v>303</v>
      </c>
      <c r="F118">
        <v>1.7099999999999999E-3</v>
      </c>
      <c r="G118" t="s">
        <v>408</v>
      </c>
      <c r="H118">
        <v>1.2700000000000001E-3</v>
      </c>
      <c r="I118">
        <v>3.0599999999999998E-3</v>
      </c>
      <c r="J118">
        <v>1.2700000000000001E-3</v>
      </c>
      <c r="K118" s="88">
        <v>1.2700000000000001E-3</v>
      </c>
      <c r="L118">
        <v>1.2700000000000001E-3</v>
      </c>
      <c r="M118">
        <v>3.6600000000000001E-3</v>
      </c>
      <c r="N118">
        <f>PSI_OC!$A$7</f>
        <v>10</v>
      </c>
      <c r="O118">
        <v>-1</v>
      </c>
      <c r="P118" t="s">
        <v>492</v>
      </c>
      <c r="Q118" s="17">
        <f t="shared" si="51"/>
        <v>-23723.285993587237</v>
      </c>
      <c r="R118" t="s">
        <v>537</v>
      </c>
    </row>
    <row r="119" spans="1:27" x14ac:dyDescent="0.2">
      <c r="A119" s="75"/>
      <c r="B119" s="193"/>
      <c r="C119" s="193"/>
      <c r="E119" t="s">
        <v>304</v>
      </c>
      <c r="F119">
        <v>1.7099999999999999E-3</v>
      </c>
      <c r="G119" t="s">
        <v>409</v>
      </c>
      <c r="H119">
        <v>1.26824</v>
      </c>
      <c r="I119">
        <v>3.0602</v>
      </c>
      <c r="J119">
        <v>1.2700000000000001E-3</v>
      </c>
      <c r="K119" s="88">
        <v>1.26824</v>
      </c>
      <c r="L119">
        <v>1.26824</v>
      </c>
      <c r="M119">
        <v>3.6600000000000001E-3</v>
      </c>
      <c r="N119">
        <f>PSI_OC!$A$6</f>
        <v>100</v>
      </c>
      <c r="O119">
        <v>-1</v>
      </c>
      <c r="P119" t="s">
        <v>493</v>
      </c>
      <c r="Q119" s="17">
        <f t="shared" si="51"/>
        <v>-192114764.53937882</v>
      </c>
      <c r="R119" t="s">
        <v>537</v>
      </c>
    </row>
    <row r="120" spans="1:27" x14ac:dyDescent="0.2">
      <c r="A120" s="75"/>
      <c r="B120" s="193"/>
      <c r="C120" s="193"/>
      <c r="E120" t="s">
        <v>305</v>
      </c>
      <c r="F120">
        <v>1.7000000000000001E-4</v>
      </c>
      <c r="G120" t="s">
        <v>410</v>
      </c>
      <c r="H120">
        <v>1.2700000000000001E-3</v>
      </c>
      <c r="I120">
        <v>3.0599999999999998E-3</v>
      </c>
      <c r="J120">
        <v>1.2700000000000001E-3</v>
      </c>
      <c r="K120" s="88">
        <v>1.2700000000000001E-3</v>
      </c>
      <c r="L120">
        <v>1.2700000000000001E-3</v>
      </c>
      <c r="M120">
        <v>3.6600000000000001E-3</v>
      </c>
      <c r="N120">
        <f>PSI_OC!$A$7</f>
        <v>10</v>
      </c>
      <c r="O120">
        <v>-1</v>
      </c>
      <c r="P120" t="s">
        <v>494</v>
      </c>
      <c r="Q120" s="17">
        <f>((SUM(B$23:B$31)*F120)+(SUM(B$33:B$37,B$41:B$42,B$45,B$47,B$50,B$52:B$55,B$58:B$63,B$65:B$67,B$69:B$73,B$77,B$79:B$81,B$84:B$85,B$87:B$95,B$97:B$103)*I120)+(SUM(B$39:B$40,B$76)*K120)+(SUM(B$43,B$46,B$49,B$51,B$56)*L120)+(SUM(B$44,B$78)*H120)+(SUM(B$75,B$83)*J120)+(SUM(B$105:B$107,B$109:B$117)*M120))*(N120*O120)</f>
        <v>-22764.240225383324</v>
      </c>
      <c r="R120" t="s">
        <v>537</v>
      </c>
    </row>
    <row r="121" spans="1:27" x14ac:dyDescent="0.2">
      <c r="A121" s="75"/>
      <c r="B121" s="193"/>
      <c r="C121" s="193"/>
      <c r="E121" t="s">
        <v>306</v>
      </c>
      <c r="F121">
        <v>1.712E-2</v>
      </c>
      <c r="G121" t="s">
        <v>411</v>
      </c>
      <c r="H121">
        <v>1.2700000000000001E-3</v>
      </c>
      <c r="I121">
        <v>3.0599999999999998E-3</v>
      </c>
      <c r="J121">
        <v>1.26824</v>
      </c>
      <c r="K121" s="88">
        <v>1.2700000000000001E-3</v>
      </c>
      <c r="L121">
        <v>1.2700000000000001E-3</v>
      </c>
      <c r="M121">
        <v>3.6600000000000001E-3</v>
      </c>
      <c r="N121">
        <f>PSI_OC!$A$8</f>
        <v>1</v>
      </c>
      <c r="O121">
        <v>-1</v>
      </c>
      <c r="P121" t="s">
        <v>495</v>
      </c>
      <c r="Q121" s="17">
        <f t="shared" si="51"/>
        <v>-33240.811278826899</v>
      </c>
      <c r="R121" t="s">
        <v>537</v>
      </c>
    </row>
    <row r="122" spans="1:27" x14ac:dyDescent="0.2">
      <c r="A122" s="75"/>
      <c r="B122" s="193"/>
      <c r="C122" s="193"/>
      <c r="E122" t="s">
        <v>307</v>
      </c>
      <c r="F122">
        <v>1.7099999999999999E-3</v>
      </c>
      <c r="G122" t="s">
        <v>411</v>
      </c>
      <c r="H122">
        <v>1.2700000000000001E-3</v>
      </c>
      <c r="I122">
        <v>3.0599999999999998E-3</v>
      </c>
      <c r="J122">
        <v>1.2700000000000001E-3</v>
      </c>
      <c r="K122" s="88">
        <v>1.2700000000000001E-3</v>
      </c>
      <c r="L122">
        <v>1.2700000000000001E-3</v>
      </c>
      <c r="M122">
        <v>3.6600000000000001E-3</v>
      </c>
      <c r="N122">
        <f>PSI_OC!$A$8</f>
        <v>1</v>
      </c>
      <c r="O122">
        <v>-1</v>
      </c>
      <c r="P122" t="s">
        <v>495</v>
      </c>
      <c r="Q122" s="17">
        <f t="shared" si="51"/>
        <v>-2372.3285993587237</v>
      </c>
      <c r="R122" t="s">
        <v>537</v>
      </c>
    </row>
    <row r="123" spans="1:27" x14ac:dyDescent="0.2">
      <c r="A123" s="75"/>
      <c r="B123" s="193"/>
      <c r="C123" s="193"/>
      <c r="E123" t="s">
        <v>337</v>
      </c>
      <c r="F123">
        <v>0.17124</v>
      </c>
      <c r="G123" t="s">
        <v>412</v>
      </c>
      <c r="H123">
        <v>0.12681999999999999</v>
      </c>
      <c r="I123">
        <v>3.0599999999999998E-3</v>
      </c>
      <c r="J123">
        <v>1.2700000000000001E-3</v>
      </c>
      <c r="K123" s="88">
        <v>0.12681999999999999</v>
      </c>
      <c r="L123">
        <v>0.12681999999999999</v>
      </c>
      <c r="M123">
        <v>3.6644000000000001</v>
      </c>
      <c r="N123">
        <v>0</v>
      </c>
      <c r="O123">
        <v>0</v>
      </c>
      <c r="P123" t="s">
        <v>496</v>
      </c>
      <c r="Q123" s="17">
        <f t="shared" si="51"/>
        <v>0</v>
      </c>
      <c r="R123" t="s">
        <v>537</v>
      </c>
    </row>
    <row r="124" spans="1:27" x14ac:dyDescent="0.2">
      <c r="A124" s="75"/>
      <c r="B124" s="193"/>
      <c r="C124" s="193"/>
      <c r="E124" t="s">
        <v>308</v>
      </c>
      <c r="F124">
        <v>1.7099999999999999E-3</v>
      </c>
      <c r="G124" t="s">
        <v>413</v>
      </c>
      <c r="H124">
        <v>1.2700000000000001E-3</v>
      </c>
      <c r="I124">
        <v>3.0599999999999998E-3</v>
      </c>
      <c r="J124">
        <v>1.2700000000000001E-3</v>
      </c>
      <c r="K124" s="88">
        <v>1.2700000000000001E-3</v>
      </c>
      <c r="L124">
        <v>1.2700000000000001E-3</v>
      </c>
      <c r="M124">
        <v>3.6600000000000001E-3</v>
      </c>
      <c r="N124">
        <f>PSI_OC!$A$7</f>
        <v>10</v>
      </c>
      <c r="O124">
        <v>-1</v>
      </c>
      <c r="P124" t="s">
        <v>497</v>
      </c>
      <c r="Q124" s="17">
        <f t="shared" si="51"/>
        <v>-23723.285993587237</v>
      </c>
      <c r="R124" t="s">
        <v>537</v>
      </c>
    </row>
    <row r="125" spans="1:27" x14ac:dyDescent="0.2">
      <c r="A125" s="75"/>
      <c r="B125" s="193"/>
      <c r="C125" s="193"/>
      <c r="E125" t="s">
        <v>309</v>
      </c>
      <c r="F125">
        <v>1.7099999999999999E-3</v>
      </c>
      <c r="G125" t="s">
        <v>413</v>
      </c>
      <c r="H125">
        <v>1.2700000000000001E-3</v>
      </c>
      <c r="I125">
        <v>3.0599999999999998E-3</v>
      </c>
      <c r="J125">
        <v>0.12681999999999999</v>
      </c>
      <c r="K125" s="88">
        <v>1.2700000000000001E-3</v>
      </c>
      <c r="L125">
        <v>1.2700000000000001E-3</v>
      </c>
      <c r="M125">
        <v>3.6600000000000001E-3</v>
      </c>
      <c r="N125">
        <f>PSI_OC!$A$7</f>
        <v>10</v>
      </c>
      <c r="O125">
        <v>-1</v>
      </c>
      <c r="P125" t="s">
        <v>497</v>
      </c>
      <c r="Q125" s="17">
        <f t="shared" si="51"/>
        <v>-53361.332806604434</v>
      </c>
      <c r="R125" t="s">
        <v>537</v>
      </c>
    </row>
    <row r="126" spans="1:27" x14ac:dyDescent="0.2">
      <c r="A126" s="75"/>
      <c r="B126" s="193"/>
      <c r="C126" s="193"/>
      <c r="E126" t="s">
        <v>310</v>
      </c>
      <c r="F126">
        <v>1.7099999999999999E-3</v>
      </c>
      <c r="G126" t="s">
        <v>413</v>
      </c>
      <c r="H126">
        <v>1.2700000000000001E-3</v>
      </c>
      <c r="I126">
        <v>3.0599999999999998E-3</v>
      </c>
      <c r="J126">
        <v>1.2700000000000001E-3</v>
      </c>
      <c r="K126" s="88">
        <v>1.2700000000000001E-3</v>
      </c>
      <c r="L126">
        <v>1.2700000000000001E-3</v>
      </c>
      <c r="M126">
        <v>3.6600000000000001E-3</v>
      </c>
      <c r="N126">
        <v>0</v>
      </c>
      <c r="O126">
        <v>0</v>
      </c>
      <c r="P126" t="s">
        <v>497</v>
      </c>
      <c r="Q126" s="17">
        <f t="shared" si="51"/>
        <v>0</v>
      </c>
      <c r="R126" t="s">
        <v>537</v>
      </c>
    </row>
    <row r="127" spans="1:27" x14ac:dyDescent="0.2">
      <c r="A127" s="75"/>
      <c r="B127" s="193"/>
      <c r="C127" s="193"/>
      <c r="E127" t="s">
        <v>311</v>
      </c>
      <c r="F127">
        <v>1.7099999999999999E-3</v>
      </c>
      <c r="G127" t="s">
        <v>414</v>
      </c>
      <c r="H127">
        <v>1.2700000000000001E-3</v>
      </c>
      <c r="I127">
        <v>3.1E-4</v>
      </c>
      <c r="J127">
        <v>1.2700000000000001E-3</v>
      </c>
      <c r="K127" s="88">
        <v>1.2700000000000001E-3</v>
      </c>
      <c r="L127">
        <v>1.2700000000000001E-3</v>
      </c>
      <c r="M127">
        <v>3.6600000000000001E-3</v>
      </c>
      <c r="N127">
        <f>PSI_OC!$A$7</f>
        <v>10</v>
      </c>
      <c r="O127">
        <v>-1</v>
      </c>
      <c r="P127" t="s">
        <v>498</v>
      </c>
      <c r="Q127" s="17">
        <f t="shared" si="51"/>
        <v>-11038.672059587918</v>
      </c>
      <c r="R127" t="s">
        <v>537</v>
      </c>
    </row>
    <row r="128" spans="1:27" x14ac:dyDescent="0.2">
      <c r="A128" s="75"/>
      <c r="B128" s="193"/>
      <c r="C128" s="193"/>
    </row>
    <row r="129" spans="1:20" x14ac:dyDescent="0.2">
      <c r="A129" s="75"/>
      <c r="B129" s="193"/>
      <c r="C129" s="193"/>
    </row>
    <row r="130" spans="1:20" x14ac:dyDescent="0.2">
      <c r="A130" s="75"/>
      <c r="B130" s="193"/>
      <c r="C130" s="193"/>
    </row>
    <row r="131" spans="1:20" x14ac:dyDescent="0.2">
      <c r="A131" s="75"/>
      <c r="B131" s="75"/>
      <c r="C131" s="75"/>
    </row>
    <row r="132" spans="1:20" ht="15" customHeight="1" x14ac:dyDescent="0.2">
      <c r="A132" s="351" t="s">
        <v>665</v>
      </c>
      <c r="B132" s="351"/>
      <c r="C132" s="351"/>
      <c r="D132" s="351"/>
      <c r="E132" s="351"/>
      <c r="F132" s="351"/>
      <c r="G132" s="351"/>
      <c r="H132" s="351"/>
      <c r="I132" s="351"/>
      <c r="J132" s="351"/>
      <c r="K132" s="351"/>
      <c r="L132" s="351"/>
      <c r="M132" s="351"/>
      <c r="N132" s="351"/>
      <c r="O132" s="351"/>
      <c r="P132" s="351"/>
      <c r="Q132" s="351"/>
      <c r="R132" s="351"/>
      <c r="S132" s="351"/>
      <c r="T132" s="351"/>
    </row>
    <row r="133" spans="1:20" ht="15" customHeight="1" x14ac:dyDescent="0.2">
      <c r="A133" s="352"/>
      <c r="B133" s="352"/>
      <c r="C133" s="352"/>
      <c r="D133" s="352"/>
      <c r="E133" s="352"/>
      <c r="F133" s="352"/>
      <c r="G133" s="352"/>
      <c r="H133" s="352"/>
      <c r="I133" s="352"/>
      <c r="J133" s="352"/>
      <c r="K133" s="352"/>
      <c r="L133" s="352"/>
      <c r="M133" s="352"/>
      <c r="N133" s="352"/>
      <c r="O133" s="352"/>
      <c r="P133" s="352"/>
      <c r="Q133" s="352"/>
      <c r="R133" s="352"/>
      <c r="S133" s="352"/>
      <c r="T133" s="352"/>
    </row>
    <row r="134" spans="1:20" x14ac:dyDescent="0.2">
      <c r="A134" s="348" t="s">
        <v>913</v>
      </c>
      <c r="B134" s="501" t="s">
        <v>1030</v>
      </c>
      <c r="C134" s="501" t="s">
        <v>1201</v>
      </c>
      <c r="D134" s="348" t="s">
        <v>658</v>
      </c>
      <c r="E134" s="325" t="s">
        <v>661</v>
      </c>
      <c r="F134" s="326"/>
      <c r="G134" s="327"/>
      <c r="H134" s="79" t="s">
        <v>209</v>
      </c>
      <c r="I134" s="79" t="s">
        <v>585</v>
      </c>
      <c r="J134" s="78" t="s">
        <v>529</v>
      </c>
      <c r="K134" s="131" t="s">
        <v>34</v>
      </c>
      <c r="L134" s="131" t="s">
        <v>919</v>
      </c>
      <c r="M134" s="328" t="s">
        <v>421</v>
      </c>
      <c r="N134" s="329"/>
      <c r="O134" s="330"/>
      <c r="P134" s="334" t="s">
        <v>28</v>
      </c>
      <c r="Q134" s="335"/>
      <c r="R134" s="338" t="s">
        <v>420</v>
      </c>
      <c r="S134" s="339"/>
    </row>
    <row r="135" spans="1:20" x14ac:dyDescent="0.2">
      <c r="A135" s="349"/>
      <c r="B135" s="502"/>
      <c r="C135" s="502"/>
      <c r="D135" s="349"/>
      <c r="E135" s="202" t="s">
        <v>916</v>
      </c>
      <c r="F135" s="203"/>
      <c r="G135" s="204"/>
      <c r="H135" s="87" t="s">
        <v>508</v>
      </c>
      <c r="I135" s="139" t="s">
        <v>917</v>
      </c>
      <c r="J135" s="141" t="s">
        <v>524</v>
      </c>
      <c r="K135" s="134" t="s">
        <v>527</v>
      </c>
      <c r="L135" s="205" t="s">
        <v>918</v>
      </c>
      <c r="M135" s="331"/>
      <c r="N135" s="332"/>
      <c r="O135" s="333"/>
      <c r="P135" s="336"/>
      <c r="Q135" s="337"/>
      <c r="R135" s="340"/>
      <c r="S135" s="341"/>
    </row>
    <row r="136" spans="1:20" x14ac:dyDescent="0.2">
      <c r="A136" s="350"/>
      <c r="B136" s="503"/>
      <c r="C136" s="503"/>
      <c r="D136" s="350"/>
      <c r="E136" s="6" t="s">
        <v>317</v>
      </c>
      <c r="F136" s="58" t="s">
        <v>319</v>
      </c>
      <c r="G136" s="58" t="s">
        <v>5</v>
      </c>
      <c r="H136" s="58" t="s">
        <v>319</v>
      </c>
      <c r="I136" s="58" t="s">
        <v>319</v>
      </c>
      <c r="J136" s="83" t="s">
        <v>319</v>
      </c>
      <c r="K136" s="58" t="s">
        <v>319</v>
      </c>
      <c r="L136" s="58" t="s">
        <v>319</v>
      </c>
      <c r="M136" s="64" t="s">
        <v>0</v>
      </c>
      <c r="N136" s="64" t="s">
        <v>499</v>
      </c>
      <c r="O136" s="64" t="s">
        <v>5</v>
      </c>
      <c r="P136" s="64" t="s">
        <v>0</v>
      </c>
      <c r="Q136" s="58" t="s">
        <v>5</v>
      </c>
      <c r="R136" s="64" t="s">
        <v>0</v>
      </c>
      <c r="S136" s="58" t="s">
        <v>5</v>
      </c>
    </row>
    <row r="137" spans="1:20" x14ac:dyDescent="0.2">
      <c r="A137" s="75" t="s">
        <v>903</v>
      </c>
      <c r="B137" s="193">
        <f>C137*$B$11*($B$9/$B$10)*Variables!F$12</f>
        <v>9931672.2908049058</v>
      </c>
      <c r="C137" s="193">
        <v>1572.1648749999999</v>
      </c>
      <c r="D137" s="138" t="s">
        <v>916</v>
      </c>
      <c r="E137" t="s">
        <v>225</v>
      </c>
      <c r="F137">
        <v>1.2999999999999999E-4</v>
      </c>
      <c r="G137" t="s">
        <v>338</v>
      </c>
      <c r="H137">
        <v>1.2999999999999999E-4</v>
      </c>
      <c r="I137">
        <v>1.2999999999999999E-4</v>
      </c>
      <c r="J137">
        <v>1.2999999999999999E-4</v>
      </c>
      <c r="K137" s="8">
        <v>7.2027900000000002E-5</v>
      </c>
      <c r="L137" s="8">
        <v>7.2027900000000002E-5</v>
      </c>
      <c r="M137">
        <f>PSI_OC!$A$6</f>
        <v>100</v>
      </c>
      <c r="N137">
        <v>-1</v>
      </c>
      <c r="O137" t="s">
        <v>422</v>
      </c>
      <c r="P137" s="8">
        <f>((B$137*F137)+(SUM(B$138:B$139)*K137)+(B$140*H137)+(SUM(B$141:B$142)*I137)+(SUM(B$143:B$144,B$148)*J137)+(SUM(B$146:B$147)*L137))*M137*N137</f>
        <v>-332753.01904401754</v>
      </c>
      <c r="Q137" t="s">
        <v>538</v>
      </c>
      <c r="R137" s="8">
        <f>SUM(P137:P242)*(B9/B10)</f>
        <v>-15311013198.350222</v>
      </c>
      <c r="S137" t="s">
        <v>538</v>
      </c>
    </row>
    <row r="138" spans="1:20" x14ac:dyDescent="0.2">
      <c r="A138" s="75" t="s">
        <v>904</v>
      </c>
      <c r="B138" s="193">
        <f>C138*$B$11*($B$9/$B$10)*Variables!F$12</f>
        <v>2179846.0958891092</v>
      </c>
      <c r="C138" s="193">
        <v>345.06549999999999</v>
      </c>
      <c r="D138" s="134" t="s">
        <v>527</v>
      </c>
      <c r="E138" t="s">
        <v>226</v>
      </c>
      <c r="F138">
        <v>1.2999999999999999E-4</v>
      </c>
      <c r="G138" t="s">
        <v>339</v>
      </c>
      <c r="H138">
        <v>1.2999999999999999E-4</v>
      </c>
      <c r="I138">
        <v>1.2999999999999999E-4</v>
      </c>
      <c r="J138">
        <v>1.2999999999999999E-4</v>
      </c>
      <c r="K138" s="8">
        <v>7.2027900000000002E-5</v>
      </c>
      <c r="L138" s="8">
        <v>7.2027900000000002E-5</v>
      </c>
      <c r="M138">
        <f>PSI_OC!$A$7</f>
        <v>10</v>
      </c>
      <c r="N138">
        <v>-1</v>
      </c>
      <c r="O138" t="s">
        <v>423</v>
      </c>
      <c r="P138" s="8">
        <f t="shared" ref="P138:P201" si="66">((B$137*F138)+(SUM(B$138:B$139)*K138)+(B$140*H138)+(SUM(B$141:B$142)*I138)+(SUM(B$143:B$144,B$148)*J138)+(SUM(B$146:B$147)*L138))*M138*N138</f>
        <v>-33275.301904401756</v>
      </c>
      <c r="Q138" t="s">
        <v>538</v>
      </c>
    </row>
    <row r="139" spans="1:20" x14ac:dyDescent="0.2">
      <c r="A139" s="75" t="s">
        <v>905</v>
      </c>
      <c r="B139" s="193">
        <f>C139*$B$11*($B$9/$B$10)*Variables!F$12</f>
        <v>1879684.5693204694</v>
      </c>
      <c r="C139" s="193">
        <v>297.5505</v>
      </c>
      <c r="D139" s="134" t="s">
        <v>527</v>
      </c>
      <c r="E139" t="s">
        <v>227</v>
      </c>
      <c r="F139">
        <v>1.2700000000000001E-3</v>
      </c>
      <c r="G139" t="s">
        <v>340</v>
      </c>
      <c r="H139">
        <v>1.2700000000000001E-3</v>
      </c>
      <c r="I139">
        <v>1.2700000000000001E-3</v>
      </c>
      <c r="J139">
        <v>1.2700000000000001E-3</v>
      </c>
      <c r="K139">
        <v>7.2000000000000005E-4</v>
      </c>
      <c r="L139">
        <v>7.2000000000000005E-4</v>
      </c>
      <c r="M139">
        <f>PSI_OC!$A$7</f>
        <v>10</v>
      </c>
      <c r="N139">
        <v>-1</v>
      </c>
      <c r="O139" t="s">
        <v>424</v>
      </c>
      <c r="P139" s="8">
        <f t="shared" si="66"/>
        <v>-326736.0879806641</v>
      </c>
      <c r="Q139" t="s">
        <v>538</v>
      </c>
    </row>
    <row r="140" spans="1:20" x14ac:dyDescent="0.2">
      <c r="A140" s="75" t="s">
        <v>906</v>
      </c>
      <c r="B140" s="193">
        <f>C140*$B$11*($B$9/$B$10)*Variables!F$12</f>
        <v>507491.87071223173</v>
      </c>
      <c r="C140" s="193">
        <v>80.334999999999994</v>
      </c>
      <c r="D140" s="89" t="s">
        <v>508</v>
      </c>
      <c r="E140" t="s">
        <v>228</v>
      </c>
      <c r="F140">
        <v>0.12681999999999999</v>
      </c>
      <c r="G140" t="s">
        <v>341</v>
      </c>
      <c r="H140">
        <v>0.12681999999999999</v>
      </c>
      <c r="I140">
        <v>0.12681999999999999</v>
      </c>
      <c r="J140">
        <v>0.12681999999999999</v>
      </c>
      <c r="K140">
        <v>7.2029999999999997E-2</v>
      </c>
      <c r="L140">
        <v>7.2029999999999997E-2</v>
      </c>
      <c r="M140">
        <f>PSI_OC!$A$7</f>
        <v>10</v>
      </c>
      <c r="N140">
        <v>-1</v>
      </c>
      <c r="O140" t="s">
        <v>425</v>
      </c>
      <c r="P140" s="8">
        <f t="shared" si="66"/>
        <v>-32640728.301767468</v>
      </c>
      <c r="Q140" t="s">
        <v>538</v>
      </c>
    </row>
    <row r="141" spans="1:20" x14ac:dyDescent="0.2">
      <c r="A141" s="75" t="s">
        <v>907</v>
      </c>
      <c r="B141" s="193">
        <f>C141*$B$11*($B$9/$B$10)*Variables!F$12</f>
        <v>1915332.5014351034</v>
      </c>
      <c r="C141" s="193">
        <v>303.19349999999997</v>
      </c>
      <c r="D141" s="139" t="s">
        <v>917</v>
      </c>
      <c r="E141" t="s">
        <v>229</v>
      </c>
      <c r="F141">
        <v>1.268E-2</v>
      </c>
      <c r="G141" t="s">
        <v>342</v>
      </c>
      <c r="H141">
        <v>1.268E-2</v>
      </c>
      <c r="I141">
        <v>1.268E-2</v>
      </c>
      <c r="J141">
        <v>1.268E-2</v>
      </c>
      <c r="K141">
        <v>7.1999999999999998E-3</v>
      </c>
      <c r="L141">
        <v>7.1999999999999998E-3</v>
      </c>
      <c r="M141">
        <f>PSI_OC!$A$6</f>
        <v>100</v>
      </c>
      <c r="N141">
        <v>-1</v>
      </c>
      <c r="O141" t="s">
        <v>426</v>
      </c>
      <c r="P141" s="8">
        <f t="shared" si="66"/>
        <v>-32633685.077166401</v>
      </c>
      <c r="Q141" t="s">
        <v>538</v>
      </c>
    </row>
    <row r="142" spans="1:20" x14ac:dyDescent="0.2">
      <c r="A142" s="75" t="s">
        <v>908</v>
      </c>
      <c r="B142" s="193">
        <f>C142*$B$11*($B$9/$B$10)*Variables!F$12</f>
        <v>3085159.3816219876</v>
      </c>
      <c r="C142" s="193">
        <v>488.37487499999997</v>
      </c>
      <c r="D142" s="139" t="s">
        <v>917</v>
      </c>
      <c r="E142" t="s">
        <v>230</v>
      </c>
      <c r="F142">
        <v>0.12681999999999999</v>
      </c>
      <c r="G142" t="s">
        <v>343</v>
      </c>
      <c r="H142">
        <v>0.12681999999999999</v>
      </c>
      <c r="I142">
        <v>0.12681999999999999</v>
      </c>
      <c r="J142">
        <v>0.12681999999999999</v>
      </c>
      <c r="K142">
        <v>7.2029999999999997E-2</v>
      </c>
      <c r="L142">
        <v>7.2029999999999997E-2</v>
      </c>
      <c r="M142">
        <f>PSI_OC!$A$6</f>
        <v>100</v>
      </c>
      <c r="N142">
        <v>-1</v>
      </c>
      <c r="O142" t="s">
        <v>427</v>
      </c>
      <c r="P142" s="8">
        <f t="shared" si="66"/>
        <v>-326407283.01767468</v>
      </c>
      <c r="Q142" t="s">
        <v>538</v>
      </c>
    </row>
    <row r="143" spans="1:20" x14ac:dyDescent="0.2">
      <c r="A143" s="75" t="s">
        <v>909</v>
      </c>
      <c r="B143" s="193">
        <f>C143*$B$11*($B$9/$B$10)*Variables!F$12</f>
        <v>4036516.3337041517</v>
      </c>
      <c r="C143" s="193">
        <v>638.97287500000004</v>
      </c>
      <c r="D143" s="136" t="s">
        <v>524</v>
      </c>
      <c r="E143" t="s">
        <v>231</v>
      </c>
      <c r="F143">
        <v>0.12681999999999999</v>
      </c>
      <c r="G143" t="s">
        <v>344</v>
      </c>
      <c r="H143">
        <v>1.26824</v>
      </c>
      <c r="I143">
        <v>1.26824</v>
      </c>
      <c r="J143">
        <v>1.268E-2</v>
      </c>
      <c r="K143">
        <v>0.72028000000000003</v>
      </c>
      <c r="L143">
        <v>7.2000000000000005E-4</v>
      </c>
      <c r="M143">
        <f>PSI_OC!$A$7</f>
        <v>10</v>
      </c>
      <c r="N143">
        <v>-1</v>
      </c>
      <c r="O143" t="s">
        <v>428</v>
      </c>
      <c r="P143" s="8">
        <f t="shared" si="66"/>
        <v>-112307194.79145876</v>
      </c>
      <c r="Q143" t="s">
        <v>538</v>
      </c>
    </row>
    <row r="144" spans="1:20" x14ac:dyDescent="0.2">
      <c r="A144" s="75" t="s">
        <v>910</v>
      </c>
      <c r="B144" s="193">
        <f>C144*$B$11*($B$9/$B$10)*Variables!F$12</f>
        <v>477726.03691236622</v>
      </c>
      <c r="C144" s="193">
        <v>75.623125000000002</v>
      </c>
      <c r="D144" s="136" t="s">
        <v>524</v>
      </c>
      <c r="E144" t="s">
        <v>232</v>
      </c>
      <c r="F144">
        <v>1.2999999999999999E-4</v>
      </c>
      <c r="G144" t="s">
        <v>345</v>
      </c>
      <c r="H144">
        <v>1.2999999999999999E-4</v>
      </c>
      <c r="I144">
        <v>1.2999999999999999E-4</v>
      </c>
      <c r="J144">
        <v>1.2999999999999999E-4</v>
      </c>
      <c r="K144" s="8">
        <v>7.2027900000000002E-5</v>
      </c>
      <c r="L144" s="8">
        <v>7.2027900000000002E-5</v>
      </c>
      <c r="M144">
        <f>PSI_OC!$A$7</f>
        <v>10</v>
      </c>
      <c r="N144">
        <v>-1</v>
      </c>
      <c r="O144" t="s">
        <v>429</v>
      </c>
      <c r="P144" s="8">
        <f t="shared" si="66"/>
        <v>-33275.301904401756</v>
      </c>
      <c r="Q144" t="s">
        <v>538</v>
      </c>
    </row>
    <row r="145" spans="1:17" x14ac:dyDescent="0.2">
      <c r="A145" s="194"/>
      <c r="B145" s="193">
        <f>C145*$B$11*($B$9/$B$10)*Variables!F$12</f>
        <v>0</v>
      </c>
      <c r="C145" s="195">
        <v>0</v>
      </c>
      <c r="D145" s="1"/>
      <c r="E145" t="s">
        <v>233</v>
      </c>
      <c r="F145">
        <v>1.2999999999999999E-4</v>
      </c>
      <c r="G145" t="s">
        <v>345</v>
      </c>
      <c r="H145">
        <v>1.2999999999999999E-4</v>
      </c>
      <c r="I145">
        <v>1.2999999999999999E-4</v>
      </c>
      <c r="J145">
        <v>1.2999999999999999E-4</v>
      </c>
      <c r="K145" s="8">
        <v>7.2027900000000002E-5</v>
      </c>
      <c r="L145" s="8">
        <v>7.2027900000000002E-5</v>
      </c>
      <c r="M145">
        <f>PSI_OC!$A$7</f>
        <v>10</v>
      </c>
      <c r="N145">
        <v>-1</v>
      </c>
      <c r="O145" t="s">
        <v>429</v>
      </c>
      <c r="P145" s="8">
        <f t="shared" si="66"/>
        <v>-33275.301904401756</v>
      </c>
      <c r="Q145" t="s">
        <v>538</v>
      </c>
    </row>
    <row r="146" spans="1:17" x14ac:dyDescent="0.2">
      <c r="A146" s="75" t="s">
        <v>911</v>
      </c>
      <c r="B146" s="193">
        <f>C146*$B$11*($B$9/$B$10)*Variables!F$12</f>
        <v>4999477.1835894473</v>
      </c>
      <c r="C146" s="193">
        <v>791.40774999999996</v>
      </c>
      <c r="D146" s="205" t="s">
        <v>918</v>
      </c>
      <c r="E146" t="s">
        <v>320</v>
      </c>
      <c r="F146">
        <v>1.2999999999999999E-4</v>
      </c>
      <c r="G146" t="s">
        <v>344</v>
      </c>
      <c r="H146">
        <v>0</v>
      </c>
      <c r="I146">
        <v>1.26824</v>
      </c>
      <c r="J146">
        <v>1.2999999999999999E-4</v>
      </c>
      <c r="K146">
        <v>0.72028000000000003</v>
      </c>
      <c r="L146">
        <v>0</v>
      </c>
      <c r="M146">
        <f>PSI_OC!$A$6</f>
        <v>100</v>
      </c>
      <c r="N146">
        <v>-1</v>
      </c>
      <c r="O146" t="s">
        <v>428</v>
      </c>
      <c r="P146" s="8">
        <f t="shared" si="66"/>
        <v>-926770157.72759914</v>
      </c>
      <c r="Q146" t="s">
        <v>538</v>
      </c>
    </row>
    <row r="147" spans="1:17" x14ac:dyDescent="0.2">
      <c r="A147" s="75" t="s">
        <v>912</v>
      </c>
      <c r="B147" s="193">
        <f>C147*$B$11*($B$9/$B$10)*Variables!F$12</f>
        <v>1110500.5214288549</v>
      </c>
      <c r="C147" s="193">
        <v>175.79012499999999</v>
      </c>
      <c r="D147" s="205" t="s">
        <v>918</v>
      </c>
      <c r="E147" t="s">
        <v>321</v>
      </c>
      <c r="F147">
        <v>1.2999999999999999E-4</v>
      </c>
      <c r="G147" t="s">
        <v>344</v>
      </c>
      <c r="H147">
        <v>0</v>
      </c>
      <c r="I147">
        <v>1.26824</v>
      </c>
      <c r="J147">
        <v>1.2999999999999999E-4</v>
      </c>
      <c r="K147">
        <v>0.72028000000000003</v>
      </c>
      <c r="L147">
        <v>0</v>
      </c>
      <c r="M147">
        <f>PSI_OC!$A$6</f>
        <v>100</v>
      </c>
      <c r="N147">
        <v>-1</v>
      </c>
      <c r="O147" t="s">
        <v>428</v>
      </c>
      <c r="P147" s="8">
        <f t="shared" si="66"/>
        <v>-926770157.72759914</v>
      </c>
      <c r="Q147" t="s">
        <v>538</v>
      </c>
    </row>
    <row r="148" spans="1:17" x14ac:dyDescent="0.2">
      <c r="A148" s="75" t="s">
        <v>910</v>
      </c>
      <c r="B148" s="193">
        <f>C148*$B$11*($B$9/$B$10)*Variables!F$12</f>
        <v>7962.0348110901741</v>
      </c>
      <c r="C148" s="193">
        <v>1.260375</v>
      </c>
      <c r="D148" s="136" t="s">
        <v>524</v>
      </c>
      <c r="E148" t="s">
        <v>234</v>
      </c>
      <c r="F148">
        <v>1.2999999999999999E-4</v>
      </c>
      <c r="G148" t="s">
        <v>344</v>
      </c>
      <c r="H148">
        <v>0</v>
      </c>
      <c r="I148">
        <v>1.26824</v>
      </c>
      <c r="J148">
        <v>1.2999999999999999E-4</v>
      </c>
      <c r="K148">
        <v>0.72028000000000003</v>
      </c>
      <c r="L148">
        <v>0</v>
      </c>
      <c r="M148">
        <v>0</v>
      </c>
      <c r="N148">
        <v>0</v>
      </c>
      <c r="O148" t="s">
        <v>428</v>
      </c>
      <c r="P148" s="8">
        <f t="shared" si="66"/>
        <v>0</v>
      </c>
      <c r="Q148" t="s">
        <v>538</v>
      </c>
    </row>
    <row r="149" spans="1:17" x14ac:dyDescent="0.2">
      <c r="A149" s="109"/>
      <c r="B149" s="193"/>
      <c r="C149" s="201"/>
      <c r="E149" t="s">
        <v>235</v>
      </c>
      <c r="F149">
        <v>0.12681999999999999</v>
      </c>
      <c r="G149" t="s">
        <v>346</v>
      </c>
      <c r="H149">
        <v>0.12681999999999999</v>
      </c>
      <c r="I149">
        <v>0.12681999999999999</v>
      </c>
      <c r="J149">
        <v>0.12681999999999999</v>
      </c>
      <c r="K149">
        <v>7.2029999999999997E-2</v>
      </c>
      <c r="L149">
        <v>7.2029999999999997E-2</v>
      </c>
      <c r="M149">
        <f>PSI_OC!$A$8</f>
        <v>1</v>
      </c>
      <c r="N149">
        <v>1</v>
      </c>
      <c r="O149" t="s">
        <v>430</v>
      </c>
      <c r="P149" s="8">
        <f t="shared" si="66"/>
        <v>3264072.8301767469</v>
      </c>
      <c r="Q149" t="s">
        <v>538</v>
      </c>
    </row>
    <row r="150" spans="1:17" x14ac:dyDescent="0.2">
      <c r="A150" s="75"/>
      <c r="B150" s="193"/>
      <c r="C150" s="193"/>
      <c r="E150" t="s">
        <v>236</v>
      </c>
      <c r="F150">
        <v>1.2999999999999999E-4</v>
      </c>
      <c r="G150" t="s">
        <v>347</v>
      </c>
      <c r="H150">
        <v>1.2999999999999999E-4</v>
      </c>
      <c r="I150">
        <v>1.2999999999999999E-4</v>
      </c>
      <c r="J150">
        <v>1.2999999999999999E-4</v>
      </c>
      <c r="K150" s="8">
        <v>7.2027900000000002E-5</v>
      </c>
      <c r="L150" s="8">
        <v>7.2027900000000002E-5</v>
      </c>
      <c r="M150">
        <f>PSI_OC!$A$7</f>
        <v>10</v>
      </c>
      <c r="N150">
        <v>-1</v>
      </c>
      <c r="O150" t="s">
        <v>431</v>
      </c>
      <c r="P150" s="8">
        <f t="shared" si="66"/>
        <v>-33275.301904401756</v>
      </c>
      <c r="Q150" t="s">
        <v>538</v>
      </c>
    </row>
    <row r="151" spans="1:17" x14ac:dyDescent="0.2">
      <c r="A151" s="109"/>
      <c r="B151" s="201"/>
      <c r="C151" s="193"/>
      <c r="E151" t="s">
        <v>237</v>
      </c>
      <c r="F151">
        <v>0.12681999999999999</v>
      </c>
      <c r="G151" t="s">
        <v>348</v>
      </c>
      <c r="H151">
        <v>0.12681999999999999</v>
      </c>
      <c r="I151">
        <v>0.12681999999999999</v>
      </c>
      <c r="J151">
        <v>0.12681999999999999</v>
      </c>
      <c r="K151">
        <v>7.2029999999999997E-2</v>
      </c>
      <c r="L151">
        <v>7.2029999999999997E-2</v>
      </c>
      <c r="M151">
        <f>PSI_OC!$A$6</f>
        <v>100</v>
      </c>
      <c r="N151">
        <v>-1</v>
      </c>
      <c r="O151" t="s">
        <v>432</v>
      </c>
      <c r="P151" s="8">
        <f t="shared" si="66"/>
        <v>-326407283.01767468</v>
      </c>
      <c r="Q151" t="s">
        <v>538</v>
      </c>
    </row>
    <row r="152" spans="1:17" x14ac:dyDescent="0.2">
      <c r="C152" s="193"/>
      <c r="E152" t="s">
        <v>238</v>
      </c>
      <c r="F152">
        <v>0</v>
      </c>
      <c r="G152" t="s">
        <v>349</v>
      </c>
      <c r="H152">
        <v>0</v>
      </c>
      <c r="I152">
        <v>0</v>
      </c>
      <c r="J152">
        <v>0</v>
      </c>
      <c r="K152">
        <v>0</v>
      </c>
      <c r="L152">
        <v>0</v>
      </c>
      <c r="M152">
        <f>PSI_OC!$A$7</f>
        <v>10</v>
      </c>
      <c r="N152">
        <v>-1</v>
      </c>
      <c r="O152" t="s">
        <v>433</v>
      </c>
      <c r="P152" s="8">
        <f t="shared" si="66"/>
        <v>0</v>
      </c>
      <c r="Q152" t="s">
        <v>538</v>
      </c>
    </row>
    <row r="153" spans="1:17" x14ac:dyDescent="0.2">
      <c r="C153" s="193"/>
      <c r="E153" t="s">
        <v>239</v>
      </c>
      <c r="F153">
        <v>1.2700000000000001E-3</v>
      </c>
      <c r="G153" t="s">
        <v>348</v>
      </c>
      <c r="H153">
        <v>1.2700000000000001E-3</v>
      </c>
      <c r="I153">
        <v>1.2700000000000001E-3</v>
      </c>
      <c r="J153">
        <v>1.2700000000000001E-3</v>
      </c>
      <c r="K153">
        <v>7.2000000000000005E-4</v>
      </c>
      <c r="L153">
        <v>7.2000000000000005E-4</v>
      </c>
      <c r="M153">
        <f>PSI_OC!$A$6</f>
        <v>100</v>
      </c>
      <c r="N153">
        <v>-1</v>
      </c>
      <c r="O153" t="s">
        <v>432</v>
      </c>
      <c r="P153" s="8">
        <f t="shared" si="66"/>
        <v>-3267360.879806641</v>
      </c>
      <c r="Q153" t="s">
        <v>538</v>
      </c>
    </row>
    <row r="154" spans="1:17" x14ac:dyDescent="0.2">
      <c r="C154" s="193"/>
      <c r="E154" t="s">
        <v>240</v>
      </c>
      <c r="F154">
        <v>0</v>
      </c>
      <c r="G154" t="s">
        <v>348</v>
      </c>
      <c r="H154">
        <v>0</v>
      </c>
      <c r="I154">
        <v>0</v>
      </c>
      <c r="J154">
        <v>0</v>
      </c>
      <c r="K154">
        <v>0</v>
      </c>
      <c r="L154">
        <v>0</v>
      </c>
      <c r="M154">
        <f>PSI_OC!$A$6</f>
        <v>100</v>
      </c>
      <c r="N154">
        <v>-1</v>
      </c>
      <c r="O154" t="s">
        <v>432</v>
      </c>
      <c r="P154" s="8">
        <f t="shared" si="66"/>
        <v>0</v>
      </c>
      <c r="Q154" t="s">
        <v>538</v>
      </c>
    </row>
    <row r="155" spans="1:17" x14ac:dyDescent="0.2">
      <c r="C155" s="193"/>
      <c r="E155" t="s">
        <v>241</v>
      </c>
      <c r="F155">
        <v>0</v>
      </c>
      <c r="G155" t="s">
        <v>350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f>PSI_OC!$A$6</f>
        <v>100</v>
      </c>
      <c r="N155">
        <v>-1</v>
      </c>
      <c r="O155" t="s">
        <v>434</v>
      </c>
      <c r="P155" s="8">
        <f t="shared" si="66"/>
        <v>0</v>
      </c>
      <c r="Q155" t="s">
        <v>538</v>
      </c>
    </row>
    <row r="156" spans="1:17" x14ac:dyDescent="0.2">
      <c r="C156" s="193"/>
      <c r="E156" t="s">
        <v>242</v>
      </c>
      <c r="F156">
        <v>0</v>
      </c>
      <c r="G156" t="s">
        <v>351</v>
      </c>
      <c r="H156">
        <v>0</v>
      </c>
      <c r="I156">
        <v>0</v>
      </c>
      <c r="J156">
        <v>0</v>
      </c>
      <c r="K156">
        <v>0</v>
      </c>
      <c r="L156">
        <v>0</v>
      </c>
      <c r="M156">
        <f>PSI_OC!$A$8</f>
        <v>1</v>
      </c>
      <c r="N156">
        <v>1</v>
      </c>
      <c r="O156" t="s">
        <v>435</v>
      </c>
      <c r="P156" s="8">
        <f t="shared" si="66"/>
        <v>0</v>
      </c>
      <c r="Q156" t="s">
        <v>538</v>
      </c>
    </row>
    <row r="157" spans="1:17" x14ac:dyDescent="0.2">
      <c r="C157" s="193"/>
      <c r="E157" t="s">
        <v>243</v>
      </c>
      <c r="F157">
        <v>0.12681999999999999</v>
      </c>
      <c r="G157" t="s">
        <v>352</v>
      </c>
      <c r="H157">
        <v>1.26824</v>
      </c>
      <c r="I157">
        <v>1.26824</v>
      </c>
      <c r="J157">
        <v>1.268E-2</v>
      </c>
      <c r="K157">
        <v>7.1999999999999998E-3</v>
      </c>
      <c r="L157">
        <v>7.1999999999999998E-3</v>
      </c>
      <c r="M157">
        <f>PSI_OC!$A$6</f>
        <v>100</v>
      </c>
      <c r="N157">
        <v>-1</v>
      </c>
      <c r="O157" t="s">
        <v>436</v>
      </c>
      <c r="P157" s="8">
        <f t="shared" si="66"/>
        <v>-837554200.79267478</v>
      </c>
      <c r="Q157" t="s">
        <v>538</v>
      </c>
    </row>
    <row r="158" spans="1:17" x14ac:dyDescent="0.2">
      <c r="C158" s="193"/>
      <c r="E158" t="s">
        <v>244</v>
      </c>
      <c r="F158">
        <v>1.2700000000000001E-3</v>
      </c>
      <c r="G158" t="s">
        <v>353</v>
      </c>
      <c r="H158">
        <v>1.2700000000000001E-3</v>
      </c>
      <c r="I158">
        <v>1.2700000000000001E-3</v>
      </c>
      <c r="J158">
        <v>1.2700000000000001E-3</v>
      </c>
      <c r="K158">
        <v>7.2000000000000005E-4</v>
      </c>
      <c r="L158">
        <v>7.2000000000000005E-4</v>
      </c>
      <c r="M158">
        <v>0</v>
      </c>
      <c r="N158">
        <v>0</v>
      </c>
      <c r="O158" t="s">
        <v>437</v>
      </c>
      <c r="P158" s="8">
        <f t="shared" si="66"/>
        <v>0</v>
      </c>
      <c r="Q158" t="s">
        <v>538</v>
      </c>
    </row>
    <row r="159" spans="1:17" x14ac:dyDescent="0.2">
      <c r="C159" s="193"/>
      <c r="E159" t="s">
        <v>245</v>
      </c>
      <c r="F159">
        <v>1.2700000000000001E-3</v>
      </c>
      <c r="G159" t="s">
        <v>351</v>
      </c>
      <c r="H159">
        <v>1.2999999999999999E-4</v>
      </c>
      <c r="I159">
        <v>1.2999999999999999E-4</v>
      </c>
      <c r="J159">
        <v>1.2999999999999999E-4</v>
      </c>
      <c r="K159" s="8">
        <v>7.2027900000000002E-5</v>
      </c>
      <c r="L159">
        <v>7.2000000000000005E-4</v>
      </c>
      <c r="M159">
        <f>PSI_OC!$A$7</f>
        <v>10</v>
      </c>
      <c r="N159">
        <v>-1</v>
      </c>
      <c r="O159" t="s">
        <v>435</v>
      </c>
      <c r="P159" s="8">
        <f t="shared" si="66"/>
        <v>-186087.31686431658</v>
      </c>
      <c r="Q159" t="s">
        <v>538</v>
      </c>
    </row>
    <row r="160" spans="1:17" x14ac:dyDescent="0.2">
      <c r="C160" s="193"/>
      <c r="E160" t="s">
        <v>246</v>
      </c>
      <c r="F160">
        <v>1.268E-2</v>
      </c>
      <c r="G160" t="s">
        <v>354</v>
      </c>
      <c r="H160">
        <v>1.268E-2</v>
      </c>
      <c r="I160">
        <v>1.268E-2</v>
      </c>
      <c r="J160">
        <v>1.268E-2</v>
      </c>
      <c r="K160">
        <v>7.1999999999999998E-3</v>
      </c>
      <c r="L160">
        <v>7.1999999999999998E-3</v>
      </c>
      <c r="M160">
        <f>PSI_OC!$A$7</f>
        <v>10</v>
      </c>
      <c r="N160">
        <v>-1</v>
      </c>
      <c r="O160" t="s">
        <v>438</v>
      </c>
      <c r="P160" s="8">
        <f t="shared" si="66"/>
        <v>-3263368.5077166399</v>
      </c>
      <c r="Q160" t="s">
        <v>538</v>
      </c>
    </row>
    <row r="161" spans="3:17" x14ac:dyDescent="0.2">
      <c r="C161" s="193"/>
      <c r="E161" t="s">
        <v>247</v>
      </c>
      <c r="F161">
        <v>1.26824</v>
      </c>
      <c r="G161" t="s">
        <v>354</v>
      </c>
      <c r="H161">
        <v>1.26824</v>
      </c>
      <c r="I161">
        <v>1.26824</v>
      </c>
      <c r="J161">
        <v>1.26824</v>
      </c>
      <c r="K161">
        <v>0.72028000000000003</v>
      </c>
      <c r="L161">
        <v>0.72028000000000003</v>
      </c>
      <c r="M161">
        <f>PSI_OC!$A$7</f>
        <v>10</v>
      </c>
      <c r="N161">
        <v>-1</v>
      </c>
      <c r="O161" t="s">
        <v>438</v>
      </c>
      <c r="P161" s="8">
        <f t="shared" si="66"/>
        <v>-326413233.86018068</v>
      </c>
      <c r="Q161" t="s">
        <v>538</v>
      </c>
    </row>
    <row r="162" spans="3:17" x14ac:dyDescent="0.2">
      <c r="C162" s="193"/>
      <c r="E162" t="s">
        <v>248</v>
      </c>
      <c r="F162">
        <v>1.26824</v>
      </c>
      <c r="G162" t="s">
        <v>350</v>
      </c>
      <c r="H162">
        <v>1.26824</v>
      </c>
      <c r="I162">
        <v>1.26824</v>
      </c>
      <c r="J162">
        <v>1.26824</v>
      </c>
      <c r="K162">
        <v>0.72028000000000003</v>
      </c>
      <c r="L162">
        <v>0.72028000000000003</v>
      </c>
      <c r="M162">
        <f>PSI_OC!$A$7</f>
        <v>10</v>
      </c>
      <c r="N162">
        <v>-1</v>
      </c>
      <c r="O162" t="s">
        <v>434</v>
      </c>
      <c r="P162" s="8">
        <f t="shared" si="66"/>
        <v>-326413233.86018068</v>
      </c>
      <c r="Q162" t="s">
        <v>538</v>
      </c>
    </row>
    <row r="163" spans="3:17" x14ac:dyDescent="0.2">
      <c r="C163" s="193"/>
      <c r="E163" t="s">
        <v>322</v>
      </c>
      <c r="F163">
        <v>1.26824</v>
      </c>
      <c r="G163" t="s">
        <v>355</v>
      </c>
      <c r="H163">
        <v>1.26824</v>
      </c>
      <c r="I163">
        <v>1.26824</v>
      </c>
      <c r="J163">
        <v>1.26824</v>
      </c>
      <c r="K163">
        <v>0.72028000000000003</v>
      </c>
      <c r="L163">
        <v>0.72028000000000003</v>
      </c>
      <c r="M163">
        <f>PSI_OC!$A$7</f>
        <v>10</v>
      </c>
      <c r="N163">
        <v>-1</v>
      </c>
      <c r="O163" t="s">
        <v>439</v>
      </c>
      <c r="P163" s="8">
        <f t="shared" si="66"/>
        <v>-326413233.86018068</v>
      </c>
      <c r="Q163" t="s">
        <v>538</v>
      </c>
    </row>
    <row r="164" spans="3:17" x14ac:dyDescent="0.2">
      <c r="C164" s="193"/>
      <c r="E164" t="s">
        <v>249</v>
      </c>
      <c r="F164">
        <v>0.12681999999999999</v>
      </c>
      <c r="G164" t="s">
        <v>356</v>
      </c>
      <c r="H164">
        <v>0.12681999999999999</v>
      </c>
      <c r="I164">
        <v>0.12681999999999999</v>
      </c>
      <c r="J164">
        <v>0.12681999999999999</v>
      </c>
      <c r="K164">
        <v>7.2029999999999997E-2</v>
      </c>
      <c r="L164">
        <v>7.2029999999999997E-2</v>
      </c>
      <c r="M164">
        <f>PSI_OC!$A$7</f>
        <v>10</v>
      </c>
      <c r="N164">
        <v>-1</v>
      </c>
      <c r="O164" t="s">
        <v>440</v>
      </c>
      <c r="P164" s="8">
        <f t="shared" si="66"/>
        <v>-32640728.301767468</v>
      </c>
      <c r="Q164" t="s">
        <v>538</v>
      </c>
    </row>
    <row r="165" spans="3:17" x14ac:dyDescent="0.2">
      <c r="C165" s="193"/>
      <c r="E165" t="s">
        <v>323</v>
      </c>
      <c r="F165">
        <v>1.2700000000000001E-3</v>
      </c>
      <c r="G165" t="s">
        <v>357</v>
      </c>
      <c r="H165">
        <v>1.2700000000000001E-3</v>
      </c>
      <c r="I165">
        <v>1.2700000000000001E-3</v>
      </c>
      <c r="J165">
        <v>1.2700000000000001E-3</v>
      </c>
      <c r="K165">
        <v>7.2000000000000005E-4</v>
      </c>
      <c r="L165">
        <v>7.2000000000000005E-4</v>
      </c>
      <c r="M165">
        <f>PSI_OC!$A$6</f>
        <v>100</v>
      </c>
      <c r="N165">
        <v>-1</v>
      </c>
      <c r="O165" t="s">
        <v>441</v>
      </c>
      <c r="P165" s="8">
        <f t="shared" si="66"/>
        <v>-3267360.879806641</v>
      </c>
      <c r="Q165" t="s">
        <v>538</v>
      </c>
    </row>
    <row r="166" spans="3:17" x14ac:dyDescent="0.2">
      <c r="C166" s="193"/>
      <c r="E166" t="s">
        <v>324</v>
      </c>
      <c r="F166">
        <v>1.2700000000000001E-3</v>
      </c>
      <c r="G166" t="s">
        <v>357</v>
      </c>
      <c r="H166">
        <v>1.2700000000000001E-3</v>
      </c>
      <c r="I166">
        <v>1.2700000000000001E-3</v>
      </c>
      <c r="J166">
        <v>1.2700000000000001E-3</v>
      </c>
      <c r="K166">
        <v>7.2000000000000005E-4</v>
      </c>
      <c r="L166">
        <v>7.2000000000000005E-4</v>
      </c>
      <c r="M166">
        <f>PSI_OC!$A$6</f>
        <v>100</v>
      </c>
      <c r="N166">
        <v>-1</v>
      </c>
      <c r="O166" t="s">
        <v>441</v>
      </c>
      <c r="P166" s="8">
        <f t="shared" si="66"/>
        <v>-3267360.879806641</v>
      </c>
      <c r="Q166" t="s">
        <v>538</v>
      </c>
    </row>
    <row r="167" spans="3:17" x14ac:dyDescent="0.2">
      <c r="E167" t="s">
        <v>250</v>
      </c>
      <c r="F167">
        <v>1.2700000000000001E-3</v>
      </c>
      <c r="G167" t="s">
        <v>358</v>
      </c>
      <c r="H167">
        <v>1.2700000000000001E-3</v>
      </c>
      <c r="I167">
        <v>1.2700000000000001E-3</v>
      </c>
      <c r="J167">
        <v>1.2700000000000001E-3</v>
      </c>
      <c r="K167">
        <v>7.2000000000000005E-4</v>
      </c>
      <c r="L167">
        <v>7.2000000000000005E-4</v>
      </c>
      <c r="M167">
        <f>PSI_OC!$A$7</f>
        <v>10</v>
      </c>
      <c r="N167">
        <v>1</v>
      </c>
      <c r="O167" t="s">
        <v>442</v>
      </c>
      <c r="P167" s="8">
        <f t="shared" si="66"/>
        <v>326736.0879806641</v>
      </c>
      <c r="Q167" t="s">
        <v>538</v>
      </c>
    </row>
    <row r="168" spans="3:17" x14ac:dyDescent="0.2">
      <c r="E168" t="s">
        <v>251</v>
      </c>
      <c r="F168">
        <v>0</v>
      </c>
      <c r="G168" t="s">
        <v>359</v>
      </c>
      <c r="H168">
        <v>0</v>
      </c>
      <c r="I168">
        <v>0</v>
      </c>
      <c r="J168">
        <v>0</v>
      </c>
      <c r="K168">
        <v>0</v>
      </c>
      <c r="L168">
        <v>0</v>
      </c>
      <c r="M168">
        <f>PSI_OC!$A$6</f>
        <v>100</v>
      </c>
      <c r="N168">
        <v>-1</v>
      </c>
      <c r="O168" t="s">
        <v>443</v>
      </c>
      <c r="P168" s="8">
        <f t="shared" si="66"/>
        <v>0</v>
      </c>
      <c r="Q168" t="s">
        <v>538</v>
      </c>
    </row>
    <row r="169" spans="3:17" x14ac:dyDescent="0.2">
      <c r="E169" t="s">
        <v>252</v>
      </c>
      <c r="F169">
        <v>0.12681999999999999</v>
      </c>
      <c r="G169" t="s">
        <v>360</v>
      </c>
      <c r="H169">
        <v>0.12681999999999999</v>
      </c>
      <c r="I169">
        <v>0.12681999999999999</v>
      </c>
      <c r="J169">
        <v>0.12681999999999999</v>
      </c>
      <c r="K169">
        <v>7.2029999999999997E-2</v>
      </c>
      <c r="L169">
        <v>7.2029999999999997E-2</v>
      </c>
      <c r="M169">
        <f>PSI_OC!$A$7</f>
        <v>10</v>
      </c>
      <c r="N169">
        <v>-1</v>
      </c>
      <c r="O169" t="s">
        <v>444</v>
      </c>
      <c r="P169" s="8">
        <f t="shared" si="66"/>
        <v>-32640728.301767468</v>
      </c>
      <c r="Q169" t="s">
        <v>538</v>
      </c>
    </row>
    <row r="170" spans="3:17" x14ac:dyDescent="0.2">
      <c r="E170" t="s">
        <v>253</v>
      </c>
      <c r="F170">
        <v>1.268E-2</v>
      </c>
      <c r="G170" t="s">
        <v>361</v>
      </c>
      <c r="H170">
        <v>1.268E-2</v>
      </c>
      <c r="I170">
        <v>1.268E-2</v>
      </c>
      <c r="J170">
        <v>1.268E-2</v>
      </c>
      <c r="K170">
        <v>7.1999999999999998E-3</v>
      </c>
      <c r="L170">
        <v>7.1999999999999998E-3</v>
      </c>
      <c r="M170">
        <f>PSI_OC!$A$7</f>
        <v>10</v>
      </c>
      <c r="N170">
        <v>-1</v>
      </c>
      <c r="O170" t="s">
        <v>445</v>
      </c>
      <c r="P170" s="8">
        <f t="shared" si="66"/>
        <v>-3263368.5077166399</v>
      </c>
      <c r="Q170" t="s">
        <v>538</v>
      </c>
    </row>
    <row r="171" spans="3:17" x14ac:dyDescent="0.2">
      <c r="E171" t="s">
        <v>325</v>
      </c>
      <c r="F171">
        <v>1.2700000000000001E-3</v>
      </c>
      <c r="G171" t="s">
        <v>362</v>
      </c>
      <c r="H171">
        <v>1.2700000000000001E-3</v>
      </c>
      <c r="I171">
        <v>1.2700000000000001E-3</v>
      </c>
      <c r="J171">
        <v>1.2700000000000001E-3</v>
      </c>
      <c r="K171">
        <v>7.2000000000000005E-4</v>
      </c>
      <c r="L171">
        <v>7.2000000000000005E-4</v>
      </c>
      <c r="M171">
        <f>PSI_OC!$A$6</f>
        <v>100</v>
      </c>
      <c r="N171">
        <v>-1</v>
      </c>
      <c r="O171" t="s">
        <v>446</v>
      </c>
      <c r="P171" s="8">
        <f t="shared" si="66"/>
        <v>-3267360.879806641</v>
      </c>
      <c r="Q171" t="s">
        <v>538</v>
      </c>
    </row>
    <row r="172" spans="3:17" x14ac:dyDescent="0.2">
      <c r="E172" t="s">
        <v>254</v>
      </c>
      <c r="F172">
        <v>1.2700000000000001E-3</v>
      </c>
      <c r="G172" t="s">
        <v>363</v>
      </c>
      <c r="H172">
        <v>1.2700000000000001E-3</v>
      </c>
      <c r="I172">
        <v>1.2700000000000001E-3</v>
      </c>
      <c r="J172">
        <v>1.2700000000000001E-3</v>
      </c>
      <c r="K172">
        <v>7.2000000000000005E-4</v>
      </c>
      <c r="L172">
        <v>7.2000000000000005E-4</v>
      </c>
      <c r="M172">
        <f>PSI_OC!$A$7</f>
        <v>10</v>
      </c>
      <c r="N172">
        <v>-1</v>
      </c>
      <c r="O172" t="s">
        <v>447</v>
      </c>
      <c r="P172" s="8">
        <f t="shared" si="66"/>
        <v>-326736.0879806641</v>
      </c>
      <c r="Q172" t="s">
        <v>538</v>
      </c>
    </row>
    <row r="173" spans="3:17" x14ac:dyDescent="0.2">
      <c r="E173" t="s">
        <v>255</v>
      </c>
      <c r="F173">
        <v>0</v>
      </c>
      <c r="G173" t="s">
        <v>364</v>
      </c>
      <c r="H173">
        <v>0</v>
      </c>
      <c r="I173">
        <v>0</v>
      </c>
      <c r="J173">
        <v>0</v>
      </c>
      <c r="K173">
        <v>0</v>
      </c>
      <c r="L173">
        <v>0</v>
      </c>
      <c r="M173">
        <f>PSI_OC!$A$7</f>
        <v>10</v>
      </c>
      <c r="N173">
        <v>-1</v>
      </c>
      <c r="O173" t="s">
        <v>448</v>
      </c>
      <c r="P173" s="8">
        <f t="shared" si="66"/>
        <v>0</v>
      </c>
      <c r="Q173" t="s">
        <v>538</v>
      </c>
    </row>
    <row r="174" spans="3:17" x14ac:dyDescent="0.2">
      <c r="E174" t="s">
        <v>256</v>
      </c>
      <c r="F174">
        <v>1.2700000000000001E-3</v>
      </c>
      <c r="G174" t="s">
        <v>365</v>
      </c>
      <c r="H174">
        <v>1.2700000000000001E-3</v>
      </c>
      <c r="I174">
        <v>1.2700000000000001E-3</v>
      </c>
      <c r="J174">
        <v>1.2700000000000001E-3</v>
      </c>
      <c r="K174">
        <v>7.2000000000000005E-4</v>
      </c>
      <c r="L174">
        <v>7.2000000000000005E-4</v>
      </c>
      <c r="M174">
        <f>PSI_OC!$A$7</f>
        <v>10</v>
      </c>
      <c r="N174">
        <v>-1</v>
      </c>
      <c r="O174" t="s">
        <v>449</v>
      </c>
      <c r="P174" s="8">
        <f t="shared" si="66"/>
        <v>-326736.0879806641</v>
      </c>
      <c r="Q174" t="s">
        <v>538</v>
      </c>
    </row>
    <row r="175" spans="3:17" x14ac:dyDescent="0.2">
      <c r="E175" t="s">
        <v>257</v>
      </c>
      <c r="F175">
        <v>1.26824</v>
      </c>
      <c r="G175" t="s">
        <v>366</v>
      </c>
      <c r="H175">
        <v>1.26824</v>
      </c>
      <c r="I175">
        <v>1.26824</v>
      </c>
      <c r="J175">
        <v>1.26824</v>
      </c>
      <c r="K175">
        <v>0.72028000000000003</v>
      </c>
      <c r="L175">
        <v>0.72028000000000003</v>
      </c>
      <c r="M175">
        <f>PSI_OC!$A$6</f>
        <v>100</v>
      </c>
      <c r="N175">
        <v>-1</v>
      </c>
      <c r="O175" t="s">
        <v>450</v>
      </c>
      <c r="P175" s="8">
        <f t="shared" si="66"/>
        <v>-3264132338.6018066</v>
      </c>
      <c r="Q175" t="s">
        <v>538</v>
      </c>
    </row>
    <row r="176" spans="3:17" x14ac:dyDescent="0.2">
      <c r="E176" t="s">
        <v>258</v>
      </c>
      <c r="F176">
        <v>0.12681999999999999</v>
      </c>
      <c r="G176" t="s">
        <v>367</v>
      </c>
      <c r="H176">
        <v>0.12681999999999999</v>
      </c>
      <c r="I176">
        <v>0.12681999999999999</v>
      </c>
      <c r="J176">
        <v>0.12681999999999999</v>
      </c>
      <c r="K176">
        <v>7.2029999999999997E-2</v>
      </c>
      <c r="L176">
        <v>7.2029999999999997E-2</v>
      </c>
      <c r="M176">
        <f>PSI_OC!$A$6</f>
        <v>100</v>
      </c>
      <c r="N176">
        <v>-1</v>
      </c>
      <c r="O176" t="s">
        <v>451</v>
      </c>
      <c r="P176" s="8">
        <f t="shared" si="66"/>
        <v>-326407283.01767468</v>
      </c>
      <c r="Q176" t="s">
        <v>538</v>
      </c>
    </row>
    <row r="177" spans="5:17" x14ac:dyDescent="0.2">
      <c r="E177" t="s">
        <v>326</v>
      </c>
      <c r="F177">
        <v>1.2700000000000001E-3</v>
      </c>
      <c r="G177" t="s">
        <v>365</v>
      </c>
      <c r="H177">
        <v>1.2700000000000001E-3</v>
      </c>
      <c r="I177">
        <v>1.2700000000000001E-3</v>
      </c>
      <c r="J177">
        <v>1.2700000000000001E-3</v>
      </c>
      <c r="K177">
        <v>7.2000000000000005E-4</v>
      </c>
      <c r="L177">
        <v>7.2000000000000005E-4</v>
      </c>
      <c r="M177">
        <v>0</v>
      </c>
      <c r="N177">
        <v>0</v>
      </c>
      <c r="O177" t="s">
        <v>449</v>
      </c>
      <c r="P177" s="8">
        <f t="shared" si="66"/>
        <v>0</v>
      </c>
      <c r="Q177" t="s">
        <v>538</v>
      </c>
    </row>
    <row r="178" spans="5:17" x14ac:dyDescent="0.2">
      <c r="E178" t="s">
        <v>259</v>
      </c>
      <c r="F178">
        <v>1.268E-2</v>
      </c>
      <c r="G178" t="s">
        <v>368</v>
      </c>
      <c r="H178">
        <v>1.268E-2</v>
      </c>
      <c r="I178">
        <v>1.268E-2</v>
      </c>
      <c r="J178">
        <v>1.268E-2</v>
      </c>
      <c r="K178">
        <v>7.1999999999999998E-3</v>
      </c>
      <c r="L178">
        <v>7.1999999999999998E-3</v>
      </c>
      <c r="M178">
        <f>PSI_OC!$A$6</f>
        <v>100</v>
      </c>
      <c r="N178">
        <v>-1</v>
      </c>
      <c r="O178" t="s">
        <v>452</v>
      </c>
      <c r="P178" s="8">
        <f t="shared" si="66"/>
        <v>-32633685.077166401</v>
      </c>
      <c r="Q178" t="s">
        <v>538</v>
      </c>
    </row>
    <row r="179" spans="5:17" x14ac:dyDescent="0.2">
      <c r="E179" t="s">
        <v>260</v>
      </c>
      <c r="F179">
        <v>0</v>
      </c>
      <c r="G179" t="s">
        <v>368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 t="s">
        <v>452</v>
      </c>
      <c r="P179" s="8">
        <f t="shared" si="66"/>
        <v>0</v>
      </c>
      <c r="Q179" t="s">
        <v>538</v>
      </c>
    </row>
    <row r="180" spans="5:17" x14ac:dyDescent="0.2">
      <c r="E180" t="s">
        <v>327</v>
      </c>
      <c r="F180">
        <v>1.2999999999999999E-4</v>
      </c>
      <c r="G180" t="s">
        <v>368</v>
      </c>
      <c r="H180">
        <v>1.2999999999999999E-4</v>
      </c>
      <c r="I180">
        <v>1.2999999999999999E-4</v>
      </c>
      <c r="J180">
        <v>1.2999999999999999E-4</v>
      </c>
      <c r="K180" s="8">
        <v>7.2027900000000002E-5</v>
      </c>
      <c r="L180" s="8">
        <v>7.2027900000000002E-5</v>
      </c>
      <c r="M180">
        <f>PSI_OC!$A$6</f>
        <v>100</v>
      </c>
      <c r="N180">
        <v>-1</v>
      </c>
      <c r="O180" t="s">
        <v>452</v>
      </c>
      <c r="P180" s="8">
        <f t="shared" si="66"/>
        <v>-332753.01904401754</v>
      </c>
      <c r="Q180" t="s">
        <v>538</v>
      </c>
    </row>
    <row r="181" spans="5:17" x14ac:dyDescent="0.2">
      <c r="E181" t="s">
        <v>328</v>
      </c>
      <c r="F181">
        <v>1.2999999999999999E-4</v>
      </c>
      <c r="G181" t="s">
        <v>368</v>
      </c>
      <c r="H181">
        <v>1.2999999999999999E-4</v>
      </c>
      <c r="I181">
        <v>1.2999999999999999E-4</v>
      </c>
      <c r="J181">
        <v>1.2999999999999999E-4</v>
      </c>
      <c r="K181" s="8">
        <v>7.2027900000000002E-5</v>
      </c>
      <c r="L181" s="8">
        <v>7.2027900000000002E-5</v>
      </c>
      <c r="M181">
        <v>0</v>
      </c>
      <c r="N181">
        <v>0</v>
      </c>
      <c r="O181" t="s">
        <v>452</v>
      </c>
      <c r="P181" s="8">
        <f t="shared" si="66"/>
        <v>0</v>
      </c>
      <c r="Q181" t="s">
        <v>538</v>
      </c>
    </row>
    <row r="182" spans="5:17" x14ac:dyDescent="0.2">
      <c r="E182" t="s">
        <v>261</v>
      </c>
      <c r="F182">
        <v>0.12681999999999999</v>
      </c>
      <c r="G182" t="s">
        <v>369</v>
      </c>
      <c r="H182">
        <v>0.12681999999999999</v>
      </c>
      <c r="I182">
        <v>0.12681999999999999</v>
      </c>
      <c r="J182">
        <v>0.12681999999999999</v>
      </c>
      <c r="K182">
        <v>7.2029999999999997E-2</v>
      </c>
      <c r="L182">
        <v>7.2029999999999997E-2</v>
      </c>
      <c r="M182">
        <f>PSI_OC!$A$6</f>
        <v>100</v>
      </c>
      <c r="N182">
        <v>-1</v>
      </c>
      <c r="O182" t="s">
        <v>453</v>
      </c>
      <c r="P182" s="8">
        <f t="shared" si="66"/>
        <v>-326407283.01767468</v>
      </c>
      <c r="Q182" t="s">
        <v>538</v>
      </c>
    </row>
    <row r="183" spans="5:17" x14ac:dyDescent="0.2">
      <c r="E183" t="s">
        <v>263</v>
      </c>
      <c r="F183">
        <v>1.2999999999999999E-4</v>
      </c>
      <c r="G183" t="s">
        <v>370</v>
      </c>
      <c r="H183">
        <v>1.2999999999999999E-4</v>
      </c>
      <c r="I183">
        <v>1.2999999999999999E-4</v>
      </c>
      <c r="J183">
        <v>1.2999999999999999E-4</v>
      </c>
      <c r="K183" s="8">
        <v>7.2027900000000002E-5</v>
      </c>
      <c r="L183" s="8">
        <v>7.2027900000000002E-5</v>
      </c>
      <c r="M183">
        <f>PSI_OC!$A$6</f>
        <v>100</v>
      </c>
      <c r="N183">
        <v>-1</v>
      </c>
      <c r="O183" t="s">
        <v>454</v>
      </c>
      <c r="P183" s="8">
        <f t="shared" si="66"/>
        <v>-332753.01904401754</v>
      </c>
      <c r="Q183" t="s">
        <v>538</v>
      </c>
    </row>
    <row r="184" spans="5:17" x14ac:dyDescent="0.2">
      <c r="E184" t="s">
        <v>262</v>
      </c>
      <c r="F184">
        <v>1.2999999999999999E-4</v>
      </c>
      <c r="G184" t="s">
        <v>370</v>
      </c>
      <c r="H184">
        <v>1.2999999999999999E-4</v>
      </c>
      <c r="I184">
        <v>1.2999999999999999E-4</v>
      </c>
      <c r="J184">
        <v>1.2999999999999999E-4</v>
      </c>
      <c r="K184" s="8">
        <v>7.2027900000000002E-5</v>
      </c>
      <c r="L184" s="8">
        <v>7.2027900000000002E-5</v>
      </c>
      <c r="M184">
        <f>PSI_OC!$A$6</f>
        <v>100</v>
      </c>
      <c r="N184">
        <v>-1</v>
      </c>
      <c r="O184" t="s">
        <v>454</v>
      </c>
      <c r="P184" s="8">
        <f t="shared" si="66"/>
        <v>-332753.01904401754</v>
      </c>
      <c r="Q184" t="s">
        <v>538</v>
      </c>
    </row>
    <row r="185" spans="5:17" x14ac:dyDescent="0.2">
      <c r="E185" t="s">
        <v>264</v>
      </c>
      <c r="F185">
        <v>1.2700000000000001E-3</v>
      </c>
      <c r="G185" t="s">
        <v>371</v>
      </c>
      <c r="H185">
        <v>1.2700000000000001E-3</v>
      </c>
      <c r="I185">
        <v>1.2700000000000001E-3</v>
      </c>
      <c r="J185">
        <v>1.2700000000000001E-3</v>
      </c>
      <c r="K185">
        <v>7.2000000000000005E-4</v>
      </c>
      <c r="L185">
        <v>7.2000000000000005E-4</v>
      </c>
      <c r="M185">
        <f>PSI_OC!$A$7</f>
        <v>10</v>
      </c>
      <c r="N185">
        <v>-1</v>
      </c>
      <c r="O185" t="s">
        <v>455</v>
      </c>
      <c r="P185" s="8">
        <f t="shared" si="66"/>
        <v>-326736.0879806641</v>
      </c>
      <c r="Q185" t="s">
        <v>538</v>
      </c>
    </row>
    <row r="186" spans="5:17" x14ac:dyDescent="0.2">
      <c r="E186" t="s">
        <v>265</v>
      </c>
      <c r="F186">
        <v>1.2700000000000001E-3</v>
      </c>
      <c r="G186" t="s">
        <v>371</v>
      </c>
      <c r="H186">
        <v>1.2700000000000001E-3</v>
      </c>
      <c r="I186">
        <v>1.2700000000000001E-3</v>
      </c>
      <c r="J186">
        <v>1.2700000000000001E-3</v>
      </c>
      <c r="K186">
        <v>7.2000000000000005E-4</v>
      </c>
      <c r="L186">
        <v>7.2000000000000005E-4</v>
      </c>
      <c r="M186">
        <f>PSI_OC!$A$7</f>
        <v>10</v>
      </c>
      <c r="N186">
        <v>-1</v>
      </c>
      <c r="O186" t="s">
        <v>455</v>
      </c>
      <c r="P186" s="8">
        <f t="shared" si="66"/>
        <v>-326736.0879806641</v>
      </c>
      <c r="Q186" t="s">
        <v>538</v>
      </c>
    </row>
    <row r="187" spans="5:17" x14ac:dyDescent="0.2">
      <c r="E187" t="s">
        <v>266</v>
      </c>
      <c r="F187">
        <v>1.2700000000000001E-3</v>
      </c>
      <c r="G187" t="s">
        <v>371</v>
      </c>
      <c r="H187">
        <v>1.2700000000000001E-3</v>
      </c>
      <c r="I187">
        <v>1.2700000000000001E-3</v>
      </c>
      <c r="J187">
        <v>1.2700000000000001E-3</v>
      </c>
      <c r="K187">
        <v>7.2000000000000005E-4</v>
      </c>
      <c r="L187">
        <v>7.2000000000000005E-4</v>
      </c>
      <c r="M187">
        <v>0</v>
      </c>
      <c r="N187">
        <v>0</v>
      </c>
      <c r="O187" t="s">
        <v>455</v>
      </c>
      <c r="P187" s="8">
        <f t="shared" si="66"/>
        <v>0</v>
      </c>
      <c r="Q187" t="s">
        <v>538</v>
      </c>
    </row>
    <row r="188" spans="5:17" x14ac:dyDescent="0.2">
      <c r="E188" t="s">
        <v>267</v>
      </c>
      <c r="F188">
        <v>1.2999999999999999E-4</v>
      </c>
      <c r="G188" t="s">
        <v>372</v>
      </c>
      <c r="H188">
        <v>1.2999999999999999E-4</v>
      </c>
      <c r="I188">
        <v>1.2999999999999999E-4</v>
      </c>
      <c r="J188">
        <v>1.2999999999999999E-4</v>
      </c>
      <c r="K188" s="8">
        <v>7.2027900000000002E-5</v>
      </c>
      <c r="L188" s="8">
        <v>7.2027900000000002E-5</v>
      </c>
      <c r="M188">
        <v>0</v>
      </c>
      <c r="N188">
        <v>0</v>
      </c>
      <c r="O188" t="s">
        <v>456</v>
      </c>
      <c r="P188" s="8">
        <f t="shared" si="66"/>
        <v>0</v>
      </c>
      <c r="Q188" t="s">
        <v>538</v>
      </c>
    </row>
    <row r="189" spans="5:17" x14ac:dyDescent="0.2">
      <c r="E189" t="s">
        <v>329</v>
      </c>
      <c r="F189">
        <v>0.12681999999999999</v>
      </c>
      <c r="G189" s="75" t="s">
        <v>373</v>
      </c>
      <c r="H189">
        <v>0.12681999999999999</v>
      </c>
      <c r="I189">
        <v>0.12681999999999999</v>
      </c>
      <c r="J189">
        <v>0.12681999999999999</v>
      </c>
      <c r="K189">
        <v>7.2029999999999997E-2</v>
      </c>
      <c r="L189">
        <v>7.2029999999999997E-2</v>
      </c>
      <c r="M189">
        <f>PSI_OC!$A$7</f>
        <v>10</v>
      </c>
      <c r="N189">
        <v>-1</v>
      </c>
      <c r="O189" t="s">
        <v>457</v>
      </c>
      <c r="P189" s="8">
        <f t="shared" si="66"/>
        <v>-32640728.301767468</v>
      </c>
      <c r="Q189" t="s">
        <v>538</v>
      </c>
    </row>
    <row r="190" spans="5:17" x14ac:dyDescent="0.2">
      <c r="E190" t="s">
        <v>314</v>
      </c>
      <c r="F190">
        <v>1.2700000000000001E-3</v>
      </c>
      <c r="G190" s="75" t="s">
        <v>374</v>
      </c>
      <c r="H190">
        <v>1.2700000000000001E-3</v>
      </c>
      <c r="I190">
        <v>1.2700000000000001E-3</v>
      </c>
      <c r="J190">
        <v>1.2700000000000001E-3</v>
      </c>
      <c r="K190">
        <v>7.2000000000000005E-4</v>
      </c>
      <c r="L190">
        <v>7.2000000000000005E-4</v>
      </c>
      <c r="M190">
        <f>PSI_OC!$A$7</f>
        <v>10</v>
      </c>
      <c r="N190">
        <v>-1</v>
      </c>
      <c r="O190" t="s">
        <v>458</v>
      </c>
      <c r="P190" s="8">
        <f t="shared" si="66"/>
        <v>-326736.0879806641</v>
      </c>
      <c r="Q190" t="s">
        <v>538</v>
      </c>
    </row>
    <row r="191" spans="5:17" x14ac:dyDescent="0.2">
      <c r="E191" t="s">
        <v>268</v>
      </c>
      <c r="F191">
        <v>1.2700000000000001E-3</v>
      </c>
      <c r="G191" s="75" t="s">
        <v>374</v>
      </c>
      <c r="H191">
        <v>1.2700000000000001E-3</v>
      </c>
      <c r="I191">
        <v>1.2700000000000001E-3</v>
      </c>
      <c r="J191">
        <v>1.2700000000000001E-3</v>
      </c>
      <c r="K191">
        <v>7.2000000000000005E-4</v>
      </c>
      <c r="L191">
        <v>7.2000000000000005E-4</v>
      </c>
      <c r="M191">
        <f>PSI_OC!$A$7</f>
        <v>10</v>
      </c>
      <c r="N191">
        <v>-1</v>
      </c>
      <c r="O191" t="s">
        <v>458</v>
      </c>
      <c r="P191" s="8">
        <f t="shared" si="66"/>
        <v>-326736.0879806641</v>
      </c>
      <c r="Q191" t="s">
        <v>538</v>
      </c>
    </row>
    <row r="192" spans="5:17" x14ac:dyDescent="0.2">
      <c r="E192" t="s">
        <v>269</v>
      </c>
      <c r="F192">
        <v>1.2700000000000001E-3</v>
      </c>
      <c r="G192" s="75" t="s">
        <v>374</v>
      </c>
      <c r="H192">
        <v>1.2700000000000001E-3</v>
      </c>
      <c r="I192">
        <v>1.2700000000000001E-3</v>
      </c>
      <c r="J192">
        <v>1.2700000000000001E-3</v>
      </c>
      <c r="K192">
        <v>7.2000000000000005E-4</v>
      </c>
      <c r="L192">
        <v>7.2000000000000005E-4</v>
      </c>
      <c r="M192">
        <v>0</v>
      </c>
      <c r="N192">
        <v>0</v>
      </c>
      <c r="O192" t="s">
        <v>458</v>
      </c>
      <c r="P192" s="8">
        <f t="shared" si="66"/>
        <v>0</v>
      </c>
      <c r="Q192" t="s">
        <v>538</v>
      </c>
    </row>
    <row r="193" spans="5:17" x14ac:dyDescent="0.2">
      <c r="E193" t="s">
        <v>270</v>
      </c>
      <c r="F193">
        <v>1.2700000000000001E-3</v>
      </c>
      <c r="G193" s="75" t="s">
        <v>375</v>
      </c>
      <c r="H193">
        <v>1.2700000000000001E-3</v>
      </c>
      <c r="I193">
        <v>1.2700000000000001E-3</v>
      </c>
      <c r="J193">
        <v>1.2700000000000001E-3</v>
      </c>
      <c r="K193">
        <v>7.2000000000000005E-4</v>
      </c>
      <c r="L193">
        <v>7.2000000000000005E-4</v>
      </c>
      <c r="M193">
        <f>PSI_OC!$A$6</f>
        <v>100</v>
      </c>
      <c r="N193">
        <v>-1</v>
      </c>
      <c r="O193" t="s">
        <v>459</v>
      </c>
      <c r="P193" s="8">
        <f t="shared" si="66"/>
        <v>-3267360.879806641</v>
      </c>
      <c r="Q193" t="s">
        <v>538</v>
      </c>
    </row>
    <row r="194" spans="5:17" x14ac:dyDescent="0.2">
      <c r="E194" t="s">
        <v>271</v>
      </c>
      <c r="F194">
        <v>0.12681999999999999</v>
      </c>
      <c r="G194" s="75" t="s">
        <v>376</v>
      </c>
      <c r="H194">
        <v>0.12681999999999999</v>
      </c>
      <c r="I194">
        <v>0.12681999999999999</v>
      </c>
      <c r="J194">
        <v>0.12681999999999999</v>
      </c>
      <c r="K194">
        <v>7.2029999999999997E-2</v>
      </c>
      <c r="L194">
        <v>7.2029999999999997E-2</v>
      </c>
      <c r="M194">
        <v>0</v>
      </c>
      <c r="N194">
        <v>0</v>
      </c>
      <c r="O194" t="s">
        <v>460</v>
      </c>
      <c r="P194" s="8">
        <f t="shared" si="66"/>
        <v>0</v>
      </c>
      <c r="Q194" t="s">
        <v>538</v>
      </c>
    </row>
    <row r="195" spans="5:17" x14ac:dyDescent="0.2">
      <c r="E195" t="s">
        <v>272</v>
      </c>
      <c r="F195">
        <v>1.26824</v>
      </c>
      <c r="G195" t="s">
        <v>377</v>
      </c>
      <c r="H195">
        <v>1.26824</v>
      </c>
      <c r="I195">
        <v>1.26824</v>
      </c>
      <c r="J195">
        <v>1.26824</v>
      </c>
      <c r="K195">
        <v>7.2029999999999997E-2</v>
      </c>
      <c r="L195">
        <v>7.2029999999999997E-2</v>
      </c>
      <c r="M195">
        <v>0</v>
      </c>
      <c r="N195">
        <v>0</v>
      </c>
      <c r="O195" t="s">
        <v>461</v>
      </c>
      <c r="P195" s="8">
        <f t="shared" si="66"/>
        <v>0</v>
      </c>
      <c r="Q195" t="s">
        <v>538</v>
      </c>
    </row>
    <row r="196" spans="5:17" x14ac:dyDescent="0.2">
      <c r="E196" t="s">
        <v>273</v>
      </c>
      <c r="F196">
        <v>1.2999999999999999E-4</v>
      </c>
      <c r="G196" t="s">
        <v>378</v>
      </c>
      <c r="H196">
        <v>1.2999999999999999E-4</v>
      </c>
      <c r="I196">
        <v>1.2999999999999999E-4</v>
      </c>
      <c r="J196">
        <v>1.2999999999999999E-4</v>
      </c>
      <c r="K196" s="8">
        <v>7.2027900000000002E-5</v>
      </c>
      <c r="L196" s="8">
        <v>7.2027900000000002E-5</v>
      </c>
      <c r="M196">
        <f>PSI_OC!$A$7</f>
        <v>10</v>
      </c>
      <c r="N196">
        <v>-1</v>
      </c>
      <c r="O196" t="s">
        <v>462</v>
      </c>
      <c r="P196" s="8">
        <f t="shared" si="66"/>
        <v>-33275.301904401756</v>
      </c>
      <c r="Q196" t="s">
        <v>538</v>
      </c>
    </row>
    <row r="197" spans="5:17" x14ac:dyDescent="0.2">
      <c r="E197" t="s">
        <v>274</v>
      </c>
      <c r="F197">
        <v>1.2999999999999999E-4</v>
      </c>
      <c r="G197" t="s">
        <v>379</v>
      </c>
      <c r="H197">
        <v>1.2999999999999999E-4</v>
      </c>
      <c r="I197">
        <v>1.2999999999999999E-4</v>
      </c>
      <c r="J197">
        <v>1.2999999999999999E-4</v>
      </c>
      <c r="K197" s="8">
        <v>7.2027900000000002E-5</v>
      </c>
      <c r="L197" s="8">
        <v>7.2027900000000002E-5</v>
      </c>
      <c r="M197">
        <v>0</v>
      </c>
      <c r="N197">
        <v>0</v>
      </c>
      <c r="O197" t="s">
        <v>463</v>
      </c>
      <c r="P197" s="8">
        <f t="shared" si="66"/>
        <v>0</v>
      </c>
      <c r="Q197" t="s">
        <v>538</v>
      </c>
    </row>
    <row r="198" spans="5:17" x14ac:dyDescent="0.2">
      <c r="E198" t="s">
        <v>275</v>
      </c>
      <c r="F198">
        <v>1.26824</v>
      </c>
      <c r="G198" t="s">
        <v>377</v>
      </c>
      <c r="H198">
        <v>1.26824</v>
      </c>
      <c r="I198">
        <v>1.26824</v>
      </c>
      <c r="J198">
        <v>1.26824</v>
      </c>
      <c r="K198">
        <v>0.72028000000000003</v>
      </c>
      <c r="L198">
        <v>0.72028000000000003</v>
      </c>
      <c r="M198">
        <f>PSI_OC!$A$6</f>
        <v>100</v>
      </c>
      <c r="N198">
        <v>-1</v>
      </c>
      <c r="O198" t="s">
        <v>461</v>
      </c>
      <c r="P198" s="8">
        <f t="shared" si="66"/>
        <v>-3264132338.6018066</v>
      </c>
      <c r="Q198" t="s">
        <v>538</v>
      </c>
    </row>
    <row r="199" spans="5:17" x14ac:dyDescent="0.2">
      <c r="E199" t="s">
        <v>276</v>
      </c>
      <c r="F199">
        <v>1.26824</v>
      </c>
      <c r="G199" t="s">
        <v>377</v>
      </c>
      <c r="H199">
        <v>1.26824</v>
      </c>
      <c r="I199">
        <v>1.26824</v>
      </c>
      <c r="J199">
        <v>1.26824</v>
      </c>
      <c r="K199">
        <v>0.72028000000000003</v>
      </c>
      <c r="L199">
        <v>0.72028000000000003</v>
      </c>
      <c r="M199">
        <f>PSI_OC!$A$6</f>
        <v>100</v>
      </c>
      <c r="N199">
        <v>-1</v>
      </c>
      <c r="O199" t="s">
        <v>461</v>
      </c>
      <c r="P199" s="8">
        <f t="shared" si="66"/>
        <v>-3264132338.6018066</v>
      </c>
      <c r="Q199" t="s">
        <v>538</v>
      </c>
    </row>
    <row r="200" spans="5:17" x14ac:dyDescent="0.2">
      <c r="E200" t="s">
        <v>277</v>
      </c>
      <c r="F200">
        <v>1.2700000000000001E-3</v>
      </c>
      <c r="G200" t="s">
        <v>380</v>
      </c>
      <c r="H200">
        <v>1.2700000000000001E-3</v>
      </c>
      <c r="I200">
        <v>1.2700000000000001E-3</v>
      </c>
      <c r="J200">
        <v>1.2700000000000001E-3</v>
      </c>
      <c r="K200">
        <v>7.2000000000000005E-4</v>
      </c>
      <c r="L200">
        <v>7.2000000000000005E-4</v>
      </c>
      <c r="M200">
        <f>PSI_OC!$A$6</f>
        <v>100</v>
      </c>
      <c r="N200">
        <v>-1</v>
      </c>
      <c r="O200" t="s">
        <v>464</v>
      </c>
      <c r="P200" s="8">
        <f t="shared" si="66"/>
        <v>-3267360.879806641</v>
      </c>
      <c r="Q200" t="s">
        <v>538</v>
      </c>
    </row>
    <row r="201" spans="5:17" x14ac:dyDescent="0.2">
      <c r="E201" t="s">
        <v>278</v>
      </c>
      <c r="F201">
        <v>1.26824</v>
      </c>
      <c r="G201" t="s">
        <v>381</v>
      </c>
      <c r="H201">
        <v>1.26824</v>
      </c>
      <c r="I201">
        <v>1.26824</v>
      </c>
      <c r="J201">
        <v>1.26824</v>
      </c>
      <c r="K201">
        <v>0.72028000000000003</v>
      </c>
      <c r="L201">
        <v>0.72028000000000003</v>
      </c>
      <c r="M201">
        <f>PSI_OC!$A$6</f>
        <v>100</v>
      </c>
      <c r="N201">
        <v>-1</v>
      </c>
      <c r="O201" t="s">
        <v>465</v>
      </c>
      <c r="P201" s="8">
        <f t="shared" si="66"/>
        <v>-3264132338.6018066</v>
      </c>
      <c r="Q201" t="s">
        <v>538</v>
      </c>
    </row>
    <row r="202" spans="5:17" x14ac:dyDescent="0.2">
      <c r="E202" t="s">
        <v>330</v>
      </c>
      <c r="F202">
        <v>1.2999999999999999E-4</v>
      </c>
      <c r="G202" t="s">
        <v>382</v>
      </c>
      <c r="H202">
        <v>1.2999999999999999E-4</v>
      </c>
      <c r="I202">
        <v>1.2999999999999999E-4</v>
      </c>
      <c r="J202">
        <v>1.2999999999999999E-4</v>
      </c>
      <c r="K202" s="8">
        <v>7.2027900000000002E-5</v>
      </c>
      <c r="L202" s="8">
        <v>7.2027900000000002E-5</v>
      </c>
      <c r="M202">
        <f>PSI_OC!$A$7</f>
        <v>10</v>
      </c>
      <c r="N202">
        <v>-1</v>
      </c>
      <c r="O202" t="s">
        <v>466</v>
      </c>
      <c r="P202" s="8">
        <f t="shared" ref="P202:P242" si="67">((B$137*F202)+(SUM(B$138:B$139)*K202)+(B$140*H202)+(SUM(B$141:B$142)*I202)+(SUM(B$143:B$144,B$148)*J202)+(SUM(B$146:B$147)*L202))*M202*N202</f>
        <v>-33275.301904401756</v>
      </c>
      <c r="Q202" t="s">
        <v>538</v>
      </c>
    </row>
    <row r="203" spans="5:17" x14ac:dyDescent="0.2">
      <c r="E203" t="s">
        <v>279</v>
      </c>
      <c r="F203">
        <v>1.2999999999999999E-4</v>
      </c>
      <c r="G203" t="s">
        <v>382</v>
      </c>
      <c r="H203">
        <v>1.2999999999999999E-4</v>
      </c>
      <c r="I203">
        <v>1.2999999999999999E-4</v>
      </c>
      <c r="J203">
        <v>1.2999999999999999E-4</v>
      </c>
      <c r="K203" s="8">
        <v>7.2027900000000002E-5</v>
      </c>
      <c r="L203" s="8">
        <v>7.2027900000000002E-5</v>
      </c>
      <c r="M203">
        <f>PSI_OC!$A$7</f>
        <v>10</v>
      </c>
      <c r="N203">
        <v>-1</v>
      </c>
      <c r="O203" t="s">
        <v>466</v>
      </c>
      <c r="P203" s="8">
        <f t="shared" si="67"/>
        <v>-33275.301904401756</v>
      </c>
      <c r="Q203" t="s">
        <v>538</v>
      </c>
    </row>
    <row r="204" spans="5:17" x14ac:dyDescent="0.2">
      <c r="E204" t="s">
        <v>280</v>
      </c>
      <c r="F204">
        <v>1.2999999999999999E-4</v>
      </c>
      <c r="G204" t="s">
        <v>382</v>
      </c>
      <c r="H204">
        <v>1.2999999999999999E-4</v>
      </c>
      <c r="I204">
        <v>1.2999999999999999E-4</v>
      </c>
      <c r="J204">
        <v>1.2999999999999999E-4</v>
      </c>
      <c r="K204" s="8">
        <v>7.2027900000000002E-5</v>
      </c>
      <c r="L204" s="8">
        <v>7.2027900000000002E-5</v>
      </c>
      <c r="M204">
        <v>0</v>
      </c>
      <c r="N204">
        <v>0</v>
      </c>
      <c r="O204" t="s">
        <v>466</v>
      </c>
      <c r="P204" s="8">
        <f t="shared" si="67"/>
        <v>0</v>
      </c>
      <c r="Q204" t="s">
        <v>538</v>
      </c>
    </row>
    <row r="205" spans="5:17" x14ac:dyDescent="0.2">
      <c r="E205" t="s">
        <v>331</v>
      </c>
      <c r="F205">
        <v>1.2700000000000001E-3</v>
      </c>
      <c r="G205" t="s">
        <v>383</v>
      </c>
      <c r="H205">
        <v>1.2700000000000001E-3</v>
      </c>
      <c r="I205">
        <v>1.2700000000000001E-3</v>
      </c>
      <c r="J205">
        <v>1.2700000000000001E-3</v>
      </c>
      <c r="K205" s="8">
        <v>7.2027900000000002E-5</v>
      </c>
      <c r="L205" s="8">
        <v>7.2027900000000002E-5</v>
      </c>
      <c r="M205">
        <v>0</v>
      </c>
      <c r="N205">
        <v>0</v>
      </c>
      <c r="O205" t="s">
        <v>467</v>
      </c>
      <c r="P205" s="8">
        <f t="shared" si="67"/>
        <v>0</v>
      </c>
      <c r="Q205" t="s">
        <v>538</v>
      </c>
    </row>
    <row r="206" spans="5:17" x14ac:dyDescent="0.2">
      <c r="E206" t="s">
        <v>281</v>
      </c>
      <c r="F206">
        <v>1.2999999999999999E-4</v>
      </c>
      <c r="G206" t="s">
        <v>384</v>
      </c>
      <c r="H206">
        <v>1.2999999999999999E-4</v>
      </c>
      <c r="I206">
        <v>1.2999999999999999E-4</v>
      </c>
      <c r="J206">
        <v>1.2999999999999999E-4</v>
      </c>
      <c r="K206" s="8">
        <v>7.2027900000000002E-5</v>
      </c>
      <c r="L206" s="8">
        <v>7.2027900000000002E-5</v>
      </c>
      <c r="M206">
        <f>PSI_OC!$A$7</f>
        <v>10</v>
      </c>
      <c r="N206">
        <v>-1</v>
      </c>
      <c r="O206" t="s">
        <v>468</v>
      </c>
      <c r="P206" s="8">
        <f t="shared" si="67"/>
        <v>-33275.301904401756</v>
      </c>
      <c r="Q206" t="s">
        <v>538</v>
      </c>
    </row>
    <row r="207" spans="5:17" x14ac:dyDescent="0.2">
      <c r="E207" t="s">
        <v>282</v>
      </c>
      <c r="F207">
        <v>0.12681999999999999</v>
      </c>
      <c r="G207" t="s">
        <v>385</v>
      </c>
      <c r="H207">
        <v>0.12681999999999999</v>
      </c>
      <c r="I207">
        <v>0.12681999999999999</v>
      </c>
      <c r="J207">
        <v>0.12681999999999999</v>
      </c>
      <c r="K207">
        <v>7.2029999999999997E-2</v>
      </c>
      <c r="L207">
        <v>7.2029999999999997E-2</v>
      </c>
      <c r="M207">
        <v>0</v>
      </c>
      <c r="N207">
        <v>0</v>
      </c>
      <c r="O207" t="s">
        <v>469</v>
      </c>
      <c r="P207" s="8">
        <f t="shared" si="67"/>
        <v>0</v>
      </c>
      <c r="Q207" t="s">
        <v>538</v>
      </c>
    </row>
    <row r="208" spans="5:17" x14ac:dyDescent="0.2">
      <c r="E208" t="s">
        <v>332</v>
      </c>
      <c r="F208">
        <v>1.268E-2</v>
      </c>
      <c r="G208" t="s">
        <v>386</v>
      </c>
      <c r="H208">
        <v>1.268E-2</v>
      </c>
      <c r="I208">
        <v>1.268E-2</v>
      </c>
      <c r="J208">
        <v>1.268E-2</v>
      </c>
      <c r="K208" s="8">
        <v>7.2027900000000002E-5</v>
      </c>
      <c r="L208" s="8">
        <v>7.2027900000000002E-5</v>
      </c>
      <c r="M208">
        <v>0</v>
      </c>
      <c r="N208">
        <v>0</v>
      </c>
      <c r="O208" t="s">
        <v>470</v>
      </c>
      <c r="P208" s="8">
        <f t="shared" si="67"/>
        <v>0</v>
      </c>
      <c r="Q208" t="s">
        <v>538</v>
      </c>
    </row>
    <row r="209" spans="5:17" x14ac:dyDescent="0.2">
      <c r="E209" t="s">
        <v>283</v>
      </c>
      <c r="F209">
        <v>1.2700000000000001E-3</v>
      </c>
      <c r="G209" t="s">
        <v>387</v>
      </c>
      <c r="H209">
        <v>1.2700000000000001E-3</v>
      </c>
      <c r="I209">
        <v>1.2700000000000001E-3</v>
      </c>
      <c r="J209">
        <v>1.2700000000000001E-3</v>
      </c>
      <c r="K209">
        <v>7.2000000000000005E-4</v>
      </c>
      <c r="L209">
        <v>7.2000000000000005E-4</v>
      </c>
      <c r="M209">
        <f>PSI_OC!$A$7</f>
        <v>10</v>
      </c>
      <c r="N209">
        <v>-1</v>
      </c>
      <c r="O209" t="s">
        <v>471</v>
      </c>
      <c r="P209" s="8">
        <f t="shared" si="67"/>
        <v>-326736.0879806641</v>
      </c>
      <c r="Q209" t="s">
        <v>538</v>
      </c>
    </row>
    <row r="210" spans="5:17" x14ac:dyDescent="0.2">
      <c r="E210" t="s">
        <v>284</v>
      </c>
      <c r="F210">
        <v>1.2999999999999999E-4</v>
      </c>
      <c r="G210" t="s">
        <v>388</v>
      </c>
      <c r="H210">
        <v>1.2999999999999999E-4</v>
      </c>
      <c r="I210">
        <v>1.2999999999999999E-4</v>
      </c>
      <c r="J210">
        <v>1.2999999999999999E-4</v>
      </c>
      <c r="K210" s="8">
        <v>7.2027900000000002E-5</v>
      </c>
      <c r="L210" s="8">
        <v>7.2027900000000002E-5</v>
      </c>
      <c r="M210">
        <f>PSI_OC!$A$7</f>
        <v>10</v>
      </c>
      <c r="N210">
        <v>-1</v>
      </c>
      <c r="O210" t="s">
        <v>472</v>
      </c>
      <c r="P210" s="8">
        <f t="shared" si="67"/>
        <v>-33275.301904401756</v>
      </c>
      <c r="Q210" t="s">
        <v>538</v>
      </c>
    </row>
    <row r="211" spans="5:17" x14ac:dyDescent="0.2">
      <c r="E211" t="s">
        <v>285</v>
      </c>
      <c r="F211">
        <v>1.2700000000000001E-3</v>
      </c>
      <c r="G211" t="s">
        <v>389</v>
      </c>
      <c r="H211">
        <v>1.2700000000000001E-3</v>
      </c>
      <c r="I211">
        <v>1.2700000000000001E-3</v>
      </c>
      <c r="J211">
        <v>1.2700000000000001E-3</v>
      </c>
      <c r="K211">
        <v>7.2000000000000005E-4</v>
      </c>
      <c r="L211">
        <v>7.2000000000000005E-4</v>
      </c>
      <c r="M211">
        <f>PSI_OC!$A$7</f>
        <v>10</v>
      </c>
      <c r="N211">
        <v>-1</v>
      </c>
      <c r="O211" t="s">
        <v>473</v>
      </c>
      <c r="P211" s="8">
        <f t="shared" si="67"/>
        <v>-326736.0879806641</v>
      </c>
      <c r="Q211" t="s">
        <v>538</v>
      </c>
    </row>
    <row r="212" spans="5:17" x14ac:dyDescent="0.2">
      <c r="E212" t="s">
        <v>286</v>
      </c>
      <c r="F212">
        <v>1.268E-2</v>
      </c>
      <c r="G212" t="s">
        <v>390</v>
      </c>
      <c r="H212">
        <v>1.268E-2</v>
      </c>
      <c r="I212">
        <v>1.268E-2</v>
      </c>
      <c r="J212">
        <v>1.268E-2</v>
      </c>
      <c r="K212">
        <v>7.1999999999999998E-3</v>
      </c>
      <c r="L212">
        <v>7.1999999999999998E-3</v>
      </c>
      <c r="M212">
        <f>PSI_OC!$A$6</f>
        <v>100</v>
      </c>
      <c r="N212">
        <v>-1</v>
      </c>
      <c r="O212" t="s">
        <v>474</v>
      </c>
      <c r="P212" s="8">
        <f t="shared" si="67"/>
        <v>-32633685.077166401</v>
      </c>
      <c r="Q212" t="s">
        <v>538</v>
      </c>
    </row>
    <row r="213" spans="5:17" x14ac:dyDescent="0.2">
      <c r="E213" t="s">
        <v>287</v>
      </c>
      <c r="F213">
        <v>1.2700000000000001E-3</v>
      </c>
      <c r="G213" t="s">
        <v>391</v>
      </c>
      <c r="H213">
        <v>1.2700000000000001E-3</v>
      </c>
      <c r="I213">
        <v>1.2700000000000001E-3</v>
      </c>
      <c r="J213">
        <v>1.2700000000000001E-3</v>
      </c>
      <c r="K213">
        <v>7.2000000000000005E-4</v>
      </c>
      <c r="L213">
        <v>7.2000000000000005E-4</v>
      </c>
      <c r="M213">
        <f>PSI_OC!$A$6</f>
        <v>100</v>
      </c>
      <c r="N213">
        <v>-1</v>
      </c>
      <c r="O213" t="s">
        <v>475</v>
      </c>
      <c r="P213" s="8">
        <f t="shared" si="67"/>
        <v>-3267360.879806641</v>
      </c>
      <c r="Q213" t="s">
        <v>538</v>
      </c>
    </row>
    <row r="214" spans="5:17" x14ac:dyDescent="0.2">
      <c r="E214" t="s">
        <v>288</v>
      </c>
      <c r="F214">
        <v>1.2700000000000001E-3</v>
      </c>
      <c r="G214" t="s">
        <v>392</v>
      </c>
      <c r="H214">
        <v>1.2700000000000001E-3</v>
      </c>
      <c r="I214">
        <v>1.2700000000000001E-3</v>
      </c>
      <c r="J214">
        <v>1.2700000000000001E-3</v>
      </c>
      <c r="K214">
        <v>7.2000000000000005E-4</v>
      </c>
      <c r="L214">
        <v>7.2000000000000005E-4</v>
      </c>
      <c r="M214">
        <f>PSI_OC!$A$6</f>
        <v>100</v>
      </c>
      <c r="N214">
        <v>-1</v>
      </c>
      <c r="O214" t="s">
        <v>476</v>
      </c>
      <c r="P214" s="8">
        <f t="shared" si="67"/>
        <v>-3267360.879806641</v>
      </c>
      <c r="Q214" t="s">
        <v>538</v>
      </c>
    </row>
    <row r="215" spans="5:17" x14ac:dyDescent="0.2">
      <c r="E215" t="s">
        <v>333</v>
      </c>
      <c r="F215">
        <v>1.2700000000000001E-3</v>
      </c>
      <c r="G215" t="s">
        <v>340</v>
      </c>
      <c r="H215">
        <v>1.2999999999999999E-4</v>
      </c>
      <c r="I215">
        <v>1.2700000000000001E-3</v>
      </c>
      <c r="J215">
        <v>1.2700000000000001E-3</v>
      </c>
      <c r="K215">
        <v>7.2000000000000005E-4</v>
      </c>
      <c r="L215">
        <v>7.2000000000000005E-4</v>
      </c>
      <c r="M215">
        <f>PSI_OC!$A$7</f>
        <v>10</v>
      </c>
      <c r="N215">
        <v>-1</v>
      </c>
      <c r="O215" t="s">
        <v>424</v>
      </c>
      <c r="P215" s="8">
        <f t="shared" si="67"/>
        <v>-320950.68065454467</v>
      </c>
      <c r="Q215" t="s">
        <v>538</v>
      </c>
    </row>
    <row r="216" spans="5:17" x14ac:dyDescent="0.2">
      <c r="E216" t="s">
        <v>334</v>
      </c>
      <c r="F216">
        <v>1.268E-2</v>
      </c>
      <c r="G216" t="s">
        <v>393</v>
      </c>
      <c r="H216">
        <v>1.268E-2</v>
      </c>
      <c r="I216">
        <v>1.268E-2</v>
      </c>
      <c r="J216">
        <v>1.268E-2</v>
      </c>
      <c r="K216">
        <v>7.1999999999999998E-3</v>
      </c>
      <c r="L216">
        <v>7.1999999999999998E-3</v>
      </c>
      <c r="M216">
        <v>0</v>
      </c>
      <c r="N216">
        <v>0</v>
      </c>
      <c r="O216" t="s">
        <v>477</v>
      </c>
      <c r="P216" s="8">
        <f t="shared" si="67"/>
        <v>0</v>
      </c>
      <c r="Q216" t="s">
        <v>538</v>
      </c>
    </row>
    <row r="217" spans="5:17" x14ac:dyDescent="0.2">
      <c r="E217" t="s">
        <v>335</v>
      </c>
      <c r="F217">
        <v>1.268E-2</v>
      </c>
      <c r="G217" t="s">
        <v>394</v>
      </c>
      <c r="H217">
        <v>1.2700000000000001E-3</v>
      </c>
      <c r="I217">
        <v>0.12681999999999999</v>
      </c>
      <c r="J217">
        <v>1.2700000000000001E-3</v>
      </c>
      <c r="K217">
        <v>7.1999999999999998E-3</v>
      </c>
      <c r="L217">
        <v>7.2029999999999997E-2</v>
      </c>
      <c r="M217">
        <f>PSI_OC!$A$7</f>
        <v>10</v>
      </c>
      <c r="N217">
        <v>-1</v>
      </c>
      <c r="O217" t="s">
        <v>478</v>
      </c>
      <c r="P217" s="8">
        <f t="shared" si="67"/>
        <v>-12358140.144093812</v>
      </c>
      <c r="Q217" t="s">
        <v>538</v>
      </c>
    </row>
    <row r="218" spans="5:17" x14ac:dyDescent="0.2">
      <c r="E218" t="s">
        <v>289</v>
      </c>
      <c r="F218">
        <v>1.2700000000000001E-3</v>
      </c>
      <c r="G218" t="s">
        <v>395</v>
      </c>
      <c r="H218">
        <v>1.2700000000000001E-3</v>
      </c>
      <c r="I218">
        <v>1.2700000000000001E-3</v>
      </c>
      <c r="J218">
        <v>1.2700000000000001E-3</v>
      </c>
      <c r="K218">
        <v>7.2000000000000005E-4</v>
      </c>
      <c r="L218">
        <v>7.2000000000000005E-4</v>
      </c>
      <c r="M218">
        <f>PSI_OC!$A$7</f>
        <v>10</v>
      </c>
      <c r="N218">
        <v>-1</v>
      </c>
      <c r="O218" t="s">
        <v>479</v>
      </c>
      <c r="P218" s="8">
        <f t="shared" si="67"/>
        <v>-326736.0879806641</v>
      </c>
      <c r="Q218" t="s">
        <v>538</v>
      </c>
    </row>
    <row r="219" spans="5:17" x14ac:dyDescent="0.2">
      <c r="E219" t="s">
        <v>290</v>
      </c>
      <c r="F219">
        <v>1.2999999999999999E-4</v>
      </c>
      <c r="G219" t="s">
        <v>396</v>
      </c>
      <c r="H219">
        <v>1.2999999999999999E-4</v>
      </c>
      <c r="I219">
        <v>1.2999999999999999E-4</v>
      </c>
      <c r="J219">
        <v>1.2999999999999999E-4</v>
      </c>
      <c r="K219" s="8">
        <v>7.2027900000000002E-5</v>
      </c>
      <c r="L219" s="8">
        <v>7.2027900000000002E-5</v>
      </c>
      <c r="M219">
        <f>PSI_OC!$A$7</f>
        <v>10</v>
      </c>
      <c r="N219">
        <v>-1</v>
      </c>
      <c r="O219" t="s">
        <v>480</v>
      </c>
      <c r="P219" s="8">
        <f t="shared" si="67"/>
        <v>-33275.301904401756</v>
      </c>
      <c r="Q219" t="s">
        <v>538</v>
      </c>
    </row>
    <row r="220" spans="5:17" x14ac:dyDescent="0.2">
      <c r="E220" t="s">
        <v>291</v>
      </c>
      <c r="F220">
        <v>1.2999999999999999E-4</v>
      </c>
      <c r="G220" t="s">
        <v>397</v>
      </c>
      <c r="H220">
        <v>1.2999999999999999E-4</v>
      </c>
      <c r="I220">
        <v>1.2999999999999999E-4</v>
      </c>
      <c r="J220">
        <v>1.2999999999999999E-4</v>
      </c>
      <c r="K220" s="8">
        <v>7.2027900000000002E-5</v>
      </c>
      <c r="L220" s="8">
        <v>7.2027900000000002E-5</v>
      </c>
      <c r="M220">
        <f>PSI_OC!$A$8</f>
        <v>1</v>
      </c>
      <c r="N220">
        <v>-1</v>
      </c>
      <c r="O220" t="s">
        <v>481</v>
      </c>
      <c r="P220" s="8">
        <f t="shared" si="67"/>
        <v>-3327.5301904401754</v>
      </c>
      <c r="Q220" t="s">
        <v>538</v>
      </c>
    </row>
    <row r="221" spans="5:17" x14ac:dyDescent="0.2">
      <c r="E221" t="s">
        <v>292</v>
      </c>
      <c r="F221">
        <v>1.268E-2</v>
      </c>
      <c r="G221" t="s">
        <v>360</v>
      </c>
      <c r="H221">
        <v>1.268E-2</v>
      </c>
      <c r="I221">
        <v>1.268E-2</v>
      </c>
      <c r="J221">
        <v>1.268E-2</v>
      </c>
      <c r="K221">
        <v>0.72028000000000003</v>
      </c>
      <c r="L221">
        <v>0.72028000000000003</v>
      </c>
      <c r="M221">
        <f>PSI_OC!$A$6</f>
        <v>100</v>
      </c>
      <c r="N221">
        <v>-1</v>
      </c>
      <c r="O221" t="s">
        <v>444</v>
      </c>
      <c r="P221" s="8">
        <f t="shared" si="67"/>
        <v>-757800987.94137609</v>
      </c>
      <c r="Q221" t="s">
        <v>538</v>
      </c>
    </row>
    <row r="222" spans="5:17" x14ac:dyDescent="0.2">
      <c r="E222" t="s">
        <v>293</v>
      </c>
      <c r="F222">
        <v>1.26824</v>
      </c>
      <c r="G222" t="s">
        <v>398</v>
      </c>
      <c r="H222">
        <v>1.26824</v>
      </c>
      <c r="I222">
        <v>1.26824</v>
      </c>
      <c r="J222">
        <v>1.26824</v>
      </c>
      <c r="K222">
        <v>7.2029999999999997E-2</v>
      </c>
      <c r="L222">
        <v>7.2029999999999997E-2</v>
      </c>
      <c r="M222">
        <f>PSI_OC!$A$7</f>
        <v>10</v>
      </c>
      <c r="N222">
        <v>-1</v>
      </c>
      <c r="O222" t="s">
        <v>482</v>
      </c>
      <c r="P222" s="8">
        <f t="shared" si="67"/>
        <v>-260489395.85017842</v>
      </c>
      <c r="Q222" t="s">
        <v>538</v>
      </c>
    </row>
    <row r="223" spans="5:17" x14ac:dyDescent="0.2">
      <c r="E223" t="s">
        <v>294</v>
      </c>
      <c r="F223">
        <v>1.2999999999999999E-4</v>
      </c>
      <c r="G223" t="s">
        <v>399</v>
      </c>
      <c r="H223">
        <v>1.2999999999999999E-4</v>
      </c>
      <c r="I223">
        <v>1.2999999999999999E-4</v>
      </c>
      <c r="J223">
        <v>1.2999999999999999E-4</v>
      </c>
      <c r="K223" s="8">
        <v>7.2027900000000002E-5</v>
      </c>
      <c r="L223" s="8">
        <v>7.2027900000000002E-5</v>
      </c>
      <c r="M223">
        <f>PSI_OC!$A$8</f>
        <v>1</v>
      </c>
      <c r="N223">
        <v>-1</v>
      </c>
      <c r="O223" t="s">
        <v>483</v>
      </c>
      <c r="P223" s="8">
        <f t="shared" si="67"/>
        <v>-3327.5301904401754</v>
      </c>
      <c r="Q223" t="s">
        <v>538</v>
      </c>
    </row>
    <row r="224" spans="5:17" x14ac:dyDescent="0.2">
      <c r="E224" t="s">
        <v>336</v>
      </c>
      <c r="F224">
        <v>1.2700000000000001E-3</v>
      </c>
      <c r="G224" t="s">
        <v>400</v>
      </c>
      <c r="H224">
        <v>1.2700000000000001E-3</v>
      </c>
      <c r="I224">
        <v>1.2700000000000001E-3</v>
      </c>
      <c r="J224">
        <v>1.2700000000000001E-3</v>
      </c>
      <c r="K224">
        <v>7.2000000000000005E-4</v>
      </c>
      <c r="L224">
        <v>7.2000000000000005E-4</v>
      </c>
      <c r="M224">
        <f>PSI_OC!$A$6</f>
        <v>100</v>
      </c>
      <c r="N224">
        <v>-1</v>
      </c>
      <c r="O224" t="s">
        <v>484</v>
      </c>
      <c r="P224" s="8">
        <f t="shared" si="67"/>
        <v>-3267360.879806641</v>
      </c>
      <c r="Q224" t="s">
        <v>538</v>
      </c>
    </row>
    <row r="225" spans="5:17" x14ac:dyDescent="0.2">
      <c r="E225" t="s">
        <v>295</v>
      </c>
      <c r="F225">
        <v>1.2999999999999999E-4</v>
      </c>
      <c r="G225" t="s">
        <v>401</v>
      </c>
      <c r="H225">
        <v>1.2999999999999999E-4</v>
      </c>
      <c r="I225">
        <v>1.2999999999999999E-4</v>
      </c>
      <c r="J225">
        <v>1.2999999999999999E-4</v>
      </c>
      <c r="K225" s="8">
        <v>7.2027900000000002E-5</v>
      </c>
      <c r="L225" s="8">
        <v>7.2027900000000002E-5</v>
      </c>
      <c r="M225">
        <f>PSI_OC!$A$6</f>
        <v>100</v>
      </c>
      <c r="N225">
        <v>-1</v>
      </c>
      <c r="O225" t="s">
        <v>485</v>
      </c>
      <c r="P225" s="8">
        <f t="shared" si="67"/>
        <v>-332753.01904401754</v>
      </c>
      <c r="Q225" t="s">
        <v>538</v>
      </c>
    </row>
    <row r="226" spans="5:17" x14ac:dyDescent="0.2">
      <c r="E226" t="s">
        <v>296</v>
      </c>
      <c r="F226">
        <v>1.26824</v>
      </c>
      <c r="G226" t="s">
        <v>402</v>
      </c>
      <c r="H226">
        <v>1.26824</v>
      </c>
      <c r="I226">
        <v>1.26824</v>
      </c>
      <c r="J226">
        <v>1.26824</v>
      </c>
      <c r="K226">
        <v>0.72028000000000003</v>
      </c>
      <c r="L226">
        <v>0.72028000000000003</v>
      </c>
      <c r="M226">
        <f>PSI_OC!$A$7</f>
        <v>10</v>
      </c>
      <c r="N226">
        <v>-1</v>
      </c>
      <c r="O226" t="s">
        <v>486</v>
      </c>
      <c r="P226" s="8">
        <f t="shared" si="67"/>
        <v>-326413233.86018068</v>
      </c>
      <c r="Q226" t="s">
        <v>538</v>
      </c>
    </row>
    <row r="227" spans="5:17" x14ac:dyDescent="0.2">
      <c r="E227" t="s">
        <v>297</v>
      </c>
      <c r="F227">
        <v>1.2999999999999999E-4</v>
      </c>
      <c r="G227" t="s">
        <v>403</v>
      </c>
      <c r="H227">
        <v>1.2999999999999999E-4</v>
      </c>
      <c r="I227">
        <v>1.2999999999999999E-4</v>
      </c>
      <c r="J227">
        <v>1.2999999999999999E-4</v>
      </c>
      <c r="K227" s="8">
        <v>7.2027900000000002E-5</v>
      </c>
      <c r="L227" s="8">
        <v>7.2027900000000002E-5</v>
      </c>
      <c r="M227">
        <f>PSI_OC!$A$7</f>
        <v>10</v>
      </c>
      <c r="N227">
        <v>-1</v>
      </c>
      <c r="O227" t="s">
        <v>487</v>
      </c>
      <c r="P227" s="8">
        <f t="shared" si="67"/>
        <v>-33275.301904401756</v>
      </c>
      <c r="Q227" t="s">
        <v>538</v>
      </c>
    </row>
    <row r="228" spans="5:17" x14ac:dyDescent="0.2">
      <c r="E228" t="s">
        <v>298</v>
      </c>
      <c r="F228">
        <v>1.2700000000000001E-3</v>
      </c>
      <c r="G228" t="s">
        <v>394</v>
      </c>
      <c r="H228">
        <v>1.2999999999999999E-4</v>
      </c>
      <c r="I228">
        <v>1.2999999999999999E-4</v>
      </c>
      <c r="J228">
        <v>1.2999999999999999E-4</v>
      </c>
      <c r="K228" s="8">
        <v>7.2027900000000002E-5</v>
      </c>
      <c r="L228" s="8">
        <v>7.2027900000000002E-5</v>
      </c>
      <c r="M228">
        <f>PSI_OC!$A$7</f>
        <v>10</v>
      </c>
      <c r="N228">
        <v>-1</v>
      </c>
      <c r="O228" t="s">
        <v>478</v>
      </c>
      <c r="P228" s="8">
        <f t="shared" si="67"/>
        <v>-146496.36601957772</v>
      </c>
      <c r="Q228" t="s">
        <v>538</v>
      </c>
    </row>
    <row r="229" spans="5:17" x14ac:dyDescent="0.2">
      <c r="E229" t="s">
        <v>299</v>
      </c>
      <c r="F229">
        <v>1.2999999999999999E-4</v>
      </c>
      <c r="G229" t="s">
        <v>404</v>
      </c>
      <c r="H229">
        <v>1.2999999999999999E-4</v>
      </c>
      <c r="I229">
        <v>1.2999999999999999E-4</v>
      </c>
      <c r="J229">
        <v>1.2999999999999999E-4</v>
      </c>
      <c r="K229" s="8">
        <v>7.2027900000000002E-5</v>
      </c>
      <c r="L229" s="8">
        <v>7.2027900000000002E-5</v>
      </c>
      <c r="M229">
        <f>PSI_OC!$A$7</f>
        <v>10</v>
      </c>
      <c r="N229">
        <v>-1</v>
      </c>
      <c r="O229" t="s">
        <v>488</v>
      </c>
      <c r="P229" s="8">
        <f t="shared" si="67"/>
        <v>-33275.301904401756</v>
      </c>
      <c r="Q229" t="s">
        <v>538</v>
      </c>
    </row>
    <row r="230" spans="5:17" x14ac:dyDescent="0.2">
      <c r="E230" t="s">
        <v>300</v>
      </c>
      <c r="F230">
        <v>0.12681999999999999</v>
      </c>
      <c r="G230" t="s">
        <v>405</v>
      </c>
      <c r="H230">
        <v>0.12681999999999999</v>
      </c>
      <c r="I230">
        <v>0.12681999999999999</v>
      </c>
      <c r="J230">
        <v>0.12681999999999999</v>
      </c>
      <c r="K230">
        <v>7.2029999999999997E-2</v>
      </c>
      <c r="L230">
        <v>7.2029999999999997E-2</v>
      </c>
      <c r="M230">
        <f>PSI_OC!$A$7</f>
        <v>10</v>
      </c>
      <c r="N230">
        <v>-1</v>
      </c>
      <c r="O230" t="s">
        <v>489</v>
      </c>
      <c r="P230" s="8">
        <f t="shared" si="67"/>
        <v>-32640728.301767468</v>
      </c>
      <c r="Q230" t="s">
        <v>538</v>
      </c>
    </row>
    <row r="231" spans="5:17" x14ac:dyDescent="0.2">
      <c r="E231" t="s">
        <v>301</v>
      </c>
      <c r="F231">
        <v>1.2700000000000001E-3</v>
      </c>
      <c r="G231" t="s">
        <v>406</v>
      </c>
      <c r="H231">
        <v>1.2700000000000001E-3</v>
      </c>
      <c r="I231">
        <v>1.2700000000000001E-3</v>
      </c>
      <c r="J231">
        <v>1.2700000000000001E-3</v>
      </c>
      <c r="K231">
        <v>7.2000000000000005E-4</v>
      </c>
      <c r="L231">
        <v>7.2000000000000005E-4</v>
      </c>
      <c r="M231">
        <f>PSI_OC!$A$6</f>
        <v>100</v>
      </c>
      <c r="N231">
        <v>-1</v>
      </c>
      <c r="O231" t="s">
        <v>490</v>
      </c>
      <c r="P231" s="8">
        <f t="shared" si="67"/>
        <v>-3267360.879806641</v>
      </c>
      <c r="Q231" t="s">
        <v>538</v>
      </c>
    </row>
    <row r="232" spans="5:17" x14ac:dyDescent="0.2">
      <c r="E232" t="s">
        <v>302</v>
      </c>
      <c r="F232">
        <v>1.2700000000000001E-3</v>
      </c>
      <c r="G232" t="s">
        <v>407</v>
      </c>
      <c r="H232">
        <v>1.2700000000000001E-3</v>
      </c>
      <c r="I232">
        <v>1.2700000000000001E-3</v>
      </c>
      <c r="J232">
        <v>1.2700000000000001E-3</v>
      </c>
      <c r="K232">
        <v>7.2000000000000005E-4</v>
      </c>
      <c r="L232">
        <v>7.2000000000000005E-4</v>
      </c>
      <c r="M232">
        <f>PSI_OC!$A$6</f>
        <v>100</v>
      </c>
      <c r="N232">
        <v>-1</v>
      </c>
      <c r="O232" t="s">
        <v>491</v>
      </c>
      <c r="P232" s="8">
        <f t="shared" si="67"/>
        <v>-3267360.879806641</v>
      </c>
      <c r="Q232" t="s">
        <v>538</v>
      </c>
    </row>
    <row r="233" spans="5:17" x14ac:dyDescent="0.2">
      <c r="E233" t="s">
        <v>303</v>
      </c>
      <c r="F233">
        <v>1.2700000000000001E-3</v>
      </c>
      <c r="G233" t="s">
        <v>408</v>
      </c>
      <c r="H233">
        <v>1.2700000000000001E-3</v>
      </c>
      <c r="I233">
        <v>1.2700000000000001E-3</v>
      </c>
      <c r="J233">
        <v>1.2700000000000001E-3</v>
      </c>
      <c r="K233">
        <v>7.2000000000000005E-4</v>
      </c>
      <c r="L233">
        <v>7.2000000000000005E-4</v>
      </c>
      <c r="M233">
        <f>PSI_OC!$A$7</f>
        <v>10</v>
      </c>
      <c r="N233">
        <v>-1</v>
      </c>
      <c r="O233" t="s">
        <v>492</v>
      </c>
      <c r="P233" s="8">
        <f t="shared" si="67"/>
        <v>-326736.0879806641</v>
      </c>
      <c r="Q233" t="s">
        <v>538</v>
      </c>
    </row>
    <row r="234" spans="5:17" x14ac:dyDescent="0.2">
      <c r="E234" t="s">
        <v>304</v>
      </c>
      <c r="F234">
        <v>1.26824</v>
      </c>
      <c r="G234" t="s">
        <v>409</v>
      </c>
      <c r="H234">
        <v>1.26824</v>
      </c>
      <c r="I234">
        <v>1.26824</v>
      </c>
      <c r="J234">
        <v>1.26824</v>
      </c>
      <c r="K234">
        <v>0.72028000000000003</v>
      </c>
      <c r="L234">
        <v>0.72028000000000003</v>
      </c>
      <c r="M234">
        <f>PSI_OC!$A$6</f>
        <v>100</v>
      </c>
      <c r="N234">
        <v>-1</v>
      </c>
      <c r="O234" t="s">
        <v>493</v>
      </c>
      <c r="P234" s="8">
        <f t="shared" si="67"/>
        <v>-3264132338.6018066</v>
      </c>
      <c r="Q234" t="s">
        <v>538</v>
      </c>
    </row>
    <row r="235" spans="5:17" x14ac:dyDescent="0.2">
      <c r="E235" t="s">
        <v>305</v>
      </c>
      <c r="F235">
        <v>1.2700000000000001E-3</v>
      </c>
      <c r="G235" t="s">
        <v>410</v>
      </c>
      <c r="H235">
        <v>1.2700000000000001E-3</v>
      </c>
      <c r="I235">
        <v>1.2700000000000001E-3</v>
      </c>
      <c r="J235">
        <v>1.2700000000000001E-3</v>
      </c>
      <c r="K235">
        <v>7.2000000000000005E-4</v>
      </c>
      <c r="L235">
        <v>7.2000000000000005E-4</v>
      </c>
      <c r="M235">
        <f>PSI_OC!$A$7</f>
        <v>10</v>
      </c>
      <c r="N235">
        <v>-1</v>
      </c>
      <c r="O235" t="s">
        <v>494</v>
      </c>
      <c r="P235" s="8">
        <f t="shared" si="67"/>
        <v>-326736.0879806641</v>
      </c>
      <c r="Q235" t="s">
        <v>538</v>
      </c>
    </row>
    <row r="236" spans="5:17" x14ac:dyDescent="0.2">
      <c r="E236" t="s">
        <v>306</v>
      </c>
      <c r="F236">
        <v>1.2700000000000001E-3</v>
      </c>
      <c r="G236" t="s">
        <v>411</v>
      </c>
      <c r="H236">
        <v>1.2700000000000001E-3</v>
      </c>
      <c r="I236">
        <v>1.2700000000000001E-3</v>
      </c>
      <c r="J236">
        <v>1.2700000000000001E-3</v>
      </c>
      <c r="K236">
        <v>7.2000000000000005E-4</v>
      </c>
      <c r="L236">
        <v>7.2000000000000005E-4</v>
      </c>
      <c r="M236">
        <f>PSI_OC!$A$8</f>
        <v>1</v>
      </c>
      <c r="N236">
        <v>-1</v>
      </c>
      <c r="O236" t="s">
        <v>495</v>
      </c>
      <c r="P236" s="8">
        <f t="shared" si="67"/>
        <v>-32673.608798066409</v>
      </c>
      <c r="Q236" t="s">
        <v>538</v>
      </c>
    </row>
    <row r="237" spans="5:17" x14ac:dyDescent="0.2">
      <c r="E237" t="s">
        <v>307</v>
      </c>
      <c r="F237">
        <v>1.2700000000000001E-3</v>
      </c>
      <c r="G237" t="s">
        <v>411</v>
      </c>
      <c r="H237">
        <v>1.2700000000000001E-3</v>
      </c>
      <c r="I237">
        <v>1.2700000000000001E-3</v>
      </c>
      <c r="J237">
        <v>1.2700000000000001E-3</v>
      </c>
      <c r="K237">
        <v>7.2000000000000005E-4</v>
      </c>
      <c r="L237">
        <v>7.2000000000000005E-4</v>
      </c>
      <c r="M237">
        <f>PSI_OC!$A$8</f>
        <v>1</v>
      </c>
      <c r="N237">
        <v>-1</v>
      </c>
      <c r="O237" t="s">
        <v>495</v>
      </c>
      <c r="P237" s="8">
        <f t="shared" si="67"/>
        <v>-32673.608798066409</v>
      </c>
      <c r="Q237" t="s">
        <v>538</v>
      </c>
    </row>
    <row r="238" spans="5:17" x14ac:dyDescent="0.2">
      <c r="E238" t="s">
        <v>337</v>
      </c>
      <c r="F238">
        <v>0.12681999999999999</v>
      </c>
      <c r="G238" t="s">
        <v>412</v>
      </c>
      <c r="H238">
        <v>0.12681999999999999</v>
      </c>
      <c r="I238">
        <v>0.12681999999999999</v>
      </c>
      <c r="J238">
        <v>0.12681999999999999</v>
      </c>
      <c r="K238">
        <v>0.72028000000000003</v>
      </c>
      <c r="L238">
        <v>0.72028000000000003</v>
      </c>
      <c r="M238">
        <v>0</v>
      </c>
      <c r="N238">
        <v>0</v>
      </c>
      <c r="O238" t="s">
        <v>496</v>
      </c>
      <c r="P238" s="8">
        <f t="shared" si="67"/>
        <v>0</v>
      </c>
      <c r="Q238" t="s">
        <v>538</v>
      </c>
    </row>
    <row r="239" spans="5:17" x14ac:dyDescent="0.2">
      <c r="E239" t="s">
        <v>308</v>
      </c>
      <c r="F239">
        <v>1.2700000000000001E-3</v>
      </c>
      <c r="G239" t="s">
        <v>413</v>
      </c>
      <c r="H239">
        <v>1.2700000000000001E-3</v>
      </c>
      <c r="I239">
        <v>1.2700000000000001E-3</v>
      </c>
      <c r="J239">
        <v>1.2700000000000001E-3</v>
      </c>
      <c r="K239">
        <v>7.2000000000000005E-4</v>
      </c>
      <c r="L239">
        <v>7.2000000000000005E-4</v>
      </c>
      <c r="M239">
        <f>PSI_OC!$A$7</f>
        <v>10</v>
      </c>
      <c r="N239">
        <v>-1</v>
      </c>
      <c r="O239" t="s">
        <v>497</v>
      </c>
      <c r="P239" s="8">
        <f t="shared" si="67"/>
        <v>-326736.0879806641</v>
      </c>
      <c r="Q239" t="s">
        <v>538</v>
      </c>
    </row>
    <row r="240" spans="5:17" x14ac:dyDescent="0.2">
      <c r="E240" t="s">
        <v>309</v>
      </c>
      <c r="F240">
        <v>1.2700000000000001E-3</v>
      </c>
      <c r="G240" t="s">
        <v>413</v>
      </c>
      <c r="H240">
        <v>1.2700000000000001E-3</v>
      </c>
      <c r="I240">
        <v>1.2700000000000001E-3</v>
      </c>
      <c r="J240">
        <v>1.2700000000000001E-3</v>
      </c>
      <c r="K240">
        <v>7.2000000000000005E-4</v>
      </c>
      <c r="L240">
        <v>7.2000000000000005E-4</v>
      </c>
      <c r="M240">
        <f>PSI_OC!$A$7</f>
        <v>10</v>
      </c>
      <c r="N240">
        <v>-1</v>
      </c>
      <c r="O240" t="s">
        <v>497</v>
      </c>
      <c r="P240" s="8">
        <f t="shared" si="67"/>
        <v>-326736.0879806641</v>
      </c>
      <c r="Q240" t="s">
        <v>538</v>
      </c>
    </row>
    <row r="241" spans="1:30" x14ac:dyDescent="0.2">
      <c r="E241" t="s">
        <v>310</v>
      </c>
      <c r="F241">
        <v>1.2700000000000001E-3</v>
      </c>
      <c r="G241" t="s">
        <v>413</v>
      </c>
      <c r="H241">
        <v>1.2700000000000001E-3</v>
      </c>
      <c r="I241">
        <v>1.2700000000000001E-3</v>
      </c>
      <c r="J241">
        <v>1.2700000000000001E-3</v>
      </c>
      <c r="K241">
        <v>7.2000000000000005E-4</v>
      </c>
      <c r="L241">
        <v>7.2000000000000005E-4</v>
      </c>
      <c r="M241">
        <v>0</v>
      </c>
      <c r="N241">
        <v>0</v>
      </c>
      <c r="O241" t="s">
        <v>497</v>
      </c>
      <c r="P241" s="8">
        <f t="shared" si="67"/>
        <v>0</v>
      </c>
      <c r="Q241" t="s">
        <v>538</v>
      </c>
    </row>
    <row r="242" spans="1:30" x14ac:dyDescent="0.2">
      <c r="E242" t="s">
        <v>311</v>
      </c>
      <c r="F242">
        <v>1.2700000000000001E-3</v>
      </c>
      <c r="G242" t="s">
        <v>414</v>
      </c>
      <c r="H242">
        <v>1.2700000000000001E-3</v>
      </c>
      <c r="I242">
        <v>1.2700000000000001E-3</v>
      </c>
      <c r="J242">
        <v>1.2700000000000001E-3</v>
      </c>
      <c r="K242">
        <v>7.2000000000000005E-4</v>
      </c>
      <c r="L242">
        <v>7.2000000000000005E-4</v>
      </c>
      <c r="M242">
        <f>PSI_OC!$A$7</f>
        <v>10</v>
      </c>
      <c r="N242">
        <v>-1</v>
      </c>
      <c r="O242" t="s">
        <v>498</v>
      </c>
      <c r="P242" s="8">
        <f t="shared" si="67"/>
        <v>-326736.0879806641</v>
      </c>
      <c r="Q242" t="s">
        <v>538</v>
      </c>
    </row>
    <row r="243" spans="1:30" x14ac:dyDescent="0.2">
      <c r="X243" s="8"/>
      <c r="Y243" s="8"/>
      <c r="Z243" s="8"/>
      <c r="AA243" s="8"/>
      <c r="AB243" s="8"/>
      <c r="AC243" s="8"/>
      <c r="AD243" s="8"/>
    </row>
    <row r="246" spans="1:30" x14ac:dyDescent="0.2">
      <c r="A246" s="511" t="s">
        <v>1031</v>
      </c>
      <c r="B246" s="511"/>
      <c r="C246" s="511"/>
      <c r="D246" s="511"/>
      <c r="E246" s="511"/>
      <c r="F246" s="511"/>
      <c r="G246" s="511"/>
      <c r="H246" s="511"/>
      <c r="I246" s="511"/>
      <c r="J246" s="511"/>
      <c r="K246" s="511"/>
      <c r="L246" s="511"/>
      <c r="M246" s="511"/>
      <c r="N246" s="511"/>
    </row>
    <row r="247" spans="1:30" x14ac:dyDescent="0.2">
      <c r="A247" s="512"/>
      <c r="B247" s="512"/>
      <c r="C247" s="512"/>
      <c r="D247" s="512"/>
      <c r="E247" s="512"/>
      <c r="F247" s="512"/>
      <c r="G247" s="512"/>
      <c r="H247" s="512"/>
      <c r="I247" s="512"/>
      <c r="J247" s="512"/>
      <c r="K247" s="512"/>
      <c r="L247" s="512"/>
      <c r="M247" s="512"/>
      <c r="N247" s="512"/>
    </row>
    <row r="248" spans="1:30" x14ac:dyDescent="0.2">
      <c r="A248" s="348" t="s">
        <v>913</v>
      </c>
      <c r="B248" s="348" t="s">
        <v>666</v>
      </c>
      <c r="C248" s="348" t="s">
        <v>658</v>
      </c>
      <c r="D248" s="325" t="s">
        <v>1168</v>
      </c>
      <c r="E248" s="326"/>
      <c r="F248" s="327"/>
      <c r="G248" s="328" t="s">
        <v>421</v>
      </c>
      <c r="H248" s="329"/>
      <c r="I248" s="330"/>
      <c r="J248" s="334" t="s">
        <v>28</v>
      </c>
      <c r="K248" s="335"/>
      <c r="L248" s="338" t="s">
        <v>420</v>
      </c>
      <c r="M248" s="339"/>
    </row>
    <row r="249" spans="1:30" x14ac:dyDescent="0.2">
      <c r="A249" s="349"/>
      <c r="B249" s="349"/>
      <c r="C249" s="349"/>
      <c r="D249" t="s">
        <v>1168</v>
      </c>
      <c r="E249" s="203"/>
      <c r="F249" s="204"/>
      <c r="G249" s="331"/>
      <c r="H249" s="332"/>
      <c r="I249" s="333"/>
      <c r="J249" s="336"/>
      <c r="K249" s="337"/>
      <c r="L249" s="340"/>
      <c r="M249" s="341"/>
    </row>
    <row r="250" spans="1:30" x14ac:dyDescent="0.2">
      <c r="A250" s="350"/>
      <c r="B250" s="350"/>
      <c r="C250" s="350"/>
      <c r="D250" s="6" t="s">
        <v>317</v>
      </c>
      <c r="E250" s="58" t="s">
        <v>319</v>
      </c>
      <c r="F250" s="58" t="s">
        <v>5</v>
      </c>
      <c r="G250" s="64" t="s">
        <v>0</v>
      </c>
      <c r="H250" s="64" t="s">
        <v>499</v>
      </c>
      <c r="I250" s="64" t="s">
        <v>5</v>
      </c>
      <c r="J250" s="64" t="s">
        <v>0</v>
      </c>
      <c r="K250" s="58" t="s">
        <v>5</v>
      </c>
      <c r="L250" s="64" t="s">
        <v>0</v>
      </c>
      <c r="M250" s="58" t="s">
        <v>5</v>
      </c>
    </row>
    <row r="251" spans="1:30" x14ac:dyDescent="0.2">
      <c r="A251" t="s">
        <v>996</v>
      </c>
      <c r="B251" s="282">
        <f>243834080*(B9/B10)</f>
        <v>161801204.04759374</v>
      </c>
      <c r="C251" t="s">
        <v>1168</v>
      </c>
      <c r="D251" t="s">
        <v>225</v>
      </c>
      <c r="E251">
        <v>3.2000000000000003E-4</v>
      </c>
      <c r="F251" t="s">
        <v>338</v>
      </c>
      <c r="G251">
        <f>PSI_OC!$A$6</f>
        <v>100</v>
      </c>
      <c r="H251">
        <v>-1</v>
      </c>
      <c r="I251" t="s">
        <v>422</v>
      </c>
      <c r="J251" s="8">
        <f t="shared" ref="J251:J282" si="68">B$251*E251*G251*H251</f>
        <v>-5177638.5295230001</v>
      </c>
      <c r="K251" t="s">
        <v>538</v>
      </c>
      <c r="L251" s="8">
        <f>SUM(J251:J356)</f>
        <v>-195388943219.57144</v>
      </c>
      <c r="M251" t="s">
        <v>538</v>
      </c>
    </row>
    <row r="252" spans="1:30" x14ac:dyDescent="0.2">
      <c r="D252" t="s">
        <v>226</v>
      </c>
      <c r="E252">
        <v>3.2000000000000003E-4</v>
      </c>
      <c r="F252" t="s">
        <v>339</v>
      </c>
      <c r="G252">
        <f>PSI_OC!$A$7</f>
        <v>10</v>
      </c>
      <c r="H252">
        <v>-1</v>
      </c>
      <c r="I252" t="s">
        <v>423</v>
      </c>
      <c r="J252" s="8">
        <f t="shared" si="68"/>
        <v>-517763.85295229999</v>
      </c>
      <c r="K252" t="s">
        <v>538</v>
      </c>
    </row>
    <row r="253" spans="1:30" x14ac:dyDescent="0.2">
      <c r="D253" t="s">
        <v>227</v>
      </c>
      <c r="E253">
        <v>3.2200000000000002E-3</v>
      </c>
      <c r="F253" t="s">
        <v>340</v>
      </c>
      <c r="G253">
        <f>PSI_OC!$A$7</f>
        <v>10</v>
      </c>
      <c r="H253">
        <v>-1</v>
      </c>
      <c r="I253" t="s">
        <v>424</v>
      </c>
      <c r="J253" s="8">
        <f t="shared" si="68"/>
        <v>-5209998.770332519</v>
      </c>
      <c r="K253" t="s">
        <v>538</v>
      </c>
    </row>
    <row r="254" spans="1:30" x14ac:dyDescent="0.2">
      <c r="D254" t="s">
        <v>228</v>
      </c>
      <c r="E254">
        <v>0.32224999999999998</v>
      </c>
      <c r="F254" t="s">
        <v>341</v>
      </c>
      <c r="G254">
        <f>PSI_OC!$A$7</f>
        <v>10</v>
      </c>
      <c r="H254">
        <v>-1</v>
      </c>
      <c r="I254" t="s">
        <v>425</v>
      </c>
      <c r="J254" s="8">
        <f t="shared" si="68"/>
        <v>-521404380.04337078</v>
      </c>
      <c r="K254" t="s">
        <v>538</v>
      </c>
    </row>
    <row r="255" spans="1:30" x14ac:dyDescent="0.2">
      <c r="D255" t="s">
        <v>229</v>
      </c>
      <c r="E255">
        <v>3.2000000000000003E-4</v>
      </c>
      <c r="F255" t="s">
        <v>342</v>
      </c>
      <c r="G255">
        <f>PSI_OC!$A$6</f>
        <v>100</v>
      </c>
      <c r="H255">
        <v>-1</v>
      </c>
      <c r="I255" t="s">
        <v>426</v>
      </c>
      <c r="J255" s="8">
        <f t="shared" si="68"/>
        <v>-5177638.5295230001</v>
      </c>
      <c r="K255" t="s">
        <v>538</v>
      </c>
    </row>
    <row r="256" spans="1:30" x14ac:dyDescent="0.2">
      <c r="D256" t="s">
        <v>230</v>
      </c>
      <c r="E256">
        <v>0.32224999999999998</v>
      </c>
      <c r="F256" t="s">
        <v>343</v>
      </c>
      <c r="G256">
        <f>PSI_OC!$A$6</f>
        <v>100</v>
      </c>
      <c r="H256">
        <v>-1</v>
      </c>
      <c r="I256" t="s">
        <v>427</v>
      </c>
      <c r="J256" s="8">
        <f t="shared" si="68"/>
        <v>-5214043800.4337082</v>
      </c>
      <c r="K256" t="s">
        <v>538</v>
      </c>
    </row>
    <row r="257" spans="4:11" x14ac:dyDescent="0.2">
      <c r="D257" t="s">
        <v>231</v>
      </c>
      <c r="E257">
        <v>0.32224999999999998</v>
      </c>
      <c r="F257" t="s">
        <v>344</v>
      </c>
      <c r="G257">
        <f>PSI_OC!$A$7</f>
        <v>10</v>
      </c>
      <c r="H257">
        <v>-1</v>
      </c>
      <c r="I257" t="s">
        <v>428</v>
      </c>
      <c r="J257" s="8">
        <f t="shared" si="68"/>
        <v>-521404380.04337078</v>
      </c>
      <c r="K257" t="s">
        <v>538</v>
      </c>
    </row>
    <row r="258" spans="4:11" x14ac:dyDescent="0.2">
      <c r="D258" t="s">
        <v>232</v>
      </c>
      <c r="E258">
        <v>3.2219999999999999E-2</v>
      </c>
      <c r="F258" t="s">
        <v>345</v>
      </c>
      <c r="G258">
        <f>PSI_OC!$A$7</f>
        <v>10</v>
      </c>
      <c r="H258">
        <v>-1</v>
      </c>
      <c r="I258" t="s">
        <v>429</v>
      </c>
      <c r="J258" s="8">
        <f t="shared" si="68"/>
        <v>-52132347.944134697</v>
      </c>
      <c r="K258" t="s">
        <v>538</v>
      </c>
    </row>
    <row r="259" spans="4:11" x14ac:dyDescent="0.2">
      <c r="D259" t="s">
        <v>233</v>
      </c>
      <c r="E259">
        <v>3.2219999999999999E-2</v>
      </c>
      <c r="F259" t="s">
        <v>345</v>
      </c>
      <c r="G259">
        <f>PSI_OC!$A$7</f>
        <v>10</v>
      </c>
      <c r="H259">
        <v>-1</v>
      </c>
      <c r="I259" t="s">
        <v>429</v>
      </c>
      <c r="J259" s="8">
        <f t="shared" si="68"/>
        <v>-52132347.944134697</v>
      </c>
      <c r="K259" t="s">
        <v>538</v>
      </c>
    </row>
    <row r="260" spans="4:11" x14ac:dyDescent="0.2">
      <c r="D260" t="s">
        <v>320</v>
      </c>
      <c r="E260">
        <v>3.2000000000000003E-4</v>
      </c>
      <c r="F260" t="s">
        <v>344</v>
      </c>
      <c r="G260">
        <f>PSI_OC!$A$6</f>
        <v>100</v>
      </c>
      <c r="H260">
        <v>-1</v>
      </c>
      <c r="I260" t="s">
        <v>428</v>
      </c>
      <c r="J260" s="8">
        <f t="shared" si="68"/>
        <v>-5177638.5295230001</v>
      </c>
      <c r="K260" t="s">
        <v>538</v>
      </c>
    </row>
    <row r="261" spans="4:11" x14ac:dyDescent="0.2">
      <c r="D261" t="s">
        <v>321</v>
      </c>
      <c r="E261">
        <v>3.2200000000000002E-3</v>
      </c>
      <c r="F261" t="s">
        <v>344</v>
      </c>
      <c r="G261">
        <f>PSI_OC!$A$6</f>
        <v>100</v>
      </c>
      <c r="H261">
        <v>-1</v>
      </c>
      <c r="I261" t="s">
        <v>428</v>
      </c>
      <c r="J261" s="8">
        <f t="shared" si="68"/>
        <v>-52099987.70332519</v>
      </c>
      <c r="K261" t="s">
        <v>538</v>
      </c>
    </row>
    <row r="262" spans="4:11" x14ac:dyDescent="0.2">
      <c r="D262" t="s">
        <v>234</v>
      </c>
      <c r="E262">
        <v>3.2200000000000002E-3</v>
      </c>
      <c r="F262" t="s">
        <v>344</v>
      </c>
      <c r="G262">
        <v>0</v>
      </c>
      <c r="H262">
        <v>0</v>
      </c>
      <c r="I262" t="s">
        <v>428</v>
      </c>
      <c r="J262" s="8">
        <f t="shared" si="68"/>
        <v>0</v>
      </c>
      <c r="K262" t="s">
        <v>538</v>
      </c>
    </row>
    <row r="263" spans="4:11" x14ac:dyDescent="0.2">
      <c r="D263" t="s">
        <v>235</v>
      </c>
      <c r="E263">
        <v>0.32224999999999998</v>
      </c>
      <c r="F263" t="s">
        <v>346</v>
      </c>
      <c r="G263">
        <f>PSI_OC!$A$8</f>
        <v>1</v>
      </c>
      <c r="H263">
        <v>1</v>
      </c>
      <c r="I263" t="s">
        <v>430</v>
      </c>
      <c r="J263" s="8">
        <f t="shared" si="68"/>
        <v>52140438.00433708</v>
      </c>
      <c r="K263" t="s">
        <v>538</v>
      </c>
    </row>
    <row r="264" spans="4:11" x14ac:dyDescent="0.2">
      <c r="D264" t="s">
        <v>236</v>
      </c>
      <c r="E264">
        <v>3.2000000000000003E-4</v>
      </c>
      <c r="F264" t="s">
        <v>347</v>
      </c>
      <c r="G264">
        <f>PSI_OC!$A$7</f>
        <v>10</v>
      </c>
      <c r="H264">
        <v>-1</v>
      </c>
      <c r="I264" t="s">
        <v>431</v>
      </c>
      <c r="J264" s="8">
        <f t="shared" si="68"/>
        <v>-517763.85295229999</v>
      </c>
      <c r="K264" t="s">
        <v>538</v>
      </c>
    </row>
    <row r="265" spans="4:11" x14ac:dyDescent="0.2">
      <c r="D265" t="s">
        <v>237</v>
      </c>
      <c r="E265">
        <v>3.2219999999999999E-2</v>
      </c>
      <c r="F265" t="s">
        <v>348</v>
      </c>
      <c r="G265">
        <f>PSI_OC!$A$6</f>
        <v>100</v>
      </c>
      <c r="H265">
        <v>-1</v>
      </c>
      <c r="I265" t="s">
        <v>432</v>
      </c>
      <c r="J265" s="8">
        <f t="shared" si="68"/>
        <v>-521323479.441347</v>
      </c>
      <c r="K265" t="s">
        <v>538</v>
      </c>
    </row>
    <row r="266" spans="4:11" x14ac:dyDescent="0.2">
      <c r="D266" t="s">
        <v>238</v>
      </c>
      <c r="E266">
        <v>0</v>
      </c>
      <c r="F266" t="s">
        <v>349</v>
      </c>
      <c r="G266">
        <f>PSI_OC!$A$7</f>
        <v>10</v>
      </c>
      <c r="H266">
        <v>-1</v>
      </c>
      <c r="I266" t="s">
        <v>433</v>
      </c>
      <c r="J266" s="8">
        <f t="shared" si="68"/>
        <v>0</v>
      </c>
      <c r="K266" t="s">
        <v>538</v>
      </c>
    </row>
    <row r="267" spans="4:11" x14ac:dyDescent="0.2">
      <c r="D267" t="s">
        <v>239</v>
      </c>
      <c r="E267">
        <v>3.2200000000000002E-3</v>
      </c>
      <c r="F267" t="s">
        <v>348</v>
      </c>
      <c r="G267">
        <f>PSI_OC!$A$6</f>
        <v>100</v>
      </c>
      <c r="H267">
        <v>-1</v>
      </c>
      <c r="I267" t="s">
        <v>432</v>
      </c>
      <c r="J267" s="8">
        <f t="shared" si="68"/>
        <v>-52099987.70332519</v>
      </c>
      <c r="K267" t="s">
        <v>538</v>
      </c>
    </row>
    <row r="268" spans="4:11" x14ac:dyDescent="0.2">
      <c r="D268" t="s">
        <v>240</v>
      </c>
      <c r="E268">
        <v>0</v>
      </c>
      <c r="F268" t="s">
        <v>348</v>
      </c>
      <c r="G268">
        <f>PSI_OC!$A$6</f>
        <v>100</v>
      </c>
      <c r="H268">
        <v>-1</v>
      </c>
      <c r="I268" t="s">
        <v>432</v>
      </c>
      <c r="J268" s="8">
        <f t="shared" si="68"/>
        <v>0</v>
      </c>
      <c r="K268" t="s">
        <v>538</v>
      </c>
    </row>
    <row r="269" spans="4:11" x14ac:dyDescent="0.2">
      <c r="D269" t="s">
        <v>241</v>
      </c>
      <c r="E269">
        <v>0</v>
      </c>
      <c r="F269" t="s">
        <v>350</v>
      </c>
      <c r="G269">
        <f>PSI_OC!$A$6</f>
        <v>100</v>
      </c>
      <c r="H269">
        <v>-1</v>
      </c>
      <c r="I269" t="s">
        <v>434</v>
      </c>
      <c r="J269" s="8">
        <f t="shared" si="68"/>
        <v>0</v>
      </c>
      <c r="K269" t="s">
        <v>538</v>
      </c>
    </row>
    <row r="270" spans="4:11" x14ac:dyDescent="0.2">
      <c r="D270" t="s">
        <v>242</v>
      </c>
      <c r="E270">
        <v>0</v>
      </c>
      <c r="F270" t="s">
        <v>351</v>
      </c>
      <c r="G270">
        <f>PSI_OC!$A$8</f>
        <v>1</v>
      </c>
      <c r="H270">
        <v>1</v>
      </c>
      <c r="I270" t="s">
        <v>435</v>
      </c>
      <c r="J270" s="8">
        <f t="shared" si="68"/>
        <v>0</v>
      </c>
      <c r="K270" t="s">
        <v>538</v>
      </c>
    </row>
    <row r="271" spans="4:11" x14ac:dyDescent="0.2">
      <c r="D271" t="s">
        <v>243</v>
      </c>
      <c r="E271">
        <v>3.22248</v>
      </c>
      <c r="F271" t="s">
        <v>352</v>
      </c>
      <c r="G271">
        <f>PSI_OC!$A$6</f>
        <v>100</v>
      </c>
      <c r="H271">
        <v>-1</v>
      </c>
      <c r="I271" t="s">
        <v>436</v>
      </c>
      <c r="J271" s="8">
        <f t="shared" si="68"/>
        <v>-52140114401.928993</v>
      </c>
      <c r="K271" t="s">
        <v>538</v>
      </c>
    </row>
    <row r="272" spans="4:11" x14ac:dyDescent="0.2">
      <c r="D272" t="s">
        <v>244</v>
      </c>
      <c r="E272">
        <v>3.2200000000000002E-3</v>
      </c>
      <c r="F272" t="s">
        <v>353</v>
      </c>
      <c r="G272">
        <v>0</v>
      </c>
      <c r="H272">
        <v>0</v>
      </c>
      <c r="I272" t="s">
        <v>437</v>
      </c>
      <c r="J272" s="8">
        <f t="shared" si="68"/>
        <v>0</v>
      </c>
      <c r="K272" t="s">
        <v>538</v>
      </c>
    </row>
    <row r="273" spans="4:11" x14ac:dyDescent="0.2">
      <c r="D273" t="s">
        <v>245</v>
      </c>
      <c r="E273">
        <v>3.2219999999999999E-2</v>
      </c>
      <c r="F273" t="s">
        <v>351</v>
      </c>
      <c r="G273">
        <f>PSI_OC!$A$7</f>
        <v>10</v>
      </c>
      <c r="H273">
        <v>-1</v>
      </c>
      <c r="I273" t="s">
        <v>435</v>
      </c>
      <c r="J273" s="8">
        <f t="shared" si="68"/>
        <v>-52132347.944134697</v>
      </c>
      <c r="K273" t="s">
        <v>538</v>
      </c>
    </row>
    <row r="274" spans="4:11" x14ac:dyDescent="0.2">
      <c r="D274" t="s">
        <v>246</v>
      </c>
      <c r="E274">
        <v>3.2200000000000002E-3</v>
      </c>
      <c r="F274" t="s">
        <v>354</v>
      </c>
      <c r="G274">
        <f>PSI_OC!$A$7</f>
        <v>10</v>
      </c>
      <c r="H274">
        <v>-1</v>
      </c>
      <c r="I274" t="s">
        <v>438</v>
      </c>
      <c r="J274" s="8">
        <f t="shared" si="68"/>
        <v>-5209998.770332519</v>
      </c>
      <c r="K274" t="s">
        <v>538</v>
      </c>
    </row>
    <row r="275" spans="4:11" x14ac:dyDescent="0.2">
      <c r="D275" t="s">
        <v>247</v>
      </c>
      <c r="E275">
        <v>0.32224999999999998</v>
      </c>
      <c r="F275" t="s">
        <v>354</v>
      </c>
      <c r="G275">
        <f>PSI_OC!$A$7</f>
        <v>10</v>
      </c>
      <c r="H275">
        <v>-1</v>
      </c>
      <c r="I275" t="s">
        <v>438</v>
      </c>
      <c r="J275" s="8">
        <f t="shared" si="68"/>
        <v>-521404380.04337078</v>
      </c>
      <c r="K275" t="s">
        <v>538</v>
      </c>
    </row>
    <row r="276" spans="4:11" x14ac:dyDescent="0.2">
      <c r="D276" t="s">
        <v>248</v>
      </c>
      <c r="E276">
        <v>3.2200000000000002E-3</v>
      </c>
      <c r="F276" t="s">
        <v>350</v>
      </c>
      <c r="G276">
        <f>PSI_OC!$A$7</f>
        <v>10</v>
      </c>
      <c r="H276">
        <v>-1</v>
      </c>
      <c r="I276" t="s">
        <v>434</v>
      </c>
      <c r="J276" s="8">
        <f t="shared" si="68"/>
        <v>-5209998.770332519</v>
      </c>
      <c r="K276" t="s">
        <v>538</v>
      </c>
    </row>
    <row r="277" spans="4:11" x14ac:dyDescent="0.2">
      <c r="D277" t="s">
        <v>322</v>
      </c>
      <c r="E277">
        <v>3.2219999999999999E-2</v>
      </c>
      <c r="F277" t="s">
        <v>355</v>
      </c>
      <c r="G277">
        <f>PSI_OC!$A$7</f>
        <v>10</v>
      </c>
      <c r="H277">
        <v>-1</v>
      </c>
      <c r="I277" t="s">
        <v>439</v>
      </c>
      <c r="J277" s="8">
        <f t="shared" si="68"/>
        <v>-52132347.944134697</v>
      </c>
      <c r="K277" t="s">
        <v>538</v>
      </c>
    </row>
    <row r="278" spans="4:11" x14ac:dyDescent="0.2">
      <c r="D278" t="s">
        <v>249</v>
      </c>
      <c r="E278">
        <v>3.22248</v>
      </c>
      <c r="F278" t="s">
        <v>356</v>
      </c>
      <c r="G278">
        <f>PSI_OC!$A$7</f>
        <v>10</v>
      </c>
      <c r="H278">
        <v>-1</v>
      </c>
      <c r="I278" t="s">
        <v>440</v>
      </c>
      <c r="J278" s="8">
        <f t="shared" si="68"/>
        <v>-5214011440.1928988</v>
      </c>
      <c r="K278" t="s">
        <v>538</v>
      </c>
    </row>
    <row r="279" spans="4:11" x14ac:dyDescent="0.2">
      <c r="D279" t="s">
        <v>323</v>
      </c>
      <c r="E279">
        <v>3.2200000000000002E-3</v>
      </c>
      <c r="F279" t="s">
        <v>357</v>
      </c>
      <c r="G279">
        <f>PSI_OC!$A$6</f>
        <v>100</v>
      </c>
      <c r="H279">
        <v>-1</v>
      </c>
      <c r="I279" t="s">
        <v>441</v>
      </c>
      <c r="J279" s="8">
        <f t="shared" si="68"/>
        <v>-52099987.70332519</v>
      </c>
      <c r="K279" t="s">
        <v>538</v>
      </c>
    </row>
    <row r="280" spans="4:11" x14ac:dyDescent="0.2">
      <c r="D280" t="s">
        <v>324</v>
      </c>
      <c r="E280">
        <v>3.2219999999999999E-2</v>
      </c>
      <c r="F280" t="s">
        <v>357</v>
      </c>
      <c r="G280">
        <f>PSI_OC!$A$6</f>
        <v>100</v>
      </c>
      <c r="H280">
        <v>-1</v>
      </c>
      <c r="I280" t="s">
        <v>441</v>
      </c>
      <c r="J280" s="8">
        <f t="shared" si="68"/>
        <v>-521323479.441347</v>
      </c>
      <c r="K280" t="s">
        <v>538</v>
      </c>
    </row>
    <row r="281" spans="4:11" x14ac:dyDescent="0.2">
      <c r="D281" t="s">
        <v>250</v>
      </c>
      <c r="E281">
        <v>0.32224999999999998</v>
      </c>
      <c r="F281" t="s">
        <v>358</v>
      </c>
      <c r="G281">
        <f>PSI_OC!$A$7</f>
        <v>10</v>
      </c>
      <c r="H281">
        <v>1</v>
      </c>
      <c r="I281" t="s">
        <v>442</v>
      </c>
      <c r="J281" s="8">
        <f t="shared" si="68"/>
        <v>521404380.04337078</v>
      </c>
      <c r="K281" t="s">
        <v>538</v>
      </c>
    </row>
    <row r="282" spans="4:11" x14ac:dyDescent="0.2">
      <c r="D282" t="s">
        <v>251</v>
      </c>
      <c r="E282">
        <v>3.2000000000000003E-4</v>
      </c>
      <c r="F282" t="s">
        <v>359</v>
      </c>
      <c r="G282">
        <f>PSI_OC!$A$6</f>
        <v>100</v>
      </c>
      <c r="H282">
        <v>-1</v>
      </c>
      <c r="I282" t="s">
        <v>443</v>
      </c>
      <c r="J282" s="8">
        <f t="shared" si="68"/>
        <v>-5177638.5295230001</v>
      </c>
      <c r="K282" t="s">
        <v>538</v>
      </c>
    </row>
    <row r="283" spans="4:11" x14ac:dyDescent="0.2">
      <c r="D283" t="s">
        <v>252</v>
      </c>
      <c r="E283">
        <v>0.32224999999999998</v>
      </c>
      <c r="F283" t="s">
        <v>360</v>
      </c>
      <c r="G283">
        <f>PSI_OC!$A$7</f>
        <v>10</v>
      </c>
      <c r="H283">
        <v>-1</v>
      </c>
      <c r="I283" t="s">
        <v>444</v>
      </c>
      <c r="J283" s="8">
        <f t="shared" ref="J283:J314" si="69">B$251*E283*G283*H283</f>
        <v>-521404380.04337078</v>
      </c>
      <c r="K283" t="s">
        <v>538</v>
      </c>
    </row>
    <row r="284" spans="4:11" x14ac:dyDescent="0.2">
      <c r="D284" t="s">
        <v>253</v>
      </c>
      <c r="E284">
        <v>3.2219999999999999E-2</v>
      </c>
      <c r="F284" t="s">
        <v>361</v>
      </c>
      <c r="G284">
        <f>PSI_OC!$A$7</f>
        <v>10</v>
      </c>
      <c r="H284">
        <v>-1</v>
      </c>
      <c r="I284" t="s">
        <v>445</v>
      </c>
      <c r="J284" s="8">
        <f t="shared" si="69"/>
        <v>-52132347.944134697</v>
      </c>
      <c r="K284" t="s">
        <v>538</v>
      </c>
    </row>
    <row r="285" spans="4:11" x14ac:dyDescent="0.2">
      <c r="D285" t="s">
        <v>325</v>
      </c>
      <c r="E285">
        <v>3.2200000000000002E-3</v>
      </c>
      <c r="F285" t="s">
        <v>362</v>
      </c>
      <c r="G285">
        <f>PSI_OC!$A$6</f>
        <v>100</v>
      </c>
      <c r="H285">
        <v>-1</v>
      </c>
      <c r="I285" t="s">
        <v>446</v>
      </c>
      <c r="J285" s="8">
        <f t="shared" si="69"/>
        <v>-52099987.70332519</v>
      </c>
      <c r="K285" t="s">
        <v>538</v>
      </c>
    </row>
    <row r="286" spans="4:11" x14ac:dyDescent="0.2">
      <c r="D286" t="s">
        <v>254</v>
      </c>
      <c r="E286">
        <v>3.2200000000000002E-3</v>
      </c>
      <c r="F286" t="s">
        <v>363</v>
      </c>
      <c r="G286">
        <f>PSI_OC!$A$7</f>
        <v>10</v>
      </c>
      <c r="H286">
        <v>-1</v>
      </c>
      <c r="I286" t="s">
        <v>447</v>
      </c>
      <c r="J286" s="8">
        <f t="shared" si="69"/>
        <v>-5209998.770332519</v>
      </c>
      <c r="K286" t="s">
        <v>538</v>
      </c>
    </row>
    <row r="287" spans="4:11" x14ac:dyDescent="0.2">
      <c r="D287" t="s">
        <v>255</v>
      </c>
      <c r="E287">
        <v>3.2200000000000002E-3</v>
      </c>
      <c r="F287" t="s">
        <v>364</v>
      </c>
      <c r="G287">
        <f>PSI_OC!$A$7</f>
        <v>10</v>
      </c>
      <c r="H287">
        <v>-1</v>
      </c>
      <c r="I287" t="s">
        <v>448</v>
      </c>
      <c r="J287" s="8">
        <f t="shared" si="69"/>
        <v>-5209998.770332519</v>
      </c>
      <c r="K287" t="s">
        <v>538</v>
      </c>
    </row>
    <row r="288" spans="4:11" x14ac:dyDescent="0.2">
      <c r="D288" t="s">
        <v>256</v>
      </c>
      <c r="E288">
        <v>3.2000000000000003E-4</v>
      </c>
      <c r="F288" t="s">
        <v>365</v>
      </c>
      <c r="G288">
        <f>PSI_OC!$A$7</f>
        <v>10</v>
      </c>
      <c r="H288">
        <v>-1</v>
      </c>
      <c r="I288" t="s">
        <v>449</v>
      </c>
      <c r="J288" s="8">
        <f t="shared" si="69"/>
        <v>-517763.85295229999</v>
      </c>
      <c r="K288" t="s">
        <v>538</v>
      </c>
    </row>
    <row r="289" spans="4:11" x14ac:dyDescent="0.2">
      <c r="D289" t="s">
        <v>257</v>
      </c>
      <c r="E289">
        <v>3.2200000000000002E-3</v>
      </c>
      <c r="F289" t="s">
        <v>366</v>
      </c>
      <c r="G289">
        <f>PSI_OC!$A$6</f>
        <v>100</v>
      </c>
      <c r="H289">
        <v>-1</v>
      </c>
      <c r="I289" t="s">
        <v>450</v>
      </c>
      <c r="J289" s="8">
        <f t="shared" si="69"/>
        <v>-52099987.70332519</v>
      </c>
      <c r="K289" t="s">
        <v>538</v>
      </c>
    </row>
    <row r="290" spans="4:11" x14ac:dyDescent="0.2">
      <c r="D290" t="s">
        <v>258</v>
      </c>
      <c r="E290">
        <v>3.22248</v>
      </c>
      <c r="F290" t="s">
        <v>367</v>
      </c>
      <c r="G290">
        <f>PSI_OC!$A$6</f>
        <v>100</v>
      </c>
      <c r="H290">
        <v>-1</v>
      </c>
      <c r="I290" t="s">
        <v>451</v>
      </c>
      <c r="J290" s="8">
        <f t="shared" si="69"/>
        <v>-52140114401.928993</v>
      </c>
      <c r="K290" t="s">
        <v>538</v>
      </c>
    </row>
    <row r="291" spans="4:11" x14ac:dyDescent="0.2">
      <c r="D291" t="s">
        <v>326</v>
      </c>
      <c r="E291">
        <v>3.2200000000000002E-3</v>
      </c>
      <c r="F291" t="s">
        <v>365</v>
      </c>
      <c r="G291">
        <v>0</v>
      </c>
      <c r="H291">
        <v>0</v>
      </c>
      <c r="I291" t="s">
        <v>449</v>
      </c>
      <c r="J291" s="8">
        <f t="shared" si="69"/>
        <v>0</v>
      </c>
      <c r="K291" t="s">
        <v>538</v>
      </c>
    </row>
    <row r="292" spans="4:11" x14ac:dyDescent="0.2">
      <c r="D292" t="s">
        <v>259</v>
      </c>
      <c r="E292">
        <v>3.2219999999999999E-2</v>
      </c>
      <c r="F292" t="s">
        <v>368</v>
      </c>
      <c r="G292">
        <f>PSI_OC!$A$6</f>
        <v>100</v>
      </c>
      <c r="H292">
        <v>-1</v>
      </c>
      <c r="I292" t="s">
        <v>452</v>
      </c>
      <c r="J292" s="8">
        <f t="shared" si="69"/>
        <v>-521323479.441347</v>
      </c>
      <c r="K292" t="s">
        <v>538</v>
      </c>
    </row>
    <row r="293" spans="4:11" x14ac:dyDescent="0.2">
      <c r="D293" t="s">
        <v>260</v>
      </c>
      <c r="E293">
        <v>0</v>
      </c>
      <c r="F293" t="s">
        <v>368</v>
      </c>
      <c r="G293">
        <v>0</v>
      </c>
      <c r="H293">
        <v>0</v>
      </c>
      <c r="I293" t="s">
        <v>452</v>
      </c>
      <c r="J293" s="8">
        <f t="shared" si="69"/>
        <v>0</v>
      </c>
      <c r="K293" t="s">
        <v>538</v>
      </c>
    </row>
    <row r="294" spans="4:11" x14ac:dyDescent="0.2">
      <c r="D294" t="s">
        <v>327</v>
      </c>
      <c r="E294">
        <v>3.2219999999999999E-2</v>
      </c>
      <c r="F294" t="s">
        <v>368</v>
      </c>
      <c r="G294">
        <f>PSI_OC!$A$6</f>
        <v>100</v>
      </c>
      <c r="H294">
        <v>-1</v>
      </c>
      <c r="I294" t="s">
        <v>452</v>
      </c>
      <c r="J294" s="8">
        <f t="shared" si="69"/>
        <v>-521323479.441347</v>
      </c>
      <c r="K294" t="s">
        <v>538</v>
      </c>
    </row>
    <row r="295" spans="4:11" x14ac:dyDescent="0.2">
      <c r="D295" t="s">
        <v>328</v>
      </c>
      <c r="E295">
        <v>3.2200000000000002E-3</v>
      </c>
      <c r="F295" t="s">
        <v>368</v>
      </c>
      <c r="G295">
        <v>0</v>
      </c>
      <c r="H295">
        <v>0</v>
      </c>
      <c r="I295" t="s">
        <v>452</v>
      </c>
      <c r="J295" s="8">
        <f t="shared" si="69"/>
        <v>0</v>
      </c>
      <c r="K295" t="s">
        <v>538</v>
      </c>
    </row>
    <row r="296" spans="4:11" x14ac:dyDescent="0.2">
      <c r="D296" t="s">
        <v>261</v>
      </c>
      <c r="E296">
        <v>0.32224999999999998</v>
      </c>
      <c r="F296" t="s">
        <v>369</v>
      </c>
      <c r="G296">
        <f>PSI_OC!$A$6</f>
        <v>100</v>
      </c>
      <c r="H296">
        <v>-1</v>
      </c>
      <c r="I296" t="s">
        <v>453</v>
      </c>
      <c r="J296" s="8">
        <f t="shared" si="69"/>
        <v>-5214043800.4337082</v>
      </c>
      <c r="K296" t="s">
        <v>538</v>
      </c>
    </row>
    <row r="297" spans="4:11" x14ac:dyDescent="0.2">
      <c r="D297" t="s">
        <v>263</v>
      </c>
      <c r="E297">
        <v>3.2000000000000003E-4</v>
      </c>
      <c r="F297" t="s">
        <v>370</v>
      </c>
      <c r="G297">
        <f>PSI_OC!$A$6</f>
        <v>100</v>
      </c>
      <c r="H297">
        <v>-1</v>
      </c>
      <c r="I297" t="s">
        <v>454</v>
      </c>
      <c r="J297" s="8">
        <f t="shared" si="69"/>
        <v>-5177638.5295230001</v>
      </c>
      <c r="K297" t="s">
        <v>538</v>
      </c>
    </row>
    <row r="298" spans="4:11" x14ac:dyDescent="0.2">
      <c r="D298" t="s">
        <v>262</v>
      </c>
      <c r="E298">
        <v>3.2200000000000002E-3</v>
      </c>
      <c r="F298" t="s">
        <v>370</v>
      </c>
      <c r="G298">
        <f>PSI_OC!$A$6</f>
        <v>100</v>
      </c>
      <c r="H298">
        <v>-1</v>
      </c>
      <c r="I298" t="s">
        <v>454</v>
      </c>
      <c r="J298" s="8">
        <f t="shared" si="69"/>
        <v>-52099987.70332519</v>
      </c>
      <c r="K298" t="s">
        <v>538</v>
      </c>
    </row>
    <row r="299" spans="4:11" x14ac:dyDescent="0.2">
      <c r="D299" t="s">
        <v>264</v>
      </c>
      <c r="E299">
        <v>3.2200000000000002E-3</v>
      </c>
      <c r="F299" t="s">
        <v>371</v>
      </c>
      <c r="G299">
        <f>PSI_OC!$A$7</f>
        <v>10</v>
      </c>
      <c r="H299">
        <v>-1</v>
      </c>
      <c r="I299" t="s">
        <v>455</v>
      </c>
      <c r="J299" s="8">
        <f t="shared" si="69"/>
        <v>-5209998.770332519</v>
      </c>
      <c r="K299" t="s">
        <v>538</v>
      </c>
    </row>
    <row r="300" spans="4:11" x14ac:dyDescent="0.2">
      <c r="D300" t="s">
        <v>265</v>
      </c>
      <c r="E300">
        <v>3.2200000000000002E-3</v>
      </c>
      <c r="F300" t="s">
        <v>371</v>
      </c>
      <c r="G300">
        <f>PSI_OC!$A$7</f>
        <v>10</v>
      </c>
      <c r="H300">
        <v>-1</v>
      </c>
      <c r="I300" t="s">
        <v>455</v>
      </c>
      <c r="J300" s="8">
        <f t="shared" si="69"/>
        <v>-5209998.770332519</v>
      </c>
      <c r="K300" t="s">
        <v>538</v>
      </c>
    </row>
    <row r="301" spans="4:11" x14ac:dyDescent="0.2">
      <c r="D301" t="s">
        <v>266</v>
      </c>
      <c r="E301">
        <v>3.2200000000000002E-3</v>
      </c>
      <c r="F301" t="s">
        <v>371</v>
      </c>
      <c r="G301">
        <v>0</v>
      </c>
      <c r="H301">
        <v>0</v>
      </c>
      <c r="I301" t="s">
        <v>455</v>
      </c>
      <c r="J301" s="8">
        <f t="shared" si="69"/>
        <v>0</v>
      </c>
      <c r="K301" t="s">
        <v>538</v>
      </c>
    </row>
    <row r="302" spans="4:11" x14ac:dyDescent="0.2">
      <c r="D302" t="s">
        <v>267</v>
      </c>
      <c r="E302">
        <v>0.32224999999999998</v>
      </c>
      <c r="F302" t="s">
        <v>372</v>
      </c>
      <c r="G302">
        <v>0</v>
      </c>
      <c r="H302">
        <v>0</v>
      </c>
      <c r="I302" t="s">
        <v>456</v>
      </c>
      <c r="J302" s="8">
        <f t="shared" si="69"/>
        <v>0</v>
      </c>
      <c r="K302" t="s">
        <v>538</v>
      </c>
    </row>
    <row r="303" spans="4:11" x14ac:dyDescent="0.2">
      <c r="D303" t="s">
        <v>329</v>
      </c>
      <c r="E303">
        <v>3.2000000000000003E-4</v>
      </c>
      <c r="F303" s="75" t="s">
        <v>373</v>
      </c>
      <c r="G303">
        <f>PSI_OC!$A$7</f>
        <v>10</v>
      </c>
      <c r="H303">
        <v>-1</v>
      </c>
      <c r="I303" t="s">
        <v>457</v>
      </c>
      <c r="J303" s="8">
        <f t="shared" si="69"/>
        <v>-517763.85295229999</v>
      </c>
      <c r="K303" t="s">
        <v>538</v>
      </c>
    </row>
    <row r="304" spans="4:11" x14ac:dyDescent="0.2">
      <c r="D304" t="s">
        <v>314</v>
      </c>
      <c r="E304">
        <v>3.2219999999999999E-2</v>
      </c>
      <c r="F304" s="75" t="s">
        <v>374</v>
      </c>
      <c r="G304">
        <f>PSI_OC!$A$7</f>
        <v>10</v>
      </c>
      <c r="H304">
        <v>-1</v>
      </c>
      <c r="I304" t="s">
        <v>458</v>
      </c>
      <c r="J304" s="8">
        <f t="shared" si="69"/>
        <v>-52132347.944134697</v>
      </c>
      <c r="K304" t="s">
        <v>538</v>
      </c>
    </row>
    <row r="305" spans="4:11" x14ac:dyDescent="0.2">
      <c r="D305" t="s">
        <v>268</v>
      </c>
      <c r="E305">
        <v>3.2219999999999999E-2</v>
      </c>
      <c r="F305" s="75" t="s">
        <v>374</v>
      </c>
      <c r="G305">
        <f>PSI_OC!$A$7</f>
        <v>10</v>
      </c>
      <c r="H305">
        <v>-1</v>
      </c>
      <c r="I305" t="s">
        <v>458</v>
      </c>
      <c r="J305" s="8">
        <f t="shared" si="69"/>
        <v>-52132347.944134697</v>
      </c>
      <c r="K305" t="s">
        <v>538</v>
      </c>
    </row>
    <row r="306" spans="4:11" x14ac:dyDescent="0.2">
      <c r="D306" t="s">
        <v>269</v>
      </c>
      <c r="E306">
        <v>3.2219999999999999E-2</v>
      </c>
      <c r="F306" s="75" t="s">
        <v>374</v>
      </c>
      <c r="G306">
        <v>0</v>
      </c>
      <c r="H306">
        <v>0</v>
      </c>
      <c r="I306" t="s">
        <v>458</v>
      </c>
      <c r="J306" s="8">
        <f t="shared" si="69"/>
        <v>0</v>
      </c>
      <c r="K306" t="s">
        <v>538</v>
      </c>
    </row>
    <row r="307" spans="4:11" x14ac:dyDescent="0.2">
      <c r="D307" t="s">
        <v>270</v>
      </c>
      <c r="E307">
        <v>3.2200000000000002E-3</v>
      </c>
      <c r="F307" s="75" t="s">
        <v>375</v>
      </c>
      <c r="G307">
        <f>PSI_OC!$A$6</f>
        <v>100</v>
      </c>
      <c r="H307">
        <v>-1</v>
      </c>
      <c r="I307" t="s">
        <v>459</v>
      </c>
      <c r="J307" s="8">
        <f t="shared" si="69"/>
        <v>-52099987.70332519</v>
      </c>
      <c r="K307" t="s">
        <v>538</v>
      </c>
    </row>
    <row r="308" spans="4:11" x14ac:dyDescent="0.2">
      <c r="D308" t="s">
        <v>271</v>
      </c>
      <c r="E308">
        <v>0.32224999999999998</v>
      </c>
      <c r="F308" s="75" t="s">
        <v>376</v>
      </c>
      <c r="G308">
        <v>0</v>
      </c>
      <c r="H308">
        <v>0</v>
      </c>
      <c r="I308" t="s">
        <v>460</v>
      </c>
      <c r="J308" s="8">
        <f t="shared" si="69"/>
        <v>0</v>
      </c>
      <c r="K308" t="s">
        <v>538</v>
      </c>
    </row>
    <row r="309" spans="4:11" x14ac:dyDescent="0.2">
      <c r="D309" t="s">
        <v>272</v>
      </c>
      <c r="E309">
        <v>0.32224999999999998</v>
      </c>
      <c r="F309" t="s">
        <v>377</v>
      </c>
      <c r="G309">
        <v>0</v>
      </c>
      <c r="H309">
        <v>0</v>
      </c>
      <c r="I309" t="s">
        <v>461</v>
      </c>
      <c r="J309" s="8">
        <f t="shared" si="69"/>
        <v>0</v>
      </c>
      <c r="K309" t="s">
        <v>538</v>
      </c>
    </row>
    <row r="310" spans="4:11" x14ac:dyDescent="0.2">
      <c r="D310" t="s">
        <v>273</v>
      </c>
      <c r="E310">
        <v>3.2000000000000003E-4</v>
      </c>
      <c r="F310" t="s">
        <v>378</v>
      </c>
      <c r="G310">
        <f>PSI_OC!$A$7</f>
        <v>10</v>
      </c>
      <c r="H310">
        <v>-1</v>
      </c>
      <c r="I310" t="s">
        <v>462</v>
      </c>
      <c r="J310" s="8">
        <f t="shared" si="69"/>
        <v>-517763.85295229999</v>
      </c>
      <c r="K310" t="s">
        <v>538</v>
      </c>
    </row>
    <row r="311" spans="4:11" x14ac:dyDescent="0.2">
      <c r="D311" t="s">
        <v>274</v>
      </c>
      <c r="E311">
        <v>3.2200000000000002E-3</v>
      </c>
      <c r="F311" t="s">
        <v>379</v>
      </c>
      <c r="G311">
        <v>0</v>
      </c>
      <c r="H311">
        <v>0</v>
      </c>
      <c r="I311" t="s">
        <v>463</v>
      </c>
      <c r="J311" s="8">
        <f t="shared" si="69"/>
        <v>0</v>
      </c>
      <c r="K311" t="s">
        <v>538</v>
      </c>
    </row>
    <row r="312" spans="4:11" x14ac:dyDescent="0.2">
      <c r="D312" t="s">
        <v>275</v>
      </c>
      <c r="E312">
        <v>3.2000000000000003E-4</v>
      </c>
      <c r="F312" t="s">
        <v>377</v>
      </c>
      <c r="G312">
        <f>PSI_OC!$A$6</f>
        <v>100</v>
      </c>
      <c r="H312">
        <v>-1</v>
      </c>
      <c r="I312" t="s">
        <v>461</v>
      </c>
      <c r="J312" s="8">
        <f t="shared" si="69"/>
        <v>-5177638.5295230001</v>
      </c>
      <c r="K312" t="s">
        <v>538</v>
      </c>
    </row>
    <row r="313" spans="4:11" x14ac:dyDescent="0.2">
      <c r="D313" t="s">
        <v>276</v>
      </c>
      <c r="E313">
        <v>3.2219999999999999E-2</v>
      </c>
      <c r="F313" t="s">
        <v>377</v>
      </c>
      <c r="G313">
        <f>PSI_OC!$A$6</f>
        <v>100</v>
      </c>
      <c r="H313">
        <v>-1</v>
      </c>
      <c r="I313" t="s">
        <v>461</v>
      </c>
      <c r="J313" s="8">
        <f t="shared" si="69"/>
        <v>-521323479.441347</v>
      </c>
      <c r="K313" t="s">
        <v>538</v>
      </c>
    </row>
    <row r="314" spans="4:11" x14ac:dyDescent="0.2">
      <c r="D314" t="s">
        <v>277</v>
      </c>
      <c r="E314">
        <v>3.2200000000000002E-3</v>
      </c>
      <c r="F314" t="s">
        <v>380</v>
      </c>
      <c r="G314">
        <f>PSI_OC!$A$6</f>
        <v>100</v>
      </c>
      <c r="H314">
        <v>-1</v>
      </c>
      <c r="I314" t="s">
        <v>464</v>
      </c>
      <c r="J314" s="8">
        <f t="shared" si="69"/>
        <v>-52099987.70332519</v>
      </c>
      <c r="K314" t="s">
        <v>538</v>
      </c>
    </row>
    <row r="315" spans="4:11" x14ac:dyDescent="0.2">
      <c r="D315" t="s">
        <v>278</v>
      </c>
      <c r="E315">
        <v>3.2219999999999999E-2</v>
      </c>
      <c r="F315" t="s">
        <v>381</v>
      </c>
      <c r="G315">
        <f>PSI_OC!$A$6</f>
        <v>100</v>
      </c>
      <c r="H315">
        <v>-1</v>
      </c>
      <c r="I315" t="s">
        <v>465</v>
      </c>
      <c r="J315" s="8">
        <f t="shared" ref="J315:J346" si="70">B$251*E315*G315*H315</f>
        <v>-521323479.441347</v>
      </c>
      <c r="K315" t="s">
        <v>538</v>
      </c>
    </row>
    <row r="316" spans="4:11" x14ac:dyDescent="0.2">
      <c r="D316" t="s">
        <v>330</v>
      </c>
      <c r="E316">
        <v>3.2200000000000002E-3</v>
      </c>
      <c r="F316" t="s">
        <v>382</v>
      </c>
      <c r="G316">
        <f>PSI_OC!$A$7</f>
        <v>10</v>
      </c>
      <c r="H316">
        <v>-1</v>
      </c>
      <c r="I316" t="s">
        <v>466</v>
      </c>
      <c r="J316" s="8">
        <f t="shared" si="70"/>
        <v>-5209998.770332519</v>
      </c>
      <c r="K316" t="s">
        <v>538</v>
      </c>
    </row>
    <row r="317" spans="4:11" x14ac:dyDescent="0.2">
      <c r="D317" t="s">
        <v>279</v>
      </c>
      <c r="E317">
        <v>3.2200000000000002E-3</v>
      </c>
      <c r="F317" t="s">
        <v>382</v>
      </c>
      <c r="G317">
        <f>PSI_OC!$A$7</f>
        <v>10</v>
      </c>
      <c r="H317">
        <v>-1</v>
      </c>
      <c r="I317" t="s">
        <v>466</v>
      </c>
      <c r="J317" s="8">
        <f t="shared" si="70"/>
        <v>-5209998.770332519</v>
      </c>
      <c r="K317" t="s">
        <v>538</v>
      </c>
    </row>
    <row r="318" spans="4:11" x14ac:dyDescent="0.2">
      <c r="D318" t="s">
        <v>280</v>
      </c>
      <c r="E318">
        <v>3.2200000000000002E-3</v>
      </c>
      <c r="F318" t="s">
        <v>382</v>
      </c>
      <c r="G318">
        <v>0</v>
      </c>
      <c r="H318">
        <v>0</v>
      </c>
      <c r="I318" t="s">
        <v>466</v>
      </c>
      <c r="J318" s="8">
        <f t="shared" si="70"/>
        <v>0</v>
      </c>
      <c r="K318" t="s">
        <v>538</v>
      </c>
    </row>
    <row r="319" spans="4:11" x14ac:dyDescent="0.2">
      <c r="D319" t="s">
        <v>331</v>
      </c>
      <c r="E319">
        <v>3.2200000000000002E-3</v>
      </c>
      <c r="F319" t="s">
        <v>383</v>
      </c>
      <c r="G319">
        <v>0</v>
      </c>
      <c r="H319">
        <v>0</v>
      </c>
      <c r="I319" t="s">
        <v>467</v>
      </c>
      <c r="J319" s="8">
        <f t="shared" si="70"/>
        <v>0</v>
      </c>
      <c r="K319" t="s">
        <v>538</v>
      </c>
    </row>
    <row r="320" spans="4:11" x14ac:dyDescent="0.2">
      <c r="D320" t="s">
        <v>281</v>
      </c>
      <c r="E320">
        <v>3.2000000000000003E-4</v>
      </c>
      <c r="F320" t="s">
        <v>384</v>
      </c>
      <c r="G320">
        <f>PSI_OC!$A$7</f>
        <v>10</v>
      </c>
      <c r="H320">
        <v>-1</v>
      </c>
      <c r="I320" t="s">
        <v>468</v>
      </c>
      <c r="J320" s="8">
        <f t="shared" si="70"/>
        <v>-517763.85295229999</v>
      </c>
      <c r="K320" t="s">
        <v>538</v>
      </c>
    </row>
    <row r="321" spans="4:11" x14ac:dyDescent="0.2">
      <c r="D321" t="s">
        <v>282</v>
      </c>
      <c r="E321">
        <v>0.32224999999999998</v>
      </c>
      <c r="F321" t="s">
        <v>385</v>
      </c>
      <c r="G321">
        <v>0</v>
      </c>
      <c r="H321">
        <v>0</v>
      </c>
      <c r="I321" t="s">
        <v>469</v>
      </c>
      <c r="J321" s="8">
        <f t="shared" si="70"/>
        <v>0</v>
      </c>
      <c r="K321" t="s">
        <v>538</v>
      </c>
    </row>
    <row r="322" spans="4:11" x14ac:dyDescent="0.2">
      <c r="D322" t="s">
        <v>332</v>
      </c>
      <c r="E322">
        <v>3.22248</v>
      </c>
      <c r="F322" t="s">
        <v>386</v>
      </c>
      <c r="G322">
        <v>0</v>
      </c>
      <c r="H322">
        <v>0</v>
      </c>
      <c r="I322" t="s">
        <v>470</v>
      </c>
      <c r="J322" s="8">
        <f t="shared" si="70"/>
        <v>0</v>
      </c>
      <c r="K322" t="s">
        <v>538</v>
      </c>
    </row>
    <row r="323" spans="4:11" x14ac:dyDescent="0.2">
      <c r="D323" t="s">
        <v>283</v>
      </c>
      <c r="E323">
        <v>3.2200000000000002E-3</v>
      </c>
      <c r="F323" t="s">
        <v>387</v>
      </c>
      <c r="G323">
        <f>PSI_OC!$A$7</f>
        <v>10</v>
      </c>
      <c r="H323">
        <v>-1</v>
      </c>
      <c r="I323" t="s">
        <v>471</v>
      </c>
      <c r="J323" s="8">
        <f t="shared" si="70"/>
        <v>-5209998.770332519</v>
      </c>
      <c r="K323" t="s">
        <v>538</v>
      </c>
    </row>
    <row r="324" spans="4:11" x14ac:dyDescent="0.2">
      <c r="D324" t="s">
        <v>284</v>
      </c>
      <c r="E324">
        <v>3.2000000000000003E-4</v>
      </c>
      <c r="F324" t="s">
        <v>388</v>
      </c>
      <c r="G324">
        <f>PSI_OC!$A$7</f>
        <v>10</v>
      </c>
      <c r="H324">
        <v>-1</v>
      </c>
      <c r="I324" t="s">
        <v>472</v>
      </c>
      <c r="J324" s="8">
        <f t="shared" si="70"/>
        <v>-517763.85295229999</v>
      </c>
      <c r="K324" t="s">
        <v>538</v>
      </c>
    </row>
    <row r="325" spans="4:11" x14ac:dyDescent="0.2">
      <c r="D325" t="s">
        <v>285</v>
      </c>
      <c r="E325">
        <v>3.2219999999999999E-2</v>
      </c>
      <c r="F325" t="s">
        <v>389</v>
      </c>
      <c r="G325">
        <f>PSI_OC!$A$7</f>
        <v>10</v>
      </c>
      <c r="H325">
        <v>-1</v>
      </c>
      <c r="I325" t="s">
        <v>473</v>
      </c>
      <c r="J325" s="8">
        <f t="shared" si="70"/>
        <v>-52132347.944134697</v>
      </c>
      <c r="K325" t="s">
        <v>538</v>
      </c>
    </row>
    <row r="326" spans="4:11" x14ac:dyDescent="0.2">
      <c r="D326" t="s">
        <v>286</v>
      </c>
      <c r="E326">
        <v>3.2219999999999999E-2</v>
      </c>
      <c r="F326" t="s">
        <v>390</v>
      </c>
      <c r="G326">
        <f>PSI_OC!$A$6</f>
        <v>100</v>
      </c>
      <c r="H326">
        <v>-1</v>
      </c>
      <c r="I326" t="s">
        <v>474</v>
      </c>
      <c r="J326" s="8">
        <f t="shared" si="70"/>
        <v>-521323479.441347</v>
      </c>
      <c r="K326" t="s">
        <v>538</v>
      </c>
    </row>
    <row r="327" spans="4:11" x14ac:dyDescent="0.2">
      <c r="D327" t="s">
        <v>287</v>
      </c>
      <c r="E327">
        <v>3.22248</v>
      </c>
      <c r="F327" t="s">
        <v>391</v>
      </c>
      <c r="G327">
        <f>PSI_OC!$A$6</f>
        <v>100</v>
      </c>
      <c r="H327">
        <v>-1</v>
      </c>
      <c r="I327" t="s">
        <v>475</v>
      </c>
      <c r="J327" s="8">
        <f t="shared" si="70"/>
        <v>-52140114401.928993</v>
      </c>
      <c r="K327" t="s">
        <v>538</v>
      </c>
    </row>
    <row r="328" spans="4:11" x14ac:dyDescent="0.2">
      <c r="D328" t="s">
        <v>288</v>
      </c>
      <c r="E328">
        <v>3.2200000000000002E-3</v>
      </c>
      <c r="F328" t="s">
        <v>392</v>
      </c>
      <c r="G328">
        <f>PSI_OC!$A$6</f>
        <v>100</v>
      </c>
      <c r="H328">
        <v>-1</v>
      </c>
      <c r="I328" t="s">
        <v>476</v>
      </c>
      <c r="J328" s="8">
        <f t="shared" si="70"/>
        <v>-52099987.70332519</v>
      </c>
      <c r="K328" t="s">
        <v>538</v>
      </c>
    </row>
    <row r="329" spans="4:11" x14ac:dyDescent="0.2">
      <c r="D329" t="s">
        <v>333</v>
      </c>
      <c r="E329">
        <v>3.22248</v>
      </c>
      <c r="F329" t="s">
        <v>340</v>
      </c>
      <c r="G329">
        <f>PSI_OC!$A$7</f>
        <v>10</v>
      </c>
      <c r="H329">
        <v>-1</v>
      </c>
      <c r="I329" t="s">
        <v>424</v>
      </c>
      <c r="J329" s="8">
        <f t="shared" si="70"/>
        <v>-5214011440.1928988</v>
      </c>
      <c r="K329" t="s">
        <v>538</v>
      </c>
    </row>
    <row r="330" spans="4:11" x14ac:dyDescent="0.2">
      <c r="D330" t="s">
        <v>334</v>
      </c>
      <c r="E330">
        <v>3.2219999999999999E-2</v>
      </c>
      <c r="F330" t="s">
        <v>393</v>
      </c>
      <c r="G330">
        <v>0</v>
      </c>
      <c r="H330">
        <v>0</v>
      </c>
      <c r="I330" t="s">
        <v>477</v>
      </c>
      <c r="J330" s="8">
        <f t="shared" si="70"/>
        <v>0</v>
      </c>
      <c r="K330" t="s">
        <v>538</v>
      </c>
    </row>
    <row r="331" spans="4:11" x14ac:dyDescent="0.2">
      <c r="D331" t="s">
        <v>335</v>
      </c>
      <c r="E331">
        <v>3.2200000000000002E-3</v>
      </c>
      <c r="F331" t="s">
        <v>394</v>
      </c>
      <c r="G331">
        <f>PSI_OC!$A$7</f>
        <v>10</v>
      </c>
      <c r="H331">
        <v>-1</v>
      </c>
      <c r="I331" t="s">
        <v>478</v>
      </c>
      <c r="J331" s="8">
        <f t="shared" si="70"/>
        <v>-5209998.770332519</v>
      </c>
      <c r="K331" t="s">
        <v>538</v>
      </c>
    </row>
    <row r="332" spans="4:11" x14ac:dyDescent="0.2">
      <c r="D332" t="s">
        <v>289</v>
      </c>
      <c r="E332">
        <v>3.2219999999999999E-2</v>
      </c>
      <c r="F332" t="s">
        <v>395</v>
      </c>
      <c r="G332">
        <f>PSI_OC!$A$7</f>
        <v>10</v>
      </c>
      <c r="H332">
        <v>-1</v>
      </c>
      <c r="I332" t="s">
        <v>479</v>
      </c>
      <c r="J332" s="8">
        <f t="shared" si="70"/>
        <v>-52132347.944134697</v>
      </c>
      <c r="K332" t="s">
        <v>538</v>
      </c>
    </row>
    <row r="333" spans="4:11" x14ac:dyDescent="0.2">
      <c r="D333" t="s">
        <v>290</v>
      </c>
      <c r="E333">
        <v>3.2000000000000003E-4</v>
      </c>
      <c r="F333" t="s">
        <v>396</v>
      </c>
      <c r="G333">
        <f>PSI_OC!$A$7</f>
        <v>10</v>
      </c>
      <c r="H333">
        <v>-1</v>
      </c>
      <c r="I333" t="s">
        <v>480</v>
      </c>
      <c r="J333" s="8">
        <f t="shared" si="70"/>
        <v>-517763.85295229999</v>
      </c>
      <c r="K333" t="s">
        <v>538</v>
      </c>
    </row>
    <row r="334" spans="4:11" x14ac:dyDescent="0.2">
      <c r="D334" t="s">
        <v>291</v>
      </c>
      <c r="E334">
        <v>3.2219999999999999E-2</v>
      </c>
      <c r="F334" t="s">
        <v>397</v>
      </c>
      <c r="G334">
        <f>PSI_OC!$A$8</f>
        <v>1</v>
      </c>
      <c r="H334">
        <v>-1</v>
      </c>
      <c r="I334" t="s">
        <v>481</v>
      </c>
      <c r="J334" s="8">
        <f t="shared" si="70"/>
        <v>-5213234.7944134697</v>
      </c>
      <c r="K334" t="s">
        <v>538</v>
      </c>
    </row>
    <row r="335" spans="4:11" x14ac:dyDescent="0.2">
      <c r="D335" t="s">
        <v>292</v>
      </c>
      <c r="E335">
        <v>0.32224999999999998</v>
      </c>
      <c r="F335" t="s">
        <v>360</v>
      </c>
      <c r="G335">
        <f>PSI_OC!$A$6</f>
        <v>100</v>
      </c>
      <c r="H335">
        <v>-1</v>
      </c>
      <c r="I335" t="s">
        <v>444</v>
      </c>
      <c r="J335" s="8">
        <f t="shared" si="70"/>
        <v>-5214043800.4337082</v>
      </c>
      <c r="K335" t="s">
        <v>538</v>
      </c>
    </row>
    <row r="336" spans="4:11" x14ac:dyDescent="0.2">
      <c r="D336" t="s">
        <v>293</v>
      </c>
      <c r="E336">
        <v>3.22248</v>
      </c>
      <c r="F336" t="s">
        <v>398</v>
      </c>
      <c r="G336">
        <f>PSI_OC!$A$7</f>
        <v>10</v>
      </c>
      <c r="H336">
        <v>-1</v>
      </c>
      <c r="I336" t="s">
        <v>482</v>
      </c>
      <c r="J336" s="8">
        <f t="shared" si="70"/>
        <v>-5214011440.1928988</v>
      </c>
      <c r="K336" t="s">
        <v>538</v>
      </c>
    </row>
    <row r="337" spans="4:11" x14ac:dyDescent="0.2">
      <c r="D337" t="s">
        <v>294</v>
      </c>
      <c r="E337">
        <v>0.32224999999999998</v>
      </c>
      <c r="F337" t="s">
        <v>399</v>
      </c>
      <c r="G337">
        <f>PSI_OC!$A$8</f>
        <v>1</v>
      </c>
      <c r="H337">
        <v>-1</v>
      </c>
      <c r="I337" t="s">
        <v>483</v>
      </c>
      <c r="J337" s="8">
        <f t="shared" si="70"/>
        <v>-52140438.00433708</v>
      </c>
      <c r="K337" t="s">
        <v>538</v>
      </c>
    </row>
    <row r="338" spans="4:11" x14ac:dyDescent="0.2">
      <c r="D338" t="s">
        <v>336</v>
      </c>
      <c r="E338">
        <v>3.2200000000000002E-3</v>
      </c>
      <c r="F338" t="s">
        <v>400</v>
      </c>
      <c r="G338">
        <f>PSI_OC!$A$6</f>
        <v>100</v>
      </c>
      <c r="H338">
        <v>-1</v>
      </c>
      <c r="I338" t="s">
        <v>484</v>
      </c>
      <c r="J338" s="8">
        <f t="shared" si="70"/>
        <v>-52099987.70332519</v>
      </c>
      <c r="K338" t="s">
        <v>538</v>
      </c>
    </row>
    <row r="339" spans="4:11" x14ac:dyDescent="0.2">
      <c r="D339" t="s">
        <v>295</v>
      </c>
      <c r="E339">
        <v>3.2000000000000003E-4</v>
      </c>
      <c r="F339" t="s">
        <v>401</v>
      </c>
      <c r="G339">
        <f>PSI_OC!$A$6</f>
        <v>100</v>
      </c>
      <c r="H339">
        <v>-1</v>
      </c>
      <c r="I339" t="s">
        <v>485</v>
      </c>
      <c r="J339" s="8">
        <f t="shared" si="70"/>
        <v>-5177638.5295230001</v>
      </c>
      <c r="K339" t="s">
        <v>538</v>
      </c>
    </row>
    <row r="340" spans="4:11" x14ac:dyDescent="0.2">
      <c r="D340" t="s">
        <v>296</v>
      </c>
      <c r="E340">
        <v>3.2200000000000002E-3</v>
      </c>
      <c r="F340" t="s">
        <v>402</v>
      </c>
      <c r="G340">
        <f>PSI_OC!$A$7</f>
        <v>10</v>
      </c>
      <c r="H340">
        <v>-1</v>
      </c>
      <c r="I340" t="s">
        <v>486</v>
      </c>
      <c r="J340" s="8">
        <f t="shared" si="70"/>
        <v>-5209998.770332519</v>
      </c>
      <c r="K340" t="s">
        <v>538</v>
      </c>
    </row>
    <row r="341" spans="4:11" x14ac:dyDescent="0.2">
      <c r="D341" t="s">
        <v>297</v>
      </c>
      <c r="E341">
        <v>3.2200000000000002E-3</v>
      </c>
      <c r="F341" t="s">
        <v>403</v>
      </c>
      <c r="G341">
        <f>PSI_OC!$A$7</f>
        <v>10</v>
      </c>
      <c r="H341">
        <v>-1</v>
      </c>
      <c r="I341" t="s">
        <v>487</v>
      </c>
      <c r="J341" s="8">
        <f t="shared" si="70"/>
        <v>-5209998.770332519</v>
      </c>
      <c r="K341" t="s">
        <v>538</v>
      </c>
    </row>
    <row r="342" spans="4:11" x14ac:dyDescent="0.2">
      <c r="D342" t="s">
        <v>298</v>
      </c>
      <c r="E342">
        <v>3.2000000000000003E-4</v>
      </c>
      <c r="F342" t="s">
        <v>394</v>
      </c>
      <c r="G342">
        <f>PSI_OC!$A$7</f>
        <v>10</v>
      </c>
      <c r="H342">
        <v>-1</v>
      </c>
      <c r="I342" t="s">
        <v>478</v>
      </c>
      <c r="J342" s="8">
        <f t="shared" si="70"/>
        <v>-517763.85295229999</v>
      </c>
      <c r="K342" t="s">
        <v>538</v>
      </c>
    </row>
    <row r="343" spans="4:11" x14ac:dyDescent="0.2">
      <c r="D343" t="s">
        <v>299</v>
      </c>
      <c r="E343">
        <v>3.2000000000000003E-4</v>
      </c>
      <c r="F343" t="s">
        <v>404</v>
      </c>
      <c r="G343">
        <f>PSI_OC!$A$7</f>
        <v>10</v>
      </c>
      <c r="H343">
        <v>-1</v>
      </c>
      <c r="I343" t="s">
        <v>488</v>
      </c>
      <c r="J343" s="8">
        <f t="shared" si="70"/>
        <v>-517763.85295229999</v>
      </c>
      <c r="K343" t="s">
        <v>538</v>
      </c>
    </row>
    <row r="344" spans="4:11" x14ac:dyDescent="0.2">
      <c r="D344" t="s">
        <v>300</v>
      </c>
      <c r="E344">
        <v>3.2219999999999999E-2</v>
      </c>
      <c r="F344" t="s">
        <v>405</v>
      </c>
      <c r="G344">
        <f>PSI_OC!$A$7</f>
        <v>10</v>
      </c>
      <c r="H344">
        <v>-1</v>
      </c>
      <c r="I344" t="s">
        <v>489</v>
      </c>
      <c r="J344" s="8">
        <f t="shared" si="70"/>
        <v>-52132347.944134697</v>
      </c>
      <c r="K344" t="s">
        <v>538</v>
      </c>
    </row>
    <row r="345" spans="4:11" x14ac:dyDescent="0.2">
      <c r="D345" t="s">
        <v>301</v>
      </c>
      <c r="E345">
        <v>3.2200000000000002E-3</v>
      </c>
      <c r="F345" t="s">
        <v>406</v>
      </c>
      <c r="G345">
        <f>PSI_OC!$A$6</f>
        <v>100</v>
      </c>
      <c r="H345">
        <v>-1</v>
      </c>
      <c r="I345" t="s">
        <v>490</v>
      </c>
      <c r="J345" s="8">
        <f t="shared" si="70"/>
        <v>-52099987.70332519</v>
      </c>
      <c r="K345" t="s">
        <v>538</v>
      </c>
    </row>
    <row r="346" spans="4:11" x14ac:dyDescent="0.2">
      <c r="D346" t="s">
        <v>302</v>
      </c>
      <c r="E346">
        <v>3.2200000000000002E-3</v>
      </c>
      <c r="F346" t="s">
        <v>407</v>
      </c>
      <c r="G346">
        <f>PSI_OC!$A$6</f>
        <v>100</v>
      </c>
      <c r="H346">
        <v>-1</v>
      </c>
      <c r="I346" t="s">
        <v>491</v>
      </c>
      <c r="J346" s="8">
        <f t="shared" si="70"/>
        <v>-52099987.70332519</v>
      </c>
      <c r="K346" t="s">
        <v>538</v>
      </c>
    </row>
    <row r="347" spans="4:11" x14ac:dyDescent="0.2">
      <c r="D347" t="s">
        <v>303</v>
      </c>
      <c r="E347">
        <v>0.32224999999999998</v>
      </c>
      <c r="F347" t="s">
        <v>408</v>
      </c>
      <c r="G347">
        <f>PSI_OC!$A$7</f>
        <v>10</v>
      </c>
      <c r="H347">
        <v>-1</v>
      </c>
      <c r="I347" t="s">
        <v>492</v>
      </c>
      <c r="J347" s="8">
        <f t="shared" ref="J347:J356" si="71">B$251*E347*G347*H347</f>
        <v>-521404380.04337078</v>
      </c>
      <c r="K347" t="s">
        <v>538</v>
      </c>
    </row>
    <row r="348" spans="4:11" x14ac:dyDescent="0.2">
      <c r="D348" t="s">
        <v>304</v>
      </c>
      <c r="E348">
        <v>3.2219999999999999E-2</v>
      </c>
      <c r="F348" t="s">
        <v>409</v>
      </c>
      <c r="G348">
        <f>PSI_OC!$A$6</f>
        <v>100</v>
      </c>
      <c r="H348">
        <v>-1</v>
      </c>
      <c r="I348" t="s">
        <v>493</v>
      </c>
      <c r="J348" s="8">
        <f t="shared" si="71"/>
        <v>-521323479.441347</v>
      </c>
      <c r="K348" t="s">
        <v>538</v>
      </c>
    </row>
    <row r="349" spans="4:11" x14ac:dyDescent="0.2">
      <c r="D349" t="s">
        <v>305</v>
      </c>
      <c r="E349">
        <v>3.2219999999999999E-2</v>
      </c>
      <c r="F349" t="s">
        <v>410</v>
      </c>
      <c r="G349">
        <f>PSI_OC!$A$7</f>
        <v>10</v>
      </c>
      <c r="H349">
        <v>-1</v>
      </c>
      <c r="I349" t="s">
        <v>494</v>
      </c>
      <c r="J349" s="8">
        <f t="shared" si="71"/>
        <v>-52132347.944134697</v>
      </c>
      <c r="K349" t="s">
        <v>538</v>
      </c>
    </row>
    <row r="350" spans="4:11" x14ac:dyDescent="0.2">
      <c r="D350" t="s">
        <v>306</v>
      </c>
      <c r="E350">
        <v>3.2219999999999999E-2</v>
      </c>
      <c r="F350" t="s">
        <v>411</v>
      </c>
      <c r="G350">
        <f>PSI_OC!$A$8</f>
        <v>1</v>
      </c>
      <c r="H350">
        <v>-1</v>
      </c>
      <c r="I350" t="s">
        <v>495</v>
      </c>
      <c r="J350" s="8">
        <f t="shared" si="71"/>
        <v>-5213234.7944134697</v>
      </c>
      <c r="K350" t="s">
        <v>538</v>
      </c>
    </row>
    <row r="351" spans="4:11" x14ac:dyDescent="0.2">
      <c r="D351" t="s">
        <v>307</v>
      </c>
      <c r="E351">
        <v>3.2200000000000002E-3</v>
      </c>
      <c r="F351" t="s">
        <v>411</v>
      </c>
      <c r="G351">
        <f>PSI_OC!$A$8</f>
        <v>1</v>
      </c>
      <c r="H351">
        <v>-1</v>
      </c>
      <c r="I351" t="s">
        <v>495</v>
      </c>
      <c r="J351" s="8">
        <f t="shared" si="71"/>
        <v>-520999.87703325186</v>
      </c>
      <c r="K351" t="s">
        <v>538</v>
      </c>
    </row>
    <row r="352" spans="4:11" x14ac:dyDescent="0.2">
      <c r="D352" t="s">
        <v>337</v>
      </c>
      <c r="E352">
        <v>0.32224999999999998</v>
      </c>
      <c r="F352" t="s">
        <v>412</v>
      </c>
      <c r="G352">
        <v>0</v>
      </c>
      <c r="H352">
        <v>0</v>
      </c>
      <c r="I352" t="s">
        <v>496</v>
      </c>
      <c r="J352" s="8">
        <f t="shared" si="71"/>
        <v>0</v>
      </c>
      <c r="K352" t="s">
        <v>538</v>
      </c>
    </row>
    <row r="353" spans="4:11" x14ac:dyDescent="0.2">
      <c r="D353" t="s">
        <v>308</v>
      </c>
      <c r="E353">
        <v>3.2219999999999999E-2</v>
      </c>
      <c r="F353" t="s">
        <v>413</v>
      </c>
      <c r="G353">
        <f>PSI_OC!$A$7</f>
        <v>10</v>
      </c>
      <c r="H353">
        <v>-1</v>
      </c>
      <c r="I353" t="s">
        <v>497</v>
      </c>
      <c r="J353" s="8">
        <f t="shared" si="71"/>
        <v>-52132347.944134697</v>
      </c>
      <c r="K353" t="s">
        <v>538</v>
      </c>
    </row>
    <row r="354" spans="4:11" x14ac:dyDescent="0.2">
      <c r="D354" t="s">
        <v>309</v>
      </c>
      <c r="E354">
        <v>3.2219999999999999E-2</v>
      </c>
      <c r="F354" t="s">
        <v>413</v>
      </c>
      <c r="G354">
        <f>PSI_OC!$A$7</f>
        <v>10</v>
      </c>
      <c r="H354">
        <v>-1</v>
      </c>
      <c r="I354" t="s">
        <v>497</v>
      </c>
      <c r="J354" s="8">
        <f t="shared" si="71"/>
        <v>-52132347.944134697</v>
      </c>
      <c r="K354" t="s">
        <v>538</v>
      </c>
    </row>
    <row r="355" spans="4:11" x14ac:dyDescent="0.2">
      <c r="D355" t="s">
        <v>310</v>
      </c>
      <c r="E355">
        <v>3.2219999999999999E-2</v>
      </c>
      <c r="F355" t="s">
        <v>413</v>
      </c>
      <c r="G355">
        <v>0</v>
      </c>
      <c r="H355">
        <v>0</v>
      </c>
      <c r="I355" t="s">
        <v>497</v>
      </c>
      <c r="J355" s="8">
        <f t="shared" si="71"/>
        <v>0</v>
      </c>
      <c r="K355" t="s">
        <v>538</v>
      </c>
    </row>
    <row r="356" spans="4:11" x14ac:dyDescent="0.2">
      <c r="D356" t="s">
        <v>311</v>
      </c>
      <c r="E356">
        <v>3.2200000000000002E-3</v>
      </c>
      <c r="F356" t="s">
        <v>414</v>
      </c>
      <c r="G356">
        <f>PSI_OC!$A$7</f>
        <v>10</v>
      </c>
      <c r="H356">
        <v>-1</v>
      </c>
      <c r="I356" t="s">
        <v>498</v>
      </c>
      <c r="J356" s="8">
        <f t="shared" si="71"/>
        <v>-5209998.770332519</v>
      </c>
      <c r="K356" t="s">
        <v>538</v>
      </c>
    </row>
  </sheetData>
  <mergeCells count="34">
    <mergeCell ref="A246:N247"/>
    <mergeCell ref="C248:C250"/>
    <mergeCell ref="D248:F248"/>
    <mergeCell ref="G248:I249"/>
    <mergeCell ref="J248:K249"/>
    <mergeCell ref="L248:M249"/>
    <mergeCell ref="X3:AD4"/>
    <mergeCell ref="AE3:AI4"/>
    <mergeCell ref="X1:AI2"/>
    <mergeCell ref="AK1:AV2"/>
    <mergeCell ref="AR3:AV4"/>
    <mergeCell ref="AK3:AQ4"/>
    <mergeCell ref="B134:B136"/>
    <mergeCell ref="D134:D136"/>
    <mergeCell ref="A134:A136"/>
    <mergeCell ref="R134:S135"/>
    <mergeCell ref="P134:Q135"/>
    <mergeCell ref="M134:O135"/>
    <mergeCell ref="A1:U2"/>
    <mergeCell ref="B4:D4"/>
    <mergeCell ref="C19:C21"/>
    <mergeCell ref="C134:C136"/>
    <mergeCell ref="A248:A250"/>
    <mergeCell ref="B248:B250"/>
    <mergeCell ref="A16:U17"/>
    <mergeCell ref="A19:A21"/>
    <mergeCell ref="B19:B21"/>
    <mergeCell ref="D19:D21"/>
    <mergeCell ref="E19:G19"/>
    <mergeCell ref="N19:P20"/>
    <mergeCell ref="Q19:R20"/>
    <mergeCell ref="S19:T20"/>
    <mergeCell ref="E134:G134"/>
    <mergeCell ref="A132:T133"/>
  </mergeCells>
  <pageMargins left="0.7" right="0.7" top="0.75" bottom="0.75" header="0.3" footer="0.3"/>
  <pageSetup orientation="portrait" horizontalDpi="0" verticalDpi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37BA9-FDA7-E64F-B8C1-D1314DC051CD}">
  <sheetPr codeName="Sheet8"/>
  <dimension ref="A1:AL202"/>
  <sheetViews>
    <sheetView zoomScale="180" zoomScaleNormal="180" workbookViewId="0">
      <selection activeCell="G116" sqref="G116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4.6640625" bestFit="1" customWidth="1"/>
  </cols>
  <sheetData>
    <row r="1" spans="1:10" ht="23" thickBot="1" x14ac:dyDescent="0.35">
      <c r="A1" s="516" t="s">
        <v>545</v>
      </c>
      <c r="B1" s="517"/>
      <c r="C1" s="518"/>
      <c r="F1" s="519" t="s">
        <v>748</v>
      </c>
      <c r="G1" s="520"/>
      <c r="H1" s="520"/>
      <c r="I1" s="520"/>
      <c r="J1" s="521"/>
    </row>
    <row r="2" spans="1:10" x14ac:dyDescent="0.2">
      <c r="A2" s="10"/>
      <c r="B2" s="11"/>
      <c r="C2" s="19"/>
      <c r="F2" s="160" t="s">
        <v>29</v>
      </c>
      <c r="G2" s="151">
        <v>1.0206976000000001E-3</v>
      </c>
      <c r="H2" s="152" t="s">
        <v>216</v>
      </c>
      <c r="I2" s="153">
        <f>G2*C$21</f>
        <v>521525.03661234188</v>
      </c>
      <c r="J2" s="19" t="s">
        <v>673</v>
      </c>
    </row>
    <row r="3" spans="1:10" x14ac:dyDescent="0.2">
      <c r="A3" s="513" t="s">
        <v>540</v>
      </c>
      <c r="B3" s="514"/>
      <c r="C3" s="515"/>
      <c r="F3" s="165" t="s">
        <v>30</v>
      </c>
      <c r="G3" s="70">
        <v>1.9265607541666659E-10</v>
      </c>
      <c r="H3" s="25" t="s">
        <v>217</v>
      </c>
      <c r="I3" s="16">
        <f>G3*C$21</f>
        <v>9.8437545836560336E-2</v>
      </c>
      <c r="J3" s="29" t="s">
        <v>674</v>
      </c>
    </row>
    <row r="4" spans="1:10" x14ac:dyDescent="0.2">
      <c r="A4" s="26" t="s">
        <v>535</v>
      </c>
      <c r="B4" s="146"/>
      <c r="C4" s="106">
        <f>Variables!F9</f>
        <v>8300000000</v>
      </c>
      <c r="F4" s="161" t="s">
        <v>31</v>
      </c>
      <c r="G4" s="1">
        <v>4.4073889791666675E-2</v>
      </c>
      <c r="H4" s="25" t="s">
        <v>218</v>
      </c>
      <c r="I4" s="16">
        <f>G4*C$21</f>
        <v>22519536.625977449</v>
      </c>
      <c r="J4" s="29" t="s">
        <v>675</v>
      </c>
    </row>
    <row r="5" spans="1:10" x14ac:dyDescent="0.2">
      <c r="A5" s="26" t="s">
        <v>541</v>
      </c>
      <c r="B5" s="146" t="s">
        <v>542</v>
      </c>
      <c r="C5" s="255">
        <f>Variables!F10</f>
        <v>8.8000000000000005E-3</v>
      </c>
      <c r="F5" s="161" t="s">
        <v>211</v>
      </c>
      <c r="G5" s="70">
        <v>2.1861800608333306E-7</v>
      </c>
      <c r="H5" s="25" t="s">
        <v>219</v>
      </c>
      <c r="I5" s="16">
        <f>G5*C$21</f>
        <v>111.70278408289334</v>
      </c>
      <c r="J5" s="29" t="s">
        <v>676</v>
      </c>
    </row>
    <row r="6" spans="1:10" x14ac:dyDescent="0.2">
      <c r="A6" s="252"/>
      <c r="B6" s="146"/>
      <c r="C6" s="253"/>
      <c r="F6" s="161" t="s">
        <v>212</v>
      </c>
      <c r="G6" s="70">
        <v>1.3916278666666669E-3</v>
      </c>
      <c r="H6" s="25" t="s">
        <v>220</v>
      </c>
      <c r="I6" s="16">
        <f>G6*C$21</f>
        <v>711051.71023630176</v>
      </c>
      <c r="J6" s="29" t="s">
        <v>677</v>
      </c>
    </row>
    <row r="7" spans="1:10" x14ac:dyDescent="0.2">
      <c r="A7" s="22"/>
      <c r="C7" s="23"/>
      <c r="F7" s="166" t="s">
        <v>32</v>
      </c>
      <c r="G7" s="1">
        <v>0</v>
      </c>
      <c r="H7" s="25" t="s">
        <v>221</v>
      </c>
      <c r="I7" s="16">
        <f>C21*G7</f>
        <v>0</v>
      </c>
      <c r="J7" s="29" t="s">
        <v>678</v>
      </c>
    </row>
    <row r="8" spans="1:10" x14ac:dyDescent="0.2">
      <c r="A8" s="522" t="s">
        <v>536</v>
      </c>
      <c r="B8" s="523"/>
      <c r="C8" s="524"/>
      <c r="F8" s="165" t="s">
        <v>213</v>
      </c>
      <c r="G8" s="70">
        <v>1.2242526725833333E-9</v>
      </c>
      <c r="H8" s="25" t="s">
        <v>217</v>
      </c>
      <c r="I8" s="181">
        <f>G8*C$21</f>
        <v>0.62553142075750967</v>
      </c>
      <c r="J8" s="29" t="s">
        <v>674</v>
      </c>
    </row>
    <row r="9" spans="1:10" x14ac:dyDescent="0.2">
      <c r="A9" s="32" t="s">
        <v>536</v>
      </c>
      <c r="B9" s="3"/>
      <c r="C9" s="170">
        <f>Variables!F11</f>
        <v>0.01</v>
      </c>
      <c r="F9" s="158" t="s">
        <v>33</v>
      </c>
      <c r="G9" s="70">
        <v>2.3917820524999979E-10</v>
      </c>
      <c r="H9" s="25" t="s">
        <v>222</v>
      </c>
      <c r="I9" s="16">
        <f>G9*C$21</f>
        <v>0.12220800974733394</v>
      </c>
      <c r="J9" s="29" t="s">
        <v>679</v>
      </c>
    </row>
    <row r="10" spans="1:10" x14ac:dyDescent="0.2">
      <c r="A10" s="32" t="s">
        <v>1</v>
      </c>
      <c r="B10" s="3" t="s">
        <v>2</v>
      </c>
      <c r="C10" s="256">
        <f>Variables!F12</f>
        <v>8000</v>
      </c>
      <c r="F10" s="158" t="s">
        <v>214</v>
      </c>
      <c r="G10" s="70">
        <v>1.8069766666666668E-4</v>
      </c>
      <c r="H10" s="25" t="s">
        <v>223</v>
      </c>
      <c r="I10" s="16">
        <f>G10*C$21</f>
        <v>92327.401596807991</v>
      </c>
      <c r="J10" s="29" t="s">
        <v>680</v>
      </c>
    </row>
    <row r="11" spans="1:10" ht="16" thickBot="1" x14ac:dyDescent="0.25">
      <c r="A11" s="22"/>
      <c r="C11" s="35"/>
      <c r="F11" s="159" t="s">
        <v>215</v>
      </c>
      <c r="G11" s="154">
        <v>3.4218836249999995E-2</v>
      </c>
      <c r="H11" s="155" t="s">
        <v>224</v>
      </c>
      <c r="I11" s="156">
        <f>G11*C$21</f>
        <v>17484100.901298266</v>
      </c>
      <c r="J11" s="37" t="s">
        <v>681</v>
      </c>
    </row>
    <row r="12" spans="1:10" x14ac:dyDescent="0.2">
      <c r="A12" s="525" t="s">
        <v>544</v>
      </c>
      <c r="B12" s="526"/>
      <c r="C12" s="527"/>
    </row>
    <row r="13" spans="1:10" x14ac:dyDescent="0.2">
      <c r="A13" s="41" t="s">
        <v>20</v>
      </c>
      <c r="B13" s="145"/>
      <c r="C13" s="42">
        <v>3</v>
      </c>
    </row>
    <row r="14" spans="1:10" x14ac:dyDescent="0.2">
      <c r="A14" s="41"/>
      <c r="B14" s="145" t="s">
        <v>21</v>
      </c>
      <c r="C14" s="43">
        <v>0.1</v>
      </c>
    </row>
    <row r="15" spans="1:10" x14ac:dyDescent="0.2">
      <c r="A15" s="41"/>
      <c r="B15" s="145" t="s">
        <v>22</v>
      </c>
      <c r="C15" s="43">
        <v>0.5</v>
      </c>
    </row>
    <row r="16" spans="1:10" x14ac:dyDescent="0.2">
      <c r="A16" s="41"/>
      <c r="B16" s="145" t="s">
        <v>23</v>
      </c>
      <c r="C16" s="43">
        <v>0.4</v>
      </c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43">
        <f>Variables!D13</f>
        <v>0.5</v>
      </c>
    </row>
    <row r="19" spans="1:8" x14ac:dyDescent="0.2">
      <c r="A19" s="22"/>
      <c r="C19" s="29"/>
    </row>
    <row r="20" spans="1:8" x14ac:dyDescent="0.2">
      <c r="A20" s="537" t="s">
        <v>571</v>
      </c>
      <c r="B20" s="538"/>
      <c r="C20" s="539"/>
    </row>
    <row r="21" spans="1:8" x14ac:dyDescent="0.2">
      <c r="A21" s="44" t="s">
        <v>802</v>
      </c>
      <c r="B21" s="147" t="s">
        <v>530</v>
      </c>
      <c r="C21" s="105">
        <f>PSI_OC!A9</f>
        <v>510949606.0462392</v>
      </c>
    </row>
    <row r="22" spans="1:8" x14ac:dyDescent="0.2">
      <c r="A22" s="44" t="s">
        <v>722</v>
      </c>
      <c r="B22" s="147" t="s">
        <v>546</v>
      </c>
      <c r="C22" s="105">
        <f>Variables!F16</f>
        <v>294000</v>
      </c>
    </row>
    <row r="23" spans="1:8" x14ac:dyDescent="0.2">
      <c r="A23" s="44" t="s">
        <v>970</v>
      </c>
      <c r="B23" s="147" t="s">
        <v>971</v>
      </c>
      <c r="C23" s="105">
        <f>12500000000000/C4</f>
        <v>1506.0240963855422</v>
      </c>
    </row>
    <row r="24" spans="1:8" x14ac:dyDescent="0.2">
      <c r="A24" s="22"/>
      <c r="C24" s="31"/>
    </row>
    <row r="25" spans="1:8" x14ac:dyDescent="0.2">
      <c r="A25" s="540" t="s">
        <v>572</v>
      </c>
      <c r="B25" s="541"/>
      <c r="C25" s="542"/>
    </row>
    <row r="26" spans="1:8" x14ac:dyDescent="0.2">
      <c r="A26" s="53" t="s">
        <v>550</v>
      </c>
      <c r="B26" s="2" t="s">
        <v>531</v>
      </c>
      <c r="C26" s="107">
        <f>I7*-1</f>
        <v>0</v>
      </c>
      <c r="H26" s="17"/>
    </row>
    <row r="27" spans="1:8" x14ac:dyDescent="0.2">
      <c r="A27" s="53"/>
      <c r="B27" s="2"/>
      <c r="C27" s="28"/>
    </row>
    <row r="28" spans="1:8" x14ac:dyDescent="0.2">
      <c r="A28" s="27" t="s">
        <v>547</v>
      </c>
      <c r="B28" s="2" t="s">
        <v>531</v>
      </c>
      <c r="C28" s="107">
        <f>Variables!F21</f>
        <v>2900000000000</v>
      </c>
    </row>
    <row r="29" spans="1:8" x14ac:dyDescent="0.2">
      <c r="A29" s="27" t="s">
        <v>548</v>
      </c>
      <c r="B29" s="2" t="s">
        <v>531</v>
      </c>
      <c r="C29" s="107">
        <f>Variables!F22</f>
        <v>3900000000000</v>
      </c>
      <c r="D29" s="17"/>
    </row>
    <row r="30" spans="1:8" x14ac:dyDescent="0.2">
      <c r="A30" s="27" t="s">
        <v>549</v>
      </c>
      <c r="B30" s="2" t="s">
        <v>531</v>
      </c>
      <c r="C30" s="107">
        <f>Variables!F23</f>
        <v>8750000000000</v>
      </c>
    </row>
    <row r="31" spans="1:8" x14ac:dyDescent="0.2">
      <c r="A31" s="22"/>
      <c r="C31" s="29"/>
    </row>
    <row r="32" spans="1:8" x14ac:dyDescent="0.2">
      <c r="A32" s="543" t="s">
        <v>672</v>
      </c>
      <c r="B32" s="544"/>
      <c r="C32" s="545"/>
    </row>
    <row r="33" spans="1:4" x14ac:dyDescent="0.2">
      <c r="A33" s="142" t="s">
        <v>33</v>
      </c>
      <c r="B33" s="144" t="s">
        <v>682</v>
      </c>
      <c r="C33" s="168">
        <f>0.0000152760012184167*C10</f>
        <v>0.12220800974733359</v>
      </c>
      <c r="D33" s="17"/>
    </row>
    <row r="34" spans="1:4" x14ac:dyDescent="0.2">
      <c r="A34" s="142" t="s">
        <v>214</v>
      </c>
      <c r="B34" s="144" t="s">
        <v>683</v>
      </c>
      <c r="C34" s="168">
        <f>11.540925199601*C10</f>
        <v>92327.401596808006</v>
      </c>
      <c r="D34" s="17"/>
    </row>
    <row r="35" spans="1:4" x14ac:dyDescent="0.2">
      <c r="A35" s="142" t="s">
        <v>215</v>
      </c>
      <c r="B35" s="144" t="s">
        <v>681</v>
      </c>
      <c r="C35" s="168">
        <f>2185.51261266228*C10</f>
        <v>17484100.90129824</v>
      </c>
      <c r="D35" s="17"/>
    </row>
    <row r="36" spans="1:4" x14ac:dyDescent="0.2">
      <c r="A36" s="142"/>
      <c r="B36" s="144"/>
      <c r="C36" s="143"/>
    </row>
    <row r="37" spans="1:4" x14ac:dyDescent="0.2">
      <c r="A37" s="142" t="s">
        <v>699</v>
      </c>
      <c r="B37" s="144" t="s">
        <v>690</v>
      </c>
      <c r="C37" s="150">
        <f>Variables!F26</f>
        <v>2860000000000000</v>
      </c>
    </row>
    <row r="38" spans="1:4" x14ac:dyDescent="0.2">
      <c r="A38" s="142" t="s">
        <v>700</v>
      </c>
      <c r="B38" s="144" t="s">
        <v>691</v>
      </c>
      <c r="C38" s="150">
        <f>Variables!F27</f>
        <v>5.25</v>
      </c>
    </row>
    <row r="39" spans="1:4" x14ac:dyDescent="0.2">
      <c r="A39" s="142" t="s">
        <v>701</v>
      </c>
      <c r="B39" s="144" t="s">
        <v>692</v>
      </c>
      <c r="C39" s="150">
        <f>Variables!F28</f>
        <v>52.32</v>
      </c>
    </row>
    <row r="40" spans="1:4" x14ac:dyDescent="0.2">
      <c r="A40" s="22"/>
      <c r="C40" s="29"/>
    </row>
    <row r="41" spans="1:4" x14ac:dyDescent="0.2">
      <c r="A41" s="546" t="s">
        <v>730</v>
      </c>
      <c r="B41" s="547"/>
      <c r="C41" s="548"/>
    </row>
    <row r="42" spans="1:4" x14ac:dyDescent="0.2">
      <c r="A42" s="32" t="s">
        <v>29</v>
      </c>
      <c r="B42" s="3" t="s">
        <v>689</v>
      </c>
      <c r="C42" s="162">
        <f>65.1906295765427*C10</f>
        <v>521525.03661234165</v>
      </c>
      <c r="D42" s="17"/>
    </row>
    <row r="43" spans="1:4" x14ac:dyDescent="0.2">
      <c r="A43" s="32" t="s">
        <v>31</v>
      </c>
      <c r="B43" s="3" t="s">
        <v>688</v>
      </c>
      <c r="C43" s="162">
        <f>2814.94207824718*C10</f>
        <v>22519536.625977438</v>
      </c>
      <c r="D43" s="17"/>
    </row>
    <row r="44" spans="1:4" x14ac:dyDescent="0.2">
      <c r="A44" s="32" t="s">
        <v>684</v>
      </c>
      <c r="B44" s="3" t="s">
        <v>687</v>
      </c>
      <c r="C44" s="162">
        <f>0.0139628480103617*C10</f>
        <v>111.7027840828936</v>
      </c>
      <c r="D44" s="17"/>
    </row>
    <row r="45" spans="1:4" x14ac:dyDescent="0.2">
      <c r="A45" s="32" t="s">
        <v>685</v>
      </c>
      <c r="B45" s="3" t="s">
        <v>686</v>
      </c>
      <c r="C45" s="162">
        <f>88.8814637795377*C10</f>
        <v>711051.71023630153</v>
      </c>
      <c r="D45" s="17"/>
    </row>
    <row r="46" spans="1:4" x14ac:dyDescent="0.2">
      <c r="A46" s="32"/>
      <c r="B46" s="3"/>
      <c r="C46" s="119"/>
    </row>
    <row r="47" spans="1:4" x14ac:dyDescent="0.2">
      <c r="A47" s="32" t="s">
        <v>702</v>
      </c>
      <c r="B47" s="3" t="s">
        <v>693</v>
      </c>
      <c r="C47" s="256">
        <f>Variables!F29</f>
        <v>20.93</v>
      </c>
    </row>
    <row r="48" spans="1:4" x14ac:dyDescent="0.2">
      <c r="A48" s="32" t="s">
        <v>703</v>
      </c>
      <c r="B48" s="3" t="s">
        <v>694</v>
      </c>
      <c r="C48" s="256">
        <f>Variables!F30</f>
        <v>12805</v>
      </c>
    </row>
    <row r="49" spans="1:4" x14ac:dyDescent="0.2">
      <c r="A49" s="32" t="s">
        <v>704</v>
      </c>
      <c r="B49" s="3" t="s">
        <v>695</v>
      </c>
      <c r="C49" s="256">
        <f>Variables!F31</f>
        <v>1.28</v>
      </c>
    </row>
    <row r="50" spans="1:4" x14ac:dyDescent="0.2">
      <c r="A50" s="32" t="s">
        <v>705</v>
      </c>
      <c r="B50" s="3" t="s">
        <v>696</v>
      </c>
      <c r="C50" s="256">
        <f>Variables!F32</f>
        <v>4402.4399999999996</v>
      </c>
    </row>
    <row r="51" spans="1:4" x14ac:dyDescent="0.2">
      <c r="A51" s="22"/>
      <c r="C51" s="29"/>
    </row>
    <row r="52" spans="1:4" x14ac:dyDescent="0.2">
      <c r="A52" s="549" t="s">
        <v>740</v>
      </c>
      <c r="B52" s="550"/>
      <c r="C52" s="551"/>
    </row>
    <row r="53" spans="1:4" x14ac:dyDescent="0.2">
      <c r="A53" s="163" t="s">
        <v>30</v>
      </c>
      <c r="B53" s="30" t="s">
        <v>698</v>
      </c>
      <c r="C53" s="164">
        <f>0.00001230469322957*C10</f>
        <v>9.8437545836560003E-2</v>
      </c>
      <c r="D53" s="17"/>
    </row>
    <row r="54" spans="1:4" x14ac:dyDescent="0.2">
      <c r="A54" s="163" t="s">
        <v>697</v>
      </c>
      <c r="B54" s="30" t="s">
        <v>708</v>
      </c>
      <c r="C54" s="164">
        <f>0.0000781914275946887*C10</f>
        <v>0.62553142075750956</v>
      </c>
      <c r="D54" s="17"/>
    </row>
    <row r="55" spans="1:4" x14ac:dyDescent="0.2">
      <c r="A55" s="163"/>
      <c r="B55" s="30"/>
      <c r="C55" s="117"/>
    </row>
    <row r="56" spans="1:4" x14ac:dyDescent="0.2">
      <c r="A56" s="163" t="s">
        <v>706</v>
      </c>
      <c r="B56" s="30" t="s">
        <v>725</v>
      </c>
      <c r="C56" s="258">
        <f>Variables!F33</f>
        <v>1</v>
      </c>
    </row>
    <row r="57" spans="1:4" x14ac:dyDescent="0.2">
      <c r="A57" s="163" t="s">
        <v>707</v>
      </c>
      <c r="B57" s="30" t="s">
        <v>725</v>
      </c>
      <c r="C57" s="258">
        <f>Variables!F34</f>
        <v>1</v>
      </c>
    </row>
    <row r="58" spans="1:4" x14ac:dyDescent="0.2">
      <c r="A58" s="22"/>
      <c r="C58" s="29"/>
    </row>
    <row r="59" spans="1:4" x14ac:dyDescent="0.2">
      <c r="A59" s="528" t="s">
        <v>788</v>
      </c>
      <c r="B59" s="529"/>
      <c r="C59" s="530"/>
    </row>
    <row r="60" spans="1:4" x14ac:dyDescent="0.2">
      <c r="A60" s="178" t="s">
        <v>943</v>
      </c>
      <c r="B60" s="179" t="s">
        <v>16</v>
      </c>
      <c r="C60" s="182">
        <f>303.75*C10</f>
        <v>2430000</v>
      </c>
      <c r="D60" s="17"/>
    </row>
    <row r="61" spans="1:4" x14ac:dyDescent="0.2">
      <c r="A61" s="178" t="s">
        <v>944</v>
      </c>
      <c r="B61" s="179" t="s">
        <v>16</v>
      </c>
      <c r="C61" s="183">
        <f>611.625*C10</f>
        <v>4893000</v>
      </c>
      <c r="D61" s="17"/>
    </row>
    <row r="62" spans="1:4" x14ac:dyDescent="0.2">
      <c r="A62" s="178" t="s">
        <v>945</v>
      </c>
      <c r="B62" s="179" t="s">
        <v>947</v>
      </c>
      <c r="C62" s="183">
        <v>1354.5</v>
      </c>
      <c r="D62" s="17"/>
    </row>
    <row r="63" spans="1:4" x14ac:dyDescent="0.2">
      <c r="A63" s="178" t="s">
        <v>946</v>
      </c>
      <c r="B63" s="179" t="s">
        <v>16</v>
      </c>
      <c r="C63" s="183">
        <v>112.125</v>
      </c>
      <c r="D63" s="17"/>
    </row>
    <row r="64" spans="1:4" x14ac:dyDescent="0.2">
      <c r="A64" s="178"/>
      <c r="B64" s="179"/>
      <c r="C64" s="180"/>
    </row>
    <row r="65" spans="1:3" x14ac:dyDescent="0.2">
      <c r="A65" s="178" t="s">
        <v>948</v>
      </c>
      <c r="B65" s="179" t="s">
        <v>949</v>
      </c>
      <c r="C65" s="209">
        <f>Variables!F38</f>
        <v>730</v>
      </c>
    </row>
    <row r="66" spans="1:3" x14ac:dyDescent="0.2">
      <c r="A66" s="178"/>
      <c r="B66" s="179"/>
      <c r="C66" s="180"/>
    </row>
    <row r="67" spans="1:3" x14ac:dyDescent="0.2">
      <c r="A67" s="178"/>
      <c r="B67" s="179"/>
      <c r="C67" s="180"/>
    </row>
    <row r="68" spans="1:3" x14ac:dyDescent="0.2">
      <c r="A68" s="178"/>
      <c r="B68" s="179"/>
      <c r="C68" s="180"/>
    </row>
    <row r="69" spans="1:3" x14ac:dyDescent="0.2">
      <c r="A69" s="22"/>
      <c r="C69" s="29"/>
    </row>
    <row r="70" spans="1:3" x14ac:dyDescent="0.2">
      <c r="A70" s="531" t="s">
        <v>772</v>
      </c>
      <c r="B70" s="532"/>
      <c r="C70" s="533"/>
    </row>
    <row r="71" spans="1:3" x14ac:dyDescent="0.2">
      <c r="A71" s="175" t="s">
        <v>534</v>
      </c>
      <c r="B71" s="176" t="s">
        <v>210</v>
      </c>
      <c r="C71" s="177">
        <v>421</v>
      </c>
    </row>
    <row r="72" spans="1:3" x14ac:dyDescent="0.2">
      <c r="A72" s="175"/>
      <c r="B72" s="176"/>
      <c r="C72" s="177"/>
    </row>
    <row r="73" spans="1:3" x14ac:dyDescent="0.2">
      <c r="A73" s="175" t="s">
        <v>746</v>
      </c>
      <c r="B73" s="176" t="s">
        <v>761</v>
      </c>
      <c r="C73" s="177">
        <v>90</v>
      </c>
    </row>
    <row r="74" spans="1:3" x14ac:dyDescent="0.2">
      <c r="A74" s="175"/>
      <c r="B74" s="176" t="s">
        <v>210</v>
      </c>
      <c r="C74" s="177">
        <v>3</v>
      </c>
    </row>
    <row r="75" spans="1:3" x14ac:dyDescent="0.2">
      <c r="A75" s="175" t="s">
        <v>765</v>
      </c>
      <c r="B75" s="176" t="s">
        <v>761</v>
      </c>
      <c r="C75" s="177">
        <v>65</v>
      </c>
    </row>
    <row r="76" spans="1:3" x14ac:dyDescent="0.2">
      <c r="A76" s="175"/>
      <c r="B76" s="176" t="s">
        <v>210</v>
      </c>
      <c r="C76" s="177">
        <v>421</v>
      </c>
    </row>
    <row r="77" spans="1:3" x14ac:dyDescent="0.2">
      <c r="A77" s="175" t="s">
        <v>747</v>
      </c>
      <c r="B77" s="176" t="s">
        <v>761</v>
      </c>
      <c r="C77" s="177">
        <f>80000/(40*52)</f>
        <v>38.46153846153846</v>
      </c>
    </row>
    <row r="78" spans="1:3" x14ac:dyDescent="0.2">
      <c r="A78" s="175"/>
      <c r="B78" s="176" t="s">
        <v>210</v>
      </c>
      <c r="C78" s="177">
        <v>200</v>
      </c>
    </row>
    <row r="79" spans="1:3" x14ac:dyDescent="0.2">
      <c r="A79" s="175"/>
      <c r="B79" s="176"/>
      <c r="C79" s="177"/>
    </row>
    <row r="80" spans="1:3" x14ac:dyDescent="0.2">
      <c r="A80" s="175" t="s">
        <v>745</v>
      </c>
      <c r="B80" s="176" t="s">
        <v>761</v>
      </c>
      <c r="C80" s="177">
        <f>Variables!F35</f>
        <v>33</v>
      </c>
    </row>
    <row r="81" spans="1:36" x14ac:dyDescent="0.2">
      <c r="A81" s="175" t="s">
        <v>764</v>
      </c>
      <c r="B81" s="176" t="s">
        <v>761</v>
      </c>
      <c r="C81" s="177">
        <f>Variables!F36</f>
        <v>97</v>
      </c>
    </row>
    <row r="82" spans="1:36" x14ac:dyDescent="0.2">
      <c r="A82" s="175" t="s">
        <v>759</v>
      </c>
      <c r="B82" s="176" t="s">
        <v>210</v>
      </c>
      <c r="C82" s="177">
        <f>5900000000</f>
        <v>5900000000</v>
      </c>
    </row>
    <row r="83" spans="1:36" x14ac:dyDescent="0.2">
      <c r="A83" s="175"/>
      <c r="B83" s="176"/>
      <c r="C83" s="177"/>
    </row>
    <row r="84" spans="1:36" x14ac:dyDescent="0.2">
      <c r="A84" s="175" t="s">
        <v>762</v>
      </c>
      <c r="B84" s="176" t="s">
        <v>210</v>
      </c>
      <c r="C84" s="177">
        <f>C71</f>
        <v>421</v>
      </c>
    </row>
    <row r="85" spans="1:36" x14ac:dyDescent="0.2">
      <c r="A85" s="175" t="s">
        <v>763</v>
      </c>
      <c r="B85" s="176" t="s">
        <v>210</v>
      </c>
      <c r="C85" s="177">
        <v>421</v>
      </c>
    </row>
    <row r="86" spans="1:36" x14ac:dyDescent="0.2">
      <c r="A86" s="22"/>
      <c r="C86" s="29"/>
    </row>
    <row r="87" spans="1:36" ht="16" thickBot="1" x14ac:dyDescent="0.25">
      <c r="A87" s="34"/>
      <c r="B87" s="12"/>
      <c r="C87" s="37"/>
    </row>
    <row r="88" spans="1:36" x14ac:dyDescent="0.2">
      <c r="A88" s="113" t="s">
        <v>555</v>
      </c>
      <c r="B88" s="148">
        <f>B201</f>
        <v>-92229.501090019956</v>
      </c>
      <c r="C88" s="149" t="s">
        <v>537</v>
      </c>
    </row>
    <row r="89" spans="1:36" ht="16" thickBot="1" x14ac:dyDescent="0.25">
      <c r="A89" s="114"/>
      <c r="B89" s="126"/>
      <c r="C89" s="37"/>
    </row>
    <row r="91" spans="1:36" ht="16" thickBot="1" x14ac:dyDescent="0.25"/>
    <row r="92" spans="1:36" ht="23" thickBot="1" x14ac:dyDescent="0.35">
      <c r="A92" s="534" t="s">
        <v>532</v>
      </c>
      <c r="B92" s="535"/>
      <c r="C92" s="536"/>
    </row>
    <row r="93" spans="1:36" x14ac:dyDescent="0.2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9"/>
    </row>
    <row r="94" spans="1:36" x14ac:dyDescent="0.2">
      <c r="A94" s="108" t="s">
        <v>539</v>
      </c>
      <c r="D94">
        <v>2026</v>
      </c>
      <c r="E94">
        <v>2027</v>
      </c>
      <c r="F94">
        <v>2028</v>
      </c>
      <c r="G94">
        <v>2029</v>
      </c>
      <c r="H94">
        <v>2030</v>
      </c>
      <c r="I94">
        <v>2031</v>
      </c>
      <c r="J94">
        <v>2032</v>
      </c>
      <c r="K94">
        <v>2033</v>
      </c>
      <c r="L94">
        <v>2034</v>
      </c>
      <c r="M94">
        <v>2035</v>
      </c>
      <c r="N94">
        <v>2036</v>
      </c>
      <c r="O94">
        <v>2037</v>
      </c>
      <c r="P94">
        <v>2038</v>
      </c>
      <c r="Q94">
        <v>2039</v>
      </c>
      <c r="R94">
        <v>2040</v>
      </c>
      <c r="S94">
        <v>2041</v>
      </c>
      <c r="T94">
        <v>2042</v>
      </c>
      <c r="U94">
        <v>2043</v>
      </c>
      <c r="V94">
        <v>2044</v>
      </c>
      <c r="W94">
        <v>2045</v>
      </c>
      <c r="X94">
        <v>2046</v>
      </c>
      <c r="Y94">
        <v>2047</v>
      </c>
      <c r="Z94">
        <v>2048</v>
      </c>
      <c r="AA94">
        <v>2049</v>
      </c>
      <c r="AB94">
        <v>2050</v>
      </c>
      <c r="AC94">
        <v>2051</v>
      </c>
      <c r="AD94">
        <v>2052</v>
      </c>
      <c r="AE94">
        <v>2053</v>
      </c>
      <c r="AF94">
        <v>2054</v>
      </c>
      <c r="AG94">
        <v>2055</v>
      </c>
      <c r="AH94">
        <v>2056</v>
      </c>
      <c r="AI94">
        <v>2057</v>
      </c>
      <c r="AJ94" s="29">
        <v>2058</v>
      </c>
    </row>
    <row r="95" spans="1:36" x14ac:dyDescent="0.2">
      <c r="A95" s="22" t="s">
        <v>563</v>
      </c>
      <c r="B95" t="s">
        <v>64</v>
      </c>
      <c r="D95">
        <v>-2</v>
      </c>
      <c r="E95">
        <v>-1</v>
      </c>
      <c r="F95">
        <v>0</v>
      </c>
      <c r="G95">
        <v>1</v>
      </c>
      <c r="H95">
        <v>2</v>
      </c>
      <c r="I95">
        <v>3</v>
      </c>
      <c r="J95">
        <v>4</v>
      </c>
      <c r="K95">
        <v>5</v>
      </c>
      <c r="L95">
        <v>6</v>
      </c>
      <c r="M95">
        <v>7</v>
      </c>
      <c r="N95">
        <v>8</v>
      </c>
      <c r="O95">
        <v>9</v>
      </c>
      <c r="P95">
        <v>10</v>
      </c>
      <c r="Q95">
        <v>11</v>
      </c>
      <c r="R95">
        <v>12</v>
      </c>
      <c r="S95">
        <v>13</v>
      </c>
      <c r="T95">
        <v>14</v>
      </c>
      <c r="U95">
        <v>15</v>
      </c>
      <c r="V95">
        <v>16</v>
      </c>
      <c r="W95">
        <v>17</v>
      </c>
      <c r="X95">
        <v>18</v>
      </c>
      <c r="Y95">
        <v>19</v>
      </c>
      <c r="Z95">
        <v>20</v>
      </c>
      <c r="AA95">
        <v>21</v>
      </c>
      <c r="AB95">
        <v>22</v>
      </c>
      <c r="AC95">
        <v>23</v>
      </c>
      <c r="AD95">
        <v>24</v>
      </c>
      <c r="AE95">
        <v>25</v>
      </c>
      <c r="AF95">
        <v>26</v>
      </c>
      <c r="AG95">
        <v>27</v>
      </c>
      <c r="AH95">
        <v>28</v>
      </c>
      <c r="AI95">
        <v>29</v>
      </c>
      <c r="AJ95" s="29">
        <v>30</v>
      </c>
    </row>
    <row r="96" spans="1:36" x14ac:dyDescent="0.2">
      <c r="A96" s="22" t="s">
        <v>207</v>
      </c>
      <c r="D96" s="36">
        <f>1/(1+$C$9)^D95</f>
        <v>1.0201</v>
      </c>
      <c r="E96" s="36">
        <f t="shared" ref="E96:AJ96" si="0">1/(1+$C$9)^E95</f>
        <v>1.01</v>
      </c>
      <c r="F96" s="36">
        <f t="shared" si="0"/>
        <v>1</v>
      </c>
      <c r="G96" s="36">
        <f t="shared" si="0"/>
        <v>0.99009900990099009</v>
      </c>
      <c r="H96" s="36">
        <f t="shared" si="0"/>
        <v>0.98029604940692083</v>
      </c>
      <c r="I96" s="36">
        <f t="shared" si="0"/>
        <v>0.97059014792764453</v>
      </c>
      <c r="J96" s="36">
        <f t="shared" si="0"/>
        <v>0.96098034448281622</v>
      </c>
      <c r="K96" s="36">
        <f t="shared" si="0"/>
        <v>0.95146568760674888</v>
      </c>
      <c r="L96" s="36">
        <f t="shared" si="0"/>
        <v>0.94204523525420658</v>
      </c>
      <c r="M96" s="36">
        <f t="shared" si="0"/>
        <v>0.93271805470713554</v>
      </c>
      <c r="N96" s="36">
        <f t="shared" si="0"/>
        <v>0.92348322248231218</v>
      </c>
      <c r="O96" s="36">
        <f t="shared" si="0"/>
        <v>0.91433982423991289</v>
      </c>
      <c r="P96" s="36">
        <f t="shared" si="0"/>
        <v>0.90528695469298315</v>
      </c>
      <c r="Q96" s="36">
        <f t="shared" si="0"/>
        <v>0.89632371751780526</v>
      </c>
      <c r="R96" s="36">
        <f t="shared" si="0"/>
        <v>0.88744922526515368</v>
      </c>
      <c r="S96" s="36">
        <f t="shared" si="0"/>
        <v>0.87866259927242929</v>
      </c>
      <c r="T96" s="36">
        <f t="shared" si="0"/>
        <v>0.86996296957666264</v>
      </c>
      <c r="U96" s="36">
        <f t="shared" si="0"/>
        <v>0.86134947482837909</v>
      </c>
      <c r="V96" s="36">
        <f t="shared" si="0"/>
        <v>0.8528212622063156</v>
      </c>
      <c r="W96" s="36">
        <f t="shared" si="0"/>
        <v>0.84437748733298568</v>
      </c>
      <c r="X96" s="36">
        <f t="shared" si="0"/>
        <v>0.83601731419107495</v>
      </c>
      <c r="Y96" s="36">
        <f t="shared" si="0"/>
        <v>0.82773991504066846</v>
      </c>
      <c r="Z96" s="36">
        <f t="shared" si="0"/>
        <v>0.81954447033729538</v>
      </c>
      <c r="AA96" s="36">
        <f t="shared" si="0"/>
        <v>0.81143016865078765</v>
      </c>
      <c r="AB96" s="36">
        <f t="shared" si="0"/>
        <v>0.80339620658493804</v>
      </c>
      <c r="AC96" s="36">
        <f t="shared" si="0"/>
        <v>0.79544178869795856</v>
      </c>
      <c r="AD96" s="36">
        <f t="shared" si="0"/>
        <v>0.78756612742372123</v>
      </c>
      <c r="AE96" s="36">
        <f t="shared" si="0"/>
        <v>0.77976844299378323</v>
      </c>
      <c r="AF96" s="36">
        <f t="shared" si="0"/>
        <v>0.77204796336018144</v>
      </c>
      <c r="AG96" s="36">
        <f t="shared" si="0"/>
        <v>0.76440392411899183</v>
      </c>
      <c r="AH96" s="36">
        <f t="shared" si="0"/>
        <v>0.75683556843464528</v>
      </c>
      <c r="AI96" s="36">
        <f t="shared" si="0"/>
        <v>0.74934214696499535</v>
      </c>
      <c r="AJ96" s="54">
        <f t="shared" si="0"/>
        <v>0.74192291778712394</v>
      </c>
    </row>
    <row r="97" spans="1:36" x14ac:dyDescent="0.2">
      <c r="A97" s="22"/>
      <c r="AJ97" s="29"/>
    </row>
    <row r="98" spans="1:36" x14ac:dyDescent="0.2">
      <c r="A98" s="22" t="s">
        <v>543</v>
      </c>
      <c r="B98" t="s">
        <v>64</v>
      </c>
      <c r="D98">
        <v>0</v>
      </c>
      <c r="E98">
        <v>1</v>
      </c>
      <c r="F98">
        <v>2</v>
      </c>
      <c r="G98">
        <v>3</v>
      </c>
      <c r="H98">
        <v>4</v>
      </c>
      <c r="I98">
        <v>5</v>
      </c>
      <c r="J98">
        <v>6</v>
      </c>
      <c r="K98">
        <v>7</v>
      </c>
      <c r="L98">
        <v>8</v>
      </c>
      <c r="M98">
        <v>9</v>
      </c>
      <c r="N98">
        <v>10</v>
      </c>
      <c r="O98">
        <v>11</v>
      </c>
      <c r="P98">
        <v>12</v>
      </c>
      <c r="Q98">
        <v>13</v>
      </c>
      <c r="R98">
        <v>14</v>
      </c>
      <c r="S98">
        <v>15</v>
      </c>
      <c r="T98">
        <v>16</v>
      </c>
      <c r="U98">
        <v>17</v>
      </c>
      <c r="V98">
        <v>18</v>
      </c>
      <c r="W98">
        <v>19</v>
      </c>
      <c r="X98">
        <v>20</v>
      </c>
      <c r="Y98">
        <v>21</v>
      </c>
      <c r="Z98">
        <v>22</v>
      </c>
      <c r="AA98">
        <v>23</v>
      </c>
      <c r="AB98">
        <v>24</v>
      </c>
      <c r="AC98">
        <v>25</v>
      </c>
      <c r="AD98">
        <v>26</v>
      </c>
      <c r="AE98">
        <v>27</v>
      </c>
      <c r="AF98">
        <v>28</v>
      </c>
      <c r="AG98">
        <v>29</v>
      </c>
      <c r="AH98">
        <v>30</v>
      </c>
      <c r="AI98">
        <v>31</v>
      </c>
      <c r="AJ98" s="29">
        <v>32</v>
      </c>
    </row>
    <row r="99" spans="1:36" x14ac:dyDescent="0.2">
      <c r="A99" s="22" t="s">
        <v>535</v>
      </c>
      <c r="B99" t="s">
        <v>210</v>
      </c>
      <c r="D99" s="8">
        <f t="shared" ref="D99:AJ99" si="1">$C$4*(1+$C$5)^D98</f>
        <v>8300000000</v>
      </c>
      <c r="E99" s="8">
        <f t="shared" si="1"/>
        <v>8373039999.999999</v>
      </c>
      <c r="F99" s="8">
        <f t="shared" si="1"/>
        <v>8446722751.999999</v>
      </c>
      <c r="G99" s="8">
        <f t="shared" si="1"/>
        <v>8521053912.217598</v>
      </c>
      <c r="H99" s="8">
        <f t="shared" si="1"/>
        <v>8596039186.645113</v>
      </c>
      <c r="I99" s="8">
        <f t="shared" si="1"/>
        <v>8671684331.4875889</v>
      </c>
      <c r="J99" s="8">
        <f t="shared" si="1"/>
        <v>8747995153.6046791</v>
      </c>
      <c r="K99" s="8">
        <f t="shared" si="1"/>
        <v>8824977510.9563999</v>
      </c>
      <c r="L99" s="8">
        <f t="shared" si="1"/>
        <v>8902637313.0528164</v>
      </c>
      <c r="M99" s="8">
        <f t="shared" si="1"/>
        <v>8980980521.4076805</v>
      </c>
      <c r="N99" s="8">
        <f t="shared" si="1"/>
        <v>9060013149.996067</v>
      </c>
      <c r="O99" s="8">
        <f t="shared" si="1"/>
        <v>9139741265.716032</v>
      </c>
      <c r="P99" s="8">
        <f t="shared" si="1"/>
        <v>9220170988.8543339</v>
      </c>
      <c r="Q99" s="8">
        <f t="shared" si="1"/>
        <v>9301308493.5562496</v>
      </c>
      <c r="R99" s="8">
        <f t="shared" si="1"/>
        <v>9383160008.2995453</v>
      </c>
      <c r="S99" s="8">
        <f t="shared" si="1"/>
        <v>9465731816.3725815</v>
      </c>
      <c r="T99" s="8">
        <f t="shared" si="1"/>
        <v>9549030256.3566589</v>
      </c>
      <c r="U99" s="8">
        <f t="shared" si="1"/>
        <v>9633061722.6125965</v>
      </c>
      <c r="V99" s="8">
        <f t="shared" si="1"/>
        <v>9717832665.7715893</v>
      </c>
      <c r="W99" s="8">
        <f t="shared" si="1"/>
        <v>9803349593.2303772</v>
      </c>
      <c r="X99" s="8">
        <f t="shared" si="1"/>
        <v>9889619069.6508045</v>
      </c>
      <c r="Y99" s="8">
        <f t="shared" si="1"/>
        <v>9976647717.4637299</v>
      </c>
      <c r="Z99" s="8">
        <f t="shared" si="1"/>
        <v>10064442217.377411</v>
      </c>
      <c r="AA99" s="8">
        <f t="shared" si="1"/>
        <v>10153009308.890329</v>
      </c>
      <c r="AB99" s="8">
        <f t="shared" si="1"/>
        <v>10242355790.808565</v>
      </c>
      <c r="AC99" s="8">
        <f t="shared" si="1"/>
        <v>10332488521.767681</v>
      </c>
      <c r="AD99" s="8">
        <f t="shared" si="1"/>
        <v>10423414420.759235</v>
      </c>
      <c r="AE99" s="8">
        <f t="shared" si="1"/>
        <v>10515140467.661915</v>
      </c>
      <c r="AF99" s="8">
        <f t="shared" si="1"/>
        <v>10607673703.777342</v>
      </c>
      <c r="AG99" s="8">
        <f t="shared" si="1"/>
        <v>10701021232.370581</v>
      </c>
      <c r="AH99" s="8">
        <f t="shared" si="1"/>
        <v>10795190219.215441</v>
      </c>
      <c r="AI99" s="8">
        <f t="shared" si="1"/>
        <v>10890187893.144537</v>
      </c>
      <c r="AJ99" s="115">
        <f t="shared" si="1"/>
        <v>10986021546.604208</v>
      </c>
    </row>
    <row r="100" spans="1:36" x14ac:dyDescent="0.2">
      <c r="A100" s="22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115"/>
    </row>
    <row r="101" spans="1:36" x14ac:dyDescent="0.2">
      <c r="A101" s="22" t="s">
        <v>565</v>
      </c>
      <c r="B101" s="17">
        <f>PSI_OC!A6</f>
        <v>100</v>
      </c>
      <c r="C101" t="s">
        <v>717</v>
      </c>
      <c r="D101" s="8"/>
      <c r="E101" s="8"/>
      <c r="F101" s="8"/>
      <c r="G101" s="8">
        <f>$B101*$C$10*100</f>
        <v>80000000</v>
      </c>
      <c r="H101" s="8">
        <f t="shared" ref="H101:AJ103" si="2">$B101*$C$10*100</f>
        <v>80000000</v>
      </c>
      <c r="I101" s="8">
        <f t="shared" si="2"/>
        <v>80000000</v>
      </c>
      <c r="J101" s="8">
        <f t="shared" si="2"/>
        <v>80000000</v>
      </c>
      <c r="K101" s="8">
        <f t="shared" si="2"/>
        <v>80000000</v>
      </c>
      <c r="L101" s="8">
        <f t="shared" si="2"/>
        <v>80000000</v>
      </c>
      <c r="M101" s="8">
        <f t="shared" si="2"/>
        <v>80000000</v>
      </c>
      <c r="N101" s="8">
        <f t="shared" si="2"/>
        <v>80000000</v>
      </c>
      <c r="O101" s="8">
        <f t="shared" si="2"/>
        <v>80000000</v>
      </c>
      <c r="P101" s="8">
        <f t="shared" si="2"/>
        <v>80000000</v>
      </c>
      <c r="Q101" s="8">
        <f t="shared" si="2"/>
        <v>80000000</v>
      </c>
      <c r="R101" s="8">
        <f t="shared" si="2"/>
        <v>80000000</v>
      </c>
      <c r="S101" s="8">
        <f t="shared" si="2"/>
        <v>80000000</v>
      </c>
      <c r="T101" s="8">
        <f t="shared" si="2"/>
        <v>80000000</v>
      </c>
      <c r="U101" s="8">
        <f t="shared" si="2"/>
        <v>80000000</v>
      </c>
      <c r="V101" s="8">
        <f t="shared" si="2"/>
        <v>80000000</v>
      </c>
      <c r="W101" s="8">
        <f t="shared" si="2"/>
        <v>80000000</v>
      </c>
      <c r="X101" s="8">
        <f t="shared" si="2"/>
        <v>80000000</v>
      </c>
      <c r="Y101" s="8">
        <f t="shared" si="2"/>
        <v>80000000</v>
      </c>
      <c r="Z101" s="8">
        <f t="shared" si="2"/>
        <v>80000000</v>
      </c>
      <c r="AA101" s="8">
        <f t="shared" si="2"/>
        <v>80000000</v>
      </c>
      <c r="AB101" s="8">
        <f t="shared" si="2"/>
        <v>80000000</v>
      </c>
      <c r="AC101" s="8">
        <f t="shared" si="2"/>
        <v>80000000</v>
      </c>
      <c r="AD101" s="8">
        <f t="shared" si="2"/>
        <v>80000000</v>
      </c>
      <c r="AE101" s="8">
        <f t="shared" si="2"/>
        <v>80000000</v>
      </c>
      <c r="AF101" s="8">
        <f t="shared" si="2"/>
        <v>80000000</v>
      </c>
      <c r="AG101" s="8">
        <f t="shared" si="2"/>
        <v>80000000</v>
      </c>
      <c r="AH101" s="8">
        <f t="shared" si="2"/>
        <v>80000000</v>
      </c>
      <c r="AI101" s="8">
        <f t="shared" si="2"/>
        <v>80000000</v>
      </c>
      <c r="AJ101" s="8">
        <f t="shared" si="2"/>
        <v>80000000</v>
      </c>
    </row>
    <row r="102" spans="1:36" x14ac:dyDescent="0.2">
      <c r="A102" s="22" t="s">
        <v>718</v>
      </c>
      <c r="B102" s="17">
        <f>PSI_OC!A7</f>
        <v>10</v>
      </c>
      <c r="C102" t="s">
        <v>717</v>
      </c>
      <c r="D102" s="8"/>
      <c r="E102" s="8"/>
      <c r="F102" s="8"/>
      <c r="G102" s="8">
        <f>$B102*$C$10*100</f>
        <v>8000000</v>
      </c>
      <c r="H102" s="8">
        <f t="shared" si="2"/>
        <v>8000000</v>
      </c>
      <c r="I102" s="8">
        <f t="shared" si="2"/>
        <v>8000000</v>
      </c>
      <c r="J102" s="8">
        <f t="shared" si="2"/>
        <v>8000000</v>
      </c>
      <c r="K102" s="8">
        <f t="shared" si="2"/>
        <v>8000000</v>
      </c>
      <c r="L102" s="8">
        <f t="shared" si="2"/>
        <v>8000000</v>
      </c>
      <c r="M102" s="8">
        <f t="shared" si="2"/>
        <v>8000000</v>
      </c>
      <c r="N102" s="8">
        <f t="shared" si="2"/>
        <v>8000000</v>
      </c>
      <c r="O102" s="8">
        <f t="shared" si="2"/>
        <v>8000000</v>
      </c>
      <c r="P102" s="8">
        <f t="shared" si="2"/>
        <v>8000000</v>
      </c>
      <c r="Q102" s="8">
        <f t="shared" si="2"/>
        <v>8000000</v>
      </c>
      <c r="R102" s="8">
        <f t="shared" si="2"/>
        <v>8000000</v>
      </c>
      <c r="S102" s="8">
        <f t="shared" si="2"/>
        <v>8000000</v>
      </c>
      <c r="T102" s="8">
        <f t="shared" si="2"/>
        <v>8000000</v>
      </c>
      <c r="U102" s="8">
        <f t="shared" si="2"/>
        <v>8000000</v>
      </c>
      <c r="V102" s="8">
        <f t="shared" si="2"/>
        <v>8000000</v>
      </c>
      <c r="W102" s="8">
        <f t="shared" si="2"/>
        <v>8000000</v>
      </c>
      <c r="X102" s="8">
        <f t="shared" si="2"/>
        <v>8000000</v>
      </c>
      <c r="Y102" s="8">
        <f t="shared" si="2"/>
        <v>8000000</v>
      </c>
      <c r="Z102" s="8">
        <f t="shared" si="2"/>
        <v>8000000</v>
      </c>
      <c r="AA102" s="8">
        <f t="shared" si="2"/>
        <v>8000000</v>
      </c>
      <c r="AB102" s="8">
        <f t="shared" si="2"/>
        <v>8000000</v>
      </c>
      <c r="AC102" s="8">
        <f t="shared" si="2"/>
        <v>8000000</v>
      </c>
      <c r="AD102" s="8">
        <f t="shared" si="2"/>
        <v>8000000</v>
      </c>
      <c r="AE102" s="8">
        <f t="shared" si="2"/>
        <v>8000000</v>
      </c>
      <c r="AF102" s="8">
        <f t="shared" si="2"/>
        <v>8000000</v>
      </c>
      <c r="AG102" s="8">
        <f t="shared" si="2"/>
        <v>8000000</v>
      </c>
      <c r="AH102" s="8">
        <f t="shared" si="2"/>
        <v>8000000</v>
      </c>
      <c r="AI102" s="8">
        <f t="shared" si="2"/>
        <v>8000000</v>
      </c>
      <c r="AJ102" s="8">
        <f t="shared" si="2"/>
        <v>8000000</v>
      </c>
    </row>
    <row r="103" spans="1:36" x14ac:dyDescent="0.2">
      <c r="A103" s="22" t="s">
        <v>719</v>
      </c>
      <c r="B103" s="17">
        <f>PSI_OC!A8</f>
        <v>1</v>
      </c>
      <c r="C103" t="s">
        <v>717</v>
      </c>
      <c r="D103" s="8"/>
      <c r="E103" s="8"/>
      <c r="F103" s="8"/>
      <c r="G103" s="8">
        <f>$B103*$C$10*100</f>
        <v>800000</v>
      </c>
      <c r="H103" s="8">
        <f t="shared" si="2"/>
        <v>800000</v>
      </c>
      <c r="I103" s="8">
        <f t="shared" si="2"/>
        <v>800000</v>
      </c>
      <c r="J103" s="8">
        <f t="shared" si="2"/>
        <v>800000</v>
      </c>
      <c r="K103" s="8">
        <f t="shared" si="2"/>
        <v>800000</v>
      </c>
      <c r="L103" s="8">
        <f t="shared" si="2"/>
        <v>800000</v>
      </c>
      <c r="M103" s="8">
        <f t="shared" si="2"/>
        <v>800000</v>
      </c>
      <c r="N103" s="8">
        <f t="shared" si="2"/>
        <v>800000</v>
      </c>
      <c r="O103" s="8">
        <f t="shared" si="2"/>
        <v>800000</v>
      </c>
      <c r="P103" s="8">
        <f t="shared" si="2"/>
        <v>800000</v>
      </c>
      <c r="Q103" s="8">
        <f t="shared" si="2"/>
        <v>800000</v>
      </c>
      <c r="R103" s="8">
        <f t="shared" si="2"/>
        <v>800000</v>
      </c>
      <c r="S103" s="8">
        <f t="shared" si="2"/>
        <v>800000</v>
      </c>
      <c r="T103" s="8">
        <f t="shared" si="2"/>
        <v>800000</v>
      </c>
      <c r="U103" s="8">
        <f t="shared" si="2"/>
        <v>800000</v>
      </c>
      <c r="V103" s="8">
        <f t="shared" si="2"/>
        <v>800000</v>
      </c>
      <c r="W103" s="8">
        <f t="shared" si="2"/>
        <v>800000</v>
      </c>
      <c r="X103" s="8">
        <f t="shared" si="2"/>
        <v>800000</v>
      </c>
      <c r="Y103" s="8">
        <f t="shared" si="2"/>
        <v>800000</v>
      </c>
      <c r="Z103" s="8">
        <f t="shared" si="2"/>
        <v>800000</v>
      </c>
      <c r="AA103" s="8">
        <f t="shared" si="2"/>
        <v>800000</v>
      </c>
      <c r="AB103" s="8">
        <f t="shared" si="2"/>
        <v>800000</v>
      </c>
      <c r="AC103" s="8">
        <f t="shared" si="2"/>
        <v>800000</v>
      </c>
      <c r="AD103" s="8">
        <f t="shared" si="2"/>
        <v>800000</v>
      </c>
      <c r="AE103" s="8">
        <f t="shared" si="2"/>
        <v>800000</v>
      </c>
      <c r="AF103" s="8">
        <f t="shared" si="2"/>
        <v>800000</v>
      </c>
      <c r="AG103" s="8">
        <f t="shared" si="2"/>
        <v>800000</v>
      </c>
      <c r="AH103" s="8">
        <f t="shared" si="2"/>
        <v>800000</v>
      </c>
      <c r="AI103" s="8">
        <f t="shared" si="2"/>
        <v>800000</v>
      </c>
      <c r="AJ103" s="8">
        <f t="shared" si="2"/>
        <v>800000</v>
      </c>
    </row>
    <row r="104" spans="1:36" x14ac:dyDescent="0.2">
      <c r="A104" s="22"/>
      <c r="AJ104" s="29"/>
    </row>
    <row r="105" spans="1:36" x14ac:dyDescent="0.2">
      <c r="A105" s="116" t="s">
        <v>553</v>
      </c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117"/>
    </row>
    <row r="106" spans="1:36" x14ac:dyDescent="0.2">
      <c r="A106" s="108" t="s">
        <v>710</v>
      </c>
      <c r="B106" t="s">
        <v>537</v>
      </c>
      <c r="D106" s="45"/>
      <c r="E106" s="8"/>
      <c r="F106" s="8"/>
      <c r="AJ106" s="29"/>
    </row>
    <row r="107" spans="1:36" x14ac:dyDescent="0.2">
      <c r="A107" s="75" t="s">
        <v>979</v>
      </c>
      <c r="D107" s="45">
        <f>(SUM(PSI_EtOH!$V$6:$V$111)/88)*(PSI_EtOH!$AC$6/(PSI_EtOH!$AF$6*D99))*D96</f>
        <v>-1.9165382286061781</v>
      </c>
      <c r="E107" s="45">
        <f>(SUM(PSI_EtOH!$V$6:$V$111)/88)*(PSI_EtOH!$AC$6/(PSI_EtOH!$AF$6*E99))*E96</f>
        <v>-1.8810097170701572</v>
      </c>
      <c r="F107" s="45">
        <f>(SUM(PSI_EtOH!$V$6:$V$111)/88)*(PSI_EtOH!$AC$6/(PSI_EtOH!$AF$6*F99))*F96</f>
        <v>-1.8461398279989136</v>
      </c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  <c r="AG107" s="45"/>
      <c r="AH107" s="45"/>
      <c r="AI107" s="45"/>
      <c r="AJ107" s="45"/>
    </row>
    <row r="108" spans="1:36" x14ac:dyDescent="0.2">
      <c r="A108" s="75" t="s">
        <v>980</v>
      </c>
      <c r="D108" s="45">
        <f>(SUM(PSI_EtOH!$W$6:$W$111)/88)*(PSI_EtOH!$AC$7/(PSI_EtOH!$AF$7*D99))*D96</f>
        <v>-23.539370657580999</v>
      </c>
      <c r="E108" s="45">
        <f>(SUM(PSI_EtOH!$W$6:$W$111)/88)*(PSI_EtOH!$AC$7/(PSI_EtOH!$AF$7*E99))*E96</f>
        <v>-23.103001171454572</v>
      </c>
      <c r="F108" s="45">
        <f>(SUM(PSI_EtOH!$W$6:$W$111)/88)*(PSI_EtOH!$AC$7/(PSI_EtOH!$AF$7*F99))*F96</f>
        <v>-22.674721040442687</v>
      </c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  <c r="AG108" s="45"/>
      <c r="AH108" s="45"/>
      <c r="AI108" s="45"/>
      <c r="AJ108" s="45"/>
    </row>
    <row r="109" spans="1:36" x14ac:dyDescent="0.2">
      <c r="A109" s="75" t="s">
        <v>507</v>
      </c>
      <c r="D109" s="45" cm="1">
        <f t="array" ref="D109">SUM((PSI_EtOH!$X$6:$X$111)/88)*(PSI_EtOH!$AC$8/(PSI_EtOH!$AF$8*D99))*D96</f>
        <v>-45.556437261770277</v>
      </c>
      <c r="E109" s="45" cm="1">
        <f t="array" ref="E109">SUM((PSI_EtOH!$X$6:$X$111)/88)*(PSI_EtOH!$AC$8/(PSI_EtOH!$AF$8*E99))*E96</f>
        <v>-44.711918544305441</v>
      </c>
      <c r="F109" s="45" cm="1">
        <f t="array" ref="F109">SUM((PSI_EtOH!$X$6:$X$111)/88)*(PSI_EtOH!$AC$8/(PSI_EtOH!$AF$8*F99))*F96</f>
        <v>-43.883055394023131</v>
      </c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  <c r="AG109" s="45"/>
      <c r="AH109" s="45"/>
      <c r="AI109" s="45"/>
      <c r="AJ109" s="45"/>
    </row>
    <row r="110" spans="1:36" x14ac:dyDescent="0.2">
      <c r="A110" s="75" t="s">
        <v>981</v>
      </c>
      <c r="D110" s="45">
        <f>(SUM(PSI_EtOH!$Y$6:$Y$116)/88)*(PSI_EtOH!$AC$9/(PSI_EtOH!$AF$9*D99))*D96</f>
        <v>-181.98520016628851</v>
      </c>
      <c r="E110" s="45">
        <f>(SUM(PSI_EtOH!$Y$6:$Y$116)/88)*(PSI_EtOH!$AC$9/(PSI_EtOH!$AF$9*E99))*E96</f>
        <v>-178.61158455717265</v>
      </c>
      <c r="F110" s="45">
        <f>(SUM(PSI_EtOH!$Y$6:$Y$116)/88)*(PSI_EtOH!$AC$9/(PSI_EtOH!$AF$9*F99))*F96</f>
        <v>-175.3005085516491</v>
      </c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  <c r="AG110" s="45"/>
      <c r="AH110" s="45"/>
      <c r="AI110" s="45"/>
      <c r="AJ110" s="45"/>
    </row>
    <row r="111" spans="1:36" x14ac:dyDescent="0.2">
      <c r="A111" s="75" t="s">
        <v>663</v>
      </c>
      <c r="D111" s="45" cm="1">
        <f t="array" ref="D111">SUM((PSI_EtOH!$Z$6:$Z$111)/88)*(PSI_EtOH!$AC$10/(PSI_EtOH!$AF$10*D99))*D96</f>
        <v>-0.26742198731395972</v>
      </c>
      <c r="E111" s="45" cm="1">
        <f t="array" ref="E111">SUM((PSI_EtOH!$Z$6:$Z$111)/88)*(PSI_EtOH!$AC$10/(PSI_EtOH!$AF$10*E99))*E96</f>
        <v>-0.26246455676576796</v>
      </c>
      <c r="F111" s="45" cm="1">
        <f t="array" ref="F111">SUM((PSI_EtOH!$Z$6:$Z$111)/88)*(PSI_EtOH!$AC$10/(PSI_EtOH!$AF$10*F99))*F96</f>
        <v>-0.25759902635595661</v>
      </c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  <c r="AG111" s="45"/>
      <c r="AH111" s="45"/>
      <c r="AI111" s="45"/>
      <c r="AJ111" s="45"/>
    </row>
    <row r="112" spans="1:36" x14ac:dyDescent="0.2">
      <c r="A112" s="75" t="s">
        <v>982</v>
      </c>
      <c r="D112" s="45" cm="1">
        <f t="array" ref="D112">SUM((PSI_EtOH!$AA$6:$AA$111)/88)*(PSI_EtOH!$AC$11/(PSI_EtOH!$AF$11*D99))*D96</f>
        <v>-7.7947062666178537</v>
      </c>
      <c r="E112" s="45" cm="1">
        <f t="array" ref="E112">SUM((PSI_EtOH!$AA$6:$AA$111)/88)*(PSI_EtOH!$AC$11/(PSI_EtOH!$AF$11*E99))*E96</f>
        <v>-7.6502091168193704</v>
      </c>
      <c r="F112" s="45" cm="1">
        <f t="array" ref="F112">SUM((PSI_EtOH!$AA$6:$AA$111)/88)*(PSI_EtOH!$AC$11/(PSI_EtOH!$AF$11*F99))*F96</f>
        <v>-7.508390634514658</v>
      </c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  <c r="AG112" s="45"/>
      <c r="AH112" s="45"/>
      <c r="AI112" s="45"/>
      <c r="AJ112" s="45"/>
    </row>
    <row r="113" spans="1:36" x14ac:dyDescent="0.2">
      <c r="A113" s="108"/>
      <c r="D113" s="8"/>
      <c r="E113" s="8"/>
      <c r="F113" s="8"/>
      <c r="AJ113" s="29"/>
    </row>
    <row r="114" spans="1:36" x14ac:dyDescent="0.2">
      <c r="A114" s="108"/>
      <c r="D114" s="8"/>
      <c r="E114" s="8"/>
      <c r="F114" s="8"/>
      <c r="AJ114" s="29"/>
    </row>
    <row r="115" spans="1:36" x14ac:dyDescent="0.2">
      <c r="A115" s="108" t="s">
        <v>711</v>
      </c>
      <c r="B115" t="s">
        <v>537</v>
      </c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115"/>
    </row>
    <row r="116" spans="1:36" x14ac:dyDescent="0.2">
      <c r="A116" s="75" t="s">
        <v>580</v>
      </c>
      <c r="D116" s="8"/>
      <c r="G116" s="8" cm="1">
        <f t="array" ref="G116">SUM((PSI_EtOH!$AH$6:$AH$111)/88)*(PSI_EtOH!$AN$6/(PSI_EtOH!$AP$6*G99))*G96</f>
        <v>-19857.258734695748</v>
      </c>
      <c r="H116" s="8" cm="1">
        <f t="array" ref="H116">SUM((PSI_EtOH!$AH$6:$AH$111)/88)*(PSI_EtOH!$AN$6/(PSI_EtOH!$AP$6*H99))*H96</f>
        <v>-19489.147712698301</v>
      </c>
      <c r="I116" s="8" cm="1">
        <f t="array" ref="I116">SUM((PSI_EtOH!$AH$6:$AH$111)/88)*(PSI_EtOH!$AN$6/(PSI_EtOH!$AP$6*I99))*I96</f>
        <v>-19127.86068017123</v>
      </c>
      <c r="J116" s="8" cm="1">
        <f t="array" ref="J116">SUM((PSI_EtOH!$AH$6:$AH$111)/88)*(PSI_EtOH!$AN$6/(PSI_EtOH!$AP$6*J99))*J96</f>
        <v>-18773.271134973838</v>
      </c>
      <c r="K116" s="8" cm="1">
        <f t="array" ref="K116">SUM((PSI_EtOH!$AH$6:$AH$111)/88)*(PSI_EtOH!$AN$6/(PSI_EtOH!$AP$6*K99))*K96</f>
        <v>-18425.254920044055</v>
      </c>
      <c r="L116" s="8" cm="1">
        <f t="array" ref="L116">SUM((PSI_EtOH!$AH$6:$AH$111)/88)*(PSI_EtOH!$AN$6/(PSI_EtOH!$AP$6*L99))*L96</f>
        <v>-18083.690179925612</v>
      </c>
      <c r="M116" s="8" cm="1">
        <f t="array" ref="M116">SUM((PSI_EtOH!$AH$6:$AH$111)/88)*(PSI_EtOH!$AN$6/(PSI_EtOH!$AP$6*M99))*M96</f>
        <v>-17748.457318101326</v>
      </c>
      <c r="N116" s="8" cm="1">
        <f t="array" ref="N116">SUM((PSI_EtOH!$AH$6:$AH$111)/88)*(PSI_EtOH!$AN$6/(PSI_EtOH!$AP$6*N99))*N96</f>
        <v>-17419.438955117072</v>
      </c>
      <c r="O116" s="8" cm="1">
        <f t="array" ref="O116">SUM((PSI_EtOH!$AH$6:$AH$111)/88)*(PSI_EtOH!$AN$6/(PSI_EtOH!$AP$6*O99))*O96</f>
        <v>-17096.519887482304</v>
      </c>
      <c r="P116" s="8" cm="1">
        <f t="array" ref="P116">SUM((PSI_EtOH!$AH$6:$AH$111)/88)*(PSI_EtOH!$AN$6/(PSI_EtOH!$AP$6*P99))*P96</f>
        <v>-16779.58704733229</v>
      </c>
      <c r="Q116" s="8" cm="1">
        <f t="array" ref="Q116">SUM((PSI_EtOH!$AH$6:$AH$111)/88)*(PSI_EtOH!$AN$6/(PSI_EtOH!$AP$6*Q99))*Q96</f>
        <v>-16468.529462838207</v>
      </c>
      <c r="R116" s="8" cm="1">
        <f t="array" ref="R116">SUM((PSI_EtOH!$AH$6:$AH$111)/88)*(PSI_EtOH!$AN$6/(PSI_EtOH!$AP$6*R99))*R96</f>
        <v>-16163.238219351104</v>
      </c>
      <c r="S116" s="8" cm="1">
        <f t="array" ref="S116">SUM((PSI_EtOH!$AH$6:$AH$111)/88)*(PSI_EtOH!$AN$6/(PSI_EtOH!$AP$6*S99))*S96</f>
        <v>-15863.606421266224</v>
      </c>
      <c r="T116" s="8" cm="1">
        <f t="array" ref="T116">SUM((PSI_EtOH!$AH$6:$AH$111)/88)*(PSI_EtOH!$AN$6/(PSI_EtOH!$AP$6*T99))*T96</f>
        <v>-15569.529154594253</v>
      </c>
      <c r="U116" s="8" cm="1">
        <f t="array" ref="U116">SUM((PSI_EtOH!$AH$6:$AH$111)/88)*(PSI_EtOH!$AN$6/(PSI_EtOH!$AP$6*U99))*U96</f>
        <v>-15280.903450226384</v>
      </c>
      <c r="V116" s="8" cm="1">
        <f t="array" ref="V116">SUM((PSI_EtOH!$AH$6:$AH$111)/88)*(PSI_EtOH!$AN$6/(PSI_EtOH!$AP$6*V99))*V96</f>
        <v>-14997.628247880408</v>
      </c>
      <c r="W116" s="8" cm="1">
        <f t="array" ref="W116">SUM((PSI_EtOH!$AH$6:$AH$111)/88)*(PSI_EtOH!$AN$6/(PSI_EtOH!$AP$6*W99))*W96</f>
        <v>-14719.604360715222</v>
      </c>
      <c r="X116" s="8" cm="1">
        <f t="array" ref="X116">SUM((PSI_EtOH!$AH$6:$AH$111)/88)*(PSI_EtOH!$AN$6/(PSI_EtOH!$AP$6*X99))*X96</f>
        <v>-14446.734440601147</v>
      </c>
      <c r="Y116" s="8" cm="1">
        <f t="array" ref="Y116">SUM((PSI_EtOH!$AH$6:$AH$111)/88)*(PSI_EtOH!$AN$6/(PSI_EtOH!$AP$6*Y99))*Y96</f>
        <v>-14178.922944034231</v>
      </c>
      <c r="Z116" s="8" cm="1">
        <f t="array" ref="Z116">SUM((PSI_EtOH!$AH$6:$AH$111)/88)*(PSI_EtOH!$AN$6/(PSI_EtOH!$AP$6*Z99))*Z96</f>
        <v>-13916.076098682319</v>
      </c>
      <c r="AA116" s="8" cm="1">
        <f t="array" ref="AA116">SUM((PSI_EtOH!$AH$6:$AH$111)/88)*(PSI_EtOH!$AN$6/(PSI_EtOH!$AP$6*AA99))*AA96</f>
        <v>-13658.101870551352</v>
      </c>
      <c r="AB116" s="8" cm="1">
        <f t="array" ref="AB116">SUM((PSI_EtOH!$AH$6:$AH$111)/88)*(PSI_EtOH!$AN$6/(PSI_EtOH!$AP$6*AB99))*AB96</f>
        <v>-13404.909931760261</v>
      </c>
      <c r="AC116" s="8" cm="1">
        <f t="array" ref="AC116">SUM((PSI_EtOH!$AH$6:$AH$111)/88)*(PSI_EtOH!$AN$6/(PSI_EtOH!$AP$6*AC99))*AC96</f>
        <v>-13156.411628913344</v>
      </c>
      <c r="AD116" s="8" cm="1">
        <f t="array" ref="AD116">SUM((PSI_EtOH!$AH$6:$AH$111)/88)*(PSI_EtOH!$AN$6/(PSI_EtOH!$AP$6*AD99))*AD96</f>
        <v>-12912.519952058856</v>
      </c>
      <c r="AE116" s="8" cm="1">
        <f t="array" ref="AE116">SUM((PSI_EtOH!$AH$6:$AH$111)/88)*(PSI_EtOH!$AN$6/(PSI_EtOH!$AP$6*AE99))*AE96</f>
        <v>-12673.149504223091</v>
      </c>
      <c r="AF116" s="8" cm="1">
        <f t="array" ref="AF116">SUM((PSI_EtOH!$AH$6:$AH$111)/88)*(PSI_EtOH!$AN$6/(PSI_EtOH!$AP$6*AF99))*AF96</f>
        <v>-12438.216471509222</v>
      </c>
      <c r="AG116" s="8" cm="1">
        <f t="array" ref="AG116">SUM((PSI_EtOH!$AH$6:$AH$111)/88)*(PSI_EtOH!$AN$6/(PSI_EtOH!$AP$6*AG99))*AG96</f>
        <v>-12207.638593750469</v>
      </c>
      <c r="AH116" s="8" cm="1">
        <f t="array" ref="AH116">SUM((PSI_EtOH!$AH$6:$AH$111)/88)*(PSI_EtOH!$AN$6/(PSI_EtOH!$AP$6*AH99))*AH96</f>
        <v>-11981.335135707232</v>
      </c>
      <c r="AI116" s="8" cm="1">
        <f t="array" ref="AI116">SUM((PSI_EtOH!$AH$6:$AH$111)/88)*(PSI_EtOH!$AN$6/(PSI_EtOH!$AP$6*AI99))*AI96</f>
        <v>-11759.226858798251</v>
      </c>
      <c r="AJ116" s="8" cm="1">
        <f t="array" ref="AJ116">SUM((PSI_EtOH!$AH$6:$AH$111)/88)*(PSI_EtOH!$AN$6/(PSI_EtOH!$AP$6*AJ99))*AJ96</f>
        <v>-11541.235993355745</v>
      </c>
    </row>
    <row r="117" spans="1:36" x14ac:dyDescent="0.2">
      <c r="A117" s="75" t="s">
        <v>994</v>
      </c>
      <c r="D117" s="8"/>
      <c r="G117" s="8" cm="1">
        <f t="array" ref="G117">SUM((PSI_EtOH!$AI$6:$AI$111)/88)*(PSI_EtOH!$AN$7/(PSI_EtOH!$AP$7*G99))*G96</f>
        <v>-0.43157278847273101</v>
      </c>
      <c r="H117" s="8" cm="1">
        <f t="array" ref="H117">SUM((PSI_EtOH!$AI$6:$AI$111)/88)*(PSI_EtOH!$AN$7/(PSI_EtOH!$AP$7*H99))*H96</f>
        <v>-0.42357235385315262</v>
      </c>
      <c r="I117" s="8" cm="1">
        <f t="array" ref="I117">SUM((PSI_EtOH!$AI$6:$AI$111)/88)*(PSI_EtOH!$AN$7/(PSI_EtOH!$AP$7*I99))*I96</f>
        <v>-0.41572023014615217</v>
      </c>
      <c r="J117" s="8" cm="1">
        <f t="array" ref="J117">SUM((PSI_EtOH!$AI$6:$AI$111)/88)*(PSI_EtOH!$AN$7/(PSI_EtOH!$AP$7*J99))*J96</f>
        <v>-0.40801366798524685</v>
      </c>
      <c r="K117" s="8" cm="1">
        <f t="array" ref="K117">SUM((PSI_EtOH!$AI$6:$AI$111)/88)*(PSI_EtOH!$AN$7/(PSI_EtOH!$AP$7*K99))*K96</f>
        <v>-0.40044996897131668</v>
      </c>
      <c r="L117" s="8" cm="1">
        <f t="array" ref="L117">SUM((PSI_EtOH!$AI$6:$AI$111)/88)*(PSI_EtOH!$AN$7/(PSI_EtOH!$AP$7*L99))*L96</f>
        <v>-0.39302648472777829</v>
      </c>
      <c r="M117" s="8" cm="1">
        <f t="array" ref="M117">SUM((PSI_EtOH!$AI$6:$AI$111)/88)*(PSI_EtOH!$AN$7/(PSI_EtOH!$AP$7*M99))*M96</f>
        <v>-0.3857406159732753</v>
      </c>
      <c r="N117" s="8" cm="1">
        <f t="array" ref="N117">SUM((PSI_EtOH!$AI$6:$AI$111)/88)*(PSI_EtOH!$AN$7/(PSI_EtOH!$AP$7*N99))*N96</f>
        <v>-0.37858981161155614</v>
      </c>
      <c r="O117" s="8" cm="1">
        <f t="array" ref="O117">SUM((PSI_EtOH!$AI$6:$AI$111)/88)*(PSI_EtOH!$AN$7/(PSI_EtOH!$AP$7*O99))*O96</f>
        <v>-0.37157156783822765</v>
      </c>
      <c r="P117" s="8" cm="1">
        <f t="array" ref="P117">SUM((PSI_EtOH!$AI$6:$AI$111)/88)*(PSI_EtOH!$AN$7/(PSI_EtOH!$AP$7*P99))*P96</f>
        <v>-0.364683427264064</v>
      </c>
      <c r="Q117" s="8" cm="1">
        <f t="array" ref="Q117">SUM((PSI_EtOH!$AI$6:$AI$111)/88)*(PSI_EtOH!$AN$7/(PSI_EtOH!$AP$7*Q99))*Q96</f>
        <v>-0.35792297805456946</v>
      </c>
      <c r="R117" s="8" cm="1">
        <f t="array" ref="R117">SUM((PSI_EtOH!$AI$6:$AI$111)/88)*(PSI_EtOH!$AN$7/(PSI_EtOH!$AP$7*R99))*R96</f>
        <v>-0.35128785308549065</v>
      </c>
      <c r="S117" s="8" cm="1">
        <f t="array" ref="S117">SUM((PSI_EtOH!$AI$6:$AI$111)/88)*(PSI_EtOH!$AN$7/(PSI_EtOH!$AP$7*S99))*S96</f>
        <v>-0.34477572911398569</v>
      </c>
      <c r="T117" s="8" cm="1">
        <f t="array" ref="T117">SUM((PSI_EtOH!$AI$6:$AI$111)/88)*(PSI_EtOH!$AN$7/(PSI_EtOH!$AP$7*T99))*T96</f>
        <v>-0.33838432596515583</v>
      </c>
      <c r="U117" s="8" cm="1">
        <f t="array" ref="U117">SUM((PSI_EtOH!$AI$6:$AI$111)/88)*(PSI_EtOH!$AN$7/(PSI_EtOH!$AP$7*U99))*U96</f>
        <v>-0.3321114057336586</v>
      </c>
      <c r="V117" s="8" cm="1">
        <f t="array" ref="V117">SUM((PSI_EtOH!$AI$6:$AI$111)/88)*(PSI_EtOH!$AN$7/(PSI_EtOH!$AP$7*V99))*V96</f>
        <v>-0.32595477200012013</v>
      </c>
      <c r="W117" s="8" cm="1">
        <f t="array" ref="W117">SUM((PSI_EtOH!$AI$6:$AI$111)/88)*(PSI_EtOH!$AN$7/(PSI_EtOH!$AP$7*W99))*W96</f>
        <v>-0.3199122690620757</v>
      </c>
      <c r="X117" s="8" cm="1">
        <f t="array" ref="X117">SUM((PSI_EtOH!$AI$6:$AI$111)/88)*(PSI_EtOH!$AN$7/(PSI_EtOH!$AP$7*X99))*X96</f>
        <v>-0.31398178117916364</v>
      </c>
      <c r="Y117" s="8" cm="1">
        <f t="array" ref="Y117">SUM((PSI_EtOH!$AI$6:$AI$111)/88)*(PSI_EtOH!$AN$7/(PSI_EtOH!$AP$7*Y99))*Y96</f>
        <v>-0.30816123183231503</v>
      </c>
      <c r="Z117" s="8" cm="1">
        <f t="array" ref="Z117">SUM((PSI_EtOH!$AI$6:$AI$111)/88)*(PSI_EtOH!$AN$7/(PSI_EtOH!$AP$7*Z99))*Z96</f>
        <v>-0.30244858299667382</v>
      </c>
      <c r="AA117" s="8" cm="1">
        <f t="array" ref="AA117">SUM((PSI_EtOH!$AI$6:$AI$111)/88)*(PSI_EtOH!$AN$7/(PSI_EtOH!$AP$7*AA99))*AA96</f>
        <v>-0.296841834427998</v>
      </c>
      <c r="AB117" s="8" cm="1">
        <f t="array" ref="AB117">SUM((PSI_EtOH!$AI$6:$AI$111)/88)*(PSI_EtOH!$AN$7/(PSI_EtOH!$AP$7*AB99))*AB96</f>
        <v>-0.2913390229622862</v>
      </c>
      <c r="AC117" s="8" cm="1">
        <f t="array" ref="AC117">SUM((PSI_EtOH!$AI$6:$AI$111)/88)*(PSI_EtOH!$AN$7/(PSI_EtOH!$AP$7*AC99))*AC96</f>
        <v>-0.28593822182839151</v>
      </c>
      <c r="AD117" s="8" cm="1">
        <f t="array" ref="AD117">SUM((PSI_EtOH!$AI$6:$AI$111)/88)*(PSI_EtOH!$AN$7/(PSI_EtOH!$AP$7*AD99))*AD96</f>
        <v>-0.28063753997337443</v>
      </c>
      <c r="AE117" s="8" cm="1">
        <f t="array" ref="AE117">SUM((PSI_EtOH!$AI$6:$AI$111)/88)*(PSI_EtOH!$AN$7/(PSI_EtOH!$AP$7*AE99))*AE96</f>
        <v>-0.2754351214003643</v>
      </c>
      <c r="AF117" s="8" cm="1">
        <f t="array" ref="AF117">SUM((PSI_EtOH!$AI$6:$AI$111)/88)*(PSI_EtOH!$AN$7/(PSI_EtOH!$AP$7*AF99))*AF96</f>
        <v>-0.27032914451869516</v>
      </c>
      <c r="AG117" s="8" cm="1">
        <f t="array" ref="AG117">SUM((PSI_EtOH!$AI$6:$AI$111)/88)*(PSI_EtOH!$AN$7/(PSI_EtOH!$AP$7*AG99))*AG96</f>
        <v>-0.26531782150608835</v>
      </c>
      <c r="AH117" s="8" cm="1">
        <f t="array" ref="AH117">SUM((PSI_EtOH!$AI$6:$AI$111)/88)*(PSI_EtOH!$AN$7/(PSI_EtOH!$AP$7*AH99))*AH96</f>
        <v>-0.26039939768265824</v>
      </c>
      <c r="AI117" s="8" cm="1">
        <f t="array" ref="AI117">SUM((PSI_EtOH!$AI$6:$AI$111)/88)*(PSI_EtOH!$AN$7/(PSI_EtOH!$AP$7*AI99))*AI96</f>
        <v>-0.25557215089652469</v>
      </c>
      <c r="AJ117" s="8" cm="1">
        <f t="array" ref="AJ117">SUM((PSI_EtOH!$AI$6:$AI$111)/88)*(PSI_EtOH!$AN$7/(PSI_EtOH!$AP$7*AJ99))*AJ96</f>
        <v>-0.25083439092081239</v>
      </c>
    </row>
    <row r="118" spans="1:36" x14ac:dyDescent="0.2">
      <c r="A118" s="75" t="s">
        <v>995</v>
      </c>
      <c r="D118" s="8"/>
      <c r="G118" s="8" cm="1">
        <f t="array" ref="G118">SUM((PSI_EtOH!$AJ$6:$AJ$111)/88)*(PSI_EtOH!$AN$8/(PSI_EtOH!$AP$8*G99))*G96</f>
        <v>-1.9254923221018472</v>
      </c>
      <c r="H118" s="8" cm="1">
        <f t="array" ref="H118">SUM((PSI_EtOH!$AJ$6:$AJ$111)/88)*(PSI_EtOH!$AN$8/(PSI_EtOH!$AP$8*H99))*H96</f>
        <v>-1.8897978208614168</v>
      </c>
      <c r="I118" s="8" cm="1">
        <f t="array" ref="I118">SUM((PSI_EtOH!$AJ$6:$AJ$111)/88)*(PSI_EtOH!$AN$8/(PSI_EtOH!$AP$8*I99))*I96</f>
        <v>-1.8547650191791611</v>
      </c>
      <c r="J118" s="8" cm="1">
        <f t="array" ref="J118">SUM((PSI_EtOH!$AJ$6:$AJ$111)/88)*(PSI_EtOH!$AN$8/(PSI_EtOH!$AP$8*J99))*J96</f>
        <v>-1.820381650563321</v>
      </c>
      <c r="K118" s="8" cm="1">
        <f t="array" ref="K118">SUM((PSI_EtOH!$AJ$6:$AJ$111)/88)*(PSI_EtOH!$AN$8/(PSI_EtOH!$AP$8*K99))*K96</f>
        <v>-1.7866356759166084</v>
      </c>
      <c r="L118" s="8" cm="1">
        <f t="array" ref="L118">SUM((PSI_EtOH!$AJ$6:$AJ$111)/88)*(PSI_EtOH!$AN$8/(PSI_EtOH!$AP$8*L99))*L96</f>
        <v>-1.7535152793207966</v>
      </c>
      <c r="M118" s="8" cm="1">
        <f t="array" ref="M118">SUM((PSI_EtOH!$AJ$6:$AJ$111)/88)*(PSI_EtOH!$AN$8/(PSI_EtOH!$AP$8*M99))*M96</f>
        <v>-1.7210088638994643</v>
      </c>
      <c r="N118" s="8" cm="1">
        <f t="array" ref="N118">SUM((PSI_EtOH!$AJ$6:$AJ$111)/88)*(PSI_EtOH!$AN$8/(PSI_EtOH!$AP$8*N99))*N96</f>
        <v>-1.6891050477574221</v>
      </c>
      <c r="O118" s="8" cm="1">
        <f t="array" ref="O118">SUM((PSI_EtOH!$AJ$6:$AJ$111)/88)*(PSI_EtOH!$AN$8/(PSI_EtOH!$AP$8*O99))*O96</f>
        <v>-1.6577926599954282</v>
      </c>
      <c r="P118" s="8" cm="1">
        <f t="array" ref="P118">SUM((PSI_EtOH!$AJ$6:$AJ$111)/88)*(PSI_EtOH!$AN$8/(PSI_EtOH!$AP$8*P99))*P96</f>
        <v>-1.6270607367987728</v>
      </c>
      <c r="Q118" s="8" cm="1">
        <f t="array" ref="Q118">SUM((PSI_EtOH!$AJ$6:$AJ$111)/88)*(PSI_EtOH!$AN$8/(PSI_EtOH!$AP$8*Q99))*Q96</f>
        <v>-1.5968985175983756</v>
      </c>
      <c r="R118" s="8" cm="1">
        <f t="array" ref="R118">SUM((PSI_EtOH!$AJ$6:$AJ$111)/88)*(PSI_EtOH!$AN$8/(PSI_EtOH!$AP$8*R99))*R96</f>
        <v>-1.5672954413030435</v>
      </c>
      <c r="S118" s="8" cm="1">
        <f t="array" ref="S118">SUM((PSI_EtOH!$AJ$6:$AJ$111)/88)*(PSI_EtOH!$AN$8/(PSI_EtOH!$AP$8*S99))*S96</f>
        <v>-1.5382411426015845</v>
      </c>
      <c r="T118" s="8" cm="1">
        <f t="array" ref="T118">SUM((PSI_EtOH!$AJ$6:$AJ$111)/88)*(PSI_EtOH!$AN$8/(PSI_EtOH!$AP$8*T99))*T96</f>
        <v>-1.5097254483334621</v>
      </c>
      <c r="U118" s="8" cm="1">
        <f t="array" ref="U118">SUM((PSI_EtOH!$AJ$6:$AJ$111)/88)*(PSI_EtOH!$AN$8/(PSI_EtOH!$AP$8*U99))*U96</f>
        <v>-1.4817383739267345</v>
      </c>
      <c r="V118" s="8" cm="1">
        <f t="array" ref="V118">SUM((PSI_EtOH!$AJ$6:$AJ$111)/88)*(PSI_EtOH!$AN$8/(PSI_EtOH!$AP$8*V99))*V96</f>
        <v>-1.4542701199020245</v>
      </c>
      <c r="W118" s="8" cm="1">
        <f t="array" ref="W118">SUM((PSI_EtOH!$AJ$6:$AJ$111)/88)*(PSI_EtOH!$AN$8/(PSI_EtOH!$AP$8*W99))*W96</f>
        <v>-1.4273110684413051</v>
      </c>
      <c r="X118" s="8" cm="1">
        <f t="array" ref="X118">SUM((PSI_EtOH!$AJ$6:$AJ$111)/88)*(PSI_EtOH!$AN$8/(PSI_EtOH!$AP$8*X99))*X96</f>
        <v>-1.4008517800202822</v>
      </c>
      <c r="Y118" s="8" cm="1">
        <f t="array" ref="Y118">SUM((PSI_EtOH!$AJ$6:$AJ$111)/88)*(PSI_EtOH!$AN$8/(PSI_EtOH!$AP$8*Y99))*Y96</f>
        <v>-1.3748829901032131</v>
      </c>
      <c r="Z118" s="8" cm="1">
        <f t="array" ref="Z118">SUM((PSI_EtOH!$AJ$6:$AJ$111)/88)*(PSI_EtOH!$AN$8/(PSI_EtOH!$AP$8*Z99))*Z96</f>
        <v>-1.3493956058989927</v>
      </c>
      <c r="AA118" s="8" cm="1">
        <f t="array" ref="AA118">SUM((PSI_EtOH!$AJ$6:$AJ$111)/88)*(PSI_EtOH!$AN$8/(PSI_EtOH!$AP$8*AA99))*AA96</f>
        <v>-1.3243807031773789</v>
      </c>
      <c r="AB118" s="8" cm="1">
        <f t="array" ref="AB118">SUM((PSI_EtOH!$AJ$6:$AJ$111)/88)*(PSI_EtOH!$AN$8/(PSI_EtOH!$AP$8*AB99))*AB96</f>
        <v>-1.2998295231442303</v>
      </c>
      <c r="AC118" s="8" cm="1">
        <f t="array" ref="AC118">SUM((PSI_EtOH!$AJ$6:$AJ$111)/88)*(PSI_EtOH!$AN$8/(PSI_EtOH!$AP$8*AC99))*AC96</f>
        <v>-1.2757334693746814</v>
      </c>
      <c r="AD118" s="8" cm="1">
        <f t="array" ref="AD118">SUM((PSI_EtOH!$AJ$6:$AJ$111)/88)*(PSI_EtOH!$AN$8/(PSI_EtOH!$AP$8*AD99))*AD96</f>
        <v>-1.2520841048031592</v>
      </c>
      <c r="AE118" s="8" cm="1">
        <f t="array" ref="AE118">SUM((PSI_EtOH!$AJ$6:$AJ$111)/88)*(PSI_EtOH!$AN$8/(PSI_EtOH!$AP$8*AE99))*AE96</f>
        <v>-1.2288731487692064</v>
      </c>
      <c r="AF118" s="8" cm="1">
        <f t="array" ref="AF118">SUM((PSI_EtOH!$AJ$6:$AJ$111)/88)*(PSI_EtOH!$AN$8/(PSI_EtOH!$AP$8*AF99))*AF96</f>
        <v>-1.2060924741180643</v>
      </c>
      <c r="AG118" s="8" cm="1">
        <f t="array" ref="AG118">SUM((PSI_EtOH!$AJ$6:$AJ$111)/88)*(PSI_EtOH!$AN$8/(PSI_EtOH!$AP$8*AG99))*AG96</f>
        <v>-1.1837341043550076</v>
      </c>
      <c r="AH118" s="8" cm="1">
        <f t="array" ref="AH118">SUM((PSI_EtOH!$AJ$6:$AJ$111)/88)*(PSI_EtOH!$AN$8/(PSI_EtOH!$AP$8*AH99))*AH96</f>
        <v>-1.1617902108524267</v>
      </c>
      <c r="AI118" s="8" cm="1">
        <f t="array" ref="AI118">SUM((PSI_EtOH!$AJ$6:$AJ$111)/88)*(PSI_EtOH!$AN$8/(PSI_EtOH!$AP$8*AI99))*AI96</f>
        <v>-1.1402531101086939</v>
      </c>
      <c r="AJ118" s="8" cm="1">
        <f t="array" ref="AJ118">SUM((PSI_EtOH!$AJ$6:$AJ$111)/88)*(PSI_EtOH!$AN$8/(PSI_EtOH!$AP$8*AJ99))*AJ96</f>
        <v>-1.1191152610578332</v>
      </c>
    </row>
    <row r="119" spans="1:36" x14ac:dyDescent="0.2">
      <c r="A119" s="75" t="s">
        <v>991</v>
      </c>
      <c r="D119" s="8"/>
      <c r="G119" s="8">
        <f>(SUM(PSI_EtOH!$AK$6:$AK$111)/88)*(PSI_EtOH!$AN$9/(PSI_EtOH!$AP$9*G99))*G96</f>
        <v>-1.8378516578048008</v>
      </c>
      <c r="H119" s="8">
        <f>(SUM(PSI_EtOH!$AK$6:$AK$111)/88)*(PSI_EtOH!$AN$9/(PSI_EtOH!$AP$9*H99))*H96</f>
        <v>-1.8037818266627939</v>
      </c>
      <c r="I119" s="8">
        <f>(SUM(PSI_EtOH!$AK$6:$AK$111)/88)*(PSI_EtOH!$AN$9/(PSI_EtOH!$AP$9*I99))*I96</f>
        <v>-1.7703435771770739</v>
      </c>
      <c r="J119" s="8">
        <f>(SUM(PSI_EtOH!$AK$6:$AK$111)/88)*(PSI_EtOH!$AN$9/(PSI_EtOH!$AP$9*J99))*J96</f>
        <v>-1.737525201177238</v>
      </c>
      <c r="K119" s="8">
        <f>(SUM(PSI_EtOH!$AK$6:$AK$111)/88)*(PSI_EtOH!$AN$9/(PSI_EtOH!$AP$9*K99))*K96</f>
        <v>-1.7053152075372744</v>
      </c>
      <c r="L119" s="8">
        <f>(SUM(PSI_EtOH!$AK$6:$AK$111)/88)*(PSI_EtOH!$AN$9/(PSI_EtOH!$AP$9*L99))*L96</f>
        <v>-1.6737023181520188</v>
      </c>
      <c r="M119" s="8">
        <f>(SUM(PSI_EtOH!$AK$6:$AK$111)/88)*(PSI_EtOH!$AN$9/(PSI_EtOH!$AP$9*M99))*M96</f>
        <v>-1.64267546398821</v>
      </c>
      <c r="N119" s="8">
        <f>(SUM(PSI_EtOH!$AK$6:$AK$111)/88)*(PSI_EtOH!$AN$9/(PSI_EtOH!$AP$9*N99))*N96</f>
        <v>-1.6122237812087392</v>
      </c>
      <c r="O119" s="8">
        <f>(SUM(PSI_EtOH!$AK$6:$AK$111)/88)*(PSI_EtOH!$AN$9/(PSI_EtOH!$AP$9*O99))*O96</f>
        <v>-1.5823366073687579</v>
      </c>
      <c r="P119" s="8">
        <f>(SUM(PSI_EtOH!$AK$6:$AK$111)/88)*(PSI_EtOH!$AN$9/(PSI_EtOH!$AP$9*P99))*P96</f>
        <v>-1.5530034776822947</v>
      </c>
      <c r="Q119" s="8">
        <f>(SUM(PSI_EtOH!$AK$6:$AK$111)/88)*(PSI_EtOH!$AN$9/(PSI_EtOH!$AP$9*Q99))*Q96</f>
        <v>-1.524214121358084</v>
      </c>
      <c r="R119" s="8">
        <f>(SUM(PSI_EtOH!$AK$6:$AK$111)/88)*(PSI_EtOH!$AN$9/(PSI_EtOH!$AP$9*R99))*R96</f>
        <v>-1.4959584580033169</v>
      </c>
      <c r="S119" s="8">
        <f>(SUM(PSI_EtOH!$AK$6:$AK$111)/88)*(PSI_EtOH!$AN$9/(PSI_EtOH!$AP$9*S99))*S96</f>
        <v>-1.4682265940940682</v>
      </c>
      <c r="T119" s="8">
        <f>(SUM(PSI_EtOH!$AK$6:$AK$111)/88)*(PSI_EtOH!$AN$9/(PSI_EtOH!$AP$9*T99))*T96</f>
        <v>-1.4410088195111417</v>
      </c>
      <c r="U119" s="8">
        <f>(SUM(PSI_EtOH!$AK$6:$AK$111)/88)*(PSI_EtOH!$AN$9/(PSI_EtOH!$AP$9*U99))*U96</f>
        <v>-1.4142956041401431</v>
      </c>
      <c r="V119" s="8">
        <f>(SUM(PSI_EtOH!$AK$6:$AK$111)/88)*(PSI_EtOH!$AN$9/(PSI_EtOH!$AP$9*V99))*V96</f>
        <v>-1.3880775945345734</v>
      </c>
      <c r="W119" s="8">
        <f>(SUM(PSI_EtOH!$AK$6:$AK$111)/88)*(PSI_EtOH!$AN$9/(PSI_EtOH!$AP$9*W99))*W96</f>
        <v>-1.3623456106407903</v>
      </c>
      <c r="X119" s="8">
        <f>(SUM(PSI_EtOH!$AK$6:$AK$111)/88)*(PSI_EtOH!$AN$9/(PSI_EtOH!$AP$9*X99))*X96</f>
        <v>-1.3370906425836702</v>
      </c>
      <c r="Y119" s="8">
        <f>(SUM(PSI_EtOH!$AK$6:$AK$111)/88)*(PSI_EtOH!$AN$9/(PSI_EtOH!$AP$9*Y99))*Y96</f>
        <v>-1.3123038475118665</v>
      </c>
      <c r="Z119" s="8">
        <f>(SUM(PSI_EtOH!$AK$6:$AK$111)/88)*(PSI_EtOH!$AN$9/(PSI_EtOH!$AP$9*Z99))*Z96</f>
        <v>-1.2879765465015451</v>
      </c>
      <c r="AA119" s="8">
        <f>(SUM(PSI_EtOH!$AK$6:$AK$111)/88)*(PSI_EtOH!$AN$9/(PSI_EtOH!$AP$9*AA99))*AA96</f>
        <v>-1.2641002215175228</v>
      </c>
      <c r="AB119" s="8">
        <f>(SUM(PSI_EtOH!$AK$6:$AK$111)/88)*(PSI_EtOH!$AN$9/(PSI_EtOH!$AP$9*AB99))*AB96</f>
        <v>-1.2406665124307306</v>
      </c>
      <c r="AC119" s="8">
        <f>(SUM(PSI_EtOH!$AK$6:$AK$111)/88)*(PSI_EtOH!$AN$9/(PSI_EtOH!$AP$9*AC99))*AC96</f>
        <v>-1.2176672140909803</v>
      </c>
      <c r="AD119" s="8">
        <f>(SUM(PSI_EtOH!$AK$6:$AK$111)/88)*(PSI_EtOH!$AN$9/(PSI_EtOH!$AP$9*AD99))*AD96</f>
        <v>-1.1950942734539813</v>
      </c>
      <c r="AE119" s="8">
        <f>(SUM(PSI_EtOH!$AK$6:$AK$111)/88)*(PSI_EtOH!$AN$9/(PSI_EtOH!$AP$9*AE99))*AE96</f>
        <v>-1.1729397867616276</v>
      </c>
      <c r="AF119" s="8">
        <f>(SUM(PSI_EtOH!$AK$6:$AK$111)/88)*(PSI_EtOH!$AN$9/(PSI_EtOH!$AP$9*AF99))*AF96</f>
        <v>-1.1511959967745498</v>
      </c>
      <c r="AG119" s="8">
        <f>(SUM(PSI_EtOH!$AK$6:$AK$111)/88)*(PSI_EtOH!$AN$9/(PSI_EtOH!$AP$9*AG99))*AG96</f>
        <v>-1.1298552900559733</v>
      </c>
      <c r="AH119" s="8">
        <f>(SUM(PSI_EtOH!$AK$6:$AK$111)/88)*(PSI_EtOH!$AN$9/(PSI_EtOH!$AP$9*AH99))*AH96</f>
        <v>-1.108910194305923</v>
      </c>
      <c r="AI119" s="8">
        <f>(SUM(PSI_EtOH!$AK$6:$AK$111)/88)*(PSI_EtOH!$AN$9/(PSI_EtOH!$AP$9*AI99))*AI96</f>
        <v>-1.088353375744854</v>
      </c>
      <c r="AJ119" s="8">
        <f>(SUM(PSI_EtOH!$AK$6:$AK$111)/88)*(PSI_EtOH!$AN$9/(PSI_EtOH!$AP$9*AJ99))*AJ96</f>
        <v>-1.0681776365457774</v>
      </c>
    </row>
    <row r="120" spans="1:36" x14ac:dyDescent="0.2">
      <c r="A120" s="75" t="s">
        <v>137</v>
      </c>
      <c r="D120" s="8"/>
      <c r="G120" s="8">
        <f>(SUM(PSI_EtOH!$AL$6:$AL$111)/88)*(PSI_EtOH!$AN$10/(PSI_EtOH!$AP$10*G99))*G96</f>
        <v>-3.8243844086160745E-4</v>
      </c>
      <c r="H120" s="8">
        <f>(SUM(PSI_EtOH!$AL$6:$AL$111)/88)*(PSI_EtOH!$AN$10/(PSI_EtOH!$AP$10*H99))*H96</f>
        <v>-3.7534885174975798E-4</v>
      </c>
      <c r="I120" s="8">
        <f>(SUM(PSI_EtOH!$AL$6:$AL$111)/88)*(PSI_EtOH!$AN$10/(PSI_EtOH!$AP$10*I99))*I96</f>
        <v>-3.6839068842675355E-4</v>
      </c>
      <c r="J120" s="8">
        <f>(SUM(PSI_EtOH!$AL$6:$AL$111)/88)*(PSI_EtOH!$AN$10/(PSI_EtOH!$AP$10*J99))*J96</f>
        <v>-3.615615145401197E-4</v>
      </c>
      <c r="K120" s="8">
        <f>(SUM(PSI_EtOH!$AL$6:$AL$111)/88)*(PSI_EtOH!$AN$10/(PSI_EtOH!$AP$10*K99))*K96</f>
        <v>-3.5485893890213626E-4</v>
      </c>
      <c r="L120" s="8">
        <f>(SUM(PSI_EtOH!$AL$6:$AL$111)/88)*(PSI_EtOH!$AN$10/(PSI_EtOH!$AP$10*L99))*L96</f>
        <v>-3.4828061465257831E-4</v>
      </c>
      <c r="M120" s="8">
        <f>(SUM(PSI_EtOH!$AL$6:$AL$111)/88)*(PSI_EtOH!$AN$10/(PSI_EtOH!$AP$10*M99))*M96</f>
        <v>-3.4182423843698073E-4</v>
      </c>
      <c r="N120" s="8">
        <f>(SUM(PSI_EtOH!$AL$6:$AL$111)/88)*(PSI_EtOH!$AN$10/(PSI_EtOH!$AP$10*N99))*N96</f>
        <v>-3.354875496001334E-4</v>
      </c>
      <c r="O120" s="8">
        <f>(SUM(PSI_EtOH!$AL$6:$AL$111)/88)*(PSI_EtOH!$AN$10/(PSI_EtOH!$AP$10*O99))*O96</f>
        <v>-3.2926832939452947E-4</v>
      </c>
      <c r="P120" s="8">
        <f>(SUM(PSI_EtOH!$AL$6:$AL$111)/88)*(PSI_EtOH!$AN$10/(PSI_EtOH!$AP$10*P99))*P96</f>
        <v>-3.2316440020348599E-4</v>
      </c>
      <c r="Q120" s="8">
        <f>(SUM(PSI_EtOH!$AL$6:$AL$111)/88)*(PSI_EtOH!$AN$10/(PSI_EtOH!$AP$10*Q99))*Q96</f>
        <v>-3.171736247786667E-4</v>
      </c>
      <c r="R120" s="8">
        <f>(SUM(PSI_EtOH!$AL$6:$AL$111)/88)*(PSI_EtOH!$AN$10/(PSI_EtOH!$AP$10*R99))*R96</f>
        <v>-3.1129390549173869E-4</v>
      </c>
      <c r="S120" s="8">
        <f>(SUM(PSI_EtOH!$AL$6:$AL$111)/88)*(PSI_EtOH!$AN$10/(PSI_EtOH!$AP$10*S99))*S96</f>
        <v>-3.0552318359990365E-4</v>
      </c>
      <c r="T120" s="8">
        <f>(SUM(PSI_EtOH!$AL$6:$AL$111)/88)*(PSI_EtOH!$AN$10/(PSI_EtOH!$AP$10*T99))*T96</f>
        <v>-2.998594385250427E-4</v>
      </c>
      <c r="U120" s="8">
        <f>(SUM(PSI_EtOH!$AL$6:$AL$111)/88)*(PSI_EtOH!$AN$10/(PSI_EtOH!$AP$10*U99))*U96</f>
        <v>-2.9430068714622495E-4</v>
      </c>
      <c r="V120" s="8">
        <f>(SUM(PSI_EtOH!$AL$6:$AL$111)/88)*(PSI_EtOH!$AN$10/(PSI_EtOH!$AP$10*V99))*V96</f>
        <v>-2.8884498310533126E-4</v>
      </c>
      <c r="W120" s="8">
        <f>(SUM(PSI_EtOH!$AL$6:$AL$111)/88)*(PSI_EtOH!$AN$10/(PSI_EtOH!$AP$10*W99))*W96</f>
        <v>-2.8349041612555189E-4</v>
      </c>
      <c r="X120" s="8">
        <f>(SUM(PSI_EtOH!$AL$6:$AL$111)/88)*(PSI_EtOH!$AN$10/(PSI_EtOH!$AP$10*X99))*X96</f>
        <v>-2.7823511134251447E-4</v>
      </c>
      <c r="Y120" s="8">
        <f>(SUM(PSI_EtOH!$AL$6:$AL$111)/88)*(PSI_EtOH!$AN$10/(PSI_EtOH!$AP$10*Y99))*Y96</f>
        <v>-2.730772286478147E-4</v>
      </c>
      <c r="Z120" s="8">
        <f>(SUM(PSI_EtOH!$AL$6:$AL$111)/88)*(PSI_EtOH!$AN$10/(PSI_EtOH!$AP$10*Z99))*Z96</f>
        <v>-2.6801496204471409E-4</v>
      </c>
      <c r="AA120" s="8">
        <f>(SUM(PSI_EtOH!$AL$6:$AL$111)/88)*(PSI_EtOH!$AN$10/(PSI_EtOH!$AP$10*AA99))*AA96</f>
        <v>-2.6304653901578406E-4</v>
      </c>
      <c r="AB120" s="8">
        <f>(SUM(PSI_EtOH!$AL$6:$AL$111)/88)*(PSI_EtOH!$AN$10/(PSI_EtOH!$AP$10*AB99))*AB96</f>
        <v>-2.581702199022699E-4</v>
      </c>
      <c r="AC120" s="8">
        <f>(SUM(PSI_EtOH!$AL$6:$AL$111)/88)*(PSI_EtOH!$AN$10/(PSI_EtOH!$AP$10*AC99))*AC96</f>
        <v>-2.5338429729496263E-4</v>
      </c>
      <c r="AD120" s="8">
        <f>(SUM(PSI_EtOH!$AL$6:$AL$111)/88)*(PSI_EtOH!$AN$10/(PSI_EtOH!$AP$10*AD99))*AD96</f>
        <v>-2.4868709543636068E-4</v>
      </c>
      <c r="AE120" s="8">
        <f>(SUM(PSI_EtOH!$AL$6:$AL$111)/88)*(PSI_EtOH!$AN$10/(PSI_EtOH!$AP$10*AE99))*AE96</f>
        <v>-2.4407696963391529E-4</v>
      </c>
      <c r="AF120" s="8">
        <f>(SUM(PSI_EtOH!$AL$6:$AL$111)/88)*(PSI_EtOH!$AN$10/(PSI_EtOH!$AP$10*AF99))*AF96</f>
        <v>-2.3955230568415288E-4</v>
      </c>
      <c r="AG120" s="8">
        <f>(SUM(PSI_EtOH!$AL$6:$AL$111)/88)*(PSI_EtOH!$AN$10/(PSI_EtOH!$AP$10*AG99))*AG96</f>
        <v>-2.3511151930747349E-4</v>
      </c>
      <c r="AH120" s="8">
        <f>(SUM(PSI_EtOH!$AL$6:$AL$111)/88)*(PSI_EtOH!$AN$10/(PSI_EtOH!$AP$10*AH99))*AH96</f>
        <v>-2.307530555934249E-4</v>
      </c>
      <c r="AI120" s="8">
        <f>(SUM(PSI_EtOH!$AL$6:$AL$111)/88)*(PSI_EtOH!$AN$10/(PSI_EtOH!$AP$10*AI99))*AI96</f>
        <v>-2.2647538845626299E-4</v>
      </c>
      <c r="AJ120" s="8">
        <f>(SUM(PSI_EtOH!$AL$6:$AL$111)/88)*(PSI_EtOH!$AN$10/(PSI_EtOH!$AP$10*AJ99))*AJ96</f>
        <v>-2.222770201006028E-4</v>
      </c>
    </row>
    <row r="121" spans="1:36" x14ac:dyDescent="0.2">
      <c r="A121" s="10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115"/>
    </row>
    <row r="122" spans="1:36" x14ac:dyDescent="0.2">
      <c r="A122" s="10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115"/>
    </row>
    <row r="123" spans="1:36" x14ac:dyDescent="0.2">
      <c r="A123" s="10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115"/>
    </row>
    <row r="124" spans="1:36" x14ac:dyDescent="0.2">
      <c r="A124" s="22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115"/>
    </row>
    <row r="125" spans="1:36" x14ac:dyDescent="0.2">
      <c r="A125" s="118" t="s">
        <v>959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119"/>
    </row>
    <row r="126" spans="1:36" x14ac:dyDescent="0.2">
      <c r="A126" s="22" t="s">
        <v>562</v>
      </c>
      <c r="B126" t="s">
        <v>530</v>
      </c>
      <c r="G126" s="8">
        <f>C21*C18*G96</f>
        <v>252945349.52784118</v>
      </c>
      <c r="H126" s="8">
        <f>$C$21*H96</f>
        <v>500881880.25315082</v>
      </c>
      <c r="I126" s="8">
        <f t="shared" ref="I126:AJ126" si="3">$C$21*I96</f>
        <v>495922653.71599102</v>
      </c>
      <c r="J126" s="8">
        <f t="shared" si="3"/>
        <v>491012528.43167418</v>
      </c>
      <c r="K126" s="8">
        <f t="shared" si="3"/>
        <v>486151018.2491824</v>
      </c>
      <c r="L126" s="8">
        <f t="shared" si="3"/>
        <v>481337641.83087355</v>
      </c>
      <c r="M126" s="8">
        <f t="shared" si="3"/>
        <v>476571922.6048255</v>
      </c>
      <c r="N126" s="8">
        <f t="shared" si="3"/>
        <v>471853388.71764886</v>
      </c>
      <c r="O126" s="8">
        <f t="shared" si="3"/>
        <v>467181572.98777109</v>
      </c>
      <c r="P126" s="8">
        <f t="shared" si="3"/>
        <v>462556012.85917932</v>
      </c>
      <c r="Q126" s="8">
        <f t="shared" si="3"/>
        <v>457976250.35562319</v>
      </c>
      <c r="R126" s="8">
        <f t="shared" si="3"/>
        <v>453441832.03527045</v>
      </c>
      <c r="S126" s="8">
        <f t="shared" si="3"/>
        <v>448952308.94581228</v>
      </c>
      <c r="T126" s="8">
        <f t="shared" si="3"/>
        <v>444507236.58001214</v>
      </c>
      <c r="U126" s="8">
        <f t="shared" si="3"/>
        <v>440106174.83169532</v>
      </c>
      <c r="V126" s="8">
        <f t="shared" si="3"/>
        <v>435748687.95217341</v>
      </c>
      <c r="W126" s="8">
        <f t="shared" si="3"/>
        <v>431434344.50710237</v>
      </c>
      <c r="X126" s="8">
        <f t="shared" si="3"/>
        <v>427162717.33376473</v>
      </c>
      <c r="Y126" s="8">
        <f t="shared" si="3"/>
        <v>422933383.49877703</v>
      </c>
      <c r="Z126" s="8">
        <f t="shared" si="3"/>
        <v>418745924.25621486</v>
      </c>
      <c r="AA126" s="8">
        <f t="shared" si="3"/>
        <v>414599925.0061534</v>
      </c>
      <c r="AB126" s="8">
        <f t="shared" si="3"/>
        <v>410494975.25361711</v>
      </c>
      <c r="AC126" s="8">
        <f t="shared" si="3"/>
        <v>406430668.56793779</v>
      </c>
      <c r="AD126" s="8">
        <f t="shared" si="3"/>
        <v>402406602.5425126</v>
      </c>
      <c r="AE126" s="8">
        <f t="shared" si="3"/>
        <v>398422378.75496286</v>
      </c>
      <c r="AF126" s="8">
        <f t="shared" si="3"/>
        <v>394477602.72768605</v>
      </c>
      <c r="AG126" s="8">
        <f t="shared" si="3"/>
        <v>390571883.88879818</v>
      </c>
      <c r="AH126" s="8">
        <f t="shared" si="3"/>
        <v>386704835.53346354</v>
      </c>
      <c r="AI126" s="8">
        <f t="shared" si="3"/>
        <v>382876074.78560746</v>
      </c>
      <c r="AJ126" s="115">
        <f t="shared" si="3"/>
        <v>379085222.56000727</v>
      </c>
    </row>
    <row r="127" spans="1:36" x14ac:dyDescent="0.2">
      <c r="A127" s="22" t="s">
        <v>561</v>
      </c>
      <c r="B127" t="s">
        <v>530</v>
      </c>
      <c r="G127" s="8">
        <f>$C$22*G99</f>
        <v>2505189850191974</v>
      </c>
      <c r="H127" s="8">
        <f>$C$22*H99</f>
        <v>2527235520873663</v>
      </c>
      <c r="I127" s="8">
        <f t="shared" ref="I127:AJ127" si="4">$C$22*I99</f>
        <v>2549475193457351</v>
      </c>
      <c r="J127" s="8">
        <f t="shared" si="4"/>
        <v>2571910575159775.5</v>
      </c>
      <c r="K127" s="8">
        <f t="shared" si="4"/>
        <v>2594543388221181.5</v>
      </c>
      <c r="L127" s="8">
        <f t="shared" si="4"/>
        <v>2617375370037528</v>
      </c>
      <c r="M127" s="8">
        <f t="shared" si="4"/>
        <v>2640408273293858</v>
      </c>
      <c r="N127" s="8">
        <f t="shared" si="4"/>
        <v>2663643866098843.5</v>
      </c>
      <c r="O127" s="8">
        <f t="shared" si="4"/>
        <v>2687083932120513.5</v>
      </c>
      <c r="P127" s="8">
        <f t="shared" si="4"/>
        <v>2710730270723174</v>
      </c>
      <c r="Q127" s="8">
        <f t="shared" si="4"/>
        <v>2734584697105537.5</v>
      </c>
      <c r="R127" s="8">
        <f t="shared" si="4"/>
        <v>2758649042440066.5</v>
      </c>
      <c r="S127" s="8">
        <f t="shared" si="4"/>
        <v>2782925154013539</v>
      </c>
      <c r="T127" s="8">
        <f t="shared" si="4"/>
        <v>2807414895368857.5</v>
      </c>
      <c r="U127" s="8">
        <f t="shared" si="4"/>
        <v>2832120146448103.5</v>
      </c>
      <c r="V127" s="8">
        <f t="shared" si="4"/>
        <v>2857042803736847</v>
      </c>
      <c r="W127" s="8">
        <f t="shared" si="4"/>
        <v>2882184780409731</v>
      </c>
      <c r="X127" s="8">
        <f t="shared" si="4"/>
        <v>2907548006477336.5</v>
      </c>
      <c r="Y127" s="8">
        <f t="shared" si="4"/>
        <v>2933134428934336.5</v>
      </c>
      <c r="Z127" s="8">
        <f t="shared" si="4"/>
        <v>2958946011908959</v>
      </c>
      <c r="AA127" s="8">
        <f t="shared" si="4"/>
        <v>2984984736813757</v>
      </c>
      <c r="AB127" s="8">
        <f t="shared" si="4"/>
        <v>3011252602497718</v>
      </c>
      <c r="AC127" s="8">
        <f t="shared" si="4"/>
        <v>3037751625399698</v>
      </c>
      <c r="AD127" s="8">
        <f t="shared" si="4"/>
        <v>3064483839703215</v>
      </c>
      <c r="AE127" s="8">
        <f t="shared" si="4"/>
        <v>3091451297492603</v>
      </c>
      <c r="AF127" s="8">
        <f t="shared" si="4"/>
        <v>3118656068910538.5</v>
      </c>
      <c r="AG127" s="8">
        <f t="shared" si="4"/>
        <v>3146100242316950.5</v>
      </c>
      <c r="AH127" s="8">
        <f t="shared" si="4"/>
        <v>3173785924449339.5</v>
      </c>
      <c r="AI127" s="8">
        <f t="shared" si="4"/>
        <v>3201715240584494</v>
      </c>
      <c r="AJ127" s="115">
        <f t="shared" si="4"/>
        <v>3229890334701637</v>
      </c>
    </row>
    <row r="128" spans="1:36" x14ac:dyDescent="0.2">
      <c r="A128" s="22" t="s">
        <v>972</v>
      </c>
      <c r="B128" t="s">
        <v>530</v>
      </c>
      <c r="G128" s="8">
        <f>$C$23*G99</f>
        <v>12832912518399.996</v>
      </c>
      <c r="H128" s="8">
        <f t="shared" ref="H128:AJ128" si="5">$C$23*H99</f>
        <v>12945842148561.918</v>
      </c>
      <c r="I128" s="8">
        <f t="shared" si="5"/>
        <v>13059765559469.26</v>
      </c>
      <c r="J128" s="8">
        <f t="shared" si="5"/>
        <v>13174691496392.59</v>
      </c>
      <c r="K128" s="8">
        <f t="shared" si="5"/>
        <v>13290628781560.844</v>
      </c>
      <c r="L128" s="8">
        <f t="shared" si="5"/>
        <v>13407586314838.578</v>
      </c>
      <c r="M128" s="8">
        <f t="shared" si="5"/>
        <v>13525573074409.158</v>
      </c>
      <c r="N128" s="8">
        <f t="shared" si="5"/>
        <v>13644598117463.957</v>
      </c>
      <c r="O128" s="8">
        <f t="shared" si="5"/>
        <v>13764670580897.639</v>
      </c>
      <c r="P128" s="8">
        <f t="shared" si="5"/>
        <v>13885799682009.539</v>
      </c>
      <c r="Q128" s="8">
        <f t="shared" si="5"/>
        <v>14007994719211.219</v>
      </c>
      <c r="R128" s="8">
        <f t="shared" si="5"/>
        <v>14131265072740.279</v>
      </c>
      <c r="S128" s="8">
        <f t="shared" si="5"/>
        <v>14255620205380.395</v>
      </c>
      <c r="T128" s="8">
        <f t="shared" si="5"/>
        <v>14381069663187.74</v>
      </c>
      <c r="U128" s="8">
        <f t="shared" si="5"/>
        <v>14507623076223.789</v>
      </c>
      <c r="V128" s="8">
        <f t="shared" si="5"/>
        <v>14635290159294.562</v>
      </c>
      <c r="W128" s="8">
        <f t="shared" si="5"/>
        <v>14764080712696.352</v>
      </c>
      <c r="X128" s="8">
        <f t="shared" si="5"/>
        <v>14894004622968.08</v>
      </c>
      <c r="Y128" s="8">
        <f t="shared" si="5"/>
        <v>15025071863650.195</v>
      </c>
      <c r="Z128" s="8">
        <f t="shared" si="5"/>
        <v>15157292496050.318</v>
      </c>
      <c r="AA128" s="8">
        <f t="shared" si="5"/>
        <v>15290676670015.557</v>
      </c>
      <c r="AB128" s="8">
        <f t="shared" si="5"/>
        <v>15425234624711.695</v>
      </c>
      <c r="AC128" s="8">
        <f t="shared" si="5"/>
        <v>15560976689409.158</v>
      </c>
      <c r="AD128" s="8">
        <f t="shared" si="5"/>
        <v>15697913284275.957</v>
      </c>
      <c r="AE128" s="8">
        <f t="shared" si="5"/>
        <v>15836054921177.582</v>
      </c>
      <c r="AF128" s="8">
        <f t="shared" si="5"/>
        <v>15975412204483.949</v>
      </c>
      <c r="AG128" s="8">
        <f t="shared" si="5"/>
        <v>16115995831883.404</v>
      </c>
      <c r="AH128" s="8">
        <f t="shared" si="5"/>
        <v>16257816595203.977</v>
      </c>
      <c r="AI128" s="8">
        <f t="shared" si="5"/>
        <v>16400885381241.773</v>
      </c>
      <c r="AJ128" s="8">
        <f t="shared" si="5"/>
        <v>16545213172596.699</v>
      </c>
    </row>
    <row r="129" spans="1:36" x14ac:dyDescent="0.2">
      <c r="A129" s="108" t="s">
        <v>552</v>
      </c>
      <c r="B129" t="s">
        <v>537</v>
      </c>
      <c r="C129" t="s">
        <v>312</v>
      </c>
      <c r="G129" s="36">
        <f t="shared" ref="G129:AJ129" si="6">(G126/G127)*G101</f>
        <v>8.0774828145965181</v>
      </c>
      <c r="H129" s="36">
        <f t="shared" si="6"/>
        <v>15.855487187201179</v>
      </c>
      <c r="I129" s="36">
        <f t="shared" si="6"/>
        <v>15.561560433728914</v>
      </c>
      <c r="J129" s="36">
        <f t="shared" si="6"/>
        <v>15.273082452368575</v>
      </c>
      <c r="K129" s="36">
        <f t="shared" si="6"/>
        <v>14.989952234562164</v>
      </c>
      <c r="L129" s="36">
        <f t="shared" si="6"/>
        <v>14.712070644233872</v>
      </c>
      <c r="M129" s="36">
        <f t="shared" si="6"/>
        <v>14.439340383078296</v>
      </c>
      <c r="N129" s="36">
        <f t="shared" si="6"/>
        <v>14.171665956492074</v>
      </c>
      <c r="O129" s="36">
        <f t="shared" si="6"/>
        <v>13.90895364013716</v>
      </c>
      <c r="P129" s="36">
        <f t="shared" si="6"/>
        <v>13.651111447123885</v>
      </c>
      <c r="Q129" s="36">
        <f t="shared" si="6"/>
        <v>13.398049095802374</v>
      </c>
      <c r="R129" s="36">
        <f t="shared" si="6"/>
        <v>13.149677978151054</v>
      </c>
      <c r="S129" s="36">
        <f t="shared" si="6"/>
        <v>12.905911128751201</v>
      </c>
      <c r="T129" s="36">
        <f t="shared" si="6"/>
        <v>12.666663194336573</v>
      </c>
      <c r="U129" s="36">
        <f t="shared" si="6"/>
        <v>12.431850403907573</v>
      </c>
      <c r="V129" s="36">
        <f t="shared" si="6"/>
        <v>12.201390539399389</v>
      </c>
      <c r="W129" s="36">
        <f t="shared" si="6"/>
        <v>11.975202906893976</v>
      </c>
      <c r="X129" s="36">
        <f t="shared" si="6"/>
        <v>11.753208308365569</v>
      </c>
      <c r="Y129" s="36">
        <f t="shared" si="6"/>
        <v>11.535329013950085</v>
      </c>
      <c r="Z129" s="36">
        <f t="shared" si="6"/>
        <v>11.321488734728531</v>
      </c>
      <c r="AA129" s="36">
        <f t="shared" si="6"/>
        <v>11.111612596015004</v>
      </c>
      <c r="AB129" s="36">
        <f t="shared" si="6"/>
        <v>10.905627111139792</v>
      </c>
      <c r="AC129" s="36">
        <f t="shared" si="6"/>
        <v>10.703460155718581</v>
      </c>
      <c r="AD129" s="36">
        <f t="shared" si="6"/>
        <v>10.505040942398555</v>
      </c>
      <c r="AE129" s="36">
        <f t="shared" si="6"/>
        <v>10.310299996072732</v>
      </c>
      <c r="AF129" s="36">
        <f t="shared" si="6"/>
        <v>10.119169129553722</v>
      </c>
      <c r="AG129" s="36">
        <f t="shared" si="6"/>
        <v>9.9315814196984604</v>
      </c>
      <c r="AH129" s="36">
        <f t="shared" si="6"/>
        <v>9.7474711839755326</v>
      </c>
      <c r="AI129" s="36">
        <f t="shared" si="6"/>
        <v>9.5667739574668982</v>
      </c>
      <c r="AJ129" s="54">
        <f t="shared" si="6"/>
        <v>9.3894264702959447</v>
      </c>
    </row>
    <row r="130" spans="1:36" x14ac:dyDescent="0.2">
      <c r="A130" s="22"/>
      <c r="AJ130" s="29"/>
    </row>
    <row r="131" spans="1:36" x14ac:dyDescent="0.2">
      <c r="A131" s="120" t="s">
        <v>554</v>
      </c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8"/>
    </row>
    <row r="132" spans="1:36" x14ac:dyDescent="0.2">
      <c r="A132" s="22" t="s">
        <v>556</v>
      </c>
      <c r="B132" t="s">
        <v>560</v>
      </c>
      <c r="G132" s="8">
        <f>$C$26*G96*C18</f>
        <v>0</v>
      </c>
      <c r="H132" s="8">
        <f t="shared" ref="H132:AJ132" si="7">$C$26*H96</f>
        <v>0</v>
      </c>
      <c r="I132" s="8">
        <f t="shared" si="7"/>
        <v>0</v>
      </c>
      <c r="J132" s="8">
        <f t="shared" si="7"/>
        <v>0</v>
      </c>
      <c r="K132" s="8">
        <f t="shared" si="7"/>
        <v>0</v>
      </c>
      <c r="L132" s="8">
        <f t="shared" si="7"/>
        <v>0</v>
      </c>
      <c r="M132" s="8">
        <f t="shared" si="7"/>
        <v>0</v>
      </c>
      <c r="N132" s="8">
        <f t="shared" si="7"/>
        <v>0</v>
      </c>
      <c r="O132" s="8">
        <f t="shared" si="7"/>
        <v>0</v>
      </c>
      <c r="P132" s="8">
        <f t="shared" si="7"/>
        <v>0</v>
      </c>
      <c r="Q132" s="8">
        <f t="shared" si="7"/>
        <v>0</v>
      </c>
      <c r="R132" s="8">
        <f t="shared" si="7"/>
        <v>0</v>
      </c>
      <c r="S132" s="8">
        <f t="shared" si="7"/>
        <v>0</v>
      </c>
      <c r="T132" s="8">
        <f t="shared" si="7"/>
        <v>0</v>
      </c>
      <c r="U132" s="8">
        <f t="shared" si="7"/>
        <v>0</v>
      </c>
      <c r="V132" s="8">
        <f t="shared" si="7"/>
        <v>0</v>
      </c>
      <c r="W132" s="8">
        <f t="shared" si="7"/>
        <v>0</v>
      </c>
      <c r="X132" s="8">
        <f t="shared" si="7"/>
        <v>0</v>
      </c>
      <c r="Y132" s="8">
        <f t="shared" si="7"/>
        <v>0</v>
      </c>
      <c r="Z132" s="8">
        <f t="shared" si="7"/>
        <v>0</v>
      </c>
      <c r="AA132" s="8">
        <f t="shared" si="7"/>
        <v>0</v>
      </c>
      <c r="AB132" s="8">
        <f t="shared" si="7"/>
        <v>0</v>
      </c>
      <c r="AC132" s="8">
        <f t="shared" si="7"/>
        <v>0</v>
      </c>
      <c r="AD132" s="8">
        <f t="shared" si="7"/>
        <v>0</v>
      </c>
      <c r="AE132" s="8">
        <f t="shared" si="7"/>
        <v>0</v>
      </c>
      <c r="AF132" s="8">
        <f t="shared" si="7"/>
        <v>0</v>
      </c>
      <c r="AG132" s="8">
        <f t="shared" si="7"/>
        <v>0</v>
      </c>
      <c r="AH132" s="8">
        <f t="shared" si="7"/>
        <v>0</v>
      </c>
      <c r="AI132" s="8">
        <f t="shared" si="7"/>
        <v>0</v>
      </c>
      <c r="AJ132" s="115">
        <f t="shared" si="7"/>
        <v>0</v>
      </c>
    </row>
    <row r="133" spans="1:36" x14ac:dyDescent="0.2">
      <c r="A133" s="22" t="s">
        <v>557</v>
      </c>
      <c r="B133" t="s">
        <v>560</v>
      </c>
      <c r="G133" s="8">
        <f>$C$28</f>
        <v>2900000000000</v>
      </c>
      <c r="H133" s="8">
        <f>$C$28</f>
        <v>2900000000000</v>
      </c>
      <c r="I133" s="8">
        <f t="shared" ref="I133:L133" si="8">$C$28</f>
        <v>2900000000000</v>
      </c>
      <c r="J133" s="8">
        <f t="shared" si="8"/>
        <v>2900000000000</v>
      </c>
      <c r="K133" s="8">
        <f t="shared" si="8"/>
        <v>2900000000000</v>
      </c>
      <c r="L133" s="8">
        <f t="shared" si="8"/>
        <v>2900000000000</v>
      </c>
      <c r="M133" s="8">
        <f t="shared" ref="M133:AA133" si="9">$C$29</f>
        <v>3900000000000</v>
      </c>
      <c r="N133" s="8">
        <f t="shared" si="9"/>
        <v>3900000000000</v>
      </c>
      <c r="O133" s="8">
        <f t="shared" si="9"/>
        <v>3900000000000</v>
      </c>
      <c r="P133" s="8">
        <f t="shared" si="9"/>
        <v>3900000000000</v>
      </c>
      <c r="Q133" s="8">
        <f t="shared" si="9"/>
        <v>3900000000000</v>
      </c>
      <c r="R133" s="8">
        <f t="shared" si="9"/>
        <v>3900000000000</v>
      </c>
      <c r="S133" s="8">
        <f t="shared" si="9"/>
        <v>3900000000000</v>
      </c>
      <c r="T133" s="8">
        <f t="shared" si="9"/>
        <v>3900000000000</v>
      </c>
      <c r="U133" s="8">
        <f t="shared" si="9"/>
        <v>3900000000000</v>
      </c>
      <c r="V133" s="8">
        <f t="shared" si="9"/>
        <v>3900000000000</v>
      </c>
      <c r="W133" s="8">
        <f t="shared" si="9"/>
        <v>3900000000000</v>
      </c>
      <c r="X133" s="8">
        <f t="shared" si="9"/>
        <v>3900000000000</v>
      </c>
      <c r="Y133" s="8">
        <f t="shared" si="9"/>
        <v>3900000000000</v>
      </c>
      <c r="Z133" s="8">
        <f t="shared" si="9"/>
        <v>3900000000000</v>
      </c>
      <c r="AA133" s="8">
        <f t="shared" si="9"/>
        <v>3900000000000</v>
      </c>
      <c r="AB133" s="8">
        <f>$C$30</f>
        <v>8750000000000</v>
      </c>
      <c r="AC133" s="8">
        <f t="shared" ref="AC133:AJ133" si="10">$C$30</f>
        <v>8750000000000</v>
      </c>
      <c r="AD133" s="8">
        <f t="shared" si="10"/>
        <v>8750000000000</v>
      </c>
      <c r="AE133" s="8">
        <f t="shared" si="10"/>
        <v>8750000000000</v>
      </c>
      <c r="AF133" s="8">
        <f t="shared" si="10"/>
        <v>8750000000000</v>
      </c>
      <c r="AG133" s="8">
        <f t="shared" si="10"/>
        <v>8750000000000</v>
      </c>
      <c r="AH133" s="8">
        <f t="shared" si="10"/>
        <v>8750000000000</v>
      </c>
      <c r="AI133" s="8">
        <f t="shared" si="10"/>
        <v>8750000000000</v>
      </c>
      <c r="AJ133" s="115">
        <f t="shared" si="10"/>
        <v>8750000000000</v>
      </c>
    </row>
    <row r="134" spans="1:36" x14ac:dyDescent="0.2">
      <c r="A134" s="108" t="s">
        <v>558</v>
      </c>
      <c r="B134" t="s">
        <v>537</v>
      </c>
      <c r="C134" t="s">
        <v>312</v>
      </c>
      <c r="G134" s="36">
        <f t="shared" ref="G134:AJ134" si="11">G132/G133*G101</f>
        <v>0</v>
      </c>
      <c r="H134" s="36">
        <f t="shared" si="11"/>
        <v>0</v>
      </c>
      <c r="I134" s="36">
        <f t="shared" si="11"/>
        <v>0</v>
      </c>
      <c r="J134" s="36">
        <f t="shared" si="11"/>
        <v>0</v>
      </c>
      <c r="K134" s="36">
        <f t="shared" si="11"/>
        <v>0</v>
      </c>
      <c r="L134" s="36">
        <f t="shared" si="11"/>
        <v>0</v>
      </c>
      <c r="M134" s="36">
        <f t="shared" si="11"/>
        <v>0</v>
      </c>
      <c r="N134" s="36">
        <f t="shared" si="11"/>
        <v>0</v>
      </c>
      <c r="O134" s="36">
        <f t="shared" si="11"/>
        <v>0</v>
      </c>
      <c r="P134" s="36">
        <f t="shared" si="11"/>
        <v>0</v>
      </c>
      <c r="Q134" s="36">
        <f t="shared" si="11"/>
        <v>0</v>
      </c>
      <c r="R134" s="36">
        <f t="shared" si="11"/>
        <v>0</v>
      </c>
      <c r="S134" s="36">
        <f t="shared" si="11"/>
        <v>0</v>
      </c>
      <c r="T134" s="36">
        <f t="shared" si="11"/>
        <v>0</v>
      </c>
      <c r="U134" s="36">
        <f t="shared" si="11"/>
        <v>0</v>
      </c>
      <c r="V134" s="36">
        <f t="shared" si="11"/>
        <v>0</v>
      </c>
      <c r="W134" s="36">
        <f t="shared" si="11"/>
        <v>0</v>
      </c>
      <c r="X134" s="36">
        <f t="shared" si="11"/>
        <v>0</v>
      </c>
      <c r="Y134" s="36">
        <f t="shared" si="11"/>
        <v>0</v>
      </c>
      <c r="Z134" s="36">
        <f t="shared" si="11"/>
        <v>0</v>
      </c>
      <c r="AA134" s="36">
        <f t="shared" si="11"/>
        <v>0</v>
      </c>
      <c r="AB134" s="36">
        <f t="shared" si="11"/>
        <v>0</v>
      </c>
      <c r="AC134" s="36">
        <f t="shared" si="11"/>
        <v>0</v>
      </c>
      <c r="AD134" s="36">
        <f t="shared" si="11"/>
        <v>0</v>
      </c>
      <c r="AE134" s="36">
        <f t="shared" si="11"/>
        <v>0</v>
      </c>
      <c r="AF134" s="36">
        <f t="shared" si="11"/>
        <v>0</v>
      </c>
      <c r="AG134" s="36">
        <f t="shared" si="11"/>
        <v>0</v>
      </c>
      <c r="AH134" s="36">
        <f t="shared" si="11"/>
        <v>0</v>
      </c>
      <c r="AI134" s="36">
        <f t="shared" si="11"/>
        <v>0</v>
      </c>
      <c r="AJ134" s="54">
        <f t="shared" si="11"/>
        <v>0</v>
      </c>
    </row>
    <row r="135" spans="1:36" x14ac:dyDescent="0.2">
      <c r="A135" s="22"/>
      <c r="AJ135" s="29"/>
    </row>
    <row r="136" spans="1:36" x14ac:dyDescent="0.2">
      <c r="A136" s="171" t="s">
        <v>709</v>
      </c>
      <c r="B136" s="210"/>
      <c r="C136" s="210"/>
      <c r="D136" s="210"/>
      <c r="E136" s="210"/>
      <c r="F136" s="210"/>
      <c r="G136" s="211"/>
      <c r="H136" s="211"/>
      <c r="I136" s="211"/>
      <c r="J136" s="211"/>
      <c r="K136" s="211"/>
      <c r="L136" s="211"/>
      <c r="M136" s="211"/>
      <c r="N136" s="211"/>
      <c r="O136" s="211"/>
      <c r="P136" s="211"/>
      <c r="Q136" s="211"/>
      <c r="R136" s="211"/>
      <c r="S136" s="211"/>
      <c r="T136" s="211"/>
      <c r="U136" s="211"/>
      <c r="V136" s="211"/>
      <c r="W136" s="211"/>
      <c r="X136" s="211"/>
      <c r="Y136" s="211"/>
      <c r="Z136" s="211"/>
      <c r="AA136" s="211"/>
      <c r="AB136" s="211"/>
      <c r="AC136" s="211"/>
      <c r="AD136" s="211"/>
      <c r="AE136" s="211"/>
      <c r="AF136" s="211"/>
      <c r="AG136" s="211"/>
      <c r="AH136" s="211"/>
      <c r="AI136" s="211"/>
      <c r="AJ136" s="172"/>
    </row>
    <row r="137" spans="1:36" x14ac:dyDescent="0.2">
      <c r="A137" s="173" t="s">
        <v>712</v>
      </c>
      <c r="B137" t="s">
        <v>713</v>
      </c>
      <c r="G137" s="17">
        <f>$C$33*G$96*C18</f>
        <v>6.0499014726402768E-2</v>
      </c>
      <c r="H137" s="17">
        <f>$C$33*H$96</f>
        <v>0.11980002916119359</v>
      </c>
      <c r="I137" s="17">
        <f t="shared" ref="I137:AJ137" si="12">$C$33*I$96</f>
        <v>0.11861389025860754</v>
      </c>
      <c r="J137" s="17">
        <f t="shared" si="12"/>
        <v>0.11743949530555199</v>
      </c>
      <c r="K137" s="17">
        <f t="shared" si="12"/>
        <v>0.11627672802529902</v>
      </c>
      <c r="L137" s="17">
        <f t="shared" si="12"/>
        <v>0.11512547329237524</v>
      </c>
      <c r="M137" s="17">
        <f t="shared" si="12"/>
        <v>0.11398561712116365</v>
      </c>
      <c r="N137" s="17">
        <f t="shared" si="12"/>
        <v>0.11285704665461745</v>
      </c>
      <c r="O137" s="17">
        <f t="shared" si="12"/>
        <v>0.11173965015308655</v>
      </c>
      <c r="P137" s="17">
        <f t="shared" si="12"/>
        <v>0.11063331698325403</v>
      </c>
      <c r="Q137" s="17">
        <f t="shared" si="12"/>
        <v>0.10953793760718222</v>
      </c>
      <c r="R137" s="17">
        <f t="shared" si="12"/>
        <v>0.10845340357146754</v>
      </c>
      <c r="S137" s="17">
        <f t="shared" si="12"/>
        <v>0.10737960749650251</v>
      </c>
      <c r="T137" s="17">
        <f t="shared" si="12"/>
        <v>0.10631644306584406</v>
      </c>
      <c r="U137" s="17">
        <f t="shared" si="12"/>
        <v>0.10526380501568722</v>
      </c>
      <c r="V137" s="17">
        <f t="shared" si="12"/>
        <v>0.10422158912444275</v>
      </c>
      <c r="W137" s="17">
        <f t="shared" si="12"/>
        <v>0.10318969220241855</v>
      </c>
      <c r="X137" s="17">
        <f t="shared" si="12"/>
        <v>0.10216801208160253</v>
      </c>
      <c r="Y137" s="17">
        <f t="shared" si="12"/>
        <v>0.1011564476055471</v>
      </c>
      <c r="Z137" s="17">
        <f t="shared" si="12"/>
        <v>0.10015489861935353</v>
      </c>
      <c r="AA137" s="17">
        <f t="shared" si="12"/>
        <v>9.9163265959755997E-2</v>
      </c>
      <c r="AB137" s="17">
        <f t="shared" si="12"/>
        <v>9.8181451445302936E-2</v>
      </c>
      <c r="AC137" s="17">
        <f t="shared" si="12"/>
        <v>9.7209357866636592E-2</v>
      </c>
      <c r="AD137" s="17">
        <f t="shared" si="12"/>
        <v>9.6246888976867895E-2</v>
      </c>
      <c r="AE137" s="17">
        <f t="shared" si="12"/>
        <v>9.5293949482047391E-2</v>
      </c>
      <c r="AF137" s="17">
        <f t="shared" si="12"/>
        <v>9.4350445031730096E-2</v>
      </c>
      <c r="AG137" s="17">
        <f t="shared" si="12"/>
        <v>9.34162822096338E-2</v>
      </c>
      <c r="AH137" s="17">
        <f t="shared" si="12"/>
        <v>9.2491368524389883E-2</v>
      </c>
      <c r="AI137" s="17">
        <f t="shared" si="12"/>
        <v>9.1575612400386031E-2</v>
      </c>
      <c r="AJ137" s="17">
        <f t="shared" si="12"/>
        <v>9.0668923168699025E-2</v>
      </c>
    </row>
    <row r="138" spans="1:36" x14ac:dyDescent="0.2">
      <c r="A138" s="173" t="s">
        <v>699</v>
      </c>
      <c r="B138" t="s">
        <v>713</v>
      </c>
      <c r="G138" s="8">
        <f>$C$37/30</f>
        <v>95333333333333.328</v>
      </c>
      <c r="H138" s="8">
        <f t="shared" ref="H138:AJ138" si="13">$C$37/30</f>
        <v>95333333333333.328</v>
      </c>
      <c r="I138" s="8">
        <f t="shared" si="13"/>
        <v>95333333333333.328</v>
      </c>
      <c r="J138" s="8">
        <f t="shared" si="13"/>
        <v>95333333333333.328</v>
      </c>
      <c r="K138" s="8">
        <f t="shared" si="13"/>
        <v>95333333333333.328</v>
      </c>
      <c r="L138" s="8">
        <f t="shared" si="13"/>
        <v>95333333333333.328</v>
      </c>
      <c r="M138" s="8">
        <f t="shared" si="13"/>
        <v>95333333333333.328</v>
      </c>
      <c r="N138" s="8">
        <f t="shared" si="13"/>
        <v>95333333333333.328</v>
      </c>
      <c r="O138" s="8">
        <f t="shared" si="13"/>
        <v>95333333333333.328</v>
      </c>
      <c r="P138" s="8">
        <f t="shared" si="13"/>
        <v>95333333333333.328</v>
      </c>
      <c r="Q138" s="8">
        <f t="shared" si="13"/>
        <v>95333333333333.328</v>
      </c>
      <c r="R138" s="8">
        <f t="shared" si="13"/>
        <v>95333333333333.328</v>
      </c>
      <c r="S138" s="8">
        <f t="shared" si="13"/>
        <v>95333333333333.328</v>
      </c>
      <c r="T138" s="8">
        <f t="shared" si="13"/>
        <v>95333333333333.328</v>
      </c>
      <c r="U138" s="8">
        <f t="shared" si="13"/>
        <v>95333333333333.328</v>
      </c>
      <c r="V138" s="8">
        <f t="shared" si="13"/>
        <v>95333333333333.328</v>
      </c>
      <c r="W138" s="8">
        <f t="shared" si="13"/>
        <v>95333333333333.328</v>
      </c>
      <c r="X138" s="8">
        <f t="shared" si="13"/>
        <v>95333333333333.328</v>
      </c>
      <c r="Y138" s="8">
        <f t="shared" si="13"/>
        <v>95333333333333.328</v>
      </c>
      <c r="Z138" s="8">
        <f t="shared" si="13"/>
        <v>95333333333333.328</v>
      </c>
      <c r="AA138" s="8">
        <f t="shared" si="13"/>
        <v>95333333333333.328</v>
      </c>
      <c r="AB138" s="8">
        <f t="shared" si="13"/>
        <v>95333333333333.328</v>
      </c>
      <c r="AC138" s="8">
        <f t="shared" si="13"/>
        <v>95333333333333.328</v>
      </c>
      <c r="AD138" s="8">
        <f t="shared" si="13"/>
        <v>95333333333333.328</v>
      </c>
      <c r="AE138" s="8">
        <f t="shared" si="13"/>
        <v>95333333333333.328</v>
      </c>
      <c r="AF138" s="8">
        <f t="shared" si="13"/>
        <v>95333333333333.328</v>
      </c>
      <c r="AG138" s="8">
        <f t="shared" si="13"/>
        <v>95333333333333.328</v>
      </c>
      <c r="AH138" s="8">
        <f t="shared" si="13"/>
        <v>95333333333333.328</v>
      </c>
      <c r="AI138" s="8">
        <f t="shared" si="13"/>
        <v>95333333333333.328</v>
      </c>
      <c r="AJ138" s="115">
        <f t="shared" si="13"/>
        <v>95333333333333.328</v>
      </c>
    </row>
    <row r="139" spans="1:36" x14ac:dyDescent="0.2">
      <c r="A139" s="108" t="s">
        <v>716</v>
      </c>
      <c r="B139" t="s">
        <v>537</v>
      </c>
      <c r="C139" t="s">
        <v>312</v>
      </c>
      <c r="G139" s="17">
        <f t="shared" ref="G139:AJ139" si="14">G137/G138*G101*-1</f>
        <v>-5.0768403966212112E-8</v>
      </c>
      <c r="H139" s="17">
        <f t="shared" si="14"/>
        <v>-1.0053149300240022E-7</v>
      </c>
      <c r="I139" s="17">
        <f t="shared" si="14"/>
        <v>-9.953613168554479E-8</v>
      </c>
      <c r="J139" s="17">
        <f t="shared" si="14"/>
        <v>-9.8550625431232451E-8</v>
      </c>
      <c r="K139" s="17">
        <f t="shared" si="14"/>
        <v>-9.7574876664586602E-8</v>
      </c>
      <c r="L139" s="17">
        <f t="shared" si="14"/>
        <v>-9.660878877681839E-8</v>
      </c>
      <c r="M139" s="17">
        <f t="shared" si="14"/>
        <v>-9.5652266115661807E-8</v>
      </c>
      <c r="N139" s="17">
        <f t="shared" si="14"/>
        <v>-9.4705213975902755E-8</v>
      </c>
      <c r="O139" s="17">
        <f t="shared" si="14"/>
        <v>-9.3767538590002706E-8</v>
      </c>
      <c r="P139" s="17">
        <f t="shared" si="14"/>
        <v>-9.2839147118814588E-8</v>
      </c>
      <c r="Q139" s="17">
        <f t="shared" si="14"/>
        <v>-9.1919947642390672E-8</v>
      </c>
      <c r="R139" s="17">
        <f t="shared" si="14"/>
        <v>-9.100984915088186E-8</v>
      </c>
      <c r="S139" s="17">
        <f t="shared" si="14"/>
        <v>-9.0108761535526585E-8</v>
      </c>
      <c r="T139" s="17">
        <f t="shared" si="14"/>
        <v>-8.9216595579729291E-8</v>
      </c>
      <c r="U139" s="17">
        <f t="shared" si="14"/>
        <v>-8.8333262950227036E-8</v>
      </c>
      <c r="V139" s="17">
        <f t="shared" si="14"/>
        <v>-8.7458676188343565E-8</v>
      </c>
      <c r="W139" s="17">
        <f t="shared" si="14"/>
        <v>-8.6592748701330269E-8</v>
      </c>
      <c r="X139" s="17">
        <f t="shared" si="14"/>
        <v>-8.5735394753792334E-8</v>
      </c>
      <c r="Y139" s="17">
        <f t="shared" si="14"/>
        <v>-8.4886529459200367E-8</v>
      </c>
      <c r="Z139" s="17">
        <f t="shared" si="14"/>
        <v>-8.4046068771485489E-8</v>
      </c>
      <c r="AA139" s="17">
        <f t="shared" si="14"/>
        <v>-8.3213929476718322E-8</v>
      </c>
      <c r="AB139" s="17">
        <f t="shared" si="14"/>
        <v>-8.2390029184869597E-8</v>
      </c>
      <c r="AC139" s="17">
        <f t="shared" si="14"/>
        <v>-8.157428632165309E-8</v>
      </c>
      <c r="AD139" s="17">
        <f t="shared" si="14"/>
        <v>-8.0766620120448584E-8</v>
      </c>
      <c r="AE139" s="17">
        <f t="shared" si="14"/>
        <v>-7.9966950614305518E-8</v>
      </c>
      <c r="AF139" s="17">
        <f t="shared" si="14"/>
        <v>-7.9175198628025256E-8</v>
      </c>
      <c r="AG139" s="17">
        <f t="shared" si="14"/>
        <v>-7.8391285770322075E-8</v>
      </c>
      <c r="AH139" s="17">
        <f t="shared" si="14"/>
        <v>-7.7615134426061444E-8</v>
      </c>
      <c r="AI139" s="17">
        <f t="shared" si="14"/>
        <v>-7.68466677485757E-8</v>
      </c>
      <c r="AJ139" s="122">
        <f t="shared" si="14"/>
        <v>-7.6085809652055127E-8</v>
      </c>
    </row>
    <row r="140" spans="1:36" x14ac:dyDescent="0.2">
      <c r="A140" s="22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7"/>
      <c r="AA140" s="17"/>
      <c r="AB140" s="17"/>
      <c r="AC140" s="17"/>
      <c r="AD140" s="17"/>
      <c r="AE140" s="17"/>
      <c r="AF140" s="17"/>
      <c r="AG140" s="17"/>
      <c r="AH140" s="17"/>
      <c r="AI140" s="17"/>
      <c r="AJ140" s="122"/>
    </row>
    <row r="141" spans="1:36" x14ac:dyDescent="0.2">
      <c r="A141" s="173" t="s">
        <v>714</v>
      </c>
      <c r="B141" t="s">
        <v>726</v>
      </c>
      <c r="C141" s="47"/>
      <c r="D141" s="47"/>
      <c r="G141" s="17">
        <f>$C$34*$G$96*C18</f>
        <v>45706.63445386535</v>
      </c>
      <c r="H141" s="17">
        <f>$C$34*$G$96</f>
        <v>91413.2689077307</v>
      </c>
      <c r="I141" s="17">
        <f t="shared" ref="I141:AJ141" si="15">$C$34*$G$96</f>
        <v>91413.2689077307</v>
      </c>
      <c r="J141" s="17">
        <f t="shared" si="15"/>
        <v>91413.2689077307</v>
      </c>
      <c r="K141" s="17">
        <f t="shared" si="15"/>
        <v>91413.2689077307</v>
      </c>
      <c r="L141" s="17">
        <f t="shared" si="15"/>
        <v>91413.2689077307</v>
      </c>
      <c r="M141" s="17">
        <f t="shared" si="15"/>
        <v>91413.2689077307</v>
      </c>
      <c r="N141" s="17">
        <f t="shared" si="15"/>
        <v>91413.2689077307</v>
      </c>
      <c r="O141" s="17">
        <f t="shared" si="15"/>
        <v>91413.2689077307</v>
      </c>
      <c r="P141" s="17">
        <f t="shared" si="15"/>
        <v>91413.2689077307</v>
      </c>
      <c r="Q141" s="17">
        <f t="shared" si="15"/>
        <v>91413.2689077307</v>
      </c>
      <c r="R141" s="17">
        <f t="shared" si="15"/>
        <v>91413.2689077307</v>
      </c>
      <c r="S141" s="17">
        <f t="shared" si="15"/>
        <v>91413.2689077307</v>
      </c>
      <c r="T141" s="17">
        <f t="shared" si="15"/>
        <v>91413.2689077307</v>
      </c>
      <c r="U141" s="17">
        <f t="shared" si="15"/>
        <v>91413.2689077307</v>
      </c>
      <c r="V141" s="17">
        <f t="shared" si="15"/>
        <v>91413.2689077307</v>
      </c>
      <c r="W141" s="17">
        <f t="shared" si="15"/>
        <v>91413.2689077307</v>
      </c>
      <c r="X141" s="17">
        <f t="shared" si="15"/>
        <v>91413.2689077307</v>
      </c>
      <c r="Y141" s="17">
        <f t="shared" si="15"/>
        <v>91413.2689077307</v>
      </c>
      <c r="Z141" s="17">
        <f t="shared" si="15"/>
        <v>91413.2689077307</v>
      </c>
      <c r="AA141" s="17">
        <f t="shared" si="15"/>
        <v>91413.2689077307</v>
      </c>
      <c r="AB141" s="17">
        <f t="shared" si="15"/>
        <v>91413.2689077307</v>
      </c>
      <c r="AC141" s="17">
        <f t="shared" si="15"/>
        <v>91413.2689077307</v>
      </c>
      <c r="AD141" s="17">
        <f t="shared" si="15"/>
        <v>91413.2689077307</v>
      </c>
      <c r="AE141" s="17">
        <f t="shared" si="15"/>
        <v>91413.2689077307</v>
      </c>
      <c r="AF141" s="17">
        <f t="shared" si="15"/>
        <v>91413.2689077307</v>
      </c>
      <c r="AG141" s="17">
        <f t="shared" si="15"/>
        <v>91413.2689077307</v>
      </c>
      <c r="AH141" s="17">
        <f t="shared" si="15"/>
        <v>91413.2689077307</v>
      </c>
      <c r="AI141" s="17">
        <f t="shared" si="15"/>
        <v>91413.2689077307</v>
      </c>
      <c r="AJ141" s="17">
        <f t="shared" si="15"/>
        <v>91413.2689077307</v>
      </c>
    </row>
    <row r="142" spans="1:36" x14ac:dyDescent="0.2">
      <c r="A142" s="173" t="s">
        <v>715</v>
      </c>
      <c r="B142" t="s">
        <v>726</v>
      </c>
      <c r="C142" s="47"/>
      <c r="D142" s="47"/>
      <c r="G142" s="8">
        <f t="shared" ref="G142:AJ142" si="16">$C$38*($D$99/G99)*G99</f>
        <v>43574999999.999992</v>
      </c>
      <c r="H142" s="8">
        <f t="shared" si="16"/>
        <v>43575000000</v>
      </c>
      <c r="I142" s="8">
        <f t="shared" si="16"/>
        <v>43575000000</v>
      </c>
      <c r="J142" s="8">
        <f t="shared" si="16"/>
        <v>43575000000</v>
      </c>
      <c r="K142" s="8">
        <f t="shared" si="16"/>
        <v>43575000000</v>
      </c>
      <c r="L142" s="8">
        <f t="shared" si="16"/>
        <v>43575000000</v>
      </c>
      <c r="M142" s="8">
        <f t="shared" si="16"/>
        <v>43575000000</v>
      </c>
      <c r="N142" s="8">
        <f t="shared" si="16"/>
        <v>43575000000</v>
      </c>
      <c r="O142" s="8">
        <f t="shared" si="16"/>
        <v>43575000000</v>
      </c>
      <c r="P142" s="8">
        <f t="shared" si="16"/>
        <v>43574999999.999992</v>
      </c>
      <c r="Q142" s="8">
        <f t="shared" si="16"/>
        <v>43575000000</v>
      </c>
      <c r="R142" s="8">
        <f t="shared" si="16"/>
        <v>43574999999.999992</v>
      </c>
      <c r="S142" s="8">
        <f t="shared" si="16"/>
        <v>43575000000</v>
      </c>
      <c r="T142" s="8">
        <f t="shared" si="16"/>
        <v>43575000000</v>
      </c>
      <c r="U142" s="8">
        <f t="shared" si="16"/>
        <v>43575000000</v>
      </c>
      <c r="V142" s="8">
        <f t="shared" si="16"/>
        <v>43575000000</v>
      </c>
      <c r="W142" s="8">
        <f t="shared" si="16"/>
        <v>43575000000.000008</v>
      </c>
      <c r="X142" s="8">
        <f t="shared" si="16"/>
        <v>43575000000</v>
      </c>
      <c r="Y142" s="8">
        <f t="shared" si="16"/>
        <v>43575000000</v>
      </c>
      <c r="Z142" s="8">
        <f t="shared" si="16"/>
        <v>43575000000</v>
      </c>
      <c r="AA142" s="8">
        <f t="shared" si="16"/>
        <v>43575000000.000008</v>
      </c>
      <c r="AB142" s="8">
        <f t="shared" si="16"/>
        <v>43575000000</v>
      </c>
      <c r="AC142" s="8">
        <f t="shared" si="16"/>
        <v>43575000000</v>
      </c>
      <c r="AD142" s="8">
        <f t="shared" si="16"/>
        <v>43575000000</v>
      </c>
      <c r="AE142" s="8">
        <f t="shared" si="16"/>
        <v>43575000000</v>
      </c>
      <c r="AF142" s="8">
        <f t="shared" si="16"/>
        <v>43575000000</v>
      </c>
      <c r="AG142" s="8">
        <f t="shared" si="16"/>
        <v>43574999999.999992</v>
      </c>
      <c r="AH142" s="8">
        <f t="shared" si="16"/>
        <v>43575000000</v>
      </c>
      <c r="AI142" s="8">
        <f t="shared" si="16"/>
        <v>43575000000</v>
      </c>
      <c r="AJ142" s="115">
        <f t="shared" si="16"/>
        <v>43575000000</v>
      </c>
    </row>
    <row r="143" spans="1:36" x14ac:dyDescent="0.2">
      <c r="A143" s="108" t="s">
        <v>727</v>
      </c>
      <c r="B143" t="s">
        <v>537</v>
      </c>
      <c r="C143" t="s">
        <v>312</v>
      </c>
      <c r="G143" s="17">
        <f t="shared" ref="G143:AJ143" si="17">G141/G142*-1*G101</f>
        <v>-83.913499857928372</v>
      </c>
      <c r="H143" s="17">
        <f t="shared" si="17"/>
        <v>-167.82699971585672</v>
      </c>
      <c r="I143" s="17">
        <f t="shared" si="17"/>
        <v>-167.82699971585672</v>
      </c>
      <c r="J143" s="17">
        <f t="shared" si="17"/>
        <v>-167.82699971585672</v>
      </c>
      <c r="K143" s="17">
        <f t="shared" si="17"/>
        <v>-167.82699971585672</v>
      </c>
      <c r="L143" s="17">
        <f t="shared" si="17"/>
        <v>-167.82699971585672</v>
      </c>
      <c r="M143" s="17">
        <f t="shared" si="17"/>
        <v>-167.82699971585672</v>
      </c>
      <c r="N143" s="17">
        <f t="shared" si="17"/>
        <v>-167.82699971585672</v>
      </c>
      <c r="O143" s="17">
        <f t="shared" si="17"/>
        <v>-167.82699971585672</v>
      </c>
      <c r="P143" s="17">
        <f t="shared" si="17"/>
        <v>-167.82699971585674</v>
      </c>
      <c r="Q143" s="17">
        <f t="shared" si="17"/>
        <v>-167.82699971585672</v>
      </c>
      <c r="R143" s="17">
        <f t="shared" si="17"/>
        <v>-167.82699971585674</v>
      </c>
      <c r="S143" s="17">
        <f t="shared" si="17"/>
        <v>-167.82699971585672</v>
      </c>
      <c r="T143" s="17">
        <f t="shared" si="17"/>
        <v>-167.82699971585672</v>
      </c>
      <c r="U143" s="17">
        <f t="shared" si="17"/>
        <v>-167.82699971585672</v>
      </c>
      <c r="V143" s="17">
        <f t="shared" si="17"/>
        <v>-167.82699971585672</v>
      </c>
      <c r="W143" s="17">
        <f t="shared" si="17"/>
        <v>-167.82699971585669</v>
      </c>
      <c r="X143" s="17">
        <f t="shared" si="17"/>
        <v>-167.82699971585672</v>
      </c>
      <c r="Y143" s="17">
        <f t="shared" si="17"/>
        <v>-167.82699971585672</v>
      </c>
      <c r="Z143" s="17">
        <f t="shared" si="17"/>
        <v>-167.82699971585672</v>
      </c>
      <c r="AA143" s="17">
        <f t="shared" si="17"/>
        <v>-167.82699971585669</v>
      </c>
      <c r="AB143" s="17">
        <f t="shared" si="17"/>
        <v>-167.82699971585672</v>
      </c>
      <c r="AC143" s="17">
        <f t="shared" si="17"/>
        <v>-167.82699971585672</v>
      </c>
      <c r="AD143" s="17">
        <f t="shared" si="17"/>
        <v>-167.82699971585672</v>
      </c>
      <c r="AE143" s="17">
        <f t="shared" si="17"/>
        <v>-167.82699971585672</v>
      </c>
      <c r="AF143" s="17">
        <f t="shared" si="17"/>
        <v>-167.82699971585672</v>
      </c>
      <c r="AG143" s="17">
        <f t="shared" si="17"/>
        <v>-167.82699971585674</v>
      </c>
      <c r="AH143" s="17">
        <f t="shared" si="17"/>
        <v>-167.82699971585672</v>
      </c>
      <c r="AI143" s="17">
        <f t="shared" si="17"/>
        <v>-167.82699971585672</v>
      </c>
      <c r="AJ143" s="122">
        <f t="shared" si="17"/>
        <v>-167.82699971585672</v>
      </c>
    </row>
    <row r="144" spans="1:36" x14ac:dyDescent="0.2">
      <c r="A144" s="108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7"/>
      <c r="AA144" s="17"/>
      <c r="AB144" s="17"/>
      <c r="AC144" s="17"/>
      <c r="AD144" s="17"/>
      <c r="AE144" s="17"/>
      <c r="AF144" s="17"/>
      <c r="AG144" s="17"/>
      <c r="AH144" s="17"/>
      <c r="AI144" s="17"/>
      <c r="AJ144" s="122"/>
    </row>
    <row r="145" spans="1:38" x14ac:dyDescent="0.2">
      <c r="A145" s="173" t="s">
        <v>728</v>
      </c>
      <c r="B145" t="s">
        <v>681</v>
      </c>
      <c r="G145" s="17">
        <f>$C$35*G96*C18</f>
        <v>8655495.4956921972</v>
      </c>
      <c r="H145" s="17">
        <f t="shared" ref="H145:AJ145" si="18">$C$35*H96</f>
        <v>17139595.040974647</v>
      </c>
      <c r="I145" s="17">
        <f t="shared" si="18"/>
        <v>16969896.080172922</v>
      </c>
      <c r="J145" s="17">
        <f t="shared" si="18"/>
        <v>16801877.307101902</v>
      </c>
      <c r="K145" s="17">
        <f t="shared" si="18"/>
        <v>16635522.086239507</v>
      </c>
      <c r="L145" s="17">
        <f t="shared" si="18"/>
        <v>16470813.946771786</v>
      </c>
      <c r="M145" s="17">
        <f t="shared" si="18"/>
        <v>16307736.58096217</v>
      </c>
      <c r="N145" s="17">
        <f t="shared" si="18"/>
        <v>16146273.842536798</v>
      </c>
      <c r="O145" s="17">
        <f t="shared" si="18"/>
        <v>15986409.745085936</v>
      </c>
      <c r="P145" s="17">
        <f t="shared" si="18"/>
        <v>15828128.460481126</v>
      </c>
      <c r="Q145" s="17">
        <f t="shared" si="18"/>
        <v>15671414.317308048</v>
      </c>
      <c r="R145" s="17">
        <f t="shared" si="18"/>
        <v>15516251.799314898</v>
      </c>
      <c r="S145" s="17">
        <f t="shared" si="18"/>
        <v>15362625.543876136</v>
      </c>
      <c r="T145" s="17">
        <f t="shared" si="18"/>
        <v>15210520.34047142</v>
      </c>
      <c r="U145" s="17">
        <f t="shared" si="18"/>
        <v>15059921.129179629</v>
      </c>
      <c r="V145" s="17">
        <f t="shared" si="18"/>
        <v>14910812.999187745</v>
      </c>
      <c r="W145" s="17">
        <f t="shared" si="18"/>
        <v>14763181.187314598</v>
      </c>
      <c r="X145" s="17">
        <f t="shared" si="18"/>
        <v>14617011.076549107</v>
      </c>
      <c r="Y145" s="17">
        <f t="shared" si="18"/>
        <v>14472288.19460308</v>
      </c>
      <c r="Z145" s="17">
        <f t="shared" si="18"/>
        <v>14328998.212478295</v>
      </c>
      <c r="AA145" s="17">
        <f t="shared" si="18"/>
        <v>14187126.94304782</v>
      </c>
      <c r="AB145" s="17">
        <f t="shared" si="18"/>
        <v>14046660.339651302</v>
      </c>
      <c r="AC145" s="17">
        <f t="shared" si="18"/>
        <v>13907584.494704261</v>
      </c>
      <c r="AD145" s="17">
        <f t="shared" si="18"/>
        <v>13769885.63832105</v>
      </c>
      <c r="AE145" s="17">
        <f t="shared" si="18"/>
        <v>13633550.13695153</v>
      </c>
      <c r="AF145" s="17">
        <f t="shared" si="18"/>
        <v>13498564.492031218</v>
      </c>
      <c r="AG145" s="17">
        <f t="shared" si="18"/>
        <v>13364915.338644776</v>
      </c>
      <c r="AH145" s="17">
        <f t="shared" si="18"/>
        <v>13232589.444202747</v>
      </c>
      <c r="AI145" s="17">
        <f t="shared" si="18"/>
        <v>13101573.707131432</v>
      </c>
      <c r="AJ145" s="17">
        <f t="shared" si="18"/>
        <v>12971855.155575674</v>
      </c>
    </row>
    <row r="146" spans="1:38" x14ac:dyDescent="0.2">
      <c r="A146" s="173" t="s">
        <v>701</v>
      </c>
      <c r="B146" t="s">
        <v>681</v>
      </c>
      <c r="G146" s="8">
        <f t="shared" ref="G146:AJ146" si="19">$C$39*($D$99/G99)*G99</f>
        <v>434256000000</v>
      </c>
      <c r="H146" s="8">
        <f t="shared" si="19"/>
        <v>434256000000</v>
      </c>
      <c r="I146" s="8">
        <f t="shared" si="19"/>
        <v>434256000000</v>
      </c>
      <c r="J146" s="8">
        <f t="shared" si="19"/>
        <v>434256000000</v>
      </c>
      <c r="K146" s="8">
        <f t="shared" si="19"/>
        <v>434256000000</v>
      </c>
      <c r="L146" s="8">
        <f t="shared" si="19"/>
        <v>434256000000</v>
      </c>
      <c r="M146" s="8">
        <f t="shared" si="19"/>
        <v>434256000000.00006</v>
      </c>
      <c r="N146" s="8">
        <f t="shared" si="19"/>
        <v>434256000000.00006</v>
      </c>
      <c r="O146" s="8">
        <f t="shared" si="19"/>
        <v>434256000000.00006</v>
      </c>
      <c r="P146" s="8">
        <f t="shared" si="19"/>
        <v>434256000000</v>
      </c>
      <c r="Q146" s="8">
        <f t="shared" si="19"/>
        <v>434255999999.99994</v>
      </c>
      <c r="R146" s="8">
        <f t="shared" si="19"/>
        <v>434256000000</v>
      </c>
      <c r="S146" s="8">
        <f t="shared" si="19"/>
        <v>434256000000</v>
      </c>
      <c r="T146" s="8">
        <f t="shared" si="19"/>
        <v>434256000000</v>
      </c>
      <c r="U146" s="8">
        <f t="shared" si="19"/>
        <v>434256000000</v>
      </c>
      <c r="V146" s="8">
        <f t="shared" si="19"/>
        <v>434256000000</v>
      </c>
      <c r="W146" s="8">
        <f t="shared" si="19"/>
        <v>434256000000</v>
      </c>
      <c r="X146" s="8">
        <f t="shared" si="19"/>
        <v>434256000000</v>
      </c>
      <c r="Y146" s="8">
        <f t="shared" si="19"/>
        <v>434256000000</v>
      </c>
      <c r="Z146" s="8">
        <f t="shared" si="19"/>
        <v>434256000000</v>
      </c>
      <c r="AA146" s="8">
        <f t="shared" si="19"/>
        <v>434256000000.00006</v>
      </c>
      <c r="AB146" s="8">
        <f t="shared" si="19"/>
        <v>434256000000.00006</v>
      </c>
      <c r="AC146" s="8">
        <f t="shared" si="19"/>
        <v>434256000000</v>
      </c>
      <c r="AD146" s="8">
        <f t="shared" si="19"/>
        <v>434255999999.99994</v>
      </c>
      <c r="AE146" s="8">
        <f t="shared" si="19"/>
        <v>434256000000</v>
      </c>
      <c r="AF146" s="8">
        <f t="shared" si="19"/>
        <v>434256000000</v>
      </c>
      <c r="AG146" s="8">
        <f t="shared" si="19"/>
        <v>434256000000</v>
      </c>
      <c r="AH146" s="8">
        <f t="shared" si="19"/>
        <v>434256000000</v>
      </c>
      <c r="AI146" s="8">
        <f t="shared" si="19"/>
        <v>434256000000</v>
      </c>
      <c r="AJ146" s="115">
        <f t="shared" si="19"/>
        <v>434256000000</v>
      </c>
      <c r="AK146" s="8"/>
      <c r="AL146" s="8"/>
    </row>
    <row r="147" spans="1:38" x14ac:dyDescent="0.2">
      <c r="A147" s="108" t="s">
        <v>729</v>
      </c>
      <c r="B147" t="s">
        <v>537</v>
      </c>
      <c r="C147" t="s">
        <v>312</v>
      </c>
      <c r="G147" s="17">
        <f t="shared" ref="G147:AJ147" si="20">G145/G146*-1*G101</f>
        <v>-1594.5424810604247</v>
      </c>
      <c r="H147" s="17">
        <f t="shared" si="20"/>
        <v>-3157.5098634859892</v>
      </c>
      <c r="I147" s="17">
        <f t="shared" si="20"/>
        <v>-3126.2473895900889</v>
      </c>
      <c r="J147" s="17">
        <f t="shared" si="20"/>
        <v>-3095.2944451387016</v>
      </c>
      <c r="K147" s="17">
        <f t="shared" si="20"/>
        <v>-3064.6479654838631</v>
      </c>
      <c r="L147" s="17">
        <f t="shared" si="20"/>
        <v>-3034.304916320656</v>
      </c>
      <c r="M147" s="17">
        <f t="shared" si="20"/>
        <v>-3004.2622933867888</v>
      </c>
      <c r="N147" s="17">
        <f t="shared" si="20"/>
        <v>-2974.5171221651372</v>
      </c>
      <c r="O147" s="17">
        <f t="shared" si="20"/>
        <v>-2945.0664575892442</v>
      </c>
      <c r="P147" s="17">
        <f t="shared" si="20"/>
        <v>-2915.9073837517271</v>
      </c>
      <c r="Q147" s="17">
        <f t="shared" si="20"/>
        <v>-2887.0370136155725</v>
      </c>
      <c r="R147" s="17">
        <f t="shared" si="20"/>
        <v>-2858.4524887282887</v>
      </c>
      <c r="S147" s="17">
        <f t="shared" si="20"/>
        <v>-2830.1509789389002</v>
      </c>
      <c r="T147" s="17">
        <f t="shared" si="20"/>
        <v>-2802.129682117722</v>
      </c>
      <c r="U147" s="17">
        <f t="shared" si="20"/>
        <v>-2774.3858238789335</v>
      </c>
      <c r="V147" s="17">
        <f t="shared" si="20"/>
        <v>-2746.9166573058737</v>
      </c>
      <c r="W147" s="17">
        <f t="shared" si="20"/>
        <v>-2719.7194626790829</v>
      </c>
      <c r="X147" s="17">
        <f t="shared" si="20"/>
        <v>-2692.7915472070131</v>
      </c>
      <c r="Y147" s="17">
        <f t="shared" si="20"/>
        <v>-2666.1302447594189</v>
      </c>
      <c r="Z147" s="17">
        <f t="shared" si="20"/>
        <v>-2639.7329156033852</v>
      </c>
      <c r="AA147" s="17">
        <f t="shared" si="20"/>
        <v>-2613.5969461419659</v>
      </c>
      <c r="AB147" s="17">
        <f t="shared" si="20"/>
        <v>-2587.7197486554101</v>
      </c>
      <c r="AC147" s="17">
        <f t="shared" si="20"/>
        <v>-2562.0987610449615</v>
      </c>
      <c r="AD147" s="17">
        <f t="shared" si="20"/>
        <v>-2536.7314465791706</v>
      </c>
      <c r="AE147" s="17">
        <f t="shared" si="20"/>
        <v>-2511.6152936427416</v>
      </c>
      <c r="AF147" s="17">
        <f t="shared" si="20"/>
        <v>-2486.7478154878631</v>
      </c>
      <c r="AG147" s="17">
        <f t="shared" si="20"/>
        <v>-2462.1265499879842</v>
      </c>
      <c r="AH147" s="17">
        <f t="shared" si="20"/>
        <v>-2437.7490593940433</v>
      </c>
      <c r="AI147" s="17">
        <f t="shared" si="20"/>
        <v>-2413.6129300931125</v>
      </c>
      <c r="AJ147" s="122">
        <f t="shared" si="20"/>
        <v>-2389.7157723694181</v>
      </c>
    </row>
    <row r="148" spans="1:38" x14ac:dyDescent="0.2">
      <c r="A148" s="108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7"/>
      <c r="AA148" s="17"/>
      <c r="AB148" s="17"/>
      <c r="AC148" s="17"/>
      <c r="AD148" s="17"/>
      <c r="AE148" s="17"/>
      <c r="AF148" s="17"/>
      <c r="AG148" s="17"/>
      <c r="AH148" s="17"/>
      <c r="AI148" s="17"/>
      <c r="AJ148" s="122"/>
    </row>
    <row r="149" spans="1:38" x14ac:dyDescent="0.2">
      <c r="A149" s="118" t="s">
        <v>731</v>
      </c>
      <c r="B149" s="3"/>
      <c r="C149" s="3"/>
      <c r="D149" s="3"/>
      <c r="E149" s="3"/>
      <c r="F149" s="3"/>
      <c r="G149" s="212"/>
      <c r="H149" s="212"/>
      <c r="I149" s="212"/>
      <c r="J149" s="212"/>
      <c r="K149" s="212"/>
      <c r="L149" s="212"/>
      <c r="M149" s="212"/>
      <c r="N149" s="212"/>
      <c r="O149" s="212"/>
      <c r="P149" s="212"/>
      <c r="Q149" s="212"/>
      <c r="R149" s="212"/>
      <c r="S149" s="212"/>
      <c r="T149" s="212"/>
      <c r="U149" s="212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12"/>
      <c r="AF149" s="212"/>
      <c r="AG149" s="212"/>
      <c r="AH149" s="212"/>
      <c r="AI149" s="212"/>
      <c r="AJ149" s="162"/>
    </row>
    <row r="150" spans="1:38" x14ac:dyDescent="0.2">
      <c r="A150" s="173" t="s">
        <v>732</v>
      </c>
      <c r="B150" t="s">
        <v>689</v>
      </c>
      <c r="G150" s="17">
        <f>$C$42*G96*C18</f>
        <v>258180.71119422853</v>
      </c>
      <c r="H150" s="17">
        <f t="shared" ref="H150:AJ150" si="21">$C$42*H96</f>
        <v>511248.93305787828</v>
      </c>
      <c r="I150" s="17">
        <f t="shared" si="21"/>
        <v>506187.06243354292</v>
      </c>
      <c r="J150" s="17">
        <f t="shared" si="21"/>
        <v>501175.30934014142</v>
      </c>
      <c r="K150" s="17">
        <f t="shared" si="21"/>
        <v>496213.17756449652</v>
      </c>
      <c r="L150" s="17">
        <f t="shared" si="21"/>
        <v>491300.17580643209</v>
      </c>
      <c r="M150" s="17">
        <f t="shared" si="21"/>
        <v>486435.81763013091</v>
      </c>
      <c r="N150" s="17">
        <f t="shared" si="21"/>
        <v>481619.62141597108</v>
      </c>
      <c r="O150" s="17">
        <f t="shared" si="21"/>
        <v>476851.11031284259</v>
      </c>
      <c r="P150" s="17">
        <f t="shared" si="21"/>
        <v>472129.81219093333</v>
      </c>
      <c r="Q150" s="17">
        <f t="shared" si="21"/>
        <v>467455.25959498354</v>
      </c>
      <c r="R150" s="17">
        <f t="shared" si="21"/>
        <v>462826.98969800351</v>
      </c>
      <c r="S150" s="17">
        <f t="shared" si="21"/>
        <v>458244.54425544897</v>
      </c>
      <c r="T150" s="17">
        <f t="shared" si="21"/>
        <v>453707.46955985046</v>
      </c>
      <c r="U150" s="17">
        <f t="shared" si="21"/>
        <v>449215.31639589166</v>
      </c>
      <c r="V150" s="17">
        <f t="shared" si="21"/>
        <v>444767.63999593217</v>
      </c>
      <c r="W150" s="17">
        <f t="shared" si="21"/>
        <v>440363.99999597238</v>
      </c>
      <c r="X150" s="17">
        <f t="shared" si="21"/>
        <v>436003.9603920519</v>
      </c>
      <c r="Y150" s="17">
        <f t="shared" si="21"/>
        <v>431687.08949708118</v>
      </c>
      <c r="Z150" s="17">
        <f t="shared" si="21"/>
        <v>427412.95989810012</v>
      </c>
      <c r="AA150" s="17">
        <f t="shared" si="21"/>
        <v>423181.14841396059</v>
      </c>
      <c r="AB150" s="17">
        <f t="shared" si="21"/>
        <v>418991.23605342623</v>
      </c>
      <c r="AC150" s="17">
        <f t="shared" si="21"/>
        <v>414842.80797368934</v>
      </c>
      <c r="AD150" s="17">
        <f t="shared" si="21"/>
        <v>410735.45343929634</v>
      </c>
      <c r="AE150" s="17">
        <f t="shared" si="21"/>
        <v>406668.76578148146</v>
      </c>
      <c r="AF150" s="17">
        <f t="shared" si="21"/>
        <v>402642.34235790244</v>
      </c>
      <c r="AG150" s="17">
        <f t="shared" si="21"/>
        <v>398655.78451277484</v>
      </c>
      <c r="AH150" s="17">
        <f t="shared" si="21"/>
        <v>394708.69753740076</v>
      </c>
      <c r="AI150" s="17">
        <f t="shared" si="21"/>
        <v>390800.69063108991</v>
      </c>
      <c r="AJ150" s="122">
        <f t="shared" si="21"/>
        <v>386931.37686246517</v>
      </c>
    </row>
    <row r="151" spans="1:38" x14ac:dyDescent="0.2">
      <c r="A151" s="173" t="s">
        <v>702</v>
      </c>
      <c r="B151" t="s">
        <v>689</v>
      </c>
      <c r="G151" s="8">
        <f t="shared" ref="G151:AJ151" si="22">$C$47*($D$99/G99)*G99</f>
        <v>173718999999.99997</v>
      </c>
      <c r="H151" s="8">
        <f t="shared" si="22"/>
        <v>173719000000</v>
      </c>
      <c r="I151" s="8">
        <f t="shared" si="22"/>
        <v>173719000000</v>
      </c>
      <c r="J151" s="8">
        <f t="shared" si="22"/>
        <v>173719000000</v>
      </c>
      <c r="K151" s="8">
        <f t="shared" si="22"/>
        <v>173719000000</v>
      </c>
      <c r="L151" s="8">
        <f t="shared" si="22"/>
        <v>173719000000</v>
      </c>
      <c r="M151" s="8">
        <f t="shared" si="22"/>
        <v>173719000000</v>
      </c>
      <c r="N151" s="8">
        <f t="shared" si="22"/>
        <v>173719000000</v>
      </c>
      <c r="O151" s="8">
        <f t="shared" si="22"/>
        <v>173719000000</v>
      </c>
      <c r="P151" s="8">
        <f t="shared" si="22"/>
        <v>173719000000</v>
      </c>
      <c r="Q151" s="8">
        <f t="shared" si="22"/>
        <v>173719000000</v>
      </c>
      <c r="R151" s="8">
        <f t="shared" si="22"/>
        <v>173719000000</v>
      </c>
      <c r="S151" s="8">
        <f t="shared" si="22"/>
        <v>173719000000</v>
      </c>
      <c r="T151" s="8">
        <f t="shared" si="22"/>
        <v>173718999999.99997</v>
      </c>
      <c r="U151" s="8">
        <f t="shared" si="22"/>
        <v>173719000000</v>
      </c>
      <c r="V151" s="8">
        <f t="shared" si="22"/>
        <v>173719000000</v>
      </c>
      <c r="W151" s="8">
        <f t="shared" si="22"/>
        <v>173719000000</v>
      </c>
      <c r="X151" s="8">
        <f t="shared" si="22"/>
        <v>173719000000.00003</v>
      </c>
      <c r="Y151" s="8">
        <f t="shared" si="22"/>
        <v>173719000000</v>
      </c>
      <c r="Z151" s="8">
        <f t="shared" si="22"/>
        <v>173718999999.99997</v>
      </c>
      <c r="AA151" s="8">
        <f t="shared" si="22"/>
        <v>173719000000</v>
      </c>
      <c r="AB151" s="8">
        <f t="shared" si="22"/>
        <v>173719000000</v>
      </c>
      <c r="AC151" s="8">
        <f t="shared" si="22"/>
        <v>173719000000</v>
      </c>
      <c r="AD151" s="8">
        <f t="shared" si="22"/>
        <v>173719000000</v>
      </c>
      <c r="AE151" s="8">
        <f t="shared" si="22"/>
        <v>173719000000</v>
      </c>
      <c r="AF151" s="8">
        <f t="shared" si="22"/>
        <v>173719000000</v>
      </c>
      <c r="AG151" s="8">
        <f t="shared" si="22"/>
        <v>173719000000</v>
      </c>
      <c r="AH151" s="8">
        <f t="shared" si="22"/>
        <v>173719000000</v>
      </c>
      <c r="AI151" s="8">
        <f t="shared" si="22"/>
        <v>173719000000</v>
      </c>
      <c r="AJ151" s="115">
        <f t="shared" si="22"/>
        <v>173719000000</v>
      </c>
    </row>
    <row r="152" spans="1:38" x14ac:dyDescent="0.2">
      <c r="A152" s="108" t="s">
        <v>733</v>
      </c>
      <c r="B152" t="s">
        <v>537</v>
      </c>
      <c r="C152" t="s">
        <v>312</v>
      </c>
      <c r="G152" s="17">
        <f t="shared" ref="G152:AJ152" si="23">G150/G151*-1*G101</f>
        <v>-118.89578512159456</v>
      </c>
      <c r="H152" s="17">
        <f t="shared" si="23"/>
        <v>-235.43719826058327</v>
      </c>
      <c r="I152" s="17">
        <f t="shared" si="23"/>
        <v>-233.10613689166664</v>
      </c>
      <c r="J152" s="17">
        <f t="shared" si="23"/>
        <v>-230.79815533828372</v>
      </c>
      <c r="K152" s="17">
        <f t="shared" si="23"/>
        <v>-228.51302508740969</v>
      </c>
      <c r="L152" s="17">
        <f t="shared" si="23"/>
        <v>-226.25051988852439</v>
      </c>
      <c r="M152" s="17">
        <f t="shared" si="23"/>
        <v>-224.0104157312123</v>
      </c>
      <c r="N152" s="17">
        <f t="shared" si="23"/>
        <v>-221.79249082298244</v>
      </c>
      <c r="O152" s="17">
        <f t="shared" si="23"/>
        <v>-219.59652556730933</v>
      </c>
      <c r="P152" s="17">
        <f t="shared" si="23"/>
        <v>-217.42230254189045</v>
      </c>
      <c r="Q152" s="17">
        <f t="shared" si="23"/>
        <v>-215.26960647711928</v>
      </c>
      <c r="R152" s="17">
        <f t="shared" si="23"/>
        <v>-213.13822423477157</v>
      </c>
      <c r="S152" s="17">
        <f t="shared" si="23"/>
        <v>-211.02794478690254</v>
      </c>
      <c r="T152" s="17">
        <f t="shared" si="23"/>
        <v>-208.938559194953</v>
      </c>
      <c r="U152" s="17">
        <f t="shared" si="23"/>
        <v>-206.8698605890624</v>
      </c>
      <c r="V152" s="17">
        <f t="shared" si="23"/>
        <v>-204.82164414758648</v>
      </c>
      <c r="W152" s="17">
        <f t="shared" si="23"/>
        <v>-202.79370707681827</v>
      </c>
      <c r="X152" s="17">
        <f t="shared" si="23"/>
        <v>-200.78584859090915</v>
      </c>
      <c r="Y152" s="17">
        <f t="shared" si="23"/>
        <v>-198.79786989198934</v>
      </c>
      <c r="Z152" s="17">
        <f t="shared" si="23"/>
        <v>-196.82957415048449</v>
      </c>
      <c r="AA152" s="17">
        <f t="shared" si="23"/>
        <v>-194.88076648562821</v>
      </c>
      <c r="AB152" s="17">
        <f t="shared" si="23"/>
        <v>-192.9512539461665</v>
      </c>
      <c r="AC152" s="17">
        <f t="shared" si="23"/>
        <v>-191.04084549125398</v>
      </c>
      <c r="AD152" s="17">
        <f t="shared" si="23"/>
        <v>-189.14935197153858</v>
      </c>
      <c r="AE152" s="17">
        <f t="shared" si="23"/>
        <v>-187.27658611043418</v>
      </c>
      <c r="AF152" s="17">
        <f t="shared" si="23"/>
        <v>-185.42236248557839</v>
      </c>
      <c r="AG152" s="17">
        <f t="shared" si="23"/>
        <v>-183.58649751047375</v>
      </c>
      <c r="AH152" s="17">
        <f t="shared" si="23"/>
        <v>-181.7688094163106</v>
      </c>
      <c r="AI152" s="17">
        <f t="shared" si="23"/>
        <v>-179.9691182339709</v>
      </c>
      <c r="AJ152" s="122">
        <f t="shared" si="23"/>
        <v>-178.18724577620878</v>
      </c>
    </row>
    <row r="153" spans="1:38" x14ac:dyDescent="0.2">
      <c r="A153" s="108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22"/>
    </row>
    <row r="154" spans="1:38" x14ac:dyDescent="0.2">
      <c r="A154" s="173" t="s">
        <v>734</v>
      </c>
      <c r="B154" t="s">
        <v>688</v>
      </c>
      <c r="G154" s="17">
        <f>$C$43*G96*C18</f>
        <v>11148285.458404671</v>
      </c>
      <c r="H154" s="17">
        <f t="shared" ref="H154:AJ154" si="24">$C$43*H96</f>
        <v>22075812.788920142</v>
      </c>
      <c r="I154" s="17">
        <f t="shared" si="24"/>
        <v>21857240.385069452</v>
      </c>
      <c r="J154" s="17">
        <f t="shared" si="24"/>
        <v>21640832.064425196</v>
      </c>
      <c r="K154" s="17">
        <f t="shared" si="24"/>
        <v>21426566.40042099</v>
      </c>
      <c r="L154" s="17">
        <f t="shared" si="24"/>
        <v>21214422.178634636</v>
      </c>
      <c r="M154" s="17">
        <f t="shared" si="24"/>
        <v>21004378.394687768</v>
      </c>
      <c r="N154" s="17">
        <f t="shared" si="24"/>
        <v>20796414.2521661</v>
      </c>
      <c r="O154" s="17">
        <f t="shared" si="24"/>
        <v>20590509.160560492</v>
      </c>
      <c r="P154" s="17">
        <f t="shared" si="24"/>
        <v>20386642.73322821</v>
      </c>
      <c r="Q154" s="17">
        <f t="shared" si="24"/>
        <v>20184794.78537447</v>
      </c>
      <c r="R154" s="17">
        <f t="shared" si="24"/>
        <v>19984945.33205393</v>
      </c>
      <c r="S154" s="17">
        <f t="shared" si="24"/>
        <v>19787074.586192008</v>
      </c>
      <c r="T154" s="17">
        <f t="shared" si="24"/>
        <v>19591162.956625748</v>
      </c>
      <c r="U154" s="17">
        <f t="shared" si="24"/>
        <v>19397191.046164114</v>
      </c>
      <c r="V154" s="17">
        <f t="shared" si="24"/>
        <v>19205139.649667431</v>
      </c>
      <c r="W154" s="17">
        <f t="shared" si="24"/>
        <v>19014989.752145972</v>
      </c>
      <c r="X154" s="17">
        <f t="shared" si="24"/>
        <v>18826722.526877198</v>
      </c>
      <c r="Y154" s="17">
        <f t="shared" si="24"/>
        <v>18640319.333541784</v>
      </c>
      <c r="Z154" s="17">
        <f t="shared" si="24"/>
        <v>18455761.716378003</v>
      </c>
      <c r="AA154" s="17">
        <f t="shared" si="24"/>
        <v>18273031.40235446</v>
      </c>
      <c r="AB154" s="17">
        <f t="shared" si="24"/>
        <v>18092110.299360849</v>
      </c>
      <c r="AC154" s="17">
        <f t="shared" si="24"/>
        <v>17912980.494416684</v>
      </c>
      <c r="AD154" s="17">
        <f t="shared" si="24"/>
        <v>17735624.251897704</v>
      </c>
      <c r="AE154" s="17">
        <f t="shared" si="24"/>
        <v>17560024.011779901</v>
      </c>
      <c r="AF154" s="17">
        <f t="shared" si="24"/>
        <v>17386162.387900893</v>
      </c>
      <c r="AG154" s="17">
        <f t="shared" si="24"/>
        <v>17214022.166238517</v>
      </c>
      <c r="AH154" s="17">
        <f t="shared" si="24"/>
        <v>17043586.303206448</v>
      </c>
      <c r="AI154" s="17">
        <f t="shared" si="24"/>
        <v>16874837.92396678</v>
      </c>
      <c r="AJ154" s="122">
        <f t="shared" si="24"/>
        <v>16707760.320759185</v>
      </c>
    </row>
    <row r="155" spans="1:38" x14ac:dyDescent="0.2">
      <c r="A155" s="173" t="s">
        <v>703</v>
      </c>
      <c r="B155" t="s">
        <v>688</v>
      </c>
      <c r="G155" s="8">
        <f t="shared" ref="G155:AJ155" si="25">$C$48*($D$99/G99)*G99</f>
        <v>106281500000000</v>
      </c>
      <c r="H155" s="8">
        <f t="shared" si="25"/>
        <v>106281500000000</v>
      </c>
      <c r="I155" s="8">
        <f t="shared" si="25"/>
        <v>106281500000000</v>
      </c>
      <c r="J155" s="8">
        <f t="shared" si="25"/>
        <v>106281500000000</v>
      </c>
      <c r="K155" s="8">
        <f t="shared" si="25"/>
        <v>106281500000000</v>
      </c>
      <c r="L155" s="8">
        <f t="shared" si="25"/>
        <v>106281500000000</v>
      </c>
      <c r="M155" s="8">
        <f t="shared" si="25"/>
        <v>106281500000000</v>
      </c>
      <c r="N155" s="8">
        <f t="shared" si="25"/>
        <v>106281500000000.02</v>
      </c>
      <c r="O155" s="8">
        <f t="shared" si="25"/>
        <v>106281500000000</v>
      </c>
      <c r="P155" s="8">
        <f t="shared" si="25"/>
        <v>106281500000000</v>
      </c>
      <c r="Q155" s="8">
        <f t="shared" si="25"/>
        <v>106281500000000</v>
      </c>
      <c r="R155" s="8">
        <f t="shared" si="25"/>
        <v>106281500000000</v>
      </c>
      <c r="S155" s="8">
        <f t="shared" si="25"/>
        <v>106281500000000</v>
      </c>
      <c r="T155" s="8">
        <f t="shared" si="25"/>
        <v>106281500000000</v>
      </c>
      <c r="U155" s="8">
        <f t="shared" si="25"/>
        <v>106281499999999.98</v>
      </c>
      <c r="V155" s="8">
        <f t="shared" si="25"/>
        <v>106281500000000.02</v>
      </c>
      <c r="W155" s="8">
        <f t="shared" si="25"/>
        <v>106281500000000</v>
      </c>
      <c r="X155" s="8">
        <f t="shared" si="25"/>
        <v>106281500000000</v>
      </c>
      <c r="Y155" s="8">
        <f t="shared" si="25"/>
        <v>106281500000000</v>
      </c>
      <c r="Z155" s="8">
        <f t="shared" si="25"/>
        <v>106281499999999.98</v>
      </c>
      <c r="AA155" s="8">
        <f t="shared" si="25"/>
        <v>106281500000000</v>
      </c>
      <c r="AB155" s="8">
        <f t="shared" si="25"/>
        <v>106281500000000</v>
      </c>
      <c r="AC155" s="8">
        <f t="shared" si="25"/>
        <v>106281500000000</v>
      </c>
      <c r="AD155" s="8">
        <f t="shared" si="25"/>
        <v>106281499999999.98</v>
      </c>
      <c r="AE155" s="8">
        <f t="shared" si="25"/>
        <v>106281500000000</v>
      </c>
      <c r="AF155" s="8">
        <f t="shared" si="25"/>
        <v>106281500000000</v>
      </c>
      <c r="AG155" s="8">
        <f t="shared" si="25"/>
        <v>106281500000000</v>
      </c>
      <c r="AH155" s="8">
        <f t="shared" si="25"/>
        <v>106281500000000</v>
      </c>
      <c r="AI155" s="8">
        <f t="shared" si="25"/>
        <v>106281500000000.02</v>
      </c>
      <c r="AJ155" s="115">
        <f t="shared" si="25"/>
        <v>106281500000000</v>
      </c>
    </row>
    <row r="156" spans="1:38" x14ac:dyDescent="0.2">
      <c r="A156" s="108" t="s">
        <v>735</v>
      </c>
      <c r="B156" t="s">
        <v>537</v>
      </c>
      <c r="C156" t="s">
        <v>312</v>
      </c>
      <c r="G156" s="17">
        <f>G154/G155*-1</f>
        <v>-1.0489394163993425E-7</v>
      </c>
      <c r="H156" s="17">
        <f t="shared" ref="H156:AJ156" si="26">H154/H155*-1</f>
        <v>-2.0771077552462227E-7</v>
      </c>
      <c r="I156" s="17">
        <f t="shared" si="26"/>
        <v>-2.0565423319269536E-7</v>
      </c>
      <c r="J156" s="17">
        <f t="shared" si="26"/>
        <v>-2.0361805266603497E-7</v>
      </c>
      <c r="K156" s="17">
        <f t="shared" si="26"/>
        <v>-2.0160203234260891E-7</v>
      </c>
      <c r="L156" s="17">
        <f t="shared" si="26"/>
        <v>-1.996059726164444E-7</v>
      </c>
      <c r="M156" s="17">
        <f t="shared" si="26"/>
        <v>-1.9762967585786583E-7</v>
      </c>
      <c r="N156" s="17">
        <f t="shared" si="26"/>
        <v>-1.9567294639392649E-7</v>
      </c>
      <c r="O156" s="17">
        <f t="shared" si="26"/>
        <v>-1.9373559048903612E-7</v>
      </c>
      <c r="P156" s="17">
        <f t="shared" si="26"/>
        <v>-1.9181741632577832E-7</v>
      </c>
      <c r="Q156" s="17">
        <f t="shared" si="26"/>
        <v>-1.8991823398591918E-7</v>
      </c>
      <c r="R156" s="17">
        <f t="shared" si="26"/>
        <v>-1.8803785543160313E-7</v>
      </c>
      <c r="S156" s="17">
        <f t="shared" si="26"/>
        <v>-1.8617609448673577E-7</v>
      </c>
      <c r="T156" s="17">
        <f t="shared" si="26"/>
        <v>-1.8433276681855026E-7</v>
      </c>
      <c r="U156" s="17">
        <f t="shared" si="26"/>
        <v>-1.8250768991935677E-7</v>
      </c>
      <c r="V156" s="17">
        <f t="shared" si="26"/>
        <v>-1.8070068308847192E-7</v>
      </c>
      <c r="W156" s="17">
        <f t="shared" si="26"/>
        <v>-1.7891156741432865E-7</v>
      </c>
      <c r="X156" s="17">
        <f t="shared" si="26"/>
        <v>-1.7714016575676105E-7</v>
      </c>
      <c r="Y156" s="17">
        <f t="shared" si="26"/>
        <v>-1.7538630272946641E-7</v>
      </c>
      <c r="Z156" s="17">
        <f t="shared" si="26"/>
        <v>-1.7364980468264003E-7</v>
      </c>
      <c r="AA156" s="17">
        <f t="shared" si="26"/>
        <v>-1.7193049968578219E-7</v>
      </c>
      <c r="AB156" s="17">
        <f t="shared" si="26"/>
        <v>-1.7022821751067542E-7</v>
      </c>
      <c r="AC156" s="17">
        <f t="shared" si="26"/>
        <v>-1.6854278961453014E-7</v>
      </c>
      <c r="AD156" s="17">
        <f t="shared" si="26"/>
        <v>-1.6687404912329714E-7</v>
      </c>
      <c r="AE156" s="17">
        <f t="shared" si="26"/>
        <v>-1.6522183081514564E-7</v>
      </c>
      <c r="AF156" s="17">
        <f t="shared" si="26"/>
        <v>-1.635859711041046E-7</v>
      </c>
      <c r="AG156" s="17">
        <f t="shared" si="26"/>
        <v>-1.6196630802386602E-7</v>
      </c>
      <c r="AH156" s="17">
        <f t="shared" si="26"/>
        <v>-1.6036268121174849E-7</v>
      </c>
      <c r="AI156" s="17">
        <f t="shared" si="26"/>
        <v>-1.5877493189282027E-7</v>
      </c>
      <c r="AJ156" s="122">
        <f t="shared" si="26"/>
        <v>-1.5720290286417848E-7</v>
      </c>
    </row>
    <row r="157" spans="1:38" x14ac:dyDescent="0.2">
      <c r="A157" s="108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22"/>
    </row>
    <row r="158" spans="1:38" x14ac:dyDescent="0.2">
      <c r="A158" s="173" t="s">
        <v>736</v>
      </c>
      <c r="B158" t="s">
        <v>687</v>
      </c>
      <c r="G158" s="17">
        <f t="shared" ref="G158:AJ158" si="27">$C$44*G96</f>
        <v>110.59681592365703</v>
      </c>
      <c r="H158" s="17">
        <f t="shared" si="27"/>
        <v>109.50179794421487</v>
      </c>
      <c r="I158" s="17">
        <f t="shared" si="27"/>
        <v>108.41762172694544</v>
      </c>
      <c r="J158" s="17">
        <f t="shared" si="27"/>
        <v>107.34417992766873</v>
      </c>
      <c r="K158" s="17">
        <f t="shared" si="27"/>
        <v>106.28136626501856</v>
      </c>
      <c r="L158" s="17">
        <f t="shared" si="27"/>
        <v>105.22907550991934</v>
      </c>
      <c r="M158" s="17">
        <f t="shared" si="27"/>
        <v>104.18720347516771</v>
      </c>
      <c r="N158" s="17">
        <f t="shared" si="27"/>
        <v>103.15564700511651</v>
      </c>
      <c r="O158" s="17">
        <f t="shared" si="27"/>
        <v>102.13430396546187</v>
      </c>
      <c r="P158" s="17">
        <f t="shared" si="27"/>
        <v>101.12307323313058</v>
      </c>
      <c r="Q158" s="17">
        <f t="shared" si="27"/>
        <v>100.12185468626792</v>
      </c>
      <c r="R158" s="17">
        <f t="shared" si="27"/>
        <v>99.130549194324672</v>
      </c>
      <c r="S158" s="17">
        <f t="shared" si="27"/>
        <v>98.149058608242228</v>
      </c>
      <c r="T158" s="17">
        <f t="shared" si="27"/>
        <v>97.177285750734882</v>
      </c>
      <c r="U158" s="17">
        <f t="shared" si="27"/>
        <v>96.215134406668227</v>
      </c>
      <c r="V158" s="17">
        <f t="shared" si="27"/>
        <v>95.26250931353286</v>
      </c>
      <c r="W158" s="17">
        <f t="shared" si="27"/>
        <v>94.319316152012732</v>
      </c>
      <c r="X158" s="17">
        <f t="shared" si="27"/>
        <v>93.385461536646261</v>
      </c>
      <c r="Y158" s="17">
        <f t="shared" si="27"/>
        <v>92.460853006580479</v>
      </c>
      <c r="Z158" s="17">
        <f t="shared" si="27"/>
        <v>91.545399016416312</v>
      </c>
      <c r="AA158" s="17">
        <f t="shared" si="27"/>
        <v>90.639008927144872</v>
      </c>
      <c r="AB158" s="17">
        <f t="shared" si="27"/>
        <v>89.741592997173115</v>
      </c>
      <c r="AC158" s="17">
        <f t="shared" si="27"/>
        <v>88.853062373438746</v>
      </c>
      <c r="AD158" s="17">
        <f t="shared" si="27"/>
        <v>87.973329082612608</v>
      </c>
      <c r="AE158" s="17">
        <f t="shared" si="27"/>
        <v>87.102306022388689</v>
      </c>
      <c r="AF158" s="17">
        <f t="shared" si="27"/>
        <v>86.239906952860096</v>
      </c>
      <c r="AG158" s="17">
        <f t="shared" si="27"/>
        <v>85.386046487980323</v>
      </c>
      <c r="AH158" s="17">
        <f t="shared" si="27"/>
        <v>84.540640087109225</v>
      </c>
      <c r="AI158" s="17">
        <f t="shared" si="27"/>
        <v>83.703604046642795</v>
      </c>
      <c r="AJ158" s="122">
        <f t="shared" si="27"/>
        <v>82.874855491725526</v>
      </c>
    </row>
    <row r="159" spans="1:38" x14ac:dyDescent="0.2">
      <c r="A159" s="173" t="s">
        <v>704</v>
      </c>
      <c r="B159" t="s">
        <v>687</v>
      </c>
      <c r="G159" s="8">
        <f t="shared" ref="G159:AJ159" si="28">$C$49*($D$99/G99)*G99</f>
        <v>10624000000</v>
      </c>
      <c r="H159" s="8">
        <f t="shared" si="28"/>
        <v>10624000000</v>
      </c>
      <c r="I159" s="8">
        <f t="shared" si="28"/>
        <v>10624000000</v>
      </c>
      <c r="J159" s="8">
        <f t="shared" si="28"/>
        <v>10624000000</v>
      </c>
      <c r="K159" s="8">
        <f t="shared" si="28"/>
        <v>10624000000</v>
      </c>
      <c r="L159" s="8">
        <f t="shared" si="28"/>
        <v>10624000000</v>
      </c>
      <c r="M159" s="8">
        <f t="shared" si="28"/>
        <v>10624000000</v>
      </c>
      <c r="N159" s="8">
        <f t="shared" si="28"/>
        <v>10624000000</v>
      </c>
      <c r="O159" s="8">
        <f t="shared" si="28"/>
        <v>10624000000</v>
      </c>
      <c r="P159" s="8">
        <f t="shared" si="28"/>
        <v>10624000000</v>
      </c>
      <c r="Q159" s="8">
        <f t="shared" si="28"/>
        <v>10624000000</v>
      </c>
      <c r="R159" s="8">
        <f t="shared" si="28"/>
        <v>10624000000</v>
      </c>
      <c r="S159" s="8">
        <f t="shared" si="28"/>
        <v>10624000000</v>
      </c>
      <c r="T159" s="8">
        <f t="shared" si="28"/>
        <v>10624000000</v>
      </c>
      <c r="U159" s="8">
        <f t="shared" si="28"/>
        <v>10624000000</v>
      </c>
      <c r="V159" s="8">
        <f t="shared" si="28"/>
        <v>10624000000</v>
      </c>
      <c r="W159" s="8">
        <f t="shared" si="28"/>
        <v>10624000000</v>
      </c>
      <c r="X159" s="8">
        <f t="shared" si="28"/>
        <v>10624000000.000002</v>
      </c>
      <c r="Y159" s="8">
        <f t="shared" si="28"/>
        <v>10624000000</v>
      </c>
      <c r="Z159" s="8">
        <f t="shared" si="28"/>
        <v>10624000000</v>
      </c>
      <c r="AA159" s="8">
        <f t="shared" si="28"/>
        <v>10624000000</v>
      </c>
      <c r="AB159" s="8">
        <f t="shared" si="28"/>
        <v>10624000000</v>
      </c>
      <c r="AC159" s="8">
        <f t="shared" si="28"/>
        <v>10624000000</v>
      </c>
      <c r="AD159" s="8">
        <f t="shared" si="28"/>
        <v>10624000000</v>
      </c>
      <c r="AE159" s="8">
        <f t="shared" si="28"/>
        <v>10624000000</v>
      </c>
      <c r="AF159" s="8">
        <f t="shared" si="28"/>
        <v>10624000000</v>
      </c>
      <c r="AG159" s="8">
        <f t="shared" si="28"/>
        <v>10624000000</v>
      </c>
      <c r="AH159" s="8">
        <f t="shared" si="28"/>
        <v>10624000000</v>
      </c>
      <c r="AI159" s="8">
        <f t="shared" si="28"/>
        <v>10624000000.000002</v>
      </c>
      <c r="AJ159" s="115">
        <f t="shared" si="28"/>
        <v>10624000000</v>
      </c>
    </row>
    <row r="160" spans="1:38" x14ac:dyDescent="0.2">
      <c r="A160" s="108" t="s">
        <v>737</v>
      </c>
      <c r="B160" t="s">
        <v>537</v>
      </c>
      <c r="C160" t="s">
        <v>312</v>
      </c>
      <c r="G160" s="17">
        <f t="shared" ref="G160:AJ160" si="29">G158/G159*-1*G101</f>
        <v>-0.83280734882271867</v>
      </c>
      <c r="H160" s="17">
        <f t="shared" si="29"/>
        <v>-0.82456173150764211</v>
      </c>
      <c r="I160" s="17">
        <f t="shared" si="29"/>
        <v>-0.81639775396796266</v>
      </c>
      <c r="J160" s="17">
        <f t="shared" si="29"/>
        <v>-0.80831460788907183</v>
      </c>
      <c r="K160" s="17">
        <f t="shared" si="29"/>
        <v>-0.80031149295947712</v>
      </c>
      <c r="L160" s="17">
        <f t="shared" si="29"/>
        <v>-0.79238761679156133</v>
      </c>
      <c r="M160" s="17">
        <f t="shared" si="29"/>
        <v>-0.78454219484313026</v>
      </c>
      <c r="N160" s="17">
        <f t="shared" si="29"/>
        <v>-0.7767744503397328</v>
      </c>
      <c r="O160" s="17">
        <f t="shared" si="29"/>
        <v>-0.76908361419775506</v>
      </c>
      <c r="P160" s="17">
        <f t="shared" si="29"/>
        <v>-0.76146892494827245</v>
      </c>
      <c r="Q160" s="17">
        <f t="shared" si="29"/>
        <v>-0.75392962866165614</v>
      </c>
      <c r="R160" s="17">
        <f t="shared" si="29"/>
        <v>-0.74646497887292673</v>
      </c>
      <c r="S160" s="17">
        <f t="shared" si="29"/>
        <v>-0.73907423650784809</v>
      </c>
      <c r="T160" s="17">
        <f t="shared" si="29"/>
        <v>-0.73175666980975063</v>
      </c>
      <c r="U160" s="17">
        <f t="shared" si="29"/>
        <v>-0.72451155426708003</v>
      </c>
      <c r="V160" s="17">
        <f t="shared" si="29"/>
        <v>-0.7173381725416631</v>
      </c>
      <c r="W160" s="17">
        <f t="shared" si="29"/>
        <v>-0.71023581439768613</v>
      </c>
      <c r="X160" s="17">
        <f t="shared" si="29"/>
        <v>-0.70320377663137235</v>
      </c>
      <c r="Y160" s="17">
        <f t="shared" si="29"/>
        <v>-0.69624136300135897</v>
      </c>
      <c r="Z160" s="17">
        <f t="shared" si="29"/>
        <v>-0.68934788415976134</v>
      </c>
      <c r="AA160" s="17">
        <f t="shared" si="29"/>
        <v>-0.68252265758392228</v>
      </c>
      <c r="AB160" s="17">
        <f t="shared" si="29"/>
        <v>-0.67576500750883373</v>
      </c>
      <c r="AC160" s="17">
        <f t="shared" si="29"/>
        <v>-0.66907426486023147</v>
      </c>
      <c r="AD160" s="17">
        <f t="shared" si="29"/>
        <v>-0.66244976718834792</v>
      </c>
      <c r="AE160" s="17">
        <f t="shared" si="29"/>
        <v>-0.65589085860232443</v>
      </c>
      <c r="AF160" s="17">
        <f t="shared" si="29"/>
        <v>-0.64939688970527176</v>
      </c>
      <c r="AG160" s="17">
        <f t="shared" si="29"/>
        <v>-0.64296721752997232</v>
      </c>
      <c r="AH160" s="17">
        <f t="shared" si="29"/>
        <v>-0.63660120547522003</v>
      </c>
      <c r="AI160" s="17">
        <f t="shared" si="29"/>
        <v>-0.63029822324279194</v>
      </c>
      <c r="AJ160" s="122">
        <f t="shared" si="29"/>
        <v>-0.62405764677504161</v>
      </c>
    </row>
    <row r="161" spans="1:36" x14ac:dyDescent="0.2">
      <c r="A161" s="108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22"/>
    </row>
    <row r="162" spans="1:36" x14ac:dyDescent="0.2">
      <c r="A162" s="173" t="s">
        <v>738</v>
      </c>
      <c r="B162" t="s">
        <v>686</v>
      </c>
      <c r="G162" s="17">
        <f>$C$45*G96*C18</f>
        <v>352005.79714668391</v>
      </c>
      <c r="H162" s="17">
        <f t="shared" ref="H162:AJ162" si="30">$C$45*H96</f>
        <v>697041.18246868101</v>
      </c>
      <c r="I162" s="17">
        <f t="shared" si="30"/>
        <v>690139.78462245653</v>
      </c>
      <c r="J162" s="17">
        <f t="shared" si="30"/>
        <v>683306.7174479767</v>
      </c>
      <c r="K162" s="17">
        <f t="shared" si="30"/>
        <v>676541.30440393742</v>
      </c>
      <c r="L162" s="17">
        <f t="shared" si="30"/>
        <v>669842.87564746256</v>
      </c>
      <c r="M162" s="17">
        <f t="shared" si="30"/>
        <v>663210.76796778501</v>
      </c>
      <c r="N162" s="17">
        <f t="shared" si="30"/>
        <v>656644.32472057897</v>
      </c>
      <c r="O162" s="17">
        <f t="shared" si="30"/>
        <v>650142.89576294937</v>
      </c>
      <c r="P162" s="17">
        <f t="shared" si="30"/>
        <v>643705.8373890589</v>
      </c>
      <c r="Q162" s="17">
        <f t="shared" si="30"/>
        <v>637332.51226639503</v>
      </c>
      <c r="R162" s="17">
        <f t="shared" si="30"/>
        <v>631022.28937266837</v>
      </c>
      <c r="S162" s="17">
        <f t="shared" si="30"/>
        <v>624774.54393333488</v>
      </c>
      <c r="T162" s="17">
        <f t="shared" si="30"/>
        <v>618588.65735973755</v>
      </c>
      <c r="U162" s="17">
        <f t="shared" si="30"/>
        <v>612464.01718785916</v>
      </c>
      <c r="V162" s="17">
        <f t="shared" si="30"/>
        <v>606400.01701768208</v>
      </c>
      <c r="W162" s="17">
        <f t="shared" si="30"/>
        <v>600396.05645315046</v>
      </c>
      <c r="X162" s="17">
        <f t="shared" si="30"/>
        <v>594451.54104272323</v>
      </c>
      <c r="Y162" s="17">
        <f t="shared" si="30"/>
        <v>588565.88222051819</v>
      </c>
      <c r="Z162" s="17">
        <f t="shared" si="30"/>
        <v>582738.49724803772</v>
      </c>
      <c r="AA162" s="17">
        <f t="shared" si="30"/>
        <v>576968.80915647314</v>
      </c>
      <c r="AB162" s="17">
        <f t="shared" si="30"/>
        <v>571256.24668957724</v>
      </c>
      <c r="AC162" s="17">
        <f t="shared" si="30"/>
        <v>565600.24424710625</v>
      </c>
      <c r="AD162" s="17">
        <f t="shared" si="30"/>
        <v>560000.24182881799</v>
      </c>
      <c r="AE162" s="17">
        <f t="shared" si="30"/>
        <v>554455.6849790276</v>
      </c>
      <c r="AF162" s="17">
        <f t="shared" si="30"/>
        <v>548966.02473171044</v>
      </c>
      <c r="AG162" s="17">
        <f t="shared" si="30"/>
        <v>543530.71755614923</v>
      </c>
      <c r="AH162" s="17">
        <f t="shared" si="30"/>
        <v>538149.225303118</v>
      </c>
      <c r="AI162" s="17">
        <f t="shared" si="30"/>
        <v>532821.01515160198</v>
      </c>
      <c r="AJ162" s="122">
        <f t="shared" si="30"/>
        <v>527545.55955604138</v>
      </c>
    </row>
    <row r="163" spans="1:36" x14ac:dyDescent="0.2">
      <c r="A163" s="173" t="s">
        <v>705</v>
      </c>
      <c r="B163" t="s">
        <v>686</v>
      </c>
      <c r="G163" s="8">
        <f t="shared" ref="G163:AJ163" si="31">$C$50*($D$99/G99)*G99</f>
        <v>36540251999999.992</v>
      </c>
      <c r="H163" s="8">
        <f t="shared" si="31"/>
        <v>36540252000000</v>
      </c>
      <c r="I163" s="8">
        <f t="shared" si="31"/>
        <v>36540252000000</v>
      </c>
      <c r="J163" s="8">
        <f t="shared" si="31"/>
        <v>36540251999999.992</v>
      </c>
      <c r="K163" s="8">
        <f t="shared" si="31"/>
        <v>36540252000000</v>
      </c>
      <c r="L163" s="8">
        <f t="shared" si="31"/>
        <v>36540251999999.992</v>
      </c>
      <c r="M163" s="8">
        <f t="shared" si="31"/>
        <v>36540252000000</v>
      </c>
      <c r="N163" s="8">
        <f t="shared" si="31"/>
        <v>36540252000000</v>
      </c>
      <c r="O163" s="8">
        <f t="shared" si="31"/>
        <v>36540252000000</v>
      </c>
      <c r="P163" s="8">
        <f t="shared" si="31"/>
        <v>36540252000000</v>
      </c>
      <c r="Q163" s="8">
        <f t="shared" si="31"/>
        <v>36540251999999.992</v>
      </c>
      <c r="R163" s="8">
        <f t="shared" si="31"/>
        <v>36540251999999.992</v>
      </c>
      <c r="S163" s="8">
        <f t="shared" si="31"/>
        <v>36540251999999.992</v>
      </c>
      <c r="T163" s="8">
        <f t="shared" si="31"/>
        <v>36540251999999.992</v>
      </c>
      <c r="U163" s="8">
        <f t="shared" si="31"/>
        <v>36540252000000</v>
      </c>
      <c r="V163" s="8">
        <f t="shared" si="31"/>
        <v>36540252000000</v>
      </c>
      <c r="W163" s="8">
        <f t="shared" si="31"/>
        <v>36540252000000</v>
      </c>
      <c r="X163" s="8">
        <f t="shared" si="31"/>
        <v>36540252000000</v>
      </c>
      <c r="Y163" s="8">
        <f t="shared" si="31"/>
        <v>36540252000000</v>
      </c>
      <c r="Z163" s="8">
        <f t="shared" si="31"/>
        <v>36540251999999.992</v>
      </c>
      <c r="AA163" s="8">
        <f t="shared" si="31"/>
        <v>36540252000000</v>
      </c>
      <c r="AB163" s="8">
        <f t="shared" si="31"/>
        <v>36540252000000</v>
      </c>
      <c r="AC163" s="8">
        <f t="shared" si="31"/>
        <v>36540251999999.992</v>
      </c>
      <c r="AD163" s="8">
        <f t="shared" si="31"/>
        <v>36540251999999.992</v>
      </c>
      <c r="AE163" s="8">
        <f t="shared" si="31"/>
        <v>36540251999999.992</v>
      </c>
      <c r="AF163" s="8">
        <f t="shared" si="31"/>
        <v>36540252000000</v>
      </c>
      <c r="AG163" s="8">
        <f t="shared" si="31"/>
        <v>36540252000000</v>
      </c>
      <c r="AH163" s="8">
        <f t="shared" si="31"/>
        <v>36540252000000</v>
      </c>
      <c r="AI163" s="8">
        <f t="shared" si="31"/>
        <v>36540252000000</v>
      </c>
      <c r="AJ163" s="115">
        <f t="shared" si="31"/>
        <v>36540252000000</v>
      </c>
    </row>
    <row r="164" spans="1:36" x14ac:dyDescent="0.2">
      <c r="A164" s="108" t="s">
        <v>739</v>
      </c>
      <c r="B164" t="s">
        <v>537</v>
      </c>
      <c r="C164" t="s">
        <v>312</v>
      </c>
      <c r="G164" s="17">
        <f t="shared" ref="G164:AJ164" si="32">G162/G163*-1*G101</f>
        <v>-0.77066966510616075</v>
      </c>
      <c r="H164" s="17">
        <f t="shared" si="32"/>
        <v>-1.5260785447646743</v>
      </c>
      <c r="I164" s="17">
        <f t="shared" si="32"/>
        <v>-1.5109688562026482</v>
      </c>
      <c r="J164" s="17">
        <f t="shared" si="32"/>
        <v>-1.4960087685174734</v>
      </c>
      <c r="K164" s="17">
        <f t="shared" si="32"/>
        <v>-1.4811968005123499</v>
      </c>
      <c r="L164" s="17">
        <f t="shared" si="32"/>
        <v>-1.4665314856557916</v>
      </c>
      <c r="M164" s="17">
        <f t="shared" si="32"/>
        <v>-1.452011371936428</v>
      </c>
      <c r="N164" s="17">
        <f t="shared" si="32"/>
        <v>-1.4376350217192351</v>
      </c>
      <c r="O164" s="17">
        <f t="shared" si="32"/>
        <v>-1.4234010116032028</v>
      </c>
      <c r="P164" s="17">
        <f t="shared" si="32"/>
        <v>-1.409307932280399</v>
      </c>
      <c r="Q164" s="17">
        <f t="shared" si="32"/>
        <v>-1.395354388396435</v>
      </c>
      <c r="R164" s="17">
        <f t="shared" si="32"/>
        <v>-1.3815389984123121</v>
      </c>
      <c r="S164" s="17">
        <f t="shared" si="32"/>
        <v>-1.3678603944676353</v>
      </c>
      <c r="T164" s="17">
        <f t="shared" si="32"/>
        <v>-1.3543172222451836</v>
      </c>
      <c r="U164" s="17">
        <f t="shared" si="32"/>
        <v>-1.3409081408368155</v>
      </c>
      <c r="V164" s="17">
        <f t="shared" si="32"/>
        <v>-1.327631822610708</v>
      </c>
      <c r="W164" s="17">
        <f t="shared" si="32"/>
        <v>-1.3144869530799088</v>
      </c>
      <c r="X164" s="17">
        <f t="shared" si="32"/>
        <v>-1.3014722307721867</v>
      </c>
      <c r="Y164" s="17">
        <f t="shared" si="32"/>
        <v>-1.2885863671011755</v>
      </c>
      <c r="Z164" s="17">
        <f t="shared" si="32"/>
        <v>-1.2758280862387876</v>
      </c>
      <c r="AA164" s="17">
        <f t="shared" si="32"/>
        <v>-1.2631961249888985</v>
      </c>
      <c r="AB164" s="17">
        <f t="shared" si="32"/>
        <v>-1.2506892326622754</v>
      </c>
      <c r="AC164" s="17">
        <f t="shared" si="32"/>
        <v>-1.2383061709527485</v>
      </c>
      <c r="AD164" s="17">
        <f t="shared" si="32"/>
        <v>-1.2260457138146024</v>
      </c>
      <c r="AE164" s="17">
        <f t="shared" si="32"/>
        <v>-1.2139066473411901</v>
      </c>
      <c r="AF164" s="17">
        <f t="shared" si="32"/>
        <v>-1.2018877696447423</v>
      </c>
      <c r="AG164" s="17">
        <f t="shared" si="32"/>
        <v>-1.1899878907373693</v>
      </c>
      <c r="AH164" s="17">
        <f t="shared" si="32"/>
        <v>-1.1782058324132367</v>
      </c>
      <c r="AI164" s="17">
        <f t="shared" si="32"/>
        <v>-1.1665404281319176</v>
      </c>
      <c r="AJ164" s="122">
        <f t="shared" si="32"/>
        <v>-1.1549905229028883</v>
      </c>
    </row>
    <row r="165" spans="1:36" x14ac:dyDescent="0.2">
      <c r="A165" s="108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7"/>
      <c r="AA165" s="17"/>
      <c r="AB165" s="17"/>
      <c r="AC165" s="17"/>
      <c r="AD165" s="17"/>
      <c r="AE165" s="17"/>
      <c r="AF165" s="17"/>
      <c r="AG165" s="17"/>
      <c r="AH165" s="17"/>
      <c r="AI165" s="17"/>
      <c r="AJ165" s="122"/>
    </row>
    <row r="166" spans="1:36" x14ac:dyDescent="0.2">
      <c r="A166" s="116" t="s">
        <v>741</v>
      </c>
      <c r="B166" s="30"/>
      <c r="C166" s="30"/>
      <c r="D166" s="30"/>
      <c r="E166" s="30"/>
      <c r="F166" s="30"/>
      <c r="G166" s="213"/>
      <c r="H166" s="213"/>
      <c r="I166" s="213"/>
      <c r="J166" s="213"/>
      <c r="K166" s="213"/>
      <c r="L166" s="213"/>
      <c r="M166" s="213"/>
      <c r="N166" s="213"/>
      <c r="O166" s="213"/>
      <c r="P166" s="213"/>
      <c r="Q166" s="213"/>
      <c r="R166" s="213"/>
      <c r="S166" s="213"/>
      <c r="T166" s="213"/>
      <c r="U166" s="21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13"/>
      <c r="AF166" s="213"/>
      <c r="AG166" s="213"/>
      <c r="AH166" s="213"/>
      <c r="AI166" s="213"/>
      <c r="AJ166" s="164"/>
    </row>
    <row r="167" spans="1:36" x14ac:dyDescent="0.2">
      <c r="A167" s="173" t="s">
        <v>742</v>
      </c>
      <c r="B167" t="s">
        <v>698</v>
      </c>
      <c r="G167" s="17">
        <f>$C$53*G96*C18</f>
        <v>4.8731458334930693E-2</v>
      </c>
      <c r="H167" s="17">
        <f t="shared" ref="H167:AJ167" si="33">$C$53*H96</f>
        <v>9.6497937296892461E-2</v>
      </c>
      <c r="I167" s="17">
        <f t="shared" si="33"/>
        <v>9.5542512175141064E-2</v>
      </c>
      <c r="J167" s="17">
        <f t="shared" si="33"/>
        <v>9.4596546708060447E-2</v>
      </c>
      <c r="K167" s="17">
        <f t="shared" si="33"/>
        <v>9.3659947235703422E-2</v>
      </c>
      <c r="L167" s="17">
        <f t="shared" si="33"/>
        <v>9.2732621025448908E-2</v>
      </c>
      <c r="M167" s="17">
        <f t="shared" si="33"/>
        <v>9.1814476262820729E-2</v>
      </c>
      <c r="N167" s="17">
        <f t="shared" si="33"/>
        <v>9.0905422042396739E-2</v>
      </c>
      <c r="O167" s="17">
        <f t="shared" si="33"/>
        <v>9.0005368358808638E-2</v>
      </c>
      <c r="P167" s="17">
        <f t="shared" si="33"/>
        <v>8.9114226097830346E-2</v>
      </c>
      <c r="Q167" s="17">
        <f t="shared" si="33"/>
        <v>8.8231907027554818E-2</v>
      </c>
      <c r="R167" s="17">
        <f t="shared" si="33"/>
        <v>8.7358323789658229E-2</v>
      </c>
      <c r="S167" s="17">
        <f t="shared" si="33"/>
        <v>8.6493389890750713E-2</v>
      </c>
      <c r="T167" s="17">
        <f t="shared" si="33"/>
        <v>8.5637019693812585E-2</v>
      </c>
      <c r="U167" s="17">
        <f t="shared" si="33"/>
        <v>8.4789128409715447E-2</v>
      </c>
      <c r="V167" s="17">
        <f t="shared" si="33"/>
        <v>8.394963208882715E-2</v>
      </c>
      <c r="W167" s="17">
        <f t="shared" si="33"/>
        <v>8.3118447612700139E-2</v>
      </c>
      <c r="X167" s="17">
        <f t="shared" si="33"/>
        <v>8.2295492685841728E-2</v>
      </c>
      <c r="Y167" s="17">
        <f t="shared" si="33"/>
        <v>8.1480685827566082E-2</v>
      </c>
      <c r="Z167" s="17">
        <f t="shared" si="33"/>
        <v>8.0673946363926802E-2</v>
      </c>
      <c r="AA167" s="17">
        <f t="shared" si="33"/>
        <v>7.9875194419729525E-2</v>
      </c>
      <c r="AB167" s="17">
        <f t="shared" si="33"/>
        <v>7.9084350910623269E-2</v>
      </c>
      <c r="AC167" s="17">
        <f t="shared" si="33"/>
        <v>7.8301337535270576E-2</v>
      </c>
      <c r="AD167" s="17">
        <f t="shared" si="33"/>
        <v>7.7526076767594612E-2</v>
      </c>
      <c r="AE167" s="17">
        <f t="shared" si="33"/>
        <v>7.6758491849103563E-2</v>
      </c>
      <c r="AF167" s="17">
        <f t="shared" si="33"/>
        <v>7.5998506781290665E-2</v>
      </c>
      <c r="AG167" s="17">
        <f t="shared" si="33"/>
        <v>7.5246046318109591E-2</v>
      </c>
      <c r="AH167" s="17">
        <f t="shared" si="33"/>
        <v>7.4501035958524336E-2</v>
      </c>
      <c r="AI167" s="17">
        <f t="shared" si="33"/>
        <v>7.3763401939133014E-2</v>
      </c>
      <c r="AJ167" s="122">
        <f t="shared" si="33"/>
        <v>7.3033071226864352E-2</v>
      </c>
    </row>
    <row r="168" spans="1:36" x14ac:dyDescent="0.2">
      <c r="A168" s="173" t="s">
        <v>706</v>
      </c>
      <c r="B168" t="s">
        <v>698</v>
      </c>
      <c r="G168" s="8">
        <f t="shared" ref="G168:AJ168" si="34">$C$56*($D$99/G99)*G99</f>
        <v>8300000000</v>
      </c>
      <c r="H168" s="8">
        <f t="shared" si="34"/>
        <v>8300000000</v>
      </c>
      <c r="I168" s="8">
        <f t="shared" si="34"/>
        <v>8300000000</v>
      </c>
      <c r="J168" s="8">
        <f t="shared" si="34"/>
        <v>8300000000</v>
      </c>
      <c r="K168" s="8">
        <f t="shared" si="34"/>
        <v>8300000000</v>
      </c>
      <c r="L168" s="8">
        <f t="shared" si="34"/>
        <v>8300000000</v>
      </c>
      <c r="M168" s="8">
        <f t="shared" si="34"/>
        <v>8300000000</v>
      </c>
      <c r="N168" s="8">
        <f t="shared" si="34"/>
        <v>8300000000</v>
      </c>
      <c r="O168" s="8">
        <f t="shared" si="34"/>
        <v>8300000000</v>
      </c>
      <c r="P168" s="8">
        <f t="shared" si="34"/>
        <v>8300000000</v>
      </c>
      <c r="Q168" s="8">
        <f t="shared" si="34"/>
        <v>8300000000</v>
      </c>
      <c r="R168" s="8">
        <f t="shared" si="34"/>
        <v>8300000000</v>
      </c>
      <c r="S168" s="8">
        <f t="shared" si="34"/>
        <v>8300000000</v>
      </c>
      <c r="T168" s="8">
        <f t="shared" si="34"/>
        <v>8300000000</v>
      </c>
      <c r="U168" s="8">
        <f t="shared" si="34"/>
        <v>8300000000</v>
      </c>
      <c r="V168" s="8">
        <f t="shared" si="34"/>
        <v>8300000000</v>
      </c>
      <c r="W168" s="8">
        <f t="shared" si="34"/>
        <v>8300000000</v>
      </c>
      <c r="X168" s="8">
        <f t="shared" si="34"/>
        <v>8300000000</v>
      </c>
      <c r="Y168" s="8">
        <f t="shared" si="34"/>
        <v>8300000000</v>
      </c>
      <c r="Z168" s="8">
        <f t="shared" si="34"/>
        <v>8300000000</v>
      </c>
      <c r="AA168" s="8">
        <f t="shared" si="34"/>
        <v>8300000000.000001</v>
      </c>
      <c r="AB168" s="8">
        <f t="shared" si="34"/>
        <v>8300000000</v>
      </c>
      <c r="AC168" s="8">
        <f t="shared" si="34"/>
        <v>8300000000</v>
      </c>
      <c r="AD168" s="8">
        <f t="shared" si="34"/>
        <v>8300000000</v>
      </c>
      <c r="AE168" s="8">
        <f t="shared" si="34"/>
        <v>8300000000</v>
      </c>
      <c r="AF168" s="8">
        <f t="shared" si="34"/>
        <v>8300000000</v>
      </c>
      <c r="AG168" s="8">
        <f t="shared" si="34"/>
        <v>8300000000</v>
      </c>
      <c r="AH168" s="8">
        <f t="shared" si="34"/>
        <v>8300000000</v>
      </c>
      <c r="AI168" s="8">
        <f t="shared" si="34"/>
        <v>8300000000</v>
      </c>
      <c r="AJ168" s="115">
        <f t="shared" si="34"/>
        <v>8300000000</v>
      </c>
    </row>
    <row r="169" spans="1:36" x14ac:dyDescent="0.2">
      <c r="A169" s="108" t="s">
        <v>743</v>
      </c>
      <c r="B169" t="s">
        <v>537</v>
      </c>
      <c r="C169" t="s">
        <v>312</v>
      </c>
      <c r="G169" s="17">
        <f t="shared" ref="G169:AJ169" si="35">G167/G168*-1*G101</f>
        <v>-4.6970080322824762E-4</v>
      </c>
      <c r="H169" s="17">
        <f t="shared" si="35"/>
        <v>-9.3010060045197558E-4</v>
      </c>
      <c r="I169" s="17">
        <f t="shared" si="35"/>
        <v>-9.2089168361581756E-4</v>
      </c>
      <c r="J169" s="17">
        <f t="shared" si="35"/>
        <v>-9.1177394417407665E-4</v>
      </c>
      <c r="K169" s="17">
        <f t="shared" si="35"/>
        <v>-9.0274647938027393E-4</v>
      </c>
      <c r="L169" s="17">
        <f t="shared" si="35"/>
        <v>-8.938083954260135E-4</v>
      </c>
      <c r="M169" s="17">
        <f t="shared" si="35"/>
        <v>-8.8495880735248904E-4</v>
      </c>
      <c r="N169" s="17">
        <f t="shared" si="35"/>
        <v>-8.7619683896286011E-4</v>
      </c>
      <c r="O169" s="17">
        <f t="shared" si="35"/>
        <v>-8.6752162273550499E-4</v>
      </c>
      <c r="P169" s="17">
        <f t="shared" si="35"/>
        <v>-8.5893229973812383E-4</v>
      </c>
      <c r="Q169" s="17">
        <f t="shared" si="35"/>
        <v>-8.5042801954269707E-4</v>
      </c>
      <c r="R169" s="17">
        <f t="shared" si="35"/>
        <v>-8.4200794014128414E-4</v>
      </c>
      <c r="S169" s="17">
        <f t="shared" si="35"/>
        <v>-8.3367122786265747E-4</v>
      </c>
      <c r="T169" s="17">
        <f t="shared" si="35"/>
        <v>-8.2541705728975991E-4</v>
      </c>
      <c r="U169" s="17">
        <f t="shared" si="35"/>
        <v>-8.1724461117798014E-4</v>
      </c>
      <c r="V169" s="17">
        <f t="shared" si="35"/>
        <v>-8.0915308037423749E-4</v>
      </c>
      <c r="W169" s="17">
        <f t="shared" si="35"/>
        <v>-8.0114166373686875E-4</v>
      </c>
      <c r="X169" s="17">
        <f t="shared" si="35"/>
        <v>-7.9320956805630578E-4</v>
      </c>
      <c r="Y169" s="17">
        <f t="shared" si="35"/>
        <v>-7.8535600797654051E-4</v>
      </c>
      <c r="Z169" s="17">
        <f t="shared" si="35"/>
        <v>-7.7758020591736675E-4</v>
      </c>
      <c r="AA169" s="17">
        <f t="shared" si="35"/>
        <v>-7.6988139199739292E-4</v>
      </c>
      <c r="AB169" s="17">
        <f t="shared" si="35"/>
        <v>-7.6225880395781463E-4</v>
      </c>
      <c r="AC169" s="17">
        <f t="shared" si="35"/>
        <v>-7.5471168708694531E-4</v>
      </c>
      <c r="AD169" s="17">
        <f t="shared" si="35"/>
        <v>-7.4723929414549021E-4</v>
      </c>
      <c r="AE169" s="17">
        <f t="shared" si="35"/>
        <v>-7.3984088529256448E-4</v>
      </c>
      <c r="AF169" s="17">
        <f t="shared" si="35"/>
        <v>-7.3251572801244014E-4</v>
      </c>
      <c r="AG169" s="17">
        <f t="shared" si="35"/>
        <v>-7.2526309704202022E-4</v>
      </c>
      <c r="AH169" s="17">
        <f t="shared" si="35"/>
        <v>-7.1808227429902977E-4</v>
      </c>
      <c r="AI169" s="17">
        <f t="shared" si="35"/>
        <v>-7.1097254881092068E-4</v>
      </c>
      <c r="AJ169" s="122">
        <f t="shared" si="35"/>
        <v>-7.039332166444757E-4</v>
      </c>
    </row>
    <row r="170" spans="1:36" x14ac:dyDescent="0.2">
      <c r="A170" s="108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22"/>
    </row>
    <row r="171" spans="1:36" x14ac:dyDescent="0.2">
      <c r="A171" s="173" t="s">
        <v>744</v>
      </c>
      <c r="B171" t="s">
        <v>698</v>
      </c>
      <c r="G171" s="17">
        <f>$C$54*G96*C18</f>
        <v>0.30966902017698494</v>
      </c>
      <c r="H171" s="17">
        <f t="shared" ref="H171:AJ171" si="36">$C$54*H96</f>
        <v>0.61320598054848496</v>
      </c>
      <c r="I171" s="17">
        <f t="shared" si="36"/>
        <v>0.60713463420642089</v>
      </c>
      <c r="J171" s="17">
        <f t="shared" si="36"/>
        <v>0.60112340020437705</v>
      </c>
      <c r="K171" s="17">
        <f t="shared" si="36"/>
        <v>0.59517168337067039</v>
      </c>
      <c r="L171" s="17">
        <f t="shared" si="36"/>
        <v>0.58927889442640613</v>
      </c>
      <c r="M171" s="17">
        <f t="shared" si="36"/>
        <v>0.58344444992713507</v>
      </c>
      <c r="N171" s="17">
        <f t="shared" si="36"/>
        <v>0.57766777220508403</v>
      </c>
      <c r="O171" s="17">
        <f t="shared" si="36"/>
        <v>0.57194828931196429</v>
      </c>
      <c r="P171" s="17">
        <f t="shared" si="36"/>
        <v>0.56628543496234096</v>
      </c>
      <c r="Q171" s="17">
        <f t="shared" si="36"/>
        <v>0.56067864847756543</v>
      </c>
      <c r="R171" s="17">
        <f t="shared" si="36"/>
        <v>0.55512737473026275</v>
      </c>
      <c r="S171" s="17">
        <f t="shared" si="36"/>
        <v>0.54963106408936901</v>
      </c>
      <c r="T171" s="17">
        <f t="shared" si="36"/>
        <v>0.54418917236571185</v>
      </c>
      <c r="U171" s="17">
        <f t="shared" si="36"/>
        <v>0.53880116075813067</v>
      </c>
      <c r="V171" s="17">
        <f t="shared" si="36"/>
        <v>0.53346649580012917</v>
      </c>
      <c r="W171" s="17">
        <f t="shared" si="36"/>
        <v>0.52818464930705855</v>
      </c>
      <c r="X171" s="17">
        <f t="shared" si="36"/>
        <v>0.52295509832382037</v>
      </c>
      <c r="Y171" s="17">
        <f t="shared" si="36"/>
        <v>0.5177773250730896</v>
      </c>
      <c r="Z171" s="17">
        <f t="shared" si="36"/>
        <v>0.51265081690404901</v>
      </c>
      <c r="AA171" s="17">
        <f t="shared" si="36"/>
        <v>0.50757506624163284</v>
      </c>
      <c r="AB171" s="17">
        <f t="shared" si="36"/>
        <v>0.50254957053626992</v>
      </c>
      <c r="AC171" s="17">
        <f t="shared" si="36"/>
        <v>0.49757383221412871</v>
      </c>
      <c r="AD171" s="17">
        <f t="shared" si="36"/>
        <v>0.49264735862785014</v>
      </c>
      <c r="AE171" s="17">
        <f t="shared" si="36"/>
        <v>0.48776966200777233</v>
      </c>
      <c r="AF171" s="17">
        <f t="shared" si="36"/>
        <v>0.482940259413636</v>
      </c>
      <c r="AG171" s="17">
        <f t="shared" si="36"/>
        <v>0.47815867268676848</v>
      </c>
      <c r="AH171" s="17">
        <f t="shared" si="36"/>
        <v>0.47342442840274102</v>
      </c>
      <c r="AI171" s="17">
        <f t="shared" si="36"/>
        <v>0.4687370578244961</v>
      </c>
      <c r="AJ171" s="122">
        <f t="shared" si="36"/>
        <v>0.46409609685593661</v>
      </c>
    </row>
    <row r="172" spans="1:36" x14ac:dyDescent="0.2">
      <c r="A172" s="173" t="s">
        <v>707</v>
      </c>
      <c r="B172" t="s">
        <v>698</v>
      </c>
      <c r="G172" s="8">
        <f t="shared" ref="G172:AJ172" si="37">$C$57*($D$99/G99)*G99</f>
        <v>8300000000</v>
      </c>
      <c r="H172" s="8">
        <f t="shared" si="37"/>
        <v>8300000000</v>
      </c>
      <c r="I172" s="8">
        <f t="shared" si="37"/>
        <v>8300000000</v>
      </c>
      <c r="J172" s="8">
        <f t="shared" si="37"/>
        <v>8300000000</v>
      </c>
      <c r="K172" s="8">
        <f t="shared" si="37"/>
        <v>8300000000</v>
      </c>
      <c r="L172" s="8">
        <f t="shared" si="37"/>
        <v>8300000000</v>
      </c>
      <c r="M172" s="8">
        <f t="shared" si="37"/>
        <v>8300000000</v>
      </c>
      <c r="N172" s="8">
        <f t="shared" si="37"/>
        <v>8300000000</v>
      </c>
      <c r="O172" s="8">
        <f t="shared" si="37"/>
        <v>8300000000</v>
      </c>
      <c r="P172" s="8">
        <f t="shared" si="37"/>
        <v>8300000000</v>
      </c>
      <c r="Q172" s="8">
        <f t="shared" si="37"/>
        <v>8300000000</v>
      </c>
      <c r="R172" s="8">
        <f t="shared" si="37"/>
        <v>8300000000</v>
      </c>
      <c r="S172" s="8">
        <f t="shared" si="37"/>
        <v>8300000000</v>
      </c>
      <c r="T172" s="8">
        <f t="shared" si="37"/>
        <v>8300000000</v>
      </c>
      <c r="U172" s="8">
        <f t="shared" si="37"/>
        <v>8300000000</v>
      </c>
      <c r="V172" s="8">
        <f t="shared" si="37"/>
        <v>8300000000</v>
      </c>
      <c r="W172" s="8">
        <f t="shared" si="37"/>
        <v>8300000000</v>
      </c>
      <c r="X172" s="8">
        <f t="shared" si="37"/>
        <v>8300000000</v>
      </c>
      <c r="Y172" s="8">
        <f t="shared" si="37"/>
        <v>8300000000</v>
      </c>
      <c r="Z172" s="8">
        <f t="shared" si="37"/>
        <v>8300000000</v>
      </c>
      <c r="AA172" s="8">
        <f t="shared" si="37"/>
        <v>8300000000.000001</v>
      </c>
      <c r="AB172" s="8">
        <f t="shared" si="37"/>
        <v>8300000000</v>
      </c>
      <c r="AC172" s="8">
        <f t="shared" si="37"/>
        <v>8300000000</v>
      </c>
      <c r="AD172" s="8">
        <f t="shared" si="37"/>
        <v>8300000000</v>
      </c>
      <c r="AE172" s="8">
        <f t="shared" si="37"/>
        <v>8300000000</v>
      </c>
      <c r="AF172" s="8">
        <f t="shared" si="37"/>
        <v>8300000000</v>
      </c>
      <c r="AG172" s="8">
        <f t="shared" si="37"/>
        <v>8300000000</v>
      </c>
      <c r="AH172" s="8">
        <f t="shared" si="37"/>
        <v>8300000000</v>
      </c>
      <c r="AI172" s="8">
        <f t="shared" si="37"/>
        <v>8300000000</v>
      </c>
      <c r="AJ172" s="115">
        <f t="shared" si="37"/>
        <v>8300000000</v>
      </c>
    </row>
    <row r="173" spans="1:36" x14ac:dyDescent="0.2">
      <c r="A173" s="108" t="s">
        <v>743</v>
      </c>
      <c r="B173" t="s">
        <v>537</v>
      </c>
      <c r="C173" t="s">
        <v>312</v>
      </c>
      <c r="G173" s="17">
        <f t="shared" ref="G173:AJ173" si="38">G171/G172*-1*G101</f>
        <v>-2.9847616402600956E-3</v>
      </c>
      <c r="H173" s="17">
        <f t="shared" si="38"/>
        <v>-5.9104190896239516E-3</v>
      </c>
      <c r="I173" s="17">
        <f t="shared" si="38"/>
        <v>-5.8519000887365877E-3</v>
      </c>
      <c r="J173" s="17">
        <f t="shared" si="38"/>
        <v>-5.7939604838976094E-3</v>
      </c>
      <c r="K173" s="17">
        <f t="shared" si="38"/>
        <v>-5.7365945385124857E-3</v>
      </c>
      <c r="L173" s="17">
        <f t="shared" si="38"/>
        <v>-5.6797965727846374E-3</v>
      </c>
      <c r="M173" s="17">
        <f t="shared" si="38"/>
        <v>-5.623560963153109E-3</v>
      </c>
      <c r="N173" s="17">
        <f t="shared" si="38"/>
        <v>-5.5678821417357496E-3</v>
      </c>
      <c r="O173" s="17">
        <f t="shared" si="38"/>
        <v>-5.5127545957779694E-3</v>
      </c>
      <c r="P173" s="17">
        <f t="shared" si="38"/>
        <v>-5.4581728671069E-3</v>
      </c>
      <c r="Q173" s="17">
        <f t="shared" si="38"/>
        <v>-5.404131551590992E-3</v>
      </c>
      <c r="R173" s="17">
        <f t="shared" si="38"/>
        <v>-5.3506252986049423E-3</v>
      </c>
      <c r="S173" s="17">
        <f t="shared" si="38"/>
        <v>-5.2976488104999418E-3</v>
      </c>
      <c r="T173" s="17">
        <f t="shared" si="38"/>
        <v>-5.24519684207915E-3</v>
      </c>
      <c r="U173" s="17">
        <f t="shared" si="38"/>
        <v>-5.1932642000783683E-3</v>
      </c>
      <c r="V173" s="17">
        <f t="shared" si="38"/>
        <v>-5.1418457426518471E-3</v>
      </c>
      <c r="W173" s="17">
        <f t="shared" si="38"/>
        <v>-5.090936378863215E-3</v>
      </c>
      <c r="X173" s="17">
        <f t="shared" si="38"/>
        <v>-5.0405310681814006E-3</v>
      </c>
      <c r="Y173" s="17">
        <f t="shared" si="38"/>
        <v>-4.9906248199815869E-3</v>
      </c>
      <c r="Z173" s="17">
        <f t="shared" si="38"/>
        <v>-4.9412126930510752E-3</v>
      </c>
      <c r="AA173" s="17">
        <f t="shared" si="38"/>
        <v>-4.8922897951000754E-3</v>
      </c>
      <c r="AB173" s="17">
        <f t="shared" si="38"/>
        <v>-4.8438512822773002E-3</v>
      </c>
      <c r="AC173" s="17">
        <f t="shared" si="38"/>
        <v>-4.7958923586903963E-3</v>
      </c>
      <c r="AD173" s="17">
        <f t="shared" si="38"/>
        <v>-4.7484082759310861E-3</v>
      </c>
      <c r="AE173" s="17">
        <f t="shared" si="38"/>
        <v>-4.701394332605034E-3</v>
      </c>
      <c r="AF173" s="17">
        <f t="shared" si="38"/>
        <v>-4.6548458738663711E-3</v>
      </c>
      <c r="AG173" s="17">
        <f t="shared" si="38"/>
        <v>-4.6087582909568048E-3</v>
      </c>
      <c r="AH173" s="17">
        <f t="shared" si="38"/>
        <v>-4.5631270207493113E-3</v>
      </c>
      <c r="AI173" s="17">
        <f t="shared" si="38"/>
        <v>-4.5179475452963476E-3</v>
      </c>
      <c r="AJ173" s="122">
        <f t="shared" si="38"/>
        <v>-4.4732153913825219E-3</v>
      </c>
    </row>
    <row r="174" spans="1:36" x14ac:dyDescent="0.2">
      <c r="A174" s="108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22"/>
    </row>
    <row r="175" spans="1:36" x14ac:dyDescent="0.2">
      <c r="A175" s="108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7"/>
      <c r="AA175" s="17"/>
      <c r="AB175" s="17"/>
      <c r="AC175" s="17"/>
      <c r="AD175" s="17"/>
      <c r="AE175" s="17"/>
      <c r="AF175" s="17"/>
      <c r="AG175" s="17"/>
      <c r="AH175" s="17"/>
      <c r="AI175" s="17"/>
      <c r="AJ175" s="122"/>
    </row>
    <row r="176" spans="1:36" x14ac:dyDescent="0.2">
      <c r="A176" s="185" t="s">
        <v>773</v>
      </c>
      <c r="B176" s="176"/>
      <c r="C176" s="176"/>
      <c r="D176" s="176"/>
      <c r="E176" s="176"/>
      <c r="F176" s="176"/>
      <c r="G176" s="215"/>
      <c r="H176" s="215"/>
      <c r="I176" s="215"/>
      <c r="J176" s="215"/>
      <c r="K176" s="215"/>
      <c r="L176" s="215"/>
      <c r="M176" s="215"/>
      <c r="N176" s="215"/>
      <c r="O176" s="215"/>
      <c r="P176" s="215"/>
      <c r="Q176" s="215"/>
      <c r="R176" s="215"/>
      <c r="S176" s="215"/>
      <c r="T176" s="215"/>
      <c r="U176" s="215"/>
      <c r="V176" s="215"/>
      <c r="W176" s="215"/>
      <c r="X176" s="215"/>
      <c r="Y176" s="215"/>
      <c r="Z176" s="215"/>
      <c r="AA176" s="215"/>
      <c r="AB176" s="215"/>
      <c r="AC176" s="215"/>
      <c r="AD176" s="215"/>
      <c r="AE176" s="215"/>
      <c r="AF176" s="215"/>
      <c r="AG176" s="215"/>
      <c r="AH176" s="215"/>
      <c r="AI176" s="215"/>
      <c r="AJ176" s="190"/>
    </row>
    <row r="177" spans="1:36" x14ac:dyDescent="0.2">
      <c r="A177" s="185" t="s">
        <v>774</v>
      </c>
      <c r="B177" s="176"/>
      <c r="C177" s="176"/>
      <c r="D177" s="176"/>
      <c r="E177" s="176"/>
      <c r="F177" s="176"/>
      <c r="G177" s="215"/>
      <c r="H177" s="215"/>
      <c r="I177" s="215"/>
      <c r="J177" s="215"/>
      <c r="K177" s="215"/>
      <c r="L177" s="215"/>
      <c r="M177" s="215"/>
      <c r="N177" s="215"/>
      <c r="O177" s="215"/>
      <c r="P177" s="215"/>
      <c r="Q177" s="215"/>
      <c r="R177" s="215"/>
      <c r="S177" s="215"/>
      <c r="T177" s="215"/>
      <c r="U177" s="215"/>
      <c r="V177" s="215"/>
      <c r="W177" s="215"/>
      <c r="X177" s="215"/>
      <c r="Y177" s="215"/>
      <c r="Z177" s="215"/>
      <c r="AA177" s="215"/>
      <c r="AB177" s="215"/>
      <c r="AC177" s="215"/>
      <c r="AD177" s="215"/>
      <c r="AE177" s="215"/>
      <c r="AF177" s="215"/>
      <c r="AG177" s="215"/>
      <c r="AH177" s="215"/>
      <c r="AI177" s="215"/>
      <c r="AJ177" s="190"/>
    </row>
    <row r="178" spans="1:36" x14ac:dyDescent="0.2">
      <c r="A178" s="185" t="s">
        <v>782</v>
      </c>
      <c r="B178" s="176"/>
      <c r="C178" s="176"/>
      <c r="D178" s="176"/>
      <c r="E178" s="176"/>
      <c r="F178" s="176"/>
      <c r="G178" s="215"/>
      <c r="H178" s="215"/>
      <c r="I178" s="215"/>
      <c r="J178" s="215"/>
      <c r="K178" s="215"/>
      <c r="L178" s="215"/>
      <c r="M178" s="215"/>
      <c r="N178" s="215"/>
      <c r="O178" s="215"/>
      <c r="P178" s="215"/>
      <c r="Q178" s="215"/>
      <c r="R178" s="215"/>
      <c r="S178" s="215"/>
      <c r="T178" s="215"/>
      <c r="U178" s="215"/>
      <c r="V178" s="215"/>
      <c r="W178" s="215"/>
      <c r="X178" s="215"/>
      <c r="Y178" s="215"/>
      <c r="Z178" s="215"/>
      <c r="AA178" s="215"/>
      <c r="AB178" s="215"/>
      <c r="AC178" s="215"/>
      <c r="AD178" s="215"/>
      <c r="AE178" s="215"/>
      <c r="AF178" s="215"/>
      <c r="AG178" s="215"/>
      <c r="AH178" s="215"/>
      <c r="AI178" s="215"/>
      <c r="AJ178" s="190"/>
    </row>
    <row r="179" spans="1:36" x14ac:dyDescent="0.2">
      <c r="A179" s="185" t="s">
        <v>775</v>
      </c>
      <c r="B179" s="176"/>
      <c r="C179" s="176"/>
      <c r="D179" s="176"/>
      <c r="E179" s="176"/>
      <c r="F179" s="176"/>
      <c r="G179" s="215"/>
      <c r="H179" s="215"/>
      <c r="I179" s="215"/>
      <c r="J179" s="215"/>
      <c r="K179" s="215"/>
      <c r="L179" s="215"/>
      <c r="M179" s="215"/>
      <c r="N179" s="215"/>
      <c r="O179" s="215"/>
      <c r="P179" s="215"/>
      <c r="Q179" s="215"/>
      <c r="R179" s="215"/>
      <c r="S179" s="215"/>
      <c r="T179" s="215"/>
      <c r="U179" s="215"/>
      <c r="V179" s="215"/>
      <c r="W179" s="215"/>
      <c r="X179" s="215"/>
      <c r="Y179" s="215"/>
      <c r="Z179" s="215"/>
      <c r="AA179" s="215"/>
      <c r="AB179" s="215"/>
      <c r="AC179" s="215"/>
      <c r="AD179" s="215"/>
      <c r="AE179" s="215"/>
      <c r="AF179" s="215"/>
      <c r="AG179" s="215"/>
      <c r="AH179" s="215"/>
      <c r="AI179" s="215"/>
      <c r="AJ179" s="190"/>
    </row>
    <row r="180" spans="1:36" x14ac:dyDescent="0.2">
      <c r="A180" s="185" t="s">
        <v>568</v>
      </c>
      <c r="B180" s="176"/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176"/>
      <c r="AH180" s="176"/>
      <c r="AI180" s="176"/>
      <c r="AJ180" s="186"/>
    </row>
    <row r="181" spans="1:36" x14ac:dyDescent="0.2">
      <c r="A181" s="22" t="s">
        <v>569</v>
      </c>
      <c r="B181" t="s">
        <v>570</v>
      </c>
      <c r="G181" s="216">
        <f>$C$71*G96*C18</f>
        <v>208.41584158415841</v>
      </c>
      <c r="H181" s="216">
        <f t="shared" ref="H181:AJ181" si="39">$C$71*H96</f>
        <v>412.70463680031366</v>
      </c>
      <c r="I181" s="216">
        <f t="shared" si="39"/>
        <v>408.61845227753832</v>
      </c>
      <c r="J181" s="216">
        <f t="shared" si="39"/>
        <v>404.57272502726562</v>
      </c>
      <c r="K181" s="216">
        <f t="shared" si="39"/>
        <v>400.56705448244128</v>
      </c>
      <c r="L181" s="216">
        <f t="shared" si="39"/>
        <v>396.60104404202099</v>
      </c>
      <c r="M181" s="216">
        <f t="shared" si="39"/>
        <v>392.67430103170403</v>
      </c>
      <c r="N181" s="216">
        <f t="shared" si="39"/>
        <v>388.78643666505343</v>
      </c>
      <c r="O181" s="216">
        <f t="shared" si="39"/>
        <v>384.93706600500332</v>
      </c>
      <c r="P181" s="216">
        <f t="shared" si="39"/>
        <v>381.1258079257459</v>
      </c>
      <c r="Q181" s="216">
        <f t="shared" si="39"/>
        <v>377.35228507499602</v>
      </c>
      <c r="R181" s="216">
        <f t="shared" si="39"/>
        <v>373.6161238366297</v>
      </c>
      <c r="S181" s="216">
        <f t="shared" si="39"/>
        <v>369.91695429369275</v>
      </c>
      <c r="T181" s="216">
        <f t="shared" si="39"/>
        <v>366.25441019177498</v>
      </c>
      <c r="U181" s="216">
        <f t="shared" si="39"/>
        <v>362.62812890274762</v>
      </c>
      <c r="V181" s="216">
        <f t="shared" si="39"/>
        <v>359.03775138885885</v>
      </c>
      <c r="W181" s="216">
        <f t="shared" si="39"/>
        <v>355.48292216718698</v>
      </c>
      <c r="X181" s="216">
        <f t="shared" si="39"/>
        <v>351.96328927444256</v>
      </c>
      <c r="Y181" s="216">
        <f t="shared" si="39"/>
        <v>348.4785042321214</v>
      </c>
      <c r="Z181" s="216">
        <f t="shared" si="39"/>
        <v>345.02822201200138</v>
      </c>
      <c r="AA181" s="216">
        <f t="shared" si="39"/>
        <v>341.61210100198161</v>
      </c>
      <c r="AB181" s="216">
        <f t="shared" si="39"/>
        <v>338.22980297225894</v>
      </c>
      <c r="AC181" s="216">
        <f t="shared" si="39"/>
        <v>334.88099304184055</v>
      </c>
      <c r="AD181" s="216">
        <f t="shared" si="39"/>
        <v>331.56533964538664</v>
      </c>
      <c r="AE181" s="216">
        <f t="shared" si="39"/>
        <v>328.28251450038272</v>
      </c>
      <c r="AF181" s="216">
        <f t="shared" si="39"/>
        <v>325.03219257463638</v>
      </c>
      <c r="AG181" s="216">
        <f t="shared" si="39"/>
        <v>321.81405205409555</v>
      </c>
      <c r="AH181" s="216">
        <f t="shared" si="39"/>
        <v>318.62777431098567</v>
      </c>
      <c r="AI181" s="216">
        <f t="shared" si="39"/>
        <v>315.47304387226302</v>
      </c>
      <c r="AJ181" s="123">
        <f t="shared" si="39"/>
        <v>312.34954838837916</v>
      </c>
    </row>
    <row r="182" spans="1:36" x14ac:dyDescent="0.2">
      <c r="A182" s="22"/>
      <c r="AJ182" s="29"/>
    </row>
    <row r="183" spans="1:36" x14ac:dyDescent="0.2">
      <c r="A183" s="108" t="s">
        <v>776</v>
      </c>
      <c r="B183" t="s">
        <v>537</v>
      </c>
      <c r="C183" t="s">
        <v>313</v>
      </c>
      <c r="G183" s="17">
        <f>G181/G99*G102*C18</f>
        <v>9.7835710808180237E-2</v>
      </c>
      <c r="H183" s="17">
        <f t="shared" ref="H183:AJ183" si="40">H181/H99*H102</f>
        <v>0.38408818558342123</v>
      </c>
      <c r="I183" s="17">
        <f t="shared" si="40"/>
        <v>0.37696801373990202</v>
      </c>
      <c r="J183" s="17">
        <f t="shared" si="40"/>
        <v>0.36997983462353273</v>
      </c>
      <c r="K183" s="17">
        <f t="shared" si="40"/>
        <v>0.36312120137201814</v>
      </c>
      <c r="L183" s="17">
        <f t="shared" si="40"/>
        <v>0.35638971248264584</v>
      </c>
      <c r="M183" s="17">
        <f t="shared" si="40"/>
        <v>0.34978301097141778</v>
      </c>
      <c r="N183" s="17">
        <f t="shared" si="40"/>
        <v>0.34329878354776755</v>
      </c>
      <c r="O183" s="17">
        <f t="shared" si="40"/>
        <v>0.3369347598045786</v>
      </c>
      <c r="P183" s="17">
        <f t="shared" si="40"/>
        <v>0.33068871142321687</v>
      </c>
      <c r="Q183" s="17">
        <f t="shared" si="40"/>
        <v>0.32455845139330042</v>
      </c>
      <c r="R183" s="17">
        <f t="shared" si="40"/>
        <v>0.3185418332469323</v>
      </c>
      <c r="S183" s="17">
        <f t="shared" si="40"/>
        <v>0.31263675030713117</v>
      </c>
      <c r="T183" s="17">
        <f t="shared" si="40"/>
        <v>0.306841134950192</v>
      </c>
      <c r="U183" s="17">
        <f t="shared" si="40"/>
        <v>0.30115295788172214</v>
      </c>
      <c r="V183" s="17">
        <f t="shared" si="40"/>
        <v>0.29557022742609779</v>
      </c>
      <c r="W183" s="17">
        <f t="shared" si="40"/>
        <v>0.2900909888290939</v>
      </c>
      <c r="X183" s="17">
        <f t="shared" si="40"/>
        <v>0.28471332357343881</v>
      </c>
      <c r="Y183" s="17">
        <f t="shared" si="40"/>
        <v>0.27943534870705994</v>
      </c>
      <c r="Z183" s="17">
        <f t="shared" si="40"/>
        <v>0.27425521618378074</v>
      </c>
      <c r="AA183" s="17">
        <f t="shared" si="40"/>
        <v>0.26917111221624046</v>
      </c>
      <c r="AB183" s="17">
        <f t="shared" si="40"/>
        <v>0.26418125664080877</v>
      </c>
      <c r="AC183" s="17">
        <f t="shared" si="40"/>
        <v>0.25928390229427456</v>
      </c>
      <c r="AD183" s="17">
        <f t="shared" si="40"/>
        <v>0.25447733440208786</v>
      </c>
      <c r="AE183" s="17">
        <f t="shared" si="40"/>
        <v>0.24975986997794447</v>
      </c>
      <c r="AF183" s="17">
        <f t="shared" si="40"/>
        <v>0.2451298572344992</v>
      </c>
      <c r="AG183" s="17">
        <f t="shared" si="40"/>
        <v>0.2405856750050048</v>
      </c>
      <c r="AH183" s="17">
        <f t="shared" si="40"/>
        <v>0.23612573217567073</v>
      </c>
      <c r="AI183" s="17">
        <f t="shared" si="40"/>
        <v>0.23174846712854671</v>
      </c>
      <c r="AJ183" s="122">
        <f t="shared" si="40"/>
        <v>0.22745234719473259</v>
      </c>
    </row>
    <row r="184" spans="1:36" x14ac:dyDescent="0.2">
      <c r="A184" s="22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22"/>
    </row>
    <row r="185" spans="1:36" x14ac:dyDescent="0.2">
      <c r="A185" s="173" t="s">
        <v>780</v>
      </c>
      <c r="B185" t="s">
        <v>779</v>
      </c>
      <c r="G185" s="17">
        <f>$C$75*$C$76*G96*C18</f>
        <v>13547.029702970296</v>
      </c>
      <c r="H185" s="17">
        <f t="shared" ref="H185:AJ185" si="41">$C$75*$C$76*H96</f>
        <v>26825.801392020388</v>
      </c>
      <c r="I185" s="17">
        <f t="shared" si="41"/>
        <v>26560.199398039993</v>
      </c>
      <c r="J185" s="17">
        <f t="shared" si="41"/>
        <v>26297.227126772264</v>
      </c>
      <c r="K185" s="17">
        <f t="shared" si="41"/>
        <v>26036.858541358684</v>
      </c>
      <c r="L185" s="17">
        <f t="shared" si="41"/>
        <v>25779.067862731365</v>
      </c>
      <c r="M185" s="17">
        <f t="shared" si="41"/>
        <v>25523.829567060762</v>
      </c>
      <c r="N185" s="17">
        <f t="shared" si="41"/>
        <v>25271.118383228473</v>
      </c>
      <c r="O185" s="17">
        <f t="shared" si="41"/>
        <v>25020.909290325217</v>
      </c>
      <c r="P185" s="17">
        <f t="shared" si="41"/>
        <v>24773.177515173484</v>
      </c>
      <c r="Q185" s="17">
        <f t="shared" si="41"/>
        <v>24527.898529874739</v>
      </c>
      <c r="R185" s="17">
        <f t="shared" si="41"/>
        <v>24285.04804938093</v>
      </c>
      <c r="S185" s="17">
        <f t="shared" si="41"/>
        <v>24044.602029090027</v>
      </c>
      <c r="T185" s="17">
        <f t="shared" si="41"/>
        <v>23806.536662465373</v>
      </c>
      <c r="U185" s="17">
        <f t="shared" si="41"/>
        <v>23570.828378678594</v>
      </c>
      <c r="V185" s="17">
        <f t="shared" si="41"/>
        <v>23337.453840275826</v>
      </c>
      <c r="W185" s="17">
        <f t="shared" si="41"/>
        <v>23106.389940867153</v>
      </c>
      <c r="X185" s="17">
        <f t="shared" si="41"/>
        <v>22877.613802838765</v>
      </c>
      <c r="Y185" s="17">
        <f t="shared" si="41"/>
        <v>22651.102775087893</v>
      </c>
      <c r="Z185" s="17">
        <f t="shared" si="41"/>
        <v>22426.834430780087</v>
      </c>
      <c r="AA185" s="17">
        <f t="shared" si="41"/>
        <v>22204.786565128805</v>
      </c>
      <c r="AB185" s="17">
        <f t="shared" si="41"/>
        <v>21984.937193196831</v>
      </c>
      <c r="AC185" s="17">
        <f t="shared" si="41"/>
        <v>21767.264547719635</v>
      </c>
      <c r="AD185" s="17">
        <f t="shared" si="41"/>
        <v>21551.747076950131</v>
      </c>
      <c r="AE185" s="17">
        <f t="shared" si="41"/>
        <v>21338.363442524878</v>
      </c>
      <c r="AF185" s="17">
        <f t="shared" si="41"/>
        <v>21127.092517351364</v>
      </c>
      <c r="AG185" s="17">
        <f t="shared" si="41"/>
        <v>20917.91338351621</v>
      </c>
      <c r="AH185" s="17">
        <f t="shared" si="41"/>
        <v>20710.805330214069</v>
      </c>
      <c r="AI185" s="17">
        <f t="shared" si="41"/>
        <v>20505.747851697099</v>
      </c>
      <c r="AJ185" s="122">
        <f t="shared" si="41"/>
        <v>20302.720645244648</v>
      </c>
    </row>
    <row r="186" spans="1:36" x14ac:dyDescent="0.2">
      <c r="A186" s="173" t="s">
        <v>777</v>
      </c>
      <c r="B186" t="s">
        <v>779</v>
      </c>
      <c r="G186">
        <f t="shared" ref="G186:AJ186" si="42">$C$80*$C$82*(1+$C$5)^G95</f>
        <v>196413359999.99997</v>
      </c>
      <c r="H186">
        <f t="shared" si="42"/>
        <v>198141797568</v>
      </c>
      <c r="I186">
        <f t="shared" si="42"/>
        <v>199885445386.59836</v>
      </c>
      <c r="J186">
        <f t="shared" si="42"/>
        <v>201644437306.00043</v>
      </c>
      <c r="K186">
        <f t="shared" si="42"/>
        <v>203418908354.29321</v>
      </c>
      <c r="L186">
        <f t="shared" si="42"/>
        <v>205208994747.81097</v>
      </c>
      <c r="M186">
        <f t="shared" si="42"/>
        <v>207014833901.59167</v>
      </c>
      <c r="N186">
        <f t="shared" si="42"/>
        <v>208836564439.92572</v>
      </c>
      <c r="O186">
        <f t="shared" si="42"/>
        <v>210674326206.99704</v>
      </c>
      <c r="P186">
        <f t="shared" si="42"/>
        <v>212528260277.61859</v>
      </c>
      <c r="Q186">
        <f t="shared" si="42"/>
        <v>214398508968.06165</v>
      </c>
      <c r="R186">
        <f t="shared" si="42"/>
        <v>216285215846.98059</v>
      </c>
      <c r="S186">
        <f t="shared" si="42"/>
        <v>218188525746.43396</v>
      </c>
      <c r="T186">
        <f t="shared" si="42"/>
        <v>220108584773.00259</v>
      </c>
      <c r="U186">
        <f t="shared" si="42"/>
        <v>222045540319.005</v>
      </c>
      <c r="V186">
        <f t="shared" si="42"/>
        <v>223999541073.81223</v>
      </c>
      <c r="W186">
        <f t="shared" si="42"/>
        <v>225970737035.26178</v>
      </c>
      <c r="X186">
        <f t="shared" si="42"/>
        <v>227959279521.17209</v>
      </c>
      <c r="Y186">
        <f t="shared" si="42"/>
        <v>229965321180.95837</v>
      </c>
      <c r="Z186">
        <f t="shared" si="42"/>
        <v>231989016007.3508</v>
      </c>
      <c r="AA186">
        <f t="shared" si="42"/>
        <v>234030519348.21545</v>
      </c>
      <c r="AB186">
        <f t="shared" si="42"/>
        <v>236089987918.47974</v>
      </c>
      <c r="AC186">
        <f t="shared" si="42"/>
        <v>238167579812.16232</v>
      </c>
      <c r="AD186">
        <f t="shared" si="42"/>
        <v>240263454514.50937</v>
      </c>
      <c r="AE186">
        <f t="shared" si="42"/>
        <v>242377772914.23706</v>
      </c>
      <c r="AF186">
        <f t="shared" si="42"/>
        <v>244510697315.88232</v>
      </c>
      <c r="AG186">
        <f t="shared" si="42"/>
        <v>246662391452.26205</v>
      </c>
      <c r="AH186">
        <f t="shared" si="42"/>
        <v>248833020497.04199</v>
      </c>
      <c r="AI186">
        <f t="shared" si="42"/>
        <v>251022751077.41589</v>
      </c>
      <c r="AJ186" s="29">
        <f t="shared" si="42"/>
        <v>253231751286.89716</v>
      </c>
    </row>
    <row r="187" spans="1:36" x14ac:dyDescent="0.2">
      <c r="A187" s="108" t="s">
        <v>778</v>
      </c>
      <c r="B187" t="s">
        <v>537</v>
      </c>
      <c r="C187" t="s">
        <v>313</v>
      </c>
      <c r="G187" s="17">
        <f t="shared" ref="G187:AJ187" si="43">G185/G186*G102</f>
        <v>0.55177630291423341</v>
      </c>
      <c r="H187" s="17">
        <f t="shared" si="43"/>
        <v>1.0830951054762317</v>
      </c>
      <c r="I187" s="17">
        <f t="shared" si="43"/>
        <v>1.0630168433392406</v>
      </c>
      <c r="J187" s="17">
        <f t="shared" si="43"/>
        <v>1.043310789153705</v>
      </c>
      <c r="K187" s="17">
        <f t="shared" si="43"/>
        <v>1.0239700429818641</v>
      </c>
      <c r="L187" s="17">
        <f t="shared" si="43"/>
        <v>1.0049878327960129</v>
      </c>
      <c r="M187" s="17">
        <f t="shared" si="43"/>
        <v>0.98635751210732991</v>
      </c>
      <c r="N187" s="17">
        <f t="shared" si="43"/>
        <v>0.96807255763865074</v>
      </c>
      <c r="O187" s="17">
        <f t="shared" si="43"/>
        <v>0.95012656704039178</v>
      </c>
      <c r="P187" s="17">
        <f t="shared" si="43"/>
        <v>0.93251325664880924</v>
      </c>
      <c r="Q187" s="17">
        <f t="shared" si="43"/>
        <v>0.91522645928581881</v>
      </c>
      <c r="R187" s="17">
        <f t="shared" si="43"/>
        <v>0.89826012209960149</v>
      </c>
      <c r="S187" s="17">
        <f t="shared" si="43"/>
        <v>0.88160830444523997</v>
      </c>
      <c r="T187" s="17">
        <f t="shared" si="43"/>
        <v>0.8652651758046418</v>
      </c>
      <c r="U187" s="17">
        <f t="shared" si="43"/>
        <v>0.84922501374502601</v>
      </c>
      <c r="V187" s="17">
        <f t="shared" si="43"/>
        <v>0.83348220191525046</v>
      </c>
      <c r="W187" s="17">
        <f t="shared" si="43"/>
        <v>0.81803122807928874</v>
      </c>
      <c r="X187" s="17">
        <f t="shared" si="43"/>
        <v>0.80286668218615664</v>
      </c>
      <c r="Y187" s="17">
        <f t="shared" si="43"/>
        <v>0.78798325447562145</v>
      </c>
      <c r="Z187" s="17">
        <f t="shared" si="43"/>
        <v>0.77337573361902512</v>
      </c>
      <c r="AA187" s="17">
        <f t="shared" si="43"/>
        <v>0.75903900489457665</v>
      </c>
      <c r="AB187" s="17">
        <f t="shared" si="43"/>
        <v>0.74496804839646413</v>
      </c>
      <c r="AC187" s="17">
        <f t="shared" si="43"/>
        <v>0.73115793727717293</v>
      </c>
      <c r="AD187" s="17">
        <f t="shared" si="43"/>
        <v>0.71760383602238209</v>
      </c>
      <c r="AE187" s="17">
        <f t="shared" si="43"/>
        <v>0.70430099875784391</v>
      </c>
      <c r="AF187" s="17">
        <f t="shared" si="43"/>
        <v>0.69124476758764841</v>
      </c>
      <c r="AG187" s="17">
        <f t="shared" si="43"/>
        <v>0.67843057096329407</v>
      </c>
      <c r="AH187" s="17">
        <f t="shared" si="43"/>
        <v>0.66585392208299032</v>
      </c>
      <c r="AI187" s="17">
        <f t="shared" si="43"/>
        <v>0.6535104173206383</v>
      </c>
      <c r="AJ187" s="122">
        <f t="shared" si="43"/>
        <v>0.64139573468392819</v>
      </c>
    </row>
    <row r="188" spans="1:36" x14ac:dyDescent="0.2">
      <c r="A188" s="108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7"/>
      <c r="AA188" s="17"/>
      <c r="AB188" s="17"/>
      <c r="AC188" s="17"/>
      <c r="AD188" s="17"/>
      <c r="AE188" s="17"/>
      <c r="AF188" s="17"/>
      <c r="AG188" s="17"/>
      <c r="AH188" s="17"/>
      <c r="AI188" s="17"/>
      <c r="AJ188" s="122"/>
    </row>
    <row r="189" spans="1:36" x14ac:dyDescent="0.2">
      <c r="A189" s="108" t="s">
        <v>783</v>
      </c>
      <c r="B189" t="s">
        <v>537</v>
      </c>
      <c r="C189" t="s">
        <v>313</v>
      </c>
      <c r="G189" s="17">
        <f>G183</f>
        <v>9.7835710808180237E-2</v>
      </c>
      <c r="H189" s="17">
        <f t="shared" ref="H189:AJ189" si="44">H183</f>
        <v>0.38408818558342123</v>
      </c>
      <c r="I189" s="17">
        <f t="shared" si="44"/>
        <v>0.37696801373990202</v>
      </c>
      <c r="J189" s="17">
        <f t="shared" si="44"/>
        <v>0.36997983462353273</v>
      </c>
      <c r="K189" s="17">
        <f t="shared" si="44"/>
        <v>0.36312120137201814</v>
      </c>
      <c r="L189" s="17">
        <f t="shared" si="44"/>
        <v>0.35638971248264584</v>
      </c>
      <c r="M189" s="17">
        <f t="shared" si="44"/>
        <v>0.34978301097141778</v>
      </c>
      <c r="N189" s="17">
        <f t="shared" si="44"/>
        <v>0.34329878354776755</v>
      </c>
      <c r="O189" s="17">
        <f t="shared" si="44"/>
        <v>0.3369347598045786</v>
      </c>
      <c r="P189" s="17">
        <f t="shared" si="44"/>
        <v>0.33068871142321687</v>
      </c>
      <c r="Q189" s="17">
        <f t="shared" si="44"/>
        <v>0.32455845139330042</v>
      </c>
      <c r="R189" s="17">
        <f t="shared" si="44"/>
        <v>0.3185418332469323</v>
      </c>
      <c r="S189" s="17">
        <f t="shared" si="44"/>
        <v>0.31263675030713117</v>
      </c>
      <c r="T189" s="17">
        <f t="shared" si="44"/>
        <v>0.306841134950192</v>
      </c>
      <c r="U189" s="17">
        <f t="shared" si="44"/>
        <v>0.30115295788172214</v>
      </c>
      <c r="V189" s="17">
        <f t="shared" si="44"/>
        <v>0.29557022742609779</v>
      </c>
      <c r="W189" s="17">
        <f t="shared" si="44"/>
        <v>0.2900909888290939</v>
      </c>
      <c r="X189" s="17">
        <f t="shared" si="44"/>
        <v>0.28471332357343881</v>
      </c>
      <c r="Y189" s="17">
        <f t="shared" si="44"/>
        <v>0.27943534870705994</v>
      </c>
      <c r="Z189" s="17">
        <f t="shared" si="44"/>
        <v>0.27425521618378074</v>
      </c>
      <c r="AA189" s="17">
        <f t="shared" si="44"/>
        <v>0.26917111221624046</v>
      </c>
      <c r="AB189" s="17">
        <f t="shared" si="44"/>
        <v>0.26418125664080877</v>
      </c>
      <c r="AC189" s="17">
        <f t="shared" si="44"/>
        <v>0.25928390229427456</v>
      </c>
      <c r="AD189" s="17">
        <f t="shared" si="44"/>
        <v>0.25447733440208786</v>
      </c>
      <c r="AE189" s="17">
        <f t="shared" si="44"/>
        <v>0.24975986997794447</v>
      </c>
      <c r="AF189" s="17">
        <f t="shared" si="44"/>
        <v>0.2451298572344992</v>
      </c>
      <c r="AG189" s="17">
        <f t="shared" si="44"/>
        <v>0.2405856750050048</v>
      </c>
      <c r="AH189" s="17">
        <f t="shared" si="44"/>
        <v>0.23612573217567073</v>
      </c>
      <c r="AI189" s="17">
        <f t="shared" si="44"/>
        <v>0.23174846712854671</v>
      </c>
      <c r="AJ189" s="122">
        <f t="shared" si="44"/>
        <v>0.22745234719473259</v>
      </c>
    </row>
    <row r="190" spans="1:36" x14ac:dyDescent="0.2">
      <c r="A190" s="108" t="s">
        <v>784</v>
      </c>
      <c r="B190" t="s">
        <v>537</v>
      </c>
      <c r="C190" t="s">
        <v>313</v>
      </c>
      <c r="G190" s="17">
        <f>G183</f>
        <v>9.7835710808180237E-2</v>
      </c>
      <c r="H190" s="17">
        <f t="shared" ref="H190:AJ190" si="45">H183</f>
        <v>0.38408818558342123</v>
      </c>
      <c r="I190" s="17">
        <f t="shared" si="45"/>
        <v>0.37696801373990202</v>
      </c>
      <c r="J190" s="17">
        <f t="shared" si="45"/>
        <v>0.36997983462353273</v>
      </c>
      <c r="K190" s="17">
        <f t="shared" si="45"/>
        <v>0.36312120137201814</v>
      </c>
      <c r="L190" s="17">
        <f t="shared" si="45"/>
        <v>0.35638971248264584</v>
      </c>
      <c r="M190" s="17">
        <f t="shared" si="45"/>
        <v>0.34978301097141778</v>
      </c>
      <c r="N190" s="17">
        <f t="shared" si="45"/>
        <v>0.34329878354776755</v>
      </c>
      <c r="O190" s="17">
        <f t="shared" si="45"/>
        <v>0.3369347598045786</v>
      </c>
      <c r="P190" s="17">
        <f t="shared" si="45"/>
        <v>0.33068871142321687</v>
      </c>
      <c r="Q190" s="17">
        <f t="shared" si="45"/>
        <v>0.32455845139330042</v>
      </c>
      <c r="R190" s="17">
        <f t="shared" si="45"/>
        <v>0.3185418332469323</v>
      </c>
      <c r="S190" s="17">
        <f t="shared" si="45"/>
        <v>0.31263675030713117</v>
      </c>
      <c r="T190" s="17">
        <f t="shared" si="45"/>
        <v>0.306841134950192</v>
      </c>
      <c r="U190" s="17">
        <f t="shared" si="45"/>
        <v>0.30115295788172214</v>
      </c>
      <c r="V190" s="17">
        <f t="shared" si="45"/>
        <v>0.29557022742609779</v>
      </c>
      <c r="W190" s="17">
        <f t="shared" si="45"/>
        <v>0.2900909888290939</v>
      </c>
      <c r="X190" s="17">
        <f t="shared" si="45"/>
        <v>0.28471332357343881</v>
      </c>
      <c r="Y190" s="17">
        <f t="shared" si="45"/>
        <v>0.27943534870705994</v>
      </c>
      <c r="Z190" s="17">
        <f t="shared" si="45"/>
        <v>0.27425521618378074</v>
      </c>
      <c r="AA190" s="17">
        <f t="shared" si="45"/>
        <v>0.26917111221624046</v>
      </c>
      <c r="AB190" s="17">
        <f t="shared" si="45"/>
        <v>0.26418125664080877</v>
      </c>
      <c r="AC190" s="17">
        <f t="shared" si="45"/>
        <v>0.25928390229427456</v>
      </c>
      <c r="AD190" s="17">
        <f t="shared" si="45"/>
        <v>0.25447733440208786</v>
      </c>
      <c r="AE190" s="17">
        <f t="shared" si="45"/>
        <v>0.24975986997794447</v>
      </c>
      <c r="AF190" s="17">
        <f t="shared" si="45"/>
        <v>0.2451298572344992</v>
      </c>
      <c r="AG190" s="17">
        <f t="shared" si="45"/>
        <v>0.2405856750050048</v>
      </c>
      <c r="AH190" s="17">
        <f t="shared" si="45"/>
        <v>0.23612573217567073</v>
      </c>
      <c r="AI190" s="17">
        <f t="shared" si="45"/>
        <v>0.23174846712854671</v>
      </c>
      <c r="AJ190" s="122">
        <f t="shared" si="45"/>
        <v>0.22745234719473259</v>
      </c>
    </row>
    <row r="191" spans="1:36" x14ac:dyDescent="0.2">
      <c r="A191" s="108" t="s">
        <v>798</v>
      </c>
      <c r="B191" t="s">
        <v>537</v>
      </c>
      <c r="C191" t="s">
        <v>781</v>
      </c>
      <c r="G191" s="17">
        <f>G181/G99*G103*C18</f>
        <v>9.7835710808180237E-3</v>
      </c>
      <c r="H191" s="17">
        <f t="shared" ref="H191:AJ191" si="46">H181/H99*H103</f>
        <v>3.840881855834212E-2</v>
      </c>
      <c r="I191" s="17">
        <f t="shared" si="46"/>
        <v>3.7696801373990202E-2</v>
      </c>
      <c r="J191" s="17">
        <f t="shared" si="46"/>
        <v>3.6997983462353272E-2</v>
      </c>
      <c r="K191" s="17">
        <f t="shared" si="46"/>
        <v>3.6312120137201816E-2</v>
      </c>
      <c r="L191" s="17">
        <f t="shared" si="46"/>
        <v>3.5638971248264581E-2</v>
      </c>
      <c r="M191" s="17">
        <f t="shared" si="46"/>
        <v>3.4978301097141777E-2</v>
      </c>
      <c r="N191" s="17">
        <f t="shared" si="46"/>
        <v>3.4329878354776758E-2</v>
      </c>
      <c r="O191" s="17">
        <f t="shared" si="46"/>
        <v>3.3693475980457861E-2</v>
      </c>
      <c r="P191" s="17">
        <f t="shared" si="46"/>
        <v>3.3068871142321689E-2</v>
      </c>
      <c r="Q191" s="17">
        <f t="shared" si="46"/>
        <v>3.2455845139330038E-2</v>
      </c>
      <c r="R191" s="17">
        <f t="shared" si="46"/>
        <v>3.1854183324693232E-2</v>
      </c>
      <c r="S191" s="17">
        <f t="shared" si="46"/>
        <v>3.1263675030713117E-2</v>
      </c>
      <c r="T191" s="17">
        <f t="shared" si="46"/>
        <v>3.0684113495019198E-2</v>
      </c>
      <c r="U191" s="17">
        <f t="shared" si="46"/>
        <v>3.0115295788172212E-2</v>
      </c>
      <c r="V191" s="17">
        <f t="shared" si="46"/>
        <v>2.9557022742609778E-2</v>
      </c>
      <c r="W191" s="17">
        <f t="shared" si="46"/>
        <v>2.9009098882909392E-2</v>
      </c>
      <c r="X191" s="17">
        <f t="shared" si="46"/>
        <v>2.8471332357343882E-2</v>
      </c>
      <c r="Y191" s="17">
        <f t="shared" si="46"/>
        <v>2.7943534870705992E-2</v>
      </c>
      <c r="Z191" s="17">
        <f t="shared" si="46"/>
        <v>2.7425521618378072E-2</v>
      </c>
      <c r="AA191" s="17">
        <f t="shared" si="46"/>
        <v>2.6917111221624046E-2</v>
      </c>
      <c r="AB191" s="17">
        <f t="shared" si="46"/>
        <v>2.6418125664080878E-2</v>
      </c>
      <c r="AC191" s="17">
        <f t="shared" si="46"/>
        <v>2.5928390229427455E-2</v>
      </c>
      <c r="AD191" s="17">
        <f t="shared" si="46"/>
        <v>2.5447733440208786E-2</v>
      </c>
      <c r="AE191" s="17">
        <f t="shared" si="46"/>
        <v>2.4975986997794446E-2</v>
      </c>
      <c r="AF191" s="17">
        <f t="shared" si="46"/>
        <v>2.4512985723449919E-2</v>
      </c>
      <c r="AG191" s="17">
        <f t="shared" si="46"/>
        <v>2.4058567500500481E-2</v>
      </c>
      <c r="AH191" s="17">
        <f t="shared" si="46"/>
        <v>2.3612573217567073E-2</v>
      </c>
      <c r="AI191" s="17">
        <f t="shared" si="46"/>
        <v>2.317484671285467E-2</v>
      </c>
      <c r="AJ191" s="122">
        <f t="shared" si="46"/>
        <v>2.2745234719473258E-2</v>
      </c>
    </row>
    <row r="192" spans="1:36" x14ac:dyDescent="0.2">
      <c r="A192" s="108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7"/>
      <c r="AA192" s="17"/>
      <c r="AB192" s="17"/>
      <c r="AC192" s="17"/>
      <c r="AD192" s="17"/>
      <c r="AE192" s="17"/>
      <c r="AF192" s="17"/>
      <c r="AG192" s="17"/>
      <c r="AH192" s="17"/>
      <c r="AI192" s="17"/>
      <c r="AJ192" s="122"/>
    </row>
    <row r="193" spans="1:36" x14ac:dyDescent="0.2">
      <c r="A193" s="184" t="s">
        <v>960</v>
      </c>
      <c r="B193" s="179"/>
      <c r="C193" s="179"/>
      <c r="D193" s="179"/>
      <c r="E193" s="179"/>
      <c r="F193" s="179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  <c r="AA193" s="214"/>
      <c r="AB193" s="214"/>
      <c r="AC193" s="214"/>
      <c r="AD193" s="214"/>
      <c r="AE193" s="214"/>
      <c r="AF193" s="214"/>
      <c r="AG193" s="214"/>
      <c r="AH193" s="214"/>
      <c r="AI193" s="214"/>
      <c r="AJ193" s="183"/>
    </row>
    <row r="194" spans="1:36" x14ac:dyDescent="0.2">
      <c r="A194" s="173" t="s">
        <v>950</v>
      </c>
      <c r="B194" t="s">
        <v>16</v>
      </c>
      <c r="G194" s="17">
        <f>$C$63*G96*C18</f>
        <v>55.507425742574256</v>
      </c>
      <c r="H194" s="17">
        <f t="shared" ref="H194:AJ194" si="47">$C$63*H96</f>
        <v>109.915694539751</v>
      </c>
      <c r="I194" s="17">
        <f t="shared" si="47"/>
        <v>108.82742033638715</v>
      </c>
      <c r="J194" s="17">
        <f t="shared" si="47"/>
        <v>107.74992112513577</v>
      </c>
      <c r="K194" s="17">
        <f t="shared" si="47"/>
        <v>106.68309022290671</v>
      </c>
      <c r="L194" s="17">
        <f t="shared" si="47"/>
        <v>105.62682200287792</v>
      </c>
      <c r="M194" s="17">
        <f t="shared" si="47"/>
        <v>104.58101188403757</v>
      </c>
      <c r="N194" s="17">
        <f t="shared" si="47"/>
        <v>103.54555632082925</v>
      </c>
      <c r="O194" s="17">
        <f t="shared" si="47"/>
        <v>102.52035279290023</v>
      </c>
      <c r="P194" s="17">
        <f t="shared" si="47"/>
        <v>101.50529979495073</v>
      </c>
      <c r="Q194" s="17">
        <f t="shared" si="47"/>
        <v>100.50029682668392</v>
      </c>
      <c r="R194" s="17">
        <f t="shared" si="47"/>
        <v>99.505244382855352</v>
      </c>
      <c r="S194" s="17">
        <f t="shared" si="47"/>
        <v>98.520043943421129</v>
      </c>
      <c r="T194" s="17">
        <f t="shared" si="47"/>
        <v>97.544597963783303</v>
      </c>
      <c r="U194" s="17">
        <f t="shared" si="47"/>
        <v>96.578809865132001</v>
      </c>
      <c r="V194" s="17">
        <f t="shared" si="47"/>
        <v>95.622584024883139</v>
      </c>
      <c r="W194" s="17">
        <f t="shared" si="47"/>
        <v>94.675825767211023</v>
      </c>
      <c r="X194" s="17">
        <f t="shared" si="47"/>
        <v>93.738441353674276</v>
      </c>
      <c r="Y194" s="17">
        <f t="shared" si="47"/>
        <v>92.810337973934949</v>
      </c>
      <c r="Z194" s="17">
        <f t="shared" si="47"/>
        <v>91.891423736569251</v>
      </c>
      <c r="AA194" s="17">
        <f t="shared" si="47"/>
        <v>90.981607659969569</v>
      </c>
      <c r="AB194" s="17">
        <f t="shared" si="47"/>
        <v>90.08079966333618</v>
      </c>
      <c r="AC194" s="17">
        <f t="shared" si="47"/>
        <v>89.188910557758604</v>
      </c>
      <c r="AD194" s="17">
        <f t="shared" si="47"/>
        <v>88.305852037384739</v>
      </c>
      <c r="AE194" s="17">
        <f t="shared" si="47"/>
        <v>87.431536670677943</v>
      </c>
      <c r="AF194" s="17">
        <f t="shared" si="47"/>
        <v>86.565877891760351</v>
      </c>
      <c r="AG194" s="17">
        <f t="shared" si="47"/>
        <v>85.708789991841954</v>
      </c>
      <c r="AH194" s="17">
        <f t="shared" si="47"/>
        <v>84.860188110734597</v>
      </c>
      <c r="AI194" s="17">
        <f t="shared" si="47"/>
        <v>84.019988228450103</v>
      </c>
      <c r="AJ194" s="122">
        <f t="shared" si="47"/>
        <v>83.188107156881273</v>
      </c>
    </row>
    <row r="195" spans="1:36" x14ac:dyDescent="0.2">
      <c r="A195" s="173" t="s">
        <v>948</v>
      </c>
      <c r="B195" t="s">
        <v>16</v>
      </c>
      <c r="G195" s="8">
        <f t="shared" ref="G195:AJ195" si="48">$C$65*G99</f>
        <v>6220369355918.8467</v>
      </c>
      <c r="H195" s="8">
        <f t="shared" si="48"/>
        <v>6275108606250.9326</v>
      </c>
      <c r="I195" s="8">
        <f t="shared" si="48"/>
        <v>6330329561985.9395</v>
      </c>
      <c r="J195" s="8">
        <f t="shared" si="48"/>
        <v>6386036462131.416</v>
      </c>
      <c r="K195" s="8">
        <f t="shared" si="48"/>
        <v>6442233582998.1719</v>
      </c>
      <c r="L195" s="8">
        <f t="shared" si="48"/>
        <v>6498925238528.5557</v>
      </c>
      <c r="M195" s="8">
        <f t="shared" si="48"/>
        <v>6556115780627.6064</v>
      </c>
      <c r="N195" s="8">
        <f t="shared" si="48"/>
        <v>6613809599497.1289</v>
      </c>
      <c r="O195" s="8">
        <f t="shared" si="48"/>
        <v>6672011123972.7031</v>
      </c>
      <c r="P195" s="8">
        <f t="shared" si="48"/>
        <v>6730724821863.6641</v>
      </c>
      <c r="Q195" s="8">
        <f t="shared" si="48"/>
        <v>6789955200296.0625</v>
      </c>
      <c r="R195" s="8">
        <f t="shared" si="48"/>
        <v>6849706806058.668</v>
      </c>
      <c r="S195" s="8">
        <f t="shared" si="48"/>
        <v>6909984225951.9844</v>
      </c>
      <c r="T195" s="8">
        <f t="shared" si="48"/>
        <v>6970792087140.3613</v>
      </c>
      <c r="U195" s="8">
        <f t="shared" si="48"/>
        <v>7032135057507.1953</v>
      </c>
      <c r="V195" s="8">
        <f t="shared" si="48"/>
        <v>7094017846013.2598</v>
      </c>
      <c r="W195" s="8">
        <f t="shared" si="48"/>
        <v>7156445203058.1758</v>
      </c>
      <c r="X195" s="8">
        <f t="shared" si="48"/>
        <v>7219421920845.0869</v>
      </c>
      <c r="Y195" s="8">
        <f t="shared" si="48"/>
        <v>7282952833748.5225</v>
      </c>
      <c r="Z195" s="8">
        <f t="shared" si="48"/>
        <v>7347042818685.5098</v>
      </c>
      <c r="AA195" s="8">
        <f t="shared" si="48"/>
        <v>7411696795489.9404</v>
      </c>
      <c r="AB195" s="8">
        <f t="shared" si="48"/>
        <v>7476919727290.2529</v>
      </c>
      <c r="AC195" s="8">
        <f t="shared" si="48"/>
        <v>7542716620890.4072</v>
      </c>
      <c r="AD195" s="8">
        <f t="shared" si="48"/>
        <v>7609092527154.2422</v>
      </c>
      <c r="AE195" s="8">
        <f t="shared" si="48"/>
        <v>7676052541393.1982</v>
      </c>
      <c r="AF195" s="8">
        <f t="shared" si="48"/>
        <v>7743601803757.46</v>
      </c>
      <c r="AG195" s="8">
        <f t="shared" si="48"/>
        <v>7811745499630.5234</v>
      </c>
      <c r="AH195" s="8">
        <f t="shared" si="48"/>
        <v>7880488860027.2715</v>
      </c>
      <c r="AI195" s="8">
        <f t="shared" si="48"/>
        <v>7949837161995.5117</v>
      </c>
      <c r="AJ195" s="115">
        <f t="shared" si="48"/>
        <v>8019795729021.0723</v>
      </c>
    </row>
    <row r="196" spans="1:36" x14ac:dyDescent="0.2">
      <c r="A196" s="173" t="s">
        <v>973</v>
      </c>
      <c r="B196" t="s">
        <v>16</v>
      </c>
      <c r="G196" s="8">
        <f t="shared" ref="G196:AJ196" si="49">(G194/G126)*G128</f>
        <v>2816110.041183562</v>
      </c>
      <c r="H196" s="8">
        <f t="shared" si="49"/>
        <v>2840891.8095459784</v>
      </c>
      <c r="I196" s="8">
        <f t="shared" si="49"/>
        <v>2865891.6574699818</v>
      </c>
      <c r="J196" s="8">
        <f t="shared" si="49"/>
        <v>2891111.504055718</v>
      </c>
      <c r="K196" s="8">
        <f t="shared" si="49"/>
        <v>2916553.2852914082</v>
      </c>
      <c r="L196" s="8">
        <f t="shared" si="49"/>
        <v>2942218.9542019726</v>
      </c>
      <c r="M196" s="8">
        <f t="shared" si="49"/>
        <v>2968110.4809989491</v>
      </c>
      <c r="N196" s="8">
        <f t="shared" si="49"/>
        <v>2994229.8532317402</v>
      </c>
      <c r="O196" s="8">
        <f t="shared" si="49"/>
        <v>3020579.0759401787</v>
      </c>
      <c r="P196" s="8">
        <f t="shared" si="49"/>
        <v>3047160.1718084528</v>
      </c>
      <c r="Q196" s="8">
        <f t="shared" si="49"/>
        <v>3073975.1813203669</v>
      </c>
      <c r="R196" s="8">
        <f t="shared" si="49"/>
        <v>3101026.162915986</v>
      </c>
      <c r="S196" s="8">
        <f t="shared" si="49"/>
        <v>3128315.1931496467</v>
      </c>
      <c r="T196" s="8">
        <f t="shared" si="49"/>
        <v>3155844.3668493638</v>
      </c>
      <c r="U196" s="8">
        <f t="shared" si="49"/>
        <v>3183615.7972776368</v>
      </c>
      <c r="V196" s="8">
        <f t="shared" si="49"/>
        <v>3211631.6162936813</v>
      </c>
      <c r="W196" s="8">
        <f t="shared" si="49"/>
        <v>3239893.9745170646</v>
      </c>
      <c r="X196" s="8">
        <f t="shared" si="49"/>
        <v>3268405.0414928151</v>
      </c>
      <c r="Y196" s="8">
        <f t="shared" si="49"/>
        <v>3297167.005857951</v>
      </c>
      <c r="Z196" s="8">
        <f t="shared" si="49"/>
        <v>3326182.0755095012</v>
      </c>
      <c r="AA196" s="8">
        <f t="shared" si="49"/>
        <v>3355452.477773984</v>
      </c>
      <c r="AB196" s="8">
        <f t="shared" si="49"/>
        <v>3384980.4595783954</v>
      </c>
      <c r="AC196" s="8">
        <f t="shared" si="49"/>
        <v>3414768.2876226851</v>
      </c>
      <c r="AD196" s="8">
        <f t="shared" si="49"/>
        <v>3444818.2485537641</v>
      </c>
      <c r="AE196" s="8">
        <f t="shared" si="49"/>
        <v>3475132.6491410369</v>
      </c>
      <c r="AF196" s="8">
        <f t="shared" si="49"/>
        <v>3505713.8164534788</v>
      </c>
      <c r="AG196" s="8">
        <f t="shared" si="49"/>
        <v>3536564.0980382687</v>
      </c>
      <c r="AH196" s="8">
        <f t="shared" si="49"/>
        <v>3567685.8621010049</v>
      </c>
      <c r="AI196" s="8">
        <f t="shared" si="49"/>
        <v>3599081.4976874944</v>
      </c>
      <c r="AJ196" s="8">
        <f t="shared" si="49"/>
        <v>3630753.4148671441</v>
      </c>
    </row>
    <row r="197" spans="1:36" x14ac:dyDescent="0.2">
      <c r="A197" s="173" t="s">
        <v>974</v>
      </c>
      <c r="B197" t="s">
        <v>16</v>
      </c>
      <c r="G197" s="8">
        <f>G195-G196</f>
        <v>6220366539808.8057</v>
      </c>
      <c r="H197" s="8">
        <f t="shared" ref="H197:AJ197" si="50">H195-H196</f>
        <v>6275105765359.123</v>
      </c>
      <c r="I197" s="8">
        <f t="shared" si="50"/>
        <v>6330326696094.2822</v>
      </c>
      <c r="J197" s="8">
        <f t="shared" si="50"/>
        <v>6386033571019.9121</v>
      </c>
      <c r="K197" s="8">
        <f t="shared" si="50"/>
        <v>6442230666444.8867</v>
      </c>
      <c r="L197" s="8">
        <f t="shared" si="50"/>
        <v>6498922296309.6016</v>
      </c>
      <c r="M197" s="8">
        <f t="shared" si="50"/>
        <v>6556112812517.125</v>
      </c>
      <c r="N197" s="8">
        <f t="shared" si="50"/>
        <v>6613806605267.2754</v>
      </c>
      <c r="O197" s="8">
        <f t="shared" si="50"/>
        <v>6672008103393.627</v>
      </c>
      <c r="P197" s="8">
        <f t="shared" si="50"/>
        <v>6730721774703.4922</v>
      </c>
      <c r="Q197" s="8">
        <f t="shared" si="50"/>
        <v>6789952126320.8809</v>
      </c>
      <c r="R197" s="8">
        <f t="shared" si="50"/>
        <v>6849703705032.5049</v>
      </c>
      <c r="S197" s="8">
        <f t="shared" si="50"/>
        <v>6909981097636.791</v>
      </c>
      <c r="T197" s="8">
        <f t="shared" si="50"/>
        <v>6970788931295.9941</v>
      </c>
      <c r="U197" s="8">
        <f t="shared" si="50"/>
        <v>7032131873891.3984</v>
      </c>
      <c r="V197" s="8">
        <f t="shared" si="50"/>
        <v>7094014634381.6436</v>
      </c>
      <c r="W197" s="8">
        <f t="shared" si="50"/>
        <v>7156441963164.2012</v>
      </c>
      <c r="X197" s="8">
        <f t="shared" si="50"/>
        <v>7219418652440.0459</v>
      </c>
      <c r="Y197" s="8">
        <f t="shared" si="50"/>
        <v>7282949536581.5166</v>
      </c>
      <c r="Z197" s="8">
        <f t="shared" si="50"/>
        <v>7347039492503.4346</v>
      </c>
      <c r="AA197" s="8">
        <f t="shared" si="50"/>
        <v>7411693440037.4629</v>
      </c>
      <c r="AB197" s="8">
        <f t="shared" si="50"/>
        <v>7476916342309.793</v>
      </c>
      <c r="AC197" s="8">
        <f t="shared" si="50"/>
        <v>7542713206122.1191</v>
      </c>
      <c r="AD197" s="8">
        <f t="shared" si="50"/>
        <v>7609089082335.9932</v>
      </c>
      <c r="AE197" s="8">
        <f t="shared" si="50"/>
        <v>7676049066260.5488</v>
      </c>
      <c r="AF197" s="8">
        <f t="shared" si="50"/>
        <v>7743598298043.6436</v>
      </c>
      <c r="AG197" s="8">
        <f t="shared" si="50"/>
        <v>7811741963066.4258</v>
      </c>
      <c r="AH197" s="8">
        <f t="shared" si="50"/>
        <v>7880485292341.4092</v>
      </c>
      <c r="AI197" s="8">
        <f t="shared" si="50"/>
        <v>7949833562914.0137</v>
      </c>
      <c r="AJ197" s="8">
        <f t="shared" si="50"/>
        <v>8019792098267.6572</v>
      </c>
    </row>
    <row r="198" spans="1:36" x14ac:dyDescent="0.2">
      <c r="A198" s="108" t="s">
        <v>951</v>
      </c>
      <c r="B198" t="s">
        <v>537</v>
      </c>
      <c r="C198" t="s">
        <v>313</v>
      </c>
      <c r="G198" s="36">
        <f t="shared" ref="G198:AJ198" si="51">IF(G197&lt;0,(G194/G195*(G195/G196)*G102),(G194/G195*G102))</f>
        <v>7.1387948292501259E-5</v>
      </c>
      <c r="H198" s="36">
        <f t="shared" si="51"/>
        <v>1.4012913743709077E-4</v>
      </c>
      <c r="I198" s="36">
        <f t="shared" si="51"/>
        <v>1.3753144353166472E-4</v>
      </c>
      <c r="J198" s="36">
        <f t="shared" si="51"/>
        <v>1.3498190530427751E-4</v>
      </c>
      <c r="K198" s="36">
        <f t="shared" si="51"/>
        <v>1.3247963005185803E-4</v>
      </c>
      <c r="L198" s="36">
        <f t="shared" si="51"/>
        <v>1.3002374162013688E-4</v>
      </c>
      <c r="M198" s="36">
        <f t="shared" si="51"/>
        <v>1.2761338009686728E-4</v>
      </c>
      <c r="N198" s="36">
        <f t="shared" si="51"/>
        <v>1.2524770151073255E-4</v>
      </c>
      <c r="O198" s="36">
        <f t="shared" si="51"/>
        <v>1.2292587753583566E-4</v>
      </c>
      <c r="P198" s="36">
        <f t="shared" si="51"/>
        <v>1.2064709520166658E-4</v>
      </c>
      <c r="Q198" s="36">
        <f t="shared" si="51"/>
        <v>1.1841055660844632E-4</v>
      </c>
      <c r="R198" s="36">
        <f t="shared" si="51"/>
        <v>1.1621547864774764E-4</v>
      </c>
      <c r="S198" s="36">
        <f t="shared" si="51"/>
        <v>1.1406109272829557E-4</v>
      </c>
      <c r="T198" s="36">
        <f t="shared" si="51"/>
        <v>1.1194664450685021E-4</v>
      </c>
      <c r="U198" s="36">
        <f t="shared" si="51"/>
        <v>1.0987139362407865E-4</v>
      </c>
      <c r="V198" s="36">
        <f t="shared" si="51"/>
        <v>1.0783461344532333E-4</v>
      </c>
      <c r="W198" s="36">
        <f t="shared" si="51"/>
        <v>1.0583559080617629E-4</v>
      </c>
      <c r="X198" s="36">
        <f t="shared" si="51"/>
        <v>1.038736257627691E-4</v>
      </c>
      <c r="Y198" s="36">
        <f t="shared" si="51"/>
        <v>1.0194803134669281E-4</v>
      </c>
      <c r="Z198" s="36">
        <f t="shared" si="51"/>
        <v>1.000581333244604E-4</v>
      </c>
      <c r="AA198" s="36">
        <f t="shared" si="51"/>
        <v>9.8203269961428966E-5</v>
      </c>
      <c r="AB198" s="36">
        <f t="shared" si="51"/>
        <v>9.6382791790097558E-5</v>
      </c>
      <c r="AC198" s="36">
        <f t="shared" si="51"/>
        <v>9.4596061382701101E-5</v>
      </c>
      <c r="AD198" s="36">
        <f t="shared" si="51"/>
        <v>9.2842453128019078E-5</v>
      </c>
      <c r="AE198" s="36">
        <f t="shared" si="51"/>
        <v>9.112135301232232E-5</v>
      </c>
      <c r="AF198" s="36">
        <f t="shared" si="51"/>
        <v>8.9432158404380386E-5</v>
      </c>
      <c r="AG198" s="36">
        <f t="shared" si="51"/>
        <v>8.777427784445437E-5</v>
      </c>
      <c r="AH198" s="36">
        <f t="shared" si="51"/>
        <v>8.6147130837201317E-5</v>
      </c>
      <c r="AI198" s="36">
        <f t="shared" si="51"/>
        <v>8.4550147648417996E-5</v>
      </c>
      <c r="AJ198" s="36">
        <f t="shared" si="51"/>
        <v>8.2982769105552316E-5</v>
      </c>
    </row>
    <row r="199" spans="1:36" ht="16" thickBot="1" x14ac:dyDescent="0.25">
      <c r="A199" s="34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37"/>
    </row>
    <row r="200" spans="1:36" x14ac:dyDescent="0.2">
      <c r="A200" s="10"/>
      <c r="B200" s="11"/>
      <c r="C200" s="19"/>
    </row>
    <row r="201" spans="1:36" x14ac:dyDescent="0.2">
      <c r="A201" s="108" t="s">
        <v>555</v>
      </c>
      <c r="B201" s="65">
        <f>SUM(D106:F106,G115:AJ115,G129:AJ129,G134:AJ134,G191:AJ191,G139:AJ139,G143:AJ143,G147:AJ147,G152:AJ152,G156:AJ156,G160:AJ160,G164:AJ164,G169:AJ169,G173:AJ173,G183:AJ183,G189:AJ190,G198:AJ198)</f>
        <v>-92229.501090019956</v>
      </c>
      <c r="C201" s="29" t="s">
        <v>537</v>
      </c>
    </row>
    <row r="202" spans="1:36" ht="16" thickBot="1" x14ac:dyDescent="0.25">
      <c r="A202" s="34"/>
      <c r="B202" s="12"/>
      <c r="C202" s="37"/>
    </row>
  </sheetData>
  <mergeCells count="13">
    <mergeCell ref="A59:C59"/>
    <mergeCell ref="A70:C70"/>
    <mergeCell ref="A92:C92"/>
    <mergeCell ref="A20:C20"/>
    <mergeCell ref="A25:C25"/>
    <mergeCell ref="A32:C32"/>
    <mergeCell ref="A41:C41"/>
    <mergeCell ref="A52:C52"/>
    <mergeCell ref="A3:C3"/>
    <mergeCell ref="A1:C1"/>
    <mergeCell ref="F1:J1"/>
    <mergeCell ref="A8:C8"/>
    <mergeCell ref="A12:C12"/>
  </mergeCell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DC8B79-9E56-2D4D-8F60-575D55D001FD}">
  <sheetPr codeName="Sheet9"/>
  <dimension ref="A1:AL227"/>
  <sheetViews>
    <sheetView topLeftCell="A87" zoomScale="170" zoomScaleNormal="170" workbookViewId="0">
      <selection activeCell="E20" sqref="E20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8.33203125" bestFit="1" customWidth="1"/>
  </cols>
  <sheetData>
    <row r="1" spans="1:10" ht="23" thickBot="1" x14ac:dyDescent="0.35">
      <c r="A1" s="516" t="s">
        <v>545</v>
      </c>
      <c r="B1" s="517"/>
      <c r="C1" s="518"/>
      <c r="F1" s="519" t="s">
        <v>807</v>
      </c>
      <c r="G1" s="520"/>
      <c r="H1" s="520"/>
      <c r="I1" s="520"/>
      <c r="J1" s="521"/>
    </row>
    <row r="2" spans="1:10" x14ac:dyDescent="0.2">
      <c r="A2" s="10"/>
      <c r="B2" s="11"/>
      <c r="C2" s="19"/>
      <c r="F2" s="160" t="s">
        <v>29</v>
      </c>
      <c r="G2" s="151">
        <v>1.0206976000000001E-3</v>
      </c>
      <c r="H2" s="152" t="s">
        <v>216</v>
      </c>
      <c r="I2" s="153">
        <f>G2*C$21</f>
        <v>521525.03661234188</v>
      </c>
      <c r="J2" s="19" t="s">
        <v>673</v>
      </c>
    </row>
    <row r="3" spans="1:10" x14ac:dyDescent="0.2">
      <c r="A3" s="513" t="s">
        <v>540</v>
      </c>
      <c r="B3" s="514"/>
      <c r="C3" s="515"/>
      <c r="F3" s="165" t="s">
        <v>30</v>
      </c>
      <c r="G3" s="70">
        <v>1.9265607541666659E-10</v>
      </c>
      <c r="H3" s="25" t="s">
        <v>217</v>
      </c>
      <c r="I3" s="16">
        <f>G3*C$21</f>
        <v>9.8437545836560336E-2</v>
      </c>
      <c r="J3" s="29" t="s">
        <v>674</v>
      </c>
    </row>
    <row r="4" spans="1:10" x14ac:dyDescent="0.2">
      <c r="A4" s="26" t="s">
        <v>535</v>
      </c>
      <c r="B4" s="146"/>
      <c r="C4" s="106">
        <f>Variables!F9</f>
        <v>8300000000</v>
      </c>
      <c r="F4" s="161" t="s">
        <v>31</v>
      </c>
      <c r="G4" s="1">
        <v>4.4073889791666675E-2</v>
      </c>
      <c r="H4" s="25" t="s">
        <v>218</v>
      </c>
      <c r="I4" s="16">
        <f>G4*C$21</f>
        <v>22519536.625977449</v>
      </c>
      <c r="J4" s="29" t="s">
        <v>675</v>
      </c>
    </row>
    <row r="5" spans="1:10" x14ac:dyDescent="0.2">
      <c r="A5" s="26" t="s">
        <v>541</v>
      </c>
      <c r="B5" s="146" t="s">
        <v>542</v>
      </c>
      <c r="C5" s="255">
        <f>Variables!F10</f>
        <v>8.8000000000000005E-3</v>
      </c>
      <c r="F5" s="161" t="s">
        <v>211</v>
      </c>
      <c r="G5" s="70">
        <v>2.1861800608333306E-7</v>
      </c>
      <c r="H5" s="25" t="s">
        <v>219</v>
      </c>
      <c r="I5" s="16">
        <f>G5*C$21</f>
        <v>111.70278408289334</v>
      </c>
      <c r="J5" s="29" t="s">
        <v>676</v>
      </c>
    </row>
    <row r="6" spans="1:10" x14ac:dyDescent="0.2">
      <c r="A6" s="252"/>
      <c r="B6" s="146"/>
      <c r="C6" s="253"/>
      <c r="F6" s="161" t="s">
        <v>212</v>
      </c>
      <c r="G6" s="70">
        <v>1.3916278666666669E-3</v>
      </c>
      <c r="H6" s="25" t="s">
        <v>220</v>
      </c>
      <c r="I6" s="16">
        <f>G6*C$21</f>
        <v>711051.71023630176</v>
      </c>
      <c r="J6" s="29" t="s">
        <v>677</v>
      </c>
    </row>
    <row r="7" spans="1:10" x14ac:dyDescent="0.2">
      <c r="A7" s="22"/>
      <c r="C7" s="23"/>
      <c r="F7" s="166" t="s">
        <v>32</v>
      </c>
      <c r="G7" s="1">
        <v>0</v>
      </c>
      <c r="H7" s="25" t="s">
        <v>221</v>
      </c>
      <c r="I7" s="16">
        <f>C21*G7</f>
        <v>0</v>
      </c>
      <c r="J7" s="29" t="s">
        <v>678</v>
      </c>
    </row>
    <row r="8" spans="1:10" x14ac:dyDescent="0.2">
      <c r="A8" s="522" t="s">
        <v>536</v>
      </c>
      <c r="B8" s="523"/>
      <c r="C8" s="524"/>
      <c r="F8" s="165" t="s">
        <v>213</v>
      </c>
      <c r="G8" s="70">
        <v>1.2242526725833333E-9</v>
      </c>
      <c r="H8" s="25" t="s">
        <v>217</v>
      </c>
      <c r="I8" s="181">
        <f>G8*C$21</f>
        <v>0.62553142075750967</v>
      </c>
      <c r="J8" s="29" t="s">
        <v>674</v>
      </c>
    </row>
    <row r="9" spans="1:10" x14ac:dyDescent="0.2">
      <c r="A9" s="32" t="s">
        <v>536</v>
      </c>
      <c r="B9" s="3"/>
      <c r="C9" s="170">
        <f>Variables!F11</f>
        <v>0.01</v>
      </c>
      <c r="F9" s="158" t="s">
        <v>33</v>
      </c>
      <c r="G9" s="70">
        <v>2.3917820524999979E-10</v>
      </c>
      <c r="H9" s="25" t="s">
        <v>222</v>
      </c>
      <c r="I9" s="16">
        <f>G9*C$21</f>
        <v>0.12220800974733394</v>
      </c>
      <c r="J9" s="29" t="s">
        <v>679</v>
      </c>
    </row>
    <row r="10" spans="1:10" x14ac:dyDescent="0.2">
      <c r="A10" s="32" t="s">
        <v>1</v>
      </c>
      <c r="B10" s="3" t="s">
        <v>2</v>
      </c>
      <c r="C10" s="256">
        <f>Variables!F12</f>
        <v>8000</v>
      </c>
      <c r="F10" s="158" t="s">
        <v>214</v>
      </c>
      <c r="G10" s="70">
        <v>1.8069766666666668E-4</v>
      </c>
      <c r="H10" s="25" t="s">
        <v>223</v>
      </c>
      <c r="I10" s="16">
        <f>G10*C$21</f>
        <v>92327.401596807991</v>
      </c>
      <c r="J10" s="29" t="s">
        <v>680</v>
      </c>
    </row>
    <row r="11" spans="1:10" ht="16" thickBot="1" x14ac:dyDescent="0.25">
      <c r="A11" s="22"/>
      <c r="C11" s="35"/>
      <c r="F11" s="159" t="s">
        <v>215</v>
      </c>
      <c r="G11" s="154">
        <v>3.4218836249999995E-2</v>
      </c>
      <c r="H11" s="155" t="s">
        <v>224</v>
      </c>
      <c r="I11" s="156">
        <f>G11*C$21</f>
        <v>17484100.901298266</v>
      </c>
      <c r="J11" s="37" t="s">
        <v>681</v>
      </c>
    </row>
    <row r="12" spans="1:10" x14ac:dyDescent="0.2">
      <c r="A12" s="525" t="s">
        <v>544</v>
      </c>
      <c r="B12" s="526"/>
      <c r="C12" s="527"/>
    </row>
    <row r="13" spans="1:10" x14ac:dyDescent="0.2">
      <c r="A13" s="41" t="s">
        <v>20</v>
      </c>
      <c r="B13" s="145"/>
      <c r="C13" s="42">
        <v>3</v>
      </c>
      <c r="F13" s="561"/>
    </row>
    <row r="14" spans="1:10" x14ac:dyDescent="0.2">
      <c r="A14" s="41"/>
      <c r="B14" s="145" t="s">
        <v>21</v>
      </c>
      <c r="C14" s="43">
        <v>0.1</v>
      </c>
      <c r="F14" s="561"/>
    </row>
    <row r="15" spans="1:10" x14ac:dyDescent="0.2">
      <c r="A15" s="41"/>
      <c r="B15" s="145" t="s">
        <v>22</v>
      </c>
      <c r="C15" s="43">
        <v>0.5</v>
      </c>
      <c r="F15" s="561"/>
    </row>
    <row r="16" spans="1:10" x14ac:dyDescent="0.2">
      <c r="A16" s="41"/>
      <c r="B16" s="145" t="s">
        <v>23</v>
      </c>
      <c r="C16" s="43">
        <v>0.4</v>
      </c>
      <c r="F16" s="561"/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259">
        <f>Variables!F13</f>
        <v>0.5</v>
      </c>
    </row>
    <row r="19" spans="1:8" x14ac:dyDescent="0.2">
      <c r="A19" s="22"/>
      <c r="C19" s="29"/>
    </row>
    <row r="20" spans="1:8" x14ac:dyDescent="0.2">
      <c r="A20" s="537" t="s">
        <v>571</v>
      </c>
      <c r="B20" s="538"/>
      <c r="C20" s="539"/>
    </row>
    <row r="21" spans="1:8" x14ac:dyDescent="0.2">
      <c r="A21" s="44" t="s">
        <v>787</v>
      </c>
      <c r="B21" s="147" t="s">
        <v>530</v>
      </c>
      <c r="C21" s="187">
        <f>63868.7007557799*C10</f>
        <v>510949606.0462392</v>
      </c>
      <c r="D21" s="17"/>
    </row>
    <row r="22" spans="1:8" x14ac:dyDescent="0.2">
      <c r="A22" s="44" t="s">
        <v>722</v>
      </c>
      <c r="B22" s="147" t="s">
        <v>546</v>
      </c>
      <c r="C22" s="105">
        <f>Variables!F16</f>
        <v>294000</v>
      </c>
    </row>
    <row r="23" spans="1:8" x14ac:dyDescent="0.2">
      <c r="A23" s="44" t="s">
        <v>975</v>
      </c>
      <c r="B23" s="147" t="s">
        <v>546</v>
      </c>
      <c r="C23" s="105">
        <f>Variables!F18</f>
        <v>10349.397590361446</v>
      </c>
    </row>
    <row r="24" spans="1:8" x14ac:dyDescent="0.2">
      <c r="A24" s="22"/>
      <c r="C24" s="31"/>
    </row>
    <row r="25" spans="1:8" x14ac:dyDescent="0.2">
      <c r="A25" s="540" t="s">
        <v>572</v>
      </c>
      <c r="B25" s="541"/>
      <c r="C25" s="542"/>
    </row>
    <row r="26" spans="1:8" x14ac:dyDescent="0.2">
      <c r="A26" s="53" t="s">
        <v>550</v>
      </c>
      <c r="B26" s="2" t="s">
        <v>531</v>
      </c>
      <c r="C26" s="107">
        <f>I7*-1</f>
        <v>0</v>
      </c>
      <c r="H26" s="17"/>
    </row>
    <row r="27" spans="1:8" x14ac:dyDescent="0.2">
      <c r="A27" s="53"/>
      <c r="B27" s="2"/>
      <c r="C27" s="28"/>
    </row>
    <row r="28" spans="1:8" x14ac:dyDescent="0.2">
      <c r="A28" s="27" t="s">
        <v>547</v>
      </c>
      <c r="B28" s="2" t="s">
        <v>531</v>
      </c>
      <c r="C28" s="107">
        <f>Variables!F21</f>
        <v>2900000000000</v>
      </c>
    </row>
    <row r="29" spans="1:8" x14ac:dyDescent="0.2">
      <c r="A29" s="27" t="s">
        <v>548</v>
      </c>
      <c r="B29" s="2" t="s">
        <v>531</v>
      </c>
      <c r="C29" s="107">
        <f>Variables!F22</f>
        <v>3900000000000</v>
      </c>
      <c r="D29" s="17"/>
    </row>
    <row r="30" spans="1:8" x14ac:dyDescent="0.2">
      <c r="A30" s="27" t="s">
        <v>549</v>
      </c>
      <c r="B30" s="2" t="s">
        <v>531</v>
      </c>
      <c r="C30" s="107">
        <f>Variables!F23</f>
        <v>8750000000000</v>
      </c>
    </row>
    <row r="31" spans="1:8" x14ac:dyDescent="0.2">
      <c r="A31" s="22"/>
      <c r="C31" s="29"/>
    </row>
    <row r="32" spans="1:8" x14ac:dyDescent="0.2">
      <c r="A32" s="552" t="s">
        <v>573</v>
      </c>
      <c r="B32" s="553"/>
      <c r="C32" s="554"/>
    </row>
    <row r="33" spans="1:3" x14ac:dyDescent="0.2">
      <c r="A33" s="110" t="s">
        <v>720</v>
      </c>
      <c r="B33" s="111" t="s">
        <v>16</v>
      </c>
      <c r="C33" s="157">
        <f>50000*C10*0.9</f>
        <v>360000000</v>
      </c>
    </row>
    <row r="34" spans="1:3" x14ac:dyDescent="0.2">
      <c r="A34" s="110" t="s">
        <v>724</v>
      </c>
      <c r="B34" s="111" t="s">
        <v>16</v>
      </c>
      <c r="C34" s="174">
        <f>50000*C10*0.1</f>
        <v>40000000</v>
      </c>
    </row>
    <row r="35" spans="1:3" x14ac:dyDescent="0.2">
      <c r="A35" s="110" t="s">
        <v>721</v>
      </c>
      <c r="B35" s="111" t="s">
        <v>551</v>
      </c>
      <c r="C35" s="260">
        <f>Variables!F24</f>
        <v>470</v>
      </c>
    </row>
    <row r="36" spans="1:3" x14ac:dyDescent="0.2">
      <c r="A36" s="110" t="s">
        <v>723</v>
      </c>
      <c r="B36" s="111" t="s">
        <v>551</v>
      </c>
      <c r="C36" s="260">
        <f>Variables!F25</f>
        <v>79</v>
      </c>
    </row>
    <row r="37" spans="1:3" x14ac:dyDescent="0.2">
      <c r="A37" s="22"/>
      <c r="C37" s="29"/>
    </row>
    <row r="38" spans="1:3" x14ac:dyDescent="0.2">
      <c r="A38" s="543" t="s">
        <v>672</v>
      </c>
      <c r="B38" s="544"/>
      <c r="C38" s="545"/>
    </row>
    <row r="39" spans="1:3" x14ac:dyDescent="0.2">
      <c r="A39" s="142" t="s">
        <v>33</v>
      </c>
      <c r="B39" s="144" t="s">
        <v>682</v>
      </c>
      <c r="C39" s="168">
        <f>I9</f>
        <v>0.12220800974733394</v>
      </c>
    </row>
    <row r="40" spans="1:3" x14ac:dyDescent="0.2">
      <c r="A40" s="142" t="s">
        <v>214</v>
      </c>
      <c r="B40" s="144" t="s">
        <v>683</v>
      </c>
      <c r="C40" s="168">
        <f>I10</f>
        <v>92327.401596807991</v>
      </c>
    </row>
    <row r="41" spans="1:3" x14ac:dyDescent="0.2">
      <c r="A41" s="142" t="s">
        <v>215</v>
      </c>
      <c r="B41" s="144" t="s">
        <v>681</v>
      </c>
      <c r="C41" s="168">
        <f>I11</f>
        <v>17484100.901298266</v>
      </c>
    </row>
    <row r="42" spans="1:3" x14ac:dyDescent="0.2">
      <c r="A42" s="142"/>
      <c r="B42" s="144"/>
      <c r="C42" s="143"/>
    </row>
    <row r="43" spans="1:3" x14ac:dyDescent="0.2">
      <c r="A43" s="142" t="s">
        <v>699</v>
      </c>
      <c r="B43" s="144" t="s">
        <v>690</v>
      </c>
      <c r="C43" s="150">
        <f>Variables!F26</f>
        <v>2860000000000000</v>
      </c>
    </row>
    <row r="44" spans="1:3" x14ac:dyDescent="0.2">
      <c r="A44" s="142" t="s">
        <v>700</v>
      </c>
      <c r="B44" s="144" t="s">
        <v>691</v>
      </c>
      <c r="C44" s="150">
        <f>Variables!F27</f>
        <v>5.25</v>
      </c>
    </row>
    <row r="45" spans="1:3" x14ac:dyDescent="0.2">
      <c r="A45" s="142" t="s">
        <v>701</v>
      </c>
      <c r="B45" s="144" t="s">
        <v>692</v>
      </c>
      <c r="C45" s="261">
        <f>Variables!F28</f>
        <v>52.32</v>
      </c>
    </row>
    <row r="46" spans="1:3" x14ac:dyDescent="0.2">
      <c r="A46" s="22"/>
      <c r="C46" s="29"/>
    </row>
    <row r="47" spans="1:3" x14ac:dyDescent="0.2">
      <c r="A47" s="546" t="s">
        <v>730</v>
      </c>
      <c r="B47" s="547"/>
      <c r="C47" s="548"/>
    </row>
    <row r="48" spans="1:3" x14ac:dyDescent="0.2">
      <c r="A48" s="32" t="s">
        <v>29</v>
      </c>
      <c r="B48" s="3" t="s">
        <v>689</v>
      </c>
      <c r="C48" s="162">
        <f>I2</f>
        <v>521525.03661234188</v>
      </c>
    </row>
    <row r="49" spans="1:3" x14ac:dyDescent="0.2">
      <c r="A49" s="32" t="s">
        <v>31</v>
      </c>
      <c r="B49" s="3" t="s">
        <v>688</v>
      </c>
      <c r="C49" s="162">
        <f>I4</f>
        <v>22519536.625977449</v>
      </c>
    </row>
    <row r="50" spans="1:3" x14ac:dyDescent="0.2">
      <c r="A50" s="32" t="s">
        <v>684</v>
      </c>
      <c r="B50" s="3" t="s">
        <v>687</v>
      </c>
      <c r="C50" s="162">
        <f>I5</f>
        <v>111.70278408289334</v>
      </c>
    </row>
    <row r="51" spans="1:3" x14ac:dyDescent="0.2">
      <c r="A51" s="32" t="s">
        <v>685</v>
      </c>
      <c r="B51" s="3" t="s">
        <v>686</v>
      </c>
      <c r="C51" s="162">
        <f>I6</f>
        <v>711051.71023630176</v>
      </c>
    </row>
    <row r="52" spans="1:3" x14ac:dyDescent="0.2">
      <c r="A52" s="32"/>
      <c r="B52" s="3"/>
      <c r="C52" s="119"/>
    </row>
    <row r="53" spans="1:3" x14ac:dyDescent="0.2">
      <c r="A53" s="32" t="s">
        <v>702</v>
      </c>
      <c r="B53" s="3" t="s">
        <v>693</v>
      </c>
      <c r="C53" s="256">
        <f>Variables!F29</f>
        <v>20.93</v>
      </c>
    </row>
    <row r="54" spans="1:3" x14ac:dyDescent="0.2">
      <c r="A54" s="32" t="s">
        <v>703</v>
      </c>
      <c r="B54" s="3" t="s">
        <v>694</v>
      </c>
      <c r="C54" s="256">
        <f>Variables!F30</f>
        <v>12805</v>
      </c>
    </row>
    <row r="55" spans="1:3" x14ac:dyDescent="0.2">
      <c r="A55" s="32" t="s">
        <v>704</v>
      </c>
      <c r="B55" s="3" t="s">
        <v>695</v>
      </c>
      <c r="C55" s="256">
        <f>Variables!F31</f>
        <v>1.28</v>
      </c>
    </row>
    <row r="56" spans="1:3" x14ac:dyDescent="0.2">
      <c r="A56" s="32" t="s">
        <v>705</v>
      </c>
      <c r="B56" s="3" t="s">
        <v>696</v>
      </c>
      <c r="C56" s="170">
        <f>Variables!F32</f>
        <v>4402.4399999999996</v>
      </c>
    </row>
    <row r="57" spans="1:3" x14ac:dyDescent="0.2">
      <c r="A57" s="22"/>
      <c r="C57" s="29"/>
    </row>
    <row r="58" spans="1:3" x14ac:dyDescent="0.2">
      <c r="A58" s="549" t="s">
        <v>740</v>
      </c>
      <c r="B58" s="550"/>
      <c r="C58" s="551"/>
    </row>
    <row r="59" spans="1:3" x14ac:dyDescent="0.2">
      <c r="A59" s="163" t="s">
        <v>30</v>
      </c>
      <c r="B59" s="30" t="s">
        <v>698</v>
      </c>
      <c r="C59" s="164">
        <f>I3</f>
        <v>9.8437545836560336E-2</v>
      </c>
    </row>
    <row r="60" spans="1:3" x14ac:dyDescent="0.2">
      <c r="A60" s="163" t="s">
        <v>697</v>
      </c>
      <c r="B60" s="30" t="s">
        <v>708</v>
      </c>
      <c r="C60" s="164">
        <f>I8</f>
        <v>0.62553142075750967</v>
      </c>
    </row>
    <row r="61" spans="1:3" x14ac:dyDescent="0.2">
      <c r="A61" s="163"/>
      <c r="B61" s="30"/>
      <c r="C61" s="117"/>
    </row>
    <row r="62" spans="1:3" x14ac:dyDescent="0.2">
      <c r="A62" s="163" t="s">
        <v>706</v>
      </c>
      <c r="B62" s="30" t="s">
        <v>725</v>
      </c>
      <c r="C62" s="258">
        <f>Variables!F33</f>
        <v>1</v>
      </c>
    </row>
    <row r="63" spans="1:3" x14ac:dyDescent="0.2">
      <c r="A63" s="163" t="s">
        <v>707</v>
      </c>
      <c r="B63" s="30" t="s">
        <v>725</v>
      </c>
      <c r="C63" s="167">
        <f>Variables!F34</f>
        <v>1</v>
      </c>
    </row>
    <row r="64" spans="1:3" x14ac:dyDescent="0.2">
      <c r="A64" s="22"/>
      <c r="C64" s="29"/>
    </row>
    <row r="65" spans="1:3" x14ac:dyDescent="0.2">
      <c r="A65" s="528" t="s">
        <v>788</v>
      </c>
      <c r="B65" s="529"/>
      <c r="C65" s="530"/>
    </row>
    <row r="66" spans="1:3" x14ac:dyDescent="0.2">
      <c r="A66" s="178" t="s">
        <v>749</v>
      </c>
      <c r="B66" s="179" t="s">
        <v>16</v>
      </c>
      <c r="C66" s="208">
        <f>SUM([1]ExpBase!$D$623:$D$635)*[1]Inputs!$F$3</f>
        <v>171708545934.33716</v>
      </c>
    </row>
    <row r="67" spans="1:3" x14ac:dyDescent="0.2">
      <c r="A67" s="178" t="s">
        <v>750</v>
      </c>
      <c r="B67" s="179" t="s">
        <v>16</v>
      </c>
      <c r="C67" s="183">
        <v>447512997.59484839</v>
      </c>
    </row>
    <row r="68" spans="1:3" x14ac:dyDescent="0.2">
      <c r="A68" s="178" t="s">
        <v>755</v>
      </c>
      <c r="B68" s="179" t="s">
        <v>760</v>
      </c>
      <c r="C68" s="183">
        <f>C67*0.15/1000</f>
        <v>67126.949639227256</v>
      </c>
    </row>
    <row r="69" spans="1:3" x14ac:dyDescent="0.2">
      <c r="A69" s="178" t="s">
        <v>795</v>
      </c>
      <c r="B69" s="179" t="s">
        <v>16</v>
      </c>
      <c r="C69" s="183">
        <v>366959.36413444957</v>
      </c>
    </row>
    <row r="70" spans="1:3" x14ac:dyDescent="0.2">
      <c r="A70" s="178"/>
      <c r="B70" s="179"/>
      <c r="C70" s="180"/>
    </row>
    <row r="71" spans="1:3" x14ac:dyDescent="0.2">
      <c r="A71" s="178" t="s">
        <v>751</v>
      </c>
      <c r="B71" s="179" t="s">
        <v>753</v>
      </c>
      <c r="C71" s="209">
        <f>Variables!F39</f>
        <v>0.03</v>
      </c>
    </row>
    <row r="72" spans="1:3" x14ac:dyDescent="0.2">
      <c r="A72" s="178" t="s">
        <v>752</v>
      </c>
      <c r="B72" s="179" t="s">
        <v>754</v>
      </c>
      <c r="C72" s="209">
        <f>Variables!F40</f>
        <v>3.0000000000000001E-3</v>
      </c>
    </row>
    <row r="73" spans="1:3" x14ac:dyDescent="0.2">
      <c r="A73" s="178" t="s">
        <v>756</v>
      </c>
      <c r="B73" s="179" t="s">
        <v>786</v>
      </c>
      <c r="C73" s="209">
        <f>Variables!F41</f>
        <v>230</v>
      </c>
    </row>
    <row r="74" spans="1:3" x14ac:dyDescent="0.2">
      <c r="A74" s="178" t="s">
        <v>790</v>
      </c>
      <c r="B74" s="179" t="s">
        <v>794</v>
      </c>
      <c r="C74" s="209">
        <f>Variables!F42</f>
        <v>0.33</v>
      </c>
    </row>
    <row r="75" spans="1:3" x14ac:dyDescent="0.2">
      <c r="A75" s="22"/>
      <c r="C75" s="29"/>
    </row>
    <row r="76" spans="1:3" x14ac:dyDescent="0.2">
      <c r="A76" s="531" t="s">
        <v>772</v>
      </c>
      <c r="B76" s="532"/>
      <c r="C76" s="533"/>
    </row>
    <row r="77" spans="1:3" x14ac:dyDescent="0.2">
      <c r="A77" s="175" t="s">
        <v>534</v>
      </c>
      <c r="B77" s="176" t="s">
        <v>210</v>
      </c>
      <c r="C77" s="177">
        <v>421</v>
      </c>
    </row>
    <row r="78" spans="1:3" x14ac:dyDescent="0.2">
      <c r="A78" s="175"/>
      <c r="B78" s="176"/>
      <c r="C78" s="177"/>
    </row>
    <row r="79" spans="1:3" x14ac:dyDescent="0.2">
      <c r="A79" s="175" t="s">
        <v>746</v>
      </c>
      <c r="B79" s="176" t="s">
        <v>761</v>
      </c>
      <c r="C79" s="177">
        <v>90</v>
      </c>
    </row>
    <row r="80" spans="1:3" x14ac:dyDescent="0.2">
      <c r="A80" s="175"/>
      <c r="B80" s="176" t="s">
        <v>210</v>
      </c>
      <c r="C80" s="177">
        <v>3</v>
      </c>
    </row>
    <row r="81" spans="1:3" x14ac:dyDescent="0.2">
      <c r="A81" s="175" t="s">
        <v>765</v>
      </c>
      <c r="B81" s="176" t="s">
        <v>761</v>
      </c>
      <c r="C81" s="177">
        <v>65</v>
      </c>
    </row>
    <row r="82" spans="1:3" x14ac:dyDescent="0.2">
      <c r="A82" s="175"/>
      <c r="B82" s="176" t="s">
        <v>210</v>
      </c>
      <c r="C82" s="177">
        <v>421</v>
      </c>
    </row>
    <row r="83" spans="1:3" x14ac:dyDescent="0.2">
      <c r="A83" s="175" t="s">
        <v>747</v>
      </c>
      <c r="B83" s="176" t="s">
        <v>761</v>
      </c>
      <c r="C83" s="177">
        <f>80000/(40*52)</f>
        <v>38.46153846153846</v>
      </c>
    </row>
    <row r="84" spans="1:3" x14ac:dyDescent="0.2">
      <c r="A84" s="175"/>
      <c r="B84" s="176" t="s">
        <v>210</v>
      </c>
      <c r="C84" s="177">
        <v>200</v>
      </c>
    </row>
    <row r="85" spans="1:3" x14ac:dyDescent="0.2">
      <c r="A85" s="175"/>
      <c r="B85" s="176"/>
      <c r="C85" s="177"/>
    </row>
    <row r="86" spans="1:3" x14ac:dyDescent="0.2">
      <c r="A86" s="175" t="s">
        <v>745</v>
      </c>
      <c r="B86" s="176" t="s">
        <v>761</v>
      </c>
      <c r="C86" s="177">
        <f>Variables!F35</f>
        <v>33</v>
      </c>
    </row>
    <row r="87" spans="1:3" x14ac:dyDescent="0.2">
      <c r="A87" s="175" t="s">
        <v>764</v>
      </c>
      <c r="B87" s="176" t="s">
        <v>761</v>
      </c>
      <c r="C87" s="177">
        <f>Variables!F36</f>
        <v>97</v>
      </c>
    </row>
    <row r="88" spans="1:3" x14ac:dyDescent="0.2">
      <c r="A88" s="175" t="s">
        <v>759</v>
      </c>
      <c r="B88" s="176" t="s">
        <v>210</v>
      </c>
      <c r="C88" s="177">
        <f>Variables!F37</f>
        <v>5900000000</v>
      </c>
    </row>
    <row r="89" spans="1:3" x14ac:dyDescent="0.2">
      <c r="A89" s="175"/>
      <c r="B89" s="176"/>
      <c r="C89" s="177"/>
    </row>
    <row r="90" spans="1:3" x14ac:dyDescent="0.2">
      <c r="A90" s="175" t="s">
        <v>762</v>
      </c>
      <c r="B90" s="176" t="s">
        <v>210</v>
      </c>
      <c r="C90" s="177">
        <f>C77</f>
        <v>421</v>
      </c>
    </row>
    <row r="91" spans="1:3" x14ac:dyDescent="0.2">
      <c r="A91" s="175" t="s">
        <v>763</v>
      </c>
      <c r="B91" s="176" t="s">
        <v>210</v>
      </c>
      <c r="C91" s="177">
        <v>421</v>
      </c>
    </row>
    <row r="92" spans="1:3" x14ac:dyDescent="0.2">
      <c r="A92" s="22"/>
      <c r="C92" s="29"/>
    </row>
    <row r="93" spans="1:3" ht="16" thickBot="1" x14ac:dyDescent="0.25">
      <c r="A93" s="34"/>
      <c r="B93" s="12"/>
      <c r="C93" s="37"/>
    </row>
    <row r="94" spans="1:3" x14ac:dyDescent="0.2">
      <c r="A94" s="113" t="s">
        <v>555</v>
      </c>
      <c r="B94" s="148">
        <f>B226</f>
        <v>82237.532777957385</v>
      </c>
      <c r="C94" s="149" t="s">
        <v>537</v>
      </c>
    </row>
    <row r="95" spans="1:3" ht="16" thickBot="1" x14ac:dyDescent="0.25">
      <c r="A95" s="114"/>
      <c r="B95" s="126"/>
      <c r="C95" s="37"/>
    </row>
    <row r="97" spans="1:36" ht="16" thickBot="1" x14ac:dyDescent="0.25"/>
    <row r="98" spans="1:36" ht="23" thickBot="1" x14ac:dyDescent="0.35">
      <c r="A98" s="534" t="s">
        <v>532</v>
      </c>
      <c r="B98" s="535"/>
      <c r="C98" s="536"/>
    </row>
    <row r="99" spans="1:36" x14ac:dyDescent="0.2">
      <c r="A99" s="10"/>
      <c r="B99" s="11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9"/>
    </row>
    <row r="100" spans="1:36" x14ac:dyDescent="0.2">
      <c r="A100" s="108" t="s">
        <v>539</v>
      </c>
      <c r="D100">
        <v>2026</v>
      </c>
      <c r="E100">
        <v>2027</v>
      </c>
      <c r="F100">
        <v>2028</v>
      </c>
      <c r="G100">
        <v>2029</v>
      </c>
      <c r="H100">
        <v>2030</v>
      </c>
      <c r="I100">
        <v>2031</v>
      </c>
      <c r="J100">
        <v>2032</v>
      </c>
      <c r="K100">
        <v>2033</v>
      </c>
      <c r="L100">
        <v>2034</v>
      </c>
      <c r="M100">
        <v>2035</v>
      </c>
      <c r="N100">
        <v>2036</v>
      </c>
      <c r="O100">
        <v>2037</v>
      </c>
      <c r="P100">
        <v>2038</v>
      </c>
      <c r="Q100">
        <v>2039</v>
      </c>
      <c r="R100">
        <v>2040</v>
      </c>
      <c r="S100">
        <v>2041</v>
      </c>
      <c r="T100">
        <v>2042</v>
      </c>
      <c r="U100">
        <v>2043</v>
      </c>
      <c r="V100">
        <v>2044</v>
      </c>
      <c r="W100">
        <v>2045</v>
      </c>
      <c r="X100">
        <v>2046</v>
      </c>
      <c r="Y100">
        <v>2047</v>
      </c>
      <c r="Z100">
        <v>2048</v>
      </c>
      <c r="AA100">
        <v>2049</v>
      </c>
      <c r="AB100">
        <v>2050</v>
      </c>
      <c r="AC100">
        <v>2051</v>
      </c>
      <c r="AD100">
        <v>2052</v>
      </c>
      <c r="AE100">
        <v>2053</v>
      </c>
      <c r="AF100">
        <v>2054</v>
      </c>
      <c r="AG100">
        <v>2055</v>
      </c>
      <c r="AH100">
        <v>2056</v>
      </c>
      <c r="AI100">
        <v>2057</v>
      </c>
      <c r="AJ100" s="29">
        <v>2058</v>
      </c>
    </row>
    <row r="101" spans="1:36" x14ac:dyDescent="0.2">
      <c r="A101" s="22" t="s">
        <v>563</v>
      </c>
      <c r="B101" t="s">
        <v>64</v>
      </c>
      <c r="D101">
        <v>-2</v>
      </c>
      <c r="E101">
        <v>-1</v>
      </c>
      <c r="F101">
        <v>0</v>
      </c>
      <c r="G101">
        <v>1</v>
      </c>
      <c r="H101">
        <v>2</v>
      </c>
      <c r="I101">
        <v>3</v>
      </c>
      <c r="J101">
        <v>4</v>
      </c>
      <c r="K101">
        <v>5</v>
      </c>
      <c r="L101">
        <v>6</v>
      </c>
      <c r="M101">
        <v>7</v>
      </c>
      <c r="N101">
        <v>8</v>
      </c>
      <c r="O101">
        <v>9</v>
      </c>
      <c r="P101">
        <v>10</v>
      </c>
      <c r="Q101">
        <v>11</v>
      </c>
      <c r="R101">
        <v>12</v>
      </c>
      <c r="S101">
        <v>13</v>
      </c>
      <c r="T101">
        <v>14</v>
      </c>
      <c r="U101">
        <v>15</v>
      </c>
      <c r="V101">
        <v>16</v>
      </c>
      <c r="W101">
        <v>17</v>
      </c>
      <c r="X101">
        <v>18</v>
      </c>
      <c r="Y101">
        <v>19</v>
      </c>
      <c r="Z101">
        <v>20</v>
      </c>
      <c r="AA101">
        <v>21</v>
      </c>
      <c r="AB101">
        <v>22</v>
      </c>
      <c r="AC101">
        <v>23</v>
      </c>
      <c r="AD101">
        <v>24</v>
      </c>
      <c r="AE101">
        <v>25</v>
      </c>
      <c r="AF101">
        <v>26</v>
      </c>
      <c r="AG101">
        <v>27</v>
      </c>
      <c r="AH101">
        <v>28</v>
      </c>
      <c r="AI101">
        <v>29</v>
      </c>
      <c r="AJ101" s="29">
        <v>30</v>
      </c>
    </row>
    <row r="102" spans="1:36" x14ac:dyDescent="0.2">
      <c r="A102" s="22" t="s">
        <v>207</v>
      </c>
      <c r="D102" s="36">
        <f>1/(1+$C$9)^D101</f>
        <v>1.0201</v>
      </c>
      <c r="E102" s="36">
        <f t="shared" ref="E102:AJ102" si="0">1/(1+$C$9)^E101</f>
        <v>1.01</v>
      </c>
      <c r="F102" s="36">
        <f t="shared" si="0"/>
        <v>1</v>
      </c>
      <c r="G102" s="36">
        <f t="shared" si="0"/>
        <v>0.99009900990099009</v>
      </c>
      <c r="H102" s="36">
        <f t="shared" si="0"/>
        <v>0.98029604940692083</v>
      </c>
      <c r="I102" s="36">
        <f t="shared" si="0"/>
        <v>0.97059014792764453</v>
      </c>
      <c r="J102" s="36">
        <f t="shared" si="0"/>
        <v>0.96098034448281622</v>
      </c>
      <c r="K102" s="36">
        <f t="shared" si="0"/>
        <v>0.95146568760674888</v>
      </c>
      <c r="L102" s="36">
        <f t="shared" si="0"/>
        <v>0.94204523525420658</v>
      </c>
      <c r="M102" s="36">
        <f t="shared" si="0"/>
        <v>0.93271805470713554</v>
      </c>
      <c r="N102" s="36">
        <f t="shared" si="0"/>
        <v>0.92348322248231218</v>
      </c>
      <c r="O102" s="36">
        <f t="shared" si="0"/>
        <v>0.91433982423991289</v>
      </c>
      <c r="P102" s="36">
        <f t="shared" si="0"/>
        <v>0.90528695469298315</v>
      </c>
      <c r="Q102" s="36">
        <f t="shared" si="0"/>
        <v>0.89632371751780526</v>
      </c>
      <c r="R102" s="36">
        <f t="shared" si="0"/>
        <v>0.88744922526515368</v>
      </c>
      <c r="S102" s="36">
        <f t="shared" si="0"/>
        <v>0.87866259927242929</v>
      </c>
      <c r="T102" s="36">
        <f t="shared" si="0"/>
        <v>0.86996296957666264</v>
      </c>
      <c r="U102" s="36">
        <f t="shared" si="0"/>
        <v>0.86134947482837909</v>
      </c>
      <c r="V102" s="36">
        <f t="shared" si="0"/>
        <v>0.8528212622063156</v>
      </c>
      <c r="W102" s="36">
        <f t="shared" si="0"/>
        <v>0.84437748733298568</v>
      </c>
      <c r="X102" s="36">
        <f t="shared" si="0"/>
        <v>0.83601731419107495</v>
      </c>
      <c r="Y102" s="36">
        <f t="shared" si="0"/>
        <v>0.82773991504066846</v>
      </c>
      <c r="Z102" s="36">
        <f t="shared" si="0"/>
        <v>0.81954447033729538</v>
      </c>
      <c r="AA102" s="36">
        <f t="shared" si="0"/>
        <v>0.81143016865078765</v>
      </c>
      <c r="AB102" s="36">
        <f t="shared" si="0"/>
        <v>0.80339620658493804</v>
      </c>
      <c r="AC102" s="36">
        <f t="shared" si="0"/>
        <v>0.79544178869795856</v>
      </c>
      <c r="AD102" s="36">
        <f t="shared" si="0"/>
        <v>0.78756612742372123</v>
      </c>
      <c r="AE102" s="36">
        <f t="shared" si="0"/>
        <v>0.77976844299378323</v>
      </c>
      <c r="AF102" s="36">
        <f t="shared" si="0"/>
        <v>0.77204796336018144</v>
      </c>
      <c r="AG102" s="36">
        <f t="shared" si="0"/>
        <v>0.76440392411899183</v>
      </c>
      <c r="AH102" s="36">
        <f t="shared" si="0"/>
        <v>0.75683556843464528</v>
      </c>
      <c r="AI102" s="36">
        <f t="shared" si="0"/>
        <v>0.74934214696499535</v>
      </c>
      <c r="AJ102" s="54">
        <f t="shared" si="0"/>
        <v>0.74192291778712394</v>
      </c>
    </row>
    <row r="103" spans="1:36" x14ac:dyDescent="0.2">
      <c r="A103" s="22"/>
      <c r="AJ103" s="29"/>
    </row>
    <row r="104" spans="1:36" x14ac:dyDescent="0.2">
      <c r="A104" s="22" t="s">
        <v>543</v>
      </c>
      <c r="B104" t="s">
        <v>64</v>
      </c>
      <c r="D104">
        <v>0</v>
      </c>
      <c r="E104">
        <v>1</v>
      </c>
      <c r="F104">
        <v>2</v>
      </c>
      <c r="G104">
        <v>3</v>
      </c>
      <c r="H104">
        <v>4</v>
      </c>
      <c r="I104">
        <v>5</v>
      </c>
      <c r="J104">
        <v>6</v>
      </c>
      <c r="K104">
        <v>7</v>
      </c>
      <c r="L104">
        <v>8</v>
      </c>
      <c r="M104">
        <v>9</v>
      </c>
      <c r="N104">
        <v>10</v>
      </c>
      <c r="O104">
        <v>11</v>
      </c>
      <c r="P104">
        <v>12</v>
      </c>
      <c r="Q104">
        <v>13</v>
      </c>
      <c r="R104">
        <v>14</v>
      </c>
      <c r="S104">
        <v>15</v>
      </c>
      <c r="T104">
        <v>16</v>
      </c>
      <c r="U104">
        <v>17</v>
      </c>
      <c r="V104">
        <v>18</v>
      </c>
      <c r="W104">
        <v>19</v>
      </c>
      <c r="X104">
        <v>20</v>
      </c>
      <c r="Y104">
        <v>21</v>
      </c>
      <c r="Z104">
        <v>22</v>
      </c>
      <c r="AA104">
        <v>23</v>
      </c>
      <c r="AB104">
        <v>24</v>
      </c>
      <c r="AC104">
        <v>25</v>
      </c>
      <c r="AD104">
        <v>26</v>
      </c>
      <c r="AE104">
        <v>27</v>
      </c>
      <c r="AF104">
        <v>28</v>
      </c>
      <c r="AG104">
        <v>29</v>
      </c>
      <c r="AH104">
        <v>30</v>
      </c>
      <c r="AI104">
        <v>31</v>
      </c>
      <c r="AJ104" s="29">
        <v>32</v>
      </c>
    </row>
    <row r="105" spans="1:36" x14ac:dyDescent="0.2">
      <c r="A105" s="22" t="s">
        <v>535</v>
      </c>
      <c r="B105" t="s">
        <v>210</v>
      </c>
      <c r="D105" s="8">
        <f t="shared" ref="D105:AJ105" si="1">$C$4*(1+$C$5)^D104</f>
        <v>8300000000</v>
      </c>
      <c r="E105" s="8">
        <f t="shared" si="1"/>
        <v>8373039999.999999</v>
      </c>
      <c r="F105" s="8">
        <f t="shared" si="1"/>
        <v>8446722751.999999</v>
      </c>
      <c r="G105" s="8">
        <f t="shared" si="1"/>
        <v>8521053912.217598</v>
      </c>
      <c r="H105" s="8">
        <f t="shared" si="1"/>
        <v>8596039186.645113</v>
      </c>
      <c r="I105" s="8">
        <f t="shared" si="1"/>
        <v>8671684331.4875889</v>
      </c>
      <c r="J105" s="8">
        <f t="shared" si="1"/>
        <v>8747995153.6046791</v>
      </c>
      <c r="K105" s="8">
        <f t="shared" si="1"/>
        <v>8824977510.9563999</v>
      </c>
      <c r="L105" s="8">
        <f t="shared" si="1"/>
        <v>8902637313.0528164</v>
      </c>
      <c r="M105" s="8">
        <f t="shared" si="1"/>
        <v>8980980521.4076805</v>
      </c>
      <c r="N105" s="8">
        <f t="shared" si="1"/>
        <v>9060013149.996067</v>
      </c>
      <c r="O105" s="8">
        <f t="shared" si="1"/>
        <v>9139741265.716032</v>
      </c>
      <c r="P105" s="8">
        <f t="shared" si="1"/>
        <v>9220170988.8543339</v>
      </c>
      <c r="Q105" s="8">
        <f t="shared" si="1"/>
        <v>9301308493.5562496</v>
      </c>
      <c r="R105" s="8">
        <f t="shared" si="1"/>
        <v>9383160008.2995453</v>
      </c>
      <c r="S105" s="8">
        <f t="shared" si="1"/>
        <v>9465731816.3725815</v>
      </c>
      <c r="T105" s="8">
        <f t="shared" si="1"/>
        <v>9549030256.3566589</v>
      </c>
      <c r="U105" s="8">
        <f t="shared" si="1"/>
        <v>9633061722.6125965</v>
      </c>
      <c r="V105" s="8">
        <f t="shared" si="1"/>
        <v>9717832665.7715893</v>
      </c>
      <c r="W105" s="8">
        <f t="shared" si="1"/>
        <v>9803349593.2303772</v>
      </c>
      <c r="X105" s="8">
        <f t="shared" si="1"/>
        <v>9889619069.6508045</v>
      </c>
      <c r="Y105" s="8">
        <f t="shared" si="1"/>
        <v>9976647717.4637299</v>
      </c>
      <c r="Z105" s="8">
        <f t="shared" si="1"/>
        <v>10064442217.377411</v>
      </c>
      <c r="AA105" s="8">
        <f t="shared" si="1"/>
        <v>10153009308.890329</v>
      </c>
      <c r="AB105" s="8">
        <f t="shared" si="1"/>
        <v>10242355790.808565</v>
      </c>
      <c r="AC105" s="8">
        <f t="shared" si="1"/>
        <v>10332488521.767681</v>
      </c>
      <c r="AD105" s="8">
        <f t="shared" si="1"/>
        <v>10423414420.759235</v>
      </c>
      <c r="AE105" s="8">
        <f t="shared" si="1"/>
        <v>10515140467.661915</v>
      </c>
      <c r="AF105" s="8">
        <f t="shared" si="1"/>
        <v>10607673703.777342</v>
      </c>
      <c r="AG105" s="8">
        <f t="shared" si="1"/>
        <v>10701021232.370581</v>
      </c>
      <c r="AH105" s="8">
        <f t="shared" si="1"/>
        <v>10795190219.215441</v>
      </c>
      <c r="AI105" s="8">
        <f t="shared" si="1"/>
        <v>10890187893.144537</v>
      </c>
      <c r="AJ105" s="115">
        <f t="shared" si="1"/>
        <v>10986021546.604208</v>
      </c>
    </row>
    <row r="106" spans="1:36" x14ac:dyDescent="0.2">
      <c r="A106" s="22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115"/>
    </row>
    <row r="107" spans="1:36" x14ac:dyDescent="0.2">
      <c r="A107" s="22" t="s">
        <v>565</v>
      </c>
      <c r="B107" s="17">
        <f>PSI_OC!A6</f>
        <v>100</v>
      </c>
      <c r="C107" t="s">
        <v>717</v>
      </c>
      <c r="D107" s="8"/>
      <c r="E107" s="8">
        <v>80000</v>
      </c>
      <c r="F107" s="8"/>
      <c r="G107" s="8">
        <f>$B107*$C$10*100</f>
        <v>80000000</v>
      </c>
      <c r="H107" s="8">
        <f t="shared" ref="H107:AJ109" si="2">$B107*$C$10*100</f>
        <v>80000000</v>
      </c>
      <c r="I107" s="8">
        <f t="shared" si="2"/>
        <v>80000000</v>
      </c>
      <c r="J107" s="8">
        <f t="shared" si="2"/>
        <v>80000000</v>
      </c>
      <c r="K107" s="8">
        <f t="shared" si="2"/>
        <v>80000000</v>
      </c>
      <c r="L107" s="8">
        <f t="shared" si="2"/>
        <v>80000000</v>
      </c>
      <c r="M107" s="8">
        <f t="shared" si="2"/>
        <v>80000000</v>
      </c>
      <c r="N107" s="8">
        <f t="shared" si="2"/>
        <v>80000000</v>
      </c>
      <c r="O107" s="8">
        <f t="shared" si="2"/>
        <v>80000000</v>
      </c>
      <c r="P107" s="8">
        <f t="shared" si="2"/>
        <v>80000000</v>
      </c>
      <c r="Q107" s="8">
        <f t="shared" si="2"/>
        <v>80000000</v>
      </c>
      <c r="R107" s="8">
        <f t="shared" si="2"/>
        <v>80000000</v>
      </c>
      <c r="S107" s="8">
        <f t="shared" si="2"/>
        <v>80000000</v>
      </c>
      <c r="T107" s="8">
        <f t="shared" si="2"/>
        <v>80000000</v>
      </c>
      <c r="U107" s="8">
        <f t="shared" si="2"/>
        <v>80000000</v>
      </c>
      <c r="V107" s="8">
        <f t="shared" si="2"/>
        <v>80000000</v>
      </c>
      <c r="W107" s="8">
        <f t="shared" si="2"/>
        <v>80000000</v>
      </c>
      <c r="X107" s="8">
        <f t="shared" si="2"/>
        <v>80000000</v>
      </c>
      <c r="Y107" s="8">
        <f t="shared" si="2"/>
        <v>80000000</v>
      </c>
      <c r="Z107" s="8">
        <f t="shared" si="2"/>
        <v>80000000</v>
      </c>
      <c r="AA107" s="8">
        <f t="shared" si="2"/>
        <v>80000000</v>
      </c>
      <c r="AB107" s="8">
        <f t="shared" si="2"/>
        <v>80000000</v>
      </c>
      <c r="AC107" s="8">
        <f t="shared" si="2"/>
        <v>80000000</v>
      </c>
      <c r="AD107" s="8">
        <f t="shared" si="2"/>
        <v>80000000</v>
      </c>
      <c r="AE107" s="8">
        <f t="shared" si="2"/>
        <v>80000000</v>
      </c>
      <c r="AF107" s="8">
        <f t="shared" si="2"/>
        <v>80000000</v>
      </c>
      <c r="AG107" s="8">
        <f t="shared" si="2"/>
        <v>80000000</v>
      </c>
      <c r="AH107" s="8">
        <f t="shared" si="2"/>
        <v>80000000</v>
      </c>
      <c r="AI107" s="8">
        <f t="shared" si="2"/>
        <v>80000000</v>
      </c>
      <c r="AJ107" s="8">
        <f t="shared" si="2"/>
        <v>80000000</v>
      </c>
    </row>
    <row r="108" spans="1:36" x14ac:dyDescent="0.2">
      <c r="A108" s="22" t="s">
        <v>718</v>
      </c>
      <c r="B108" s="17">
        <f>PSI_OC!A7</f>
        <v>10</v>
      </c>
      <c r="C108" t="s">
        <v>717</v>
      </c>
      <c r="D108" s="8"/>
      <c r="E108" s="8">
        <v>8000</v>
      </c>
      <c r="F108" s="8"/>
      <c r="G108" s="8">
        <f>$B108*$C$10*100</f>
        <v>8000000</v>
      </c>
      <c r="H108" s="8">
        <f t="shared" si="2"/>
        <v>8000000</v>
      </c>
      <c r="I108" s="8">
        <f t="shared" si="2"/>
        <v>8000000</v>
      </c>
      <c r="J108" s="8">
        <f t="shared" si="2"/>
        <v>8000000</v>
      </c>
      <c r="K108" s="8">
        <f t="shared" si="2"/>
        <v>8000000</v>
      </c>
      <c r="L108" s="8">
        <f t="shared" si="2"/>
        <v>8000000</v>
      </c>
      <c r="M108" s="8">
        <f t="shared" si="2"/>
        <v>8000000</v>
      </c>
      <c r="N108" s="8">
        <f t="shared" si="2"/>
        <v>8000000</v>
      </c>
      <c r="O108" s="8">
        <f t="shared" si="2"/>
        <v>8000000</v>
      </c>
      <c r="P108" s="8">
        <f t="shared" si="2"/>
        <v>8000000</v>
      </c>
      <c r="Q108" s="8">
        <f t="shared" si="2"/>
        <v>8000000</v>
      </c>
      <c r="R108" s="8">
        <f t="shared" si="2"/>
        <v>8000000</v>
      </c>
      <c r="S108" s="8">
        <f t="shared" si="2"/>
        <v>8000000</v>
      </c>
      <c r="T108" s="8">
        <f t="shared" si="2"/>
        <v>8000000</v>
      </c>
      <c r="U108" s="8">
        <f t="shared" si="2"/>
        <v>8000000</v>
      </c>
      <c r="V108" s="8">
        <f t="shared" si="2"/>
        <v>8000000</v>
      </c>
      <c r="W108" s="8">
        <f t="shared" si="2"/>
        <v>8000000</v>
      </c>
      <c r="X108" s="8">
        <f t="shared" si="2"/>
        <v>8000000</v>
      </c>
      <c r="Y108" s="8">
        <f t="shared" si="2"/>
        <v>8000000</v>
      </c>
      <c r="Z108" s="8">
        <f t="shared" si="2"/>
        <v>8000000</v>
      </c>
      <c r="AA108" s="8">
        <f t="shared" si="2"/>
        <v>8000000</v>
      </c>
      <c r="AB108" s="8">
        <f t="shared" si="2"/>
        <v>8000000</v>
      </c>
      <c r="AC108" s="8">
        <f t="shared" si="2"/>
        <v>8000000</v>
      </c>
      <c r="AD108" s="8">
        <f t="shared" si="2"/>
        <v>8000000</v>
      </c>
      <c r="AE108" s="8">
        <f t="shared" si="2"/>
        <v>8000000</v>
      </c>
      <c r="AF108" s="8">
        <f t="shared" si="2"/>
        <v>8000000</v>
      </c>
      <c r="AG108" s="8">
        <f t="shared" si="2"/>
        <v>8000000</v>
      </c>
      <c r="AH108" s="8">
        <f t="shared" si="2"/>
        <v>8000000</v>
      </c>
      <c r="AI108" s="8">
        <f t="shared" si="2"/>
        <v>8000000</v>
      </c>
      <c r="AJ108" s="8">
        <f t="shared" si="2"/>
        <v>8000000</v>
      </c>
    </row>
    <row r="109" spans="1:36" x14ac:dyDescent="0.2">
      <c r="A109" s="22" t="s">
        <v>719</v>
      </c>
      <c r="B109" s="17">
        <f>PSI_OC!A8</f>
        <v>1</v>
      </c>
      <c r="C109" t="s">
        <v>717</v>
      </c>
      <c r="D109" s="8"/>
      <c r="E109" s="8">
        <v>800</v>
      </c>
      <c r="F109" s="8"/>
      <c r="G109" s="8">
        <f>$B109*$C$10*100</f>
        <v>800000</v>
      </c>
      <c r="H109" s="8">
        <f t="shared" si="2"/>
        <v>800000</v>
      </c>
      <c r="I109" s="8">
        <f t="shared" si="2"/>
        <v>800000</v>
      </c>
      <c r="J109" s="8">
        <f t="shared" si="2"/>
        <v>800000</v>
      </c>
      <c r="K109" s="8">
        <f t="shared" si="2"/>
        <v>800000</v>
      </c>
      <c r="L109" s="8">
        <f t="shared" si="2"/>
        <v>800000</v>
      </c>
      <c r="M109" s="8">
        <f t="shared" si="2"/>
        <v>800000</v>
      </c>
      <c r="N109" s="8">
        <f t="shared" si="2"/>
        <v>800000</v>
      </c>
      <c r="O109" s="8">
        <f t="shared" si="2"/>
        <v>800000</v>
      </c>
      <c r="P109" s="8">
        <f t="shared" si="2"/>
        <v>800000</v>
      </c>
      <c r="Q109" s="8">
        <f t="shared" si="2"/>
        <v>800000</v>
      </c>
      <c r="R109" s="8">
        <f t="shared" si="2"/>
        <v>800000</v>
      </c>
      <c r="S109" s="8">
        <f t="shared" si="2"/>
        <v>800000</v>
      </c>
      <c r="T109" s="8">
        <f t="shared" si="2"/>
        <v>800000</v>
      </c>
      <c r="U109" s="8">
        <f t="shared" si="2"/>
        <v>800000</v>
      </c>
      <c r="V109" s="8">
        <f t="shared" si="2"/>
        <v>800000</v>
      </c>
      <c r="W109" s="8">
        <f t="shared" si="2"/>
        <v>800000</v>
      </c>
      <c r="X109" s="8">
        <f t="shared" si="2"/>
        <v>800000</v>
      </c>
      <c r="Y109" s="8">
        <f t="shared" si="2"/>
        <v>800000</v>
      </c>
      <c r="Z109" s="8">
        <f t="shared" si="2"/>
        <v>800000</v>
      </c>
      <c r="AA109" s="8">
        <f t="shared" si="2"/>
        <v>800000</v>
      </c>
      <c r="AB109" s="8">
        <f t="shared" si="2"/>
        <v>800000</v>
      </c>
      <c r="AC109" s="8">
        <f t="shared" si="2"/>
        <v>800000</v>
      </c>
      <c r="AD109" s="8">
        <f t="shared" si="2"/>
        <v>800000</v>
      </c>
      <c r="AE109" s="8">
        <f t="shared" si="2"/>
        <v>800000</v>
      </c>
      <c r="AF109" s="8">
        <f t="shared" si="2"/>
        <v>800000</v>
      </c>
      <c r="AG109" s="8">
        <f t="shared" si="2"/>
        <v>800000</v>
      </c>
      <c r="AH109" s="8">
        <f t="shared" si="2"/>
        <v>800000</v>
      </c>
      <c r="AI109" s="8">
        <f t="shared" si="2"/>
        <v>800000</v>
      </c>
      <c r="AJ109" s="8">
        <f t="shared" si="2"/>
        <v>800000</v>
      </c>
    </row>
    <row r="110" spans="1:36" x14ac:dyDescent="0.2">
      <c r="A110" s="22"/>
      <c r="AJ110" s="29"/>
    </row>
    <row r="111" spans="1:36" x14ac:dyDescent="0.2">
      <c r="A111" s="116" t="s">
        <v>553</v>
      </c>
      <c r="B111" s="30"/>
      <c r="C111" s="30"/>
      <c r="D111" s="30"/>
      <c r="E111" s="30"/>
      <c r="F111" s="30"/>
      <c r="G111" s="30"/>
      <c r="H111" s="30"/>
      <c r="I111" s="30"/>
      <c r="J111" s="30"/>
      <c r="K111" s="30"/>
      <c r="L111" s="30"/>
      <c r="M111" s="30"/>
      <c r="N111" s="30"/>
      <c r="O111" s="30"/>
      <c r="P111" s="30"/>
      <c r="Q111" s="30"/>
      <c r="R111" s="30"/>
      <c r="S111" s="30"/>
      <c r="T111" s="30"/>
      <c r="U111" s="30"/>
      <c r="V111" s="30"/>
      <c r="W111" s="30"/>
      <c r="X111" s="30"/>
      <c r="Y111" s="30"/>
      <c r="Z111" s="30"/>
      <c r="AA111" s="30"/>
      <c r="AB111" s="30"/>
      <c r="AC111" s="30"/>
      <c r="AD111" s="30"/>
      <c r="AE111" s="30"/>
      <c r="AF111" s="30"/>
      <c r="AG111" s="30"/>
      <c r="AH111" s="30"/>
      <c r="AI111" s="30"/>
      <c r="AJ111" s="117"/>
    </row>
    <row r="112" spans="1:36" x14ac:dyDescent="0.2">
      <c r="A112" s="108" t="s">
        <v>710</v>
      </c>
      <c r="B112" t="s">
        <v>537</v>
      </c>
      <c r="D112" s="8"/>
      <c r="E112" s="8"/>
      <c r="F112" s="8"/>
      <c r="AJ112" s="29"/>
    </row>
    <row r="113" spans="1:36" x14ac:dyDescent="0.2">
      <c r="A113" s="220" t="s">
        <v>983</v>
      </c>
      <c r="C113" s="45"/>
      <c r="D113" s="69">
        <f>(SUM(PSI_OC!$S$6:$S$111)/88)*(PSI_OC!$AC$6/(PSI_OC!$AF$6*D105))*D102</f>
        <v>-9026.9184083656601</v>
      </c>
      <c r="E113" s="69">
        <f>(SUM(PSI_OC!$S$6:$S$111)/88)*(PSI_OC!$AC$6/(PSI_OC!$AF$6*E105))*E102</f>
        <v>-8859.5786861418146</v>
      </c>
      <c r="F113" s="69">
        <f>(SUM(PSI_OC!$S$6:$S$111)/88)*(PSI_OC!$AC$6/(PSI_OC!$AF$6*F105))*F102</f>
        <v>-8695.3410837519077</v>
      </c>
      <c r="AJ113" s="29"/>
    </row>
    <row r="114" spans="1:36" x14ac:dyDescent="0.2">
      <c r="A114" s="219" t="s">
        <v>985</v>
      </c>
      <c r="D114" s="69">
        <f>(SUM(PSI_OC!$T$6:$T$111)/88)*(PSI_OC!$AC$7/(PSI_OC!$AF$7*D105))/106*D102</f>
        <v>-76.812662815534893</v>
      </c>
      <c r="E114" s="69">
        <f>(SUM(PSI_OC!$T$6:$T$111)/88)*(PSI_OC!$AC$7/(PSI_OC!$AF$7*E105))/106*E102</f>
        <v>-75.38872065971421</v>
      </c>
      <c r="F114" s="69">
        <f>(SUM(PSI_OC!$T$6:$T$111)/88)*(PSI_OC!$AC$7/(PSI_OC!$AF$7*F105))/106*F102</f>
        <v>-73.991175339894312</v>
      </c>
      <c r="AJ114" s="29"/>
    </row>
    <row r="115" spans="1:36" x14ac:dyDescent="0.2">
      <c r="A115" s="220" t="s">
        <v>663</v>
      </c>
      <c r="D115" s="69">
        <f>(SUM(PSI_OC!U6:U111)/88)*(PSI_OC!$AC$8/(PSI_OC!$AF$8*D105))/106*D102</f>
        <v>-9.7353301867707511</v>
      </c>
      <c r="E115" s="69">
        <f>(SUM(PSI_OC!V6:V111)/88)*(PSI_OC!$AC$8/(PSI_OC!$AF$8*E105))/106*E102</f>
        <v>-259.21593970391859</v>
      </c>
      <c r="F115" s="69">
        <f>(SUM(PSI_OC!W6:W111)/88)*(PSI_OC!$AC$8/(PSI_OC!$AF$8*F105))/106*F102</f>
        <v>-24.468125356235902</v>
      </c>
      <c r="AJ115" s="29"/>
    </row>
    <row r="116" spans="1:36" x14ac:dyDescent="0.2">
      <c r="A116" s="219" t="s">
        <v>507</v>
      </c>
      <c r="D116" s="69">
        <f>(SUM(PSI_OC!$U$6:$U$111)/88)*(PSI_OC!$AC9/(PSI_OC!$AF9*D105))/106*D102</f>
        <v>-12.947893752813263</v>
      </c>
      <c r="E116" s="69">
        <f>(SUM(PSI_OC!$U$6:$U$111)/88)*(PSI_OC!$AC9/(PSI_OC!$AF9*E105))/106*E102</f>
        <v>-12.707867550519058</v>
      </c>
      <c r="F116" s="69">
        <f>(SUM(PSI_OC!$U$6:$U$111)/88)*(PSI_OC!$AC9/(PSI_OC!$AF9*F105))/106*F102</f>
        <v>-12.472290919629101</v>
      </c>
      <c r="AJ116" s="29"/>
    </row>
    <row r="117" spans="1:36" x14ac:dyDescent="0.2">
      <c r="A117" s="219" t="s">
        <v>505</v>
      </c>
      <c r="D117" s="69">
        <f>(SUM(PSI_OC!W6:W111)/88)*(PSI_OC!$AC10/(PSI_OC!$AF10*D105))/106*D102</f>
        <v>-209.5532622650648</v>
      </c>
      <c r="E117" s="69">
        <f>(SUM(PSI_OC!X6:X111)/88)*(PSI_OC!$AC10/(PSI_OC!$AF10*E105))/106*E102</f>
        <v>-734.69110181028134</v>
      </c>
      <c r="F117" s="69">
        <f>(SUM(PSI_OC!Y6:Y111)/88)*(PSI_OC!$AC10/(PSI_OC!$AF10*F105))/106*F102</f>
        <v>-31.06414626092479</v>
      </c>
      <c r="AJ117" s="29"/>
    </row>
    <row r="118" spans="1:36" x14ac:dyDescent="0.2">
      <c r="A118" s="219" t="s">
        <v>50</v>
      </c>
      <c r="D118" s="69">
        <f>(SUM(PSI_OC!$X$6:$X$111)/88)*(PSI_OC!$AC11/(PSI_OC!$AF11*D105))/106*D102</f>
        <v>-2741.3410093409211</v>
      </c>
      <c r="E118" s="69">
        <f>(SUM(PSI_OC!$X$6:$X$111)/88)*(PSI_OC!$AC11/(PSI_OC!$AF11*E105))/106*E102</f>
        <v>-2690.5224218372591</v>
      </c>
      <c r="F118" s="69">
        <f>(SUM(PSI_OC!$X$6:$X$111)/88)*(PSI_OC!$AC11/(PSI_OC!$AF11*F105))/106*F102</f>
        <v>-2640.6459020395364</v>
      </c>
      <c r="AJ118" s="29"/>
    </row>
    <row r="119" spans="1:36" x14ac:dyDescent="0.2">
      <c r="A119" s="219" t="s">
        <v>980</v>
      </c>
      <c r="D119" s="69">
        <f>(SUM(PSI_OC!$Y$6:$Y$111)/88)*(PSI_OC!$AC12/(PSI_OC!$AF12*D105))/106*D102</f>
        <v>-46.031386219178088</v>
      </c>
      <c r="E119" s="69">
        <f>(SUM(PSI_OC!$Y$6:$Y$111)/88)*(PSI_OC!$AC12/(PSI_OC!$AF12*E105))/106*E102</f>
        <v>-45.178062965878574</v>
      </c>
      <c r="F119" s="69">
        <f>(SUM(PSI_OC!$Y$6:$Y$111)/88)*(PSI_OC!$AC12/(PSI_OC!$AF12*F105))/106*F102</f>
        <v>-44.340558496987477</v>
      </c>
      <c r="AJ119" s="29"/>
    </row>
    <row r="120" spans="1:36" x14ac:dyDescent="0.2">
      <c r="A120" s="219" t="s">
        <v>511</v>
      </c>
      <c r="D120" s="69">
        <f>(SUM(PSI_OC!$Z$6:$Z$111)/88)*(PSI_OC!$AC13/(PSI_OC!$AF13*D105))/106*D102</f>
        <v>-0.66035210978454273</v>
      </c>
      <c r="E120" s="69">
        <f>(SUM(PSI_OC!$Z$6:$Z$111)/88)*(PSI_OC!$AC13/(PSI_OC!$AF13*E105))/106*E102</f>
        <v>-0.64811059683158778</v>
      </c>
      <c r="F120" s="69">
        <f>(SUM(PSI_OC!$Z$6:$Z$111)/88)*(PSI_OC!$AC13/(PSI_OC!$AF13*F105))/106*F102</f>
        <v>-0.63609601529470161</v>
      </c>
      <c r="AJ120" s="29"/>
    </row>
    <row r="121" spans="1:36" x14ac:dyDescent="0.2">
      <c r="A121" s="219" t="s">
        <v>10</v>
      </c>
      <c r="D121" s="69">
        <f>(SUM(PSI_OC!$AA$6:$AA$111)/88)*(PSI_OC!$AC14/(PSI_OC!$AF14*D105))/106*D102</f>
        <v>-1.0793460757019919</v>
      </c>
      <c r="E121" s="69">
        <f>(SUM(PSI_OC!$AA$6:$AA$111)/88)*(PSI_OC!$AC14/(PSI_OC!$AF14*E105))/106*E102</f>
        <v>-1.0593373125426855</v>
      </c>
      <c r="F121" s="69">
        <f>(SUM(PSI_OC!$AA$6:$AA$111)/88)*(PSI_OC!$AC14/(PSI_OC!$AF14*F105))/106*F102</f>
        <v>-1.0396994689727288</v>
      </c>
      <c r="AJ121" s="29"/>
    </row>
    <row r="122" spans="1:36" x14ac:dyDescent="0.2">
      <c r="A122" s="108"/>
      <c r="D122" s="8"/>
      <c r="E122" s="8"/>
      <c r="F122" s="8"/>
      <c r="AJ122" s="29"/>
    </row>
    <row r="123" spans="1:36" x14ac:dyDescent="0.2">
      <c r="A123" s="108" t="s">
        <v>711</v>
      </c>
      <c r="B123" t="s">
        <v>537</v>
      </c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115"/>
    </row>
    <row r="124" spans="1:36" x14ac:dyDescent="0.2">
      <c r="A124" s="75" t="s">
        <v>990</v>
      </c>
      <c r="G124" s="8">
        <f>(SUM(PSI_OC!$AH$6:$AH$111)/88)*(PSI_OC!$AO$6/(PSI_OC!$AQ$6*G105))*G102</f>
        <v>-1342.2946225854871</v>
      </c>
      <c r="H124" s="8">
        <f>(SUM(PSI_OC!$AH$6:$AH$111)/88)*(PSI_OC!$AO$6/(PSI_OC!$AQ$6*H105))*H102</f>
        <v>-1317.4113568767984</v>
      </c>
      <c r="I124" s="8">
        <f>(SUM(PSI_OC!$AH$6:$AH$111)/88)*(PSI_OC!$AO$6/(PSI_OC!$AQ$6*I105))*I102</f>
        <v>-1292.9893735884596</v>
      </c>
      <c r="J124" s="8">
        <f>(SUM(PSI_OC!$AH$6:$AH$111)/88)*(PSI_OC!$AO$6/(PSI_OC!$AQ$6*J105))*J102</f>
        <v>-1269.0201215329453</v>
      </c>
      <c r="K124" s="8">
        <f>(SUM(PSI_OC!$AH$6:$AH$111)/88)*(PSI_OC!$AO$6/(PSI_OC!$AQ$6*K105))*K102</f>
        <v>-1245.4952080434214</v>
      </c>
      <c r="L124" s="8">
        <f>(SUM(PSI_OC!$AH$6:$AH$111)/88)*(PSI_OC!$AO$6/(PSI_OC!$AQ$6*L105))*L102</f>
        <v>-1222.4063960351098</v>
      </c>
      <c r="M124" s="8">
        <f>(SUM(PSI_OC!$AH$6:$AH$111)/88)*(PSI_OC!$AO$6/(PSI_OC!$AQ$6*M105))*M102</f>
        <v>-1199.7456011211345</v>
      </c>
      <c r="N124" s="8">
        <f>(SUM(PSI_OC!$AH$6:$AH$111)/88)*(PSI_OC!$AO$6/(PSI_OC!$AQ$6*N105))*N102</f>
        <v>-1177.5048887818232</v>
      </c>
      <c r="O124" s="8">
        <f>(SUM(PSI_OC!$AH$6:$AH$111)/88)*(PSI_OC!$AO$6/(PSI_OC!$AQ$6*O105))*O102</f>
        <v>-1155.6764715864972</v>
      </c>
      <c r="P124" s="8">
        <f>(SUM(PSI_OC!$AH$6:$AH$111)/88)*(PSI_OC!$AO$6/(PSI_OC!$AQ$6*P105))*P102</f>
        <v>-1134.2527064667531</v>
      </c>
      <c r="Q124" s="8">
        <f>(SUM(PSI_OC!$AH$6:$AH$111)/88)*(PSI_OC!$AO$6/(PSI_OC!$AQ$6*Q105))*Q102</f>
        <v>-1113.2260920402969</v>
      </c>
      <c r="R124" s="8">
        <f>(SUM(PSI_OC!$AH$6:$AH$111)/88)*(PSI_OC!$AO$6/(PSI_OC!$AQ$6*R105))*R102</f>
        <v>-1092.5892659843835</v>
      </c>
      <c r="S124" s="8">
        <f>(SUM(PSI_OC!$AH$6:$AH$111)/88)*(PSI_OC!$AO$6/(PSI_OC!$AQ$6*S105))*S102</f>
        <v>-1072.3350024579574</v>
      </c>
      <c r="T124" s="8">
        <f>(SUM(PSI_OC!$AH$6:$AH$111)/88)*(PSI_OC!$AO$6/(PSI_OC!$AQ$6*T105))*T102</f>
        <v>-1052.4562095715698</v>
      </c>
      <c r="U124" s="8">
        <f>(SUM(PSI_OC!$AH$6:$AH$111)/88)*(PSI_OC!$AO$6/(PSI_OC!$AQ$6*U105))*U102</f>
        <v>-1032.9459269042034</v>
      </c>
      <c r="V124" s="8">
        <f>(SUM(PSI_OC!$AH$6:$AH$111)/88)*(PSI_OC!$AO$6/(PSI_OC!$AQ$6*V105))*V102</f>
        <v>-1013.7973230661298</v>
      </c>
      <c r="W124" s="8">
        <f>(SUM(PSI_OC!$AH$6:$AH$111)/88)*(PSI_OC!$AO$6/(PSI_OC!$AQ$6*W105))*W102</f>
        <v>-995.00369330694832</v>
      </c>
      <c r="X124" s="8">
        <f>(SUM(PSI_OC!$AH$6:$AH$111)/88)*(PSI_OC!$AO$6/(PSI_OC!$AQ$6*X105))*X102</f>
        <v>-976.55845716795989</v>
      </c>
      <c r="Y124" s="8">
        <f>(SUM(PSI_OC!$AH$6:$AH$111)/88)*(PSI_OC!$AO$6/(PSI_OC!$AQ$6*Y105))*Y102</f>
        <v>-958.45515617806893</v>
      </c>
      <c r="Z124" s="8">
        <f>(SUM(PSI_OC!$AH$6:$AH$111)/88)*(PSI_OC!$AO$6/(PSI_OC!$AQ$6*Z105))*Z102</f>
        <v>-940.68745159239177</v>
      </c>
      <c r="AA124" s="8">
        <f>(SUM(PSI_OC!$AH$6:$AH$111)/88)*(PSI_OC!$AO$6/(PSI_OC!$AQ$6*AA105))*AA102</f>
        <v>-923.24912217279234</v>
      </c>
      <c r="AB124" s="8">
        <f>(SUM(PSI_OC!$AH$6:$AH$111)/88)*(PSI_OC!$AO$6/(PSI_OC!$AQ$6*AB105))*AB102</f>
        <v>-906.13406200955558</v>
      </c>
      <c r="AC124" s="8">
        <f>(SUM(PSI_OC!$AH$6:$AH$111)/88)*(PSI_OC!$AO$6/(PSI_OC!$AQ$6*AC105))*AC102</f>
        <v>-889.3362783834491</v>
      </c>
      <c r="AD124" s="8">
        <f>(SUM(PSI_OC!$AH$6:$AH$111)/88)*(PSI_OC!$AO$6/(PSI_OC!$AQ$6*AD105))*AD102</f>
        <v>-872.84988966741093</v>
      </c>
      <c r="AE124" s="8">
        <f>(SUM(PSI_OC!$AH$6:$AH$111)/88)*(PSI_OC!$AO$6/(PSI_OC!$AQ$6*AE105))*AE102</f>
        <v>-856.669123267141</v>
      </c>
      <c r="AF124" s="8">
        <f>(SUM(PSI_OC!$AH$6:$AH$111)/88)*(PSI_OC!$AO$6/(PSI_OC!$AQ$6*AF105))*AF102</f>
        <v>-840.7883135998668</v>
      </c>
      <c r="AG124" s="8">
        <f>(SUM(PSI_OC!$AH$6:$AH$111)/88)*(PSI_OC!$AO$6/(PSI_OC!$AQ$6*AG105))*AG102</f>
        <v>-825.20190011057866</v>
      </c>
      <c r="AH124" s="8">
        <f>(SUM(PSI_OC!$AH$6:$AH$111)/88)*(PSI_OC!$AO$6/(PSI_OC!$AQ$6*AH105))*AH102</f>
        <v>-809.90442532503926</v>
      </c>
      <c r="AI124" s="8">
        <f>(SUM(PSI_OC!$AH$6:$AH$111)/88)*(PSI_OC!$AO$6/(PSI_OC!$AQ$6*AI105))*AI102</f>
        <v>-794.89053293888946</v>
      </c>
      <c r="AJ124" s="8">
        <f>(SUM(PSI_OC!$AH$6:$AH$111)/88)*(PSI_OC!$AO$6/(PSI_OC!$AQ$6*AJ105))*AJ102</f>
        <v>-780.15496594217359</v>
      </c>
    </row>
    <row r="125" spans="1:36" x14ac:dyDescent="0.2">
      <c r="A125" s="75" t="s">
        <v>991</v>
      </c>
      <c r="G125" s="8">
        <f>(SUM(PSI_OC!$AI$6:$AI$111)/88)*(PSI_OC!$AO$7/(PSI_OC!$AQ$7*G105))*G102</f>
        <v>-110.49400635143145</v>
      </c>
      <c r="H125" s="8">
        <f>(SUM(PSI_OC!$AI$6:$AI$111)/88)*(PSI_OC!$AO$7/(PSI_OC!$AQ$7*H105))*H102</f>
        <v>-108.44568426699642</v>
      </c>
      <c r="I125" s="8">
        <f>(SUM(PSI_OC!$AI$6:$AI$111)/88)*(PSI_OC!$AO$7/(PSI_OC!$AQ$7*I105))*I102</f>
        <v>-106.43533368436616</v>
      </c>
      <c r="J125" s="8">
        <f>(SUM(PSI_OC!$AI$6:$AI$111)/88)*(PSI_OC!$AO$7/(PSI_OC!$AQ$7*J105))*J102</f>
        <v>-104.46225069327161</v>
      </c>
      <c r="K125" s="8">
        <f>(SUM(PSI_OC!$AI$6:$AI$111)/88)*(PSI_OC!$AO$7/(PSI_OC!$AQ$7*K105))*K102</f>
        <v>-102.52574443243186</v>
      </c>
      <c r="L125" s="8">
        <f>(SUM(PSI_OC!$AI$6:$AI$111)/88)*(PSI_OC!$AO$7/(PSI_OC!$AQ$7*L105))*L102</f>
        <v>-100.62513684765335</v>
      </c>
      <c r="M125" s="8">
        <f>(SUM(PSI_OC!$AI$6:$AI$111)/88)*(PSI_OC!$AO$7/(PSI_OC!$AQ$7*M105))*M102</f>
        <v>-98.759762454414428</v>
      </c>
      <c r="N125" s="8">
        <f>(SUM(PSI_OC!$AI$6:$AI$111)/88)*(PSI_OC!$AO$7/(PSI_OC!$AQ$7*N105))*N102</f>
        <v>-96.92896810485</v>
      </c>
      <c r="O125" s="8">
        <f>(SUM(PSI_OC!$AI$6:$AI$111)/88)*(PSI_OC!$AO$7/(PSI_OC!$AQ$7*O105))*O102</f>
        <v>-95.132112759056923</v>
      </c>
      <c r="P125" s="8">
        <f>(SUM(PSI_OC!$AI$6:$AI$111)/88)*(PSI_OC!$AO$7/(PSI_OC!$AQ$7*P105))*P102</f>
        <v>-93.368567260638002</v>
      </c>
      <c r="Q125" s="8">
        <f>(SUM(PSI_OC!$AI$6:$AI$111)/88)*(PSI_OC!$AO$7/(PSI_OC!$AQ$7*Q105))*Q102</f>
        <v>-91.637714116407338</v>
      </c>
      <c r="R125" s="8">
        <f>(SUM(PSI_OC!$AI$6:$AI$111)/88)*(PSI_OC!$AO$7/(PSI_OC!$AQ$7*R105))*R102</f>
        <v>-89.938947280179306</v>
      </c>
      <c r="S125" s="8">
        <f>(SUM(PSI_OC!$AI$6:$AI$111)/88)*(PSI_OC!$AO$7/(PSI_OC!$AQ$7*S105))*S102</f>
        <v>-88.271671940565881</v>
      </c>
      <c r="T125" s="8">
        <f>(SUM(PSI_OC!$AI$6:$AI$111)/88)*(PSI_OC!$AO$7/(PSI_OC!$AQ$7*T105))*T102</f>
        <v>-86.635304312707461</v>
      </c>
      <c r="U125" s="8">
        <f>(SUM(PSI_OC!$AI$6:$AI$111)/88)*(PSI_OC!$AO$7/(PSI_OC!$AQ$7*U105))*U102</f>
        <v>-85.029271433864665</v>
      </c>
      <c r="V125" s="8">
        <f>(SUM(PSI_OC!$AI$6:$AI$111)/88)*(PSI_OC!$AO$7/(PSI_OC!$AQ$7*V105))*V102</f>
        <v>-83.453010962799269</v>
      </c>
      <c r="W125" s="8">
        <f>(SUM(PSI_OC!$AI$6:$AI$111)/88)*(PSI_OC!$AO$7/(PSI_OC!$AQ$7*W105))*W102</f>
        <v>-81.905970982874734</v>
      </c>
      <c r="X125" s="8">
        <f>(SUM(PSI_OC!$AI$6:$AI$111)/88)*(PSI_OC!$AO$7/(PSI_OC!$AQ$7*X105))*X102</f>
        <v>-80.387609808806005</v>
      </c>
      <c r="Y125" s="8">
        <f>(SUM(PSI_OC!$AI$6:$AI$111)/88)*(PSI_OC!$AO$7/(PSI_OC!$AQ$7*Y105))*Y102</f>
        <v>-78.897395796992441</v>
      </c>
      <c r="Z125" s="8">
        <f>(SUM(PSI_OC!$AI$6:$AI$111)/88)*(PSI_OC!$AO$7/(PSI_OC!$AQ$7*Z105))*Z102</f>
        <v>-77.434807159366315</v>
      </c>
      <c r="AA125" s="8">
        <f>(SUM(PSI_OC!$AI$6:$AI$111)/88)*(PSI_OC!$AO$7/(PSI_OC!$AQ$7*AA105))*AA102</f>
        <v>-75.999331780692643</v>
      </c>
      <c r="AB125" s="8">
        <f>(SUM(PSI_OC!$AI$6:$AI$111)/88)*(PSI_OC!$AO$7/(PSI_OC!$AQ$7*AB105))*AB102</f>
        <v>-74.590467039255159</v>
      </c>
      <c r="AC125" s="8">
        <f>(SUM(PSI_OC!$AI$6:$AI$111)/88)*(PSI_OC!$AO$7/(PSI_OC!$AQ$7*AC105))*AC102</f>
        <v>-73.207719630867345</v>
      </c>
      <c r="AD125" s="8">
        <f>(SUM(PSI_OC!$AI$6:$AI$111)/88)*(PSI_OC!$AO$7/(PSI_OC!$AQ$7*AD105))*AD102</f>
        <v>-71.850605396144942</v>
      </c>
      <c r="AE125" s="8">
        <f>(SUM(PSI_OC!$AI$6:$AI$111)/88)*(PSI_OC!$AO$7/(PSI_OC!$AQ$7*AE105))*AE102</f>
        <v>-70.518649150981219</v>
      </c>
      <c r="AF125" s="8">
        <f>(SUM(PSI_OC!$AI$6:$AI$111)/88)*(PSI_OC!$AO$7/(PSI_OC!$AQ$7*AF105))*AF102</f>
        <v>-69.211384520164344</v>
      </c>
      <c r="AG125" s="8">
        <f>(SUM(PSI_OC!$AI$6:$AI$111)/88)*(PSI_OC!$AO$7/(PSI_OC!$AQ$7*AG105))*AG102</f>
        <v>-67.928353774079568</v>
      </c>
      <c r="AH125" s="8">
        <f>(SUM(PSI_OC!$AI$6:$AI$111)/88)*(PSI_OC!$AO$7/(PSI_OC!$AQ$7*AH105))*AH102</f>
        <v>-66.669107668438102</v>
      </c>
      <c r="AI125" s="8">
        <f>(SUM(PSI_OC!$AI$6:$AI$111)/88)*(PSI_OC!$AO$7/(PSI_OC!$AQ$7*AI105))*AI102</f>
        <v>-65.433205286977667</v>
      </c>
      <c r="AJ125" s="8">
        <f>(SUM(PSI_OC!$AI$6:$AI$111)/88)*(PSI_OC!$AO$7/(PSI_OC!$AQ$7*AJ105))*AJ102</f>
        <v>-64.220213887078515</v>
      </c>
    </row>
    <row r="126" spans="1:36" x14ac:dyDescent="0.2">
      <c r="A126" s="75" t="s">
        <v>197</v>
      </c>
      <c r="G126" s="8">
        <f>(SUM(PSI_OC!$AJ$6:$AJ$111)/88)*(PSI_OC!$AO$8/(PSI_OC!$AQ$8*G105))*G102</f>
        <v>-779.23400061819052</v>
      </c>
      <c r="H126" s="8">
        <f>(SUM(PSI_OC!$AJ$6:$AJ$111)/88)*(PSI_OC!$AO$8/(PSI_OC!$AQ$8*H105))*H102</f>
        <v>-764.78867217809068</v>
      </c>
      <c r="I126" s="8">
        <f>(SUM(PSI_OC!$AJ$6:$AJ$111)/88)*(PSI_OC!$AO$8/(PSI_OC!$AQ$8*I105))*I102</f>
        <v>-750.61112917032176</v>
      </c>
      <c r="J126" s="8">
        <f>(SUM(PSI_OC!$AJ$6:$AJ$111)/88)*(PSI_OC!$AO$8/(PSI_OC!$AQ$8*J105))*J102</f>
        <v>-736.69640742684362</v>
      </c>
      <c r="K126" s="8">
        <f>(SUM(PSI_OC!$AJ$6:$AJ$111)/88)*(PSI_OC!$AO$8/(PSI_OC!$AQ$8*K105))*K102</f>
        <v>-723.03963480465336</v>
      </c>
      <c r="L126" s="8">
        <f>(SUM(PSI_OC!$AJ$6:$AJ$111)/88)*(PSI_OC!$AO$8/(PSI_OC!$AQ$8*L105))*L102</f>
        <v>-709.63602947983804</v>
      </c>
      <c r="M126" s="8">
        <f>(SUM(PSI_OC!$AJ$6:$AJ$111)/88)*(PSI_OC!$AO$8/(PSI_OC!$AQ$8*M105))*M102</f>
        <v>-696.48089827325316</v>
      </c>
      <c r="N126" s="8">
        <f>(SUM(PSI_OC!$AJ$6:$AJ$111)/88)*(PSI_OC!$AO$8/(PSI_OC!$AQ$8*N105))*N102</f>
        <v>-683.56963500723634</v>
      </c>
      <c r="O126" s="8">
        <f>(SUM(PSI_OC!$AJ$6:$AJ$111)/88)*(PSI_OC!$AO$8/(PSI_OC!$AQ$8*O105))*O102</f>
        <v>-670.89771889278916</v>
      </c>
      <c r="P126" s="8">
        <f>(SUM(PSI_OC!$AJ$6:$AJ$111)/88)*(PSI_OC!$AO$8/(PSI_OC!$AQ$8*P105))*P102</f>
        <v>-658.46071294665285</v>
      </c>
      <c r="Q126" s="8">
        <f>(SUM(PSI_OC!$AJ$6:$AJ$111)/88)*(PSI_OC!$AO$8/(PSI_OC!$AQ$8*Q105))*Q102</f>
        <v>-646.25426243772927</v>
      </c>
      <c r="R126" s="8">
        <f>(SUM(PSI_OC!$AJ$6:$AJ$111)/88)*(PSI_OC!$AO$8/(PSI_OC!$AQ$8*R105))*R102</f>
        <v>-634.2740933623021</v>
      </c>
      <c r="S126" s="8">
        <f>(SUM(PSI_OC!$AJ$6:$AJ$111)/88)*(PSI_OC!$AO$8/(PSI_OC!$AQ$8*S105))*S102</f>
        <v>-622.51601094752505</v>
      </c>
      <c r="T126" s="8">
        <f>(SUM(PSI_OC!$AJ$6:$AJ$111)/88)*(PSI_OC!$AO$8/(PSI_OC!$AQ$8*T105))*T102</f>
        <v>-610.97589818265135</v>
      </c>
      <c r="U126" s="8">
        <f>(SUM(PSI_OC!$AJ$6:$AJ$111)/88)*(PSI_OC!$AO$8/(PSI_OC!$AQ$8*U105))*U102</f>
        <v>-599.64971437748954</v>
      </c>
      <c r="V126" s="8">
        <f>(SUM(PSI_OC!$AJ$6:$AJ$111)/88)*(PSI_OC!$AO$8/(PSI_OC!$AQ$8*V105))*V102</f>
        <v>-588.53349374758477</v>
      </c>
      <c r="W126" s="8">
        <f>(SUM(PSI_OC!$AJ$6:$AJ$111)/88)*(PSI_OC!$AO$8/(PSI_OC!$AQ$8*W105))*W102</f>
        <v>-577.62334402562863</v>
      </c>
      <c r="X126" s="8">
        <f>(SUM(PSI_OC!$AJ$6:$AJ$111)/88)*(PSI_OC!$AO$8/(PSI_OC!$AQ$8*X105))*X102</f>
        <v>-566.91544509860626</v>
      </c>
      <c r="Y126" s="8">
        <f>(SUM(PSI_OC!$AJ$6:$AJ$111)/88)*(PSI_OC!$AO$8/(PSI_OC!$AQ$8*Y105))*Y102</f>
        <v>-556.40604767021171</v>
      </c>
      <c r="Z126" s="8">
        <f>(SUM(PSI_OC!$AJ$6:$AJ$111)/88)*(PSI_OC!$AO$8/(PSI_OC!$AQ$8*Z105))*Z102</f>
        <v>-546.09147194805666</v>
      </c>
      <c r="AA126" s="8">
        <f>(SUM(PSI_OC!$AJ$6:$AJ$111)/88)*(PSI_OC!$AO$8/(PSI_OC!$AQ$8*AA105))*AA102</f>
        <v>-535.96810635521945</v>
      </c>
      <c r="AB126" s="8">
        <f>(SUM(PSI_OC!$AJ$6:$AJ$111)/88)*(PSI_OC!$AO$8/(PSI_OC!$AQ$8*AB105))*AB102</f>
        <v>-526.03240626567322</v>
      </c>
      <c r="AC126" s="8">
        <f>(SUM(PSI_OC!$AJ$6:$AJ$111)/88)*(PSI_OC!$AO$8/(PSI_OC!$AQ$8*AC105))*AC102</f>
        <v>-516.28089276316268</v>
      </c>
      <c r="AD126" s="8">
        <f>(SUM(PSI_OC!$AJ$6:$AJ$111)/88)*(PSI_OC!$AO$8/(PSI_OC!$AQ$8*AD105))*AD102</f>
        <v>-506.7101514230834</v>
      </c>
      <c r="AE126" s="8">
        <f>(SUM(PSI_OC!$AJ$6:$AJ$111)/88)*(PSI_OC!$AO$8/(PSI_OC!$AQ$8*AE105))*AE102</f>
        <v>-497.31683111694645</v>
      </c>
      <c r="AF126" s="8">
        <f>(SUM(PSI_OC!$AJ$6:$AJ$111)/88)*(PSI_OC!$AO$8/(PSI_OC!$AQ$8*AF105))*AF102</f>
        <v>-488.09764283900336</v>
      </c>
      <c r="AG126" s="8">
        <f>(SUM(PSI_OC!$AJ$6:$AJ$111)/88)*(PSI_OC!$AO$8/(PSI_OC!$AQ$8*AG105))*AG102</f>
        <v>-479.04935855462395</v>
      </c>
      <c r="AH126" s="8">
        <f>(SUM(PSI_OC!$AJ$6:$AJ$111)/88)*(PSI_OC!$AO$8/(PSI_OC!$AQ$8*AH105))*AH102</f>
        <v>-470.16881007002132</v>
      </c>
      <c r="AI126" s="8">
        <f>(SUM(PSI_OC!$AJ$6:$AJ$111)/88)*(PSI_OC!$AO$8/(PSI_OC!$AQ$8*AI105))*AI102</f>
        <v>-461.45288792293292</v>
      </c>
      <c r="AJ126" s="8">
        <f>(SUM(PSI_OC!$AJ$6:$AJ$111)/88)*(PSI_OC!$AO$8/(PSI_OC!$AQ$8*AJ105))*AJ102</f>
        <v>-452.89854029386242</v>
      </c>
    </row>
    <row r="127" spans="1:36" x14ac:dyDescent="0.2">
      <c r="A127" s="75" t="s">
        <v>992</v>
      </c>
      <c r="G127" s="8">
        <f>(SUM(PSI_OC!$AK$6:$AK$111)/88)*(PSI_OC!$AO$9/(PSI_OC!$AQ$9*G105))*G102</f>
        <v>-14.455494522685866</v>
      </c>
      <c r="H127" s="8">
        <f>(SUM(PSI_OC!$AK$6:$AK$111)/88)*(PSI_OC!$AO$9/(PSI_OC!$AQ$9*H105))*H102</f>
        <v>-14.187520632970323</v>
      </c>
      <c r="I127" s="8">
        <f>(SUM(PSI_OC!$AK$6:$AK$111)/88)*(PSI_OC!$AO$9/(PSI_OC!$AQ$9*I105))*I102</f>
        <v>-13.924514404890749</v>
      </c>
      <c r="J127" s="8">
        <f>(SUM(PSI_OC!$AK$6:$AK$111)/88)*(PSI_OC!$AO$9/(PSI_OC!$AQ$9*J105))*J102</f>
        <v>-13.666383748646316</v>
      </c>
      <c r="K127" s="8">
        <f>(SUM(PSI_OC!$AK$6:$AK$111)/88)*(PSI_OC!$AO$9/(PSI_OC!$AQ$9*K105))*K102</f>
        <v>-13.413038281583766</v>
      </c>
      <c r="L127" s="8">
        <f>(SUM(PSI_OC!$AK$6:$AK$111)/88)*(PSI_OC!$AO$9/(PSI_OC!$AQ$9*L105))*L102</f>
        <v>-13.164389296550514</v>
      </c>
      <c r="M127" s="8">
        <f>(SUM(PSI_OC!$AK$6:$AK$111)/88)*(PSI_OC!$AO$9/(PSI_OC!$AQ$9*M105))*M102</f>
        <v>-12.920349730834516</v>
      </c>
      <c r="N127" s="8">
        <f>(SUM(PSI_OC!$AK$6:$AK$111)/88)*(PSI_OC!$AO$9/(PSI_OC!$AQ$9*N105))*N102</f>
        <v>-12.680834135679795</v>
      </c>
      <c r="O127" s="8">
        <f>(SUM(PSI_OC!$AK$6:$AK$111)/88)*(PSI_OC!$AO$9/(PSI_OC!$AQ$9*O105))*O102</f>
        <v>-12.44575864636721</v>
      </c>
      <c r="P127" s="8">
        <f>(SUM(PSI_OC!$AK$6:$AK$111)/88)*(PSI_OC!$AO$9/(PSI_OC!$AQ$9*P105))*P102</f>
        <v>-12.215040952849783</v>
      </c>
      <c r="Q127" s="8">
        <f>(SUM(PSI_OC!$AK$6:$AK$111)/88)*(PSI_OC!$AO$9/(PSI_OC!$AQ$9*Q105))*Q102</f>
        <v>-11.988600270932421</v>
      </c>
      <c r="R127" s="8">
        <f>(SUM(PSI_OC!$AK$6:$AK$111)/88)*(PSI_OC!$AO$9/(PSI_OC!$AQ$9*R105))*R102</f>
        <v>-11.766357313985852</v>
      </c>
      <c r="S127" s="8">
        <f>(SUM(PSI_OC!$AK$6:$AK$111)/88)*(PSI_OC!$AO$9/(PSI_OC!$AQ$9*S105))*S102</f>
        <v>-11.548234265185036</v>
      </c>
      <c r="T127" s="8">
        <f>(SUM(PSI_OC!$AK$6:$AK$111)/88)*(PSI_OC!$AO$9/(PSI_OC!$AQ$9*T105))*T102</f>
        <v>-11.334154750262087</v>
      </c>
      <c r="U127" s="8">
        <f>(SUM(PSI_OC!$AK$6:$AK$111)/88)*(PSI_OC!$AO$9/(PSI_OC!$AQ$9*U105))*U102</f>
        <v>-11.124043810764372</v>
      </c>
      <c r="V127" s="8">
        <f>(SUM(PSI_OC!$AK$6:$AK$111)/88)*(PSI_OC!$AO$9/(PSI_OC!$AQ$9*V105))*V102</f>
        <v>-10.917827877808323</v>
      </c>
      <c r="W127" s="8">
        <f>(SUM(PSI_OC!$AK$6:$AK$111)/88)*(PSI_OC!$AO$9/(PSI_OC!$AQ$9*W105))*W102</f>
        <v>-10.715434746319836</v>
      </c>
      <c r="X127" s="8">
        <f>(SUM(PSI_OC!$AK$6:$AK$111)/88)*(PSI_OC!$AO$9/(PSI_OC!$AQ$9*X105))*X102</f>
        <v>-10.516793549752117</v>
      </c>
      <c r="Y127" s="8">
        <f>(SUM(PSI_OC!$AK$6:$AK$111)/88)*(PSI_OC!$AO$9/(PSI_OC!$AQ$9*Y105))*Y102</f>
        <v>-10.321834735272299</v>
      </c>
      <c r="Z127" s="8">
        <f>(SUM(PSI_OC!$AK$6:$AK$111)/88)*(PSI_OC!$AO$9/(PSI_OC!$AQ$9*Z105))*Z102</f>
        <v>-10.13049003940796</v>
      </c>
      <c r="AA127" s="8">
        <f>(SUM(PSI_OC!$AK$6:$AK$111)/88)*(PSI_OC!$AO$9/(PSI_OC!$AQ$9*AA105))*AA102</f>
        <v>-9.942692464145189</v>
      </c>
      <c r="AB127" s="8">
        <f>(SUM(PSI_OC!$AK$6:$AK$111)/88)*(PSI_OC!$AO$9/(PSI_OC!$AQ$9*AB105))*AB102</f>
        <v>-9.7583762534696508</v>
      </c>
      <c r="AC127" s="8">
        <f>(SUM(PSI_OC!$AK$6:$AK$111)/88)*(PSI_OC!$AO$9/(PSI_OC!$AQ$9*AC105))*AC102</f>
        <v>-9.5774768703426219</v>
      </c>
      <c r="AD127" s="8">
        <f>(SUM(PSI_OC!$AK$6:$AK$111)/88)*(PSI_OC!$AO$9/(PSI_OC!$AQ$9*AD105))*AD102</f>
        <v>-9.3999309741037482</v>
      </c>
      <c r="AE127" s="8">
        <f>(SUM(PSI_OC!$AK$6:$AK$111)/88)*(PSI_OC!$AO$9/(PSI_OC!$AQ$9*AE105))*AE102</f>
        <v>-9.2256763982927961</v>
      </c>
      <c r="AF127" s="8">
        <f>(SUM(PSI_OC!$AK$6:$AK$111)/88)*(PSI_OC!$AO$9/(PSI_OC!$AQ$9*AF105))*AF102</f>
        <v>-9.0546521288824611</v>
      </c>
      <c r="AG127" s="8">
        <f>(SUM(PSI_OC!$AK$6:$AK$111)/88)*(PSI_OC!$AO$9/(PSI_OC!$AQ$9*AG105))*AG102</f>
        <v>-8.8867982829147714</v>
      </c>
      <c r="AH127" s="8">
        <f>(SUM(PSI_OC!$AK$6:$AK$111)/88)*(PSI_OC!$AO$9/(PSI_OC!$AQ$9*AH105))*AH102</f>
        <v>-8.7220560875334403</v>
      </c>
      <c r="AI127" s="8">
        <f>(SUM(PSI_OC!$AK$6:$AK$111)/88)*(PSI_OC!$AO$9/(PSI_OC!$AQ$9*AI105))*AI102</f>
        <v>-8.5603678594049981</v>
      </c>
      <c r="AJ127" s="8">
        <f>(SUM(PSI_OC!$AK$6:$AK$111)/88)*(PSI_OC!$AO$9/(PSI_OC!$AQ$9*AJ105))*AJ102</f>
        <v>-8.401676984521357</v>
      </c>
    </row>
    <row r="128" spans="1:36" x14ac:dyDescent="0.2">
      <c r="A128" s="75" t="s">
        <v>137</v>
      </c>
      <c r="G128" s="8">
        <f>(SUM(PSI_OC!$AL$6:$AL$111)/88)*(PSI_OC!$AO$10/(PSI_OC!$AQ$10*G105))*G102</f>
        <v>-54.414170325185808</v>
      </c>
      <c r="H128" s="8">
        <f>(SUM(PSI_OC!$AL$6:$AL$111)/88)*(PSI_OC!$AO$10/(PSI_OC!$AQ$10*H105))*H102</f>
        <v>-53.405448219221149</v>
      </c>
      <c r="I128" s="8">
        <f>(SUM(PSI_OC!$AL$6:$AL$111)/88)*(PSI_OC!$AO$10/(PSI_OC!$AQ$10*I105))*I102</f>
        <v>-52.415425659367038</v>
      </c>
      <c r="J128" s="8">
        <f>(SUM(PSI_OC!$AL$6:$AL$111)/88)*(PSI_OC!$AO$10/(PSI_OC!$AQ$10*J105))*J102</f>
        <v>-51.443755996112458</v>
      </c>
      <c r="K128" s="8">
        <f>(SUM(PSI_OC!$AL$6:$AL$111)/88)*(PSI_OC!$AO$10/(PSI_OC!$AQ$10*K105))*K102</f>
        <v>-50.490099006085529</v>
      </c>
      <c r="L128" s="8">
        <f>(SUM(PSI_OC!$AL$6:$AL$111)/88)*(PSI_OC!$AO$10/(PSI_OC!$AQ$10*L105))*L102</f>
        <v>-49.554120772926488</v>
      </c>
      <c r="M128" s="8">
        <f>(SUM(PSI_OC!$AL$6:$AL$111)/88)*(PSI_OC!$AO$10/(PSI_OC!$AQ$10*M105))*M102</f>
        <v>-48.635493570369363</v>
      </c>
      <c r="N128" s="8">
        <f>(SUM(PSI_OC!$AL$6:$AL$111)/88)*(PSI_OC!$AO$10/(PSI_OC!$AQ$10*N105))*N102</f>
        <v>-47.733895747490756</v>
      </c>
      <c r="O128" s="8">
        <f>(SUM(PSI_OC!$AL$6:$AL$111)/88)*(PSI_OC!$AO$10/(PSI_OC!$AQ$10*O105))*O102</f>
        <v>-46.849011616086116</v>
      </c>
      <c r="P128" s="8">
        <f>(SUM(PSI_OC!$AL$6:$AL$111)/88)*(PSI_OC!$AO$10/(PSI_OC!$AQ$10*P105))*P102</f>
        <v>-45.980531340133666</v>
      </c>
      <c r="Q128" s="8">
        <f>(SUM(PSI_OC!$AL$6:$AL$111)/88)*(PSI_OC!$AO$10/(PSI_OC!$AQ$10*Q105))*Q102</f>
        <v>-45.1281508273075</v>
      </c>
      <c r="R128" s="8">
        <f>(SUM(PSI_OC!$AL$6:$AL$111)/88)*(PSI_OC!$AO$10/(PSI_OC!$AQ$10*R105))*R102</f>
        <v>-44.291571622501685</v>
      </c>
      <c r="S128" s="8">
        <f>(SUM(PSI_OC!$AL$6:$AL$111)/88)*(PSI_OC!$AO$10/(PSI_OC!$AQ$10*S105))*S102</f>
        <v>-43.470500803328413</v>
      </c>
      <c r="T128" s="8">
        <f>(SUM(PSI_OC!$AL$6:$AL$111)/88)*(PSI_OC!$AO$10/(PSI_OC!$AQ$10*T105))*T102</f>
        <v>-42.664650877553193</v>
      </c>
      <c r="U128" s="8">
        <f>(SUM(PSI_OC!$AL$6:$AL$111)/88)*(PSI_OC!$AO$10/(PSI_OC!$AQ$10*U105))*U102</f>
        <v>-41.873739682431449</v>
      </c>
      <c r="V128" s="8">
        <f>(SUM(PSI_OC!$AL$6:$AL$111)/88)*(PSI_OC!$AO$10/(PSI_OC!$AQ$10*V105))*V102</f>
        <v>-41.097490285911121</v>
      </c>
      <c r="W128" s="8">
        <f>(SUM(PSI_OC!$AL$6:$AL$111)/88)*(PSI_OC!$AO$10/(PSI_OC!$AQ$10*W105))*W102</f>
        <v>-40.335630889667101</v>
      </c>
      <c r="X128" s="8">
        <f>(SUM(PSI_OC!$AL$6:$AL$111)/88)*(PSI_OC!$AO$10/(PSI_OC!$AQ$10*X105))*X102</f>
        <v>-39.587894733932586</v>
      </c>
      <c r="Y128" s="8">
        <f>(SUM(PSI_OC!$AL$6:$AL$111)/88)*(PSI_OC!$AO$10/(PSI_OC!$AQ$10*Y105))*Y102</f>
        <v>-38.854020004095247</v>
      </c>
      <c r="Z128" s="8">
        <f>(SUM(PSI_OC!$AL$6:$AL$111)/88)*(PSI_OC!$AO$10/(PSI_OC!$AQ$10*Z105))*Z102</f>
        <v>-38.133749739024552</v>
      </c>
      <c r="AA128" s="8">
        <f>(SUM(PSI_OC!$AL$6:$AL$111)/88)*(PSI_OC!$AO$10/(PSI_OC!$AQ$10*AA105))*AA102</f>
        <v>-37.426831741098695</v>
      </c>
      <c r="AB128" s="8">
        <f>(SUM(PSI_OC!$AL$6:$AL$111)/88)*(PSI_OC!$AO$10/(PSI_OC!$AQ$10*AB105))*AB102</f>
        <v>-36.733018487899244</v>
      </c>
      <c r="AC128" s="8">
        <f>(SUM(PSI_OC!$AL$6:$AL$111)/88)*(PSI_OC!$AO$10/(PSI_OC!$AQ$10*AC105))*AC102</f>
        <v>-36.052067045543026</v>
      </c>
      <c r="AD128" s="8">
        <f>(SUM(PSI_OC!$AL$6:$AL$111)/88)*(PSI_OC!$AO$10/(PSI_OC!$AQ$10*AD105))*AD102</f>
        <v>-35.383738983620404</v>
      </c>
      <c r="AE128" s="8">
        <f>(SUM(PSI_OC!$AL$6:$AL$111)/88)*(PSI_OC!$AO$10/(PSI_OC!$AQ$10*AE105))*AE102</f>
        <v>-34.727800291710572</v>
      </c>
      <c r="AF128" s="8">
        <f>(SUM(PSI_OC!$AL$6:$AL$111)/88)*(PSI_OC!$AO$10/(PSI_OC!$AQ$10*AF105))*AF102</f>
        <v>-34.084021297444437</v>
      </c>
      <c r="AG128" s="8">
        <f>(SUM(PSI_OC!$AL$6:$AL$111)/88)*(PSI_OC!$AO$10/(PSI_OC!$AQ$10*AG105))*AG102</f>
        <v>-33.452176586086459</v>
      </c>
      <c r="AH128" s="8">
        <f>(SUM(PSI_OC!$AL$6:$AL$111)/88)*(PSI_OC!$AO$10/(PSI_OC!$AQ$10*AH105))*AH102</f>
        <v>-32.832044921607135</v>
      </c>
      <c r="AI128" s="8">
        <f>(SUM(PSI_OC!$AL$6:$AL$111)/88)*(PSI_OC!$AO$10/(PSI_OC!$AQ$10*AI105))*AI102</f>
        <v>-32.223409169218932</v>
      </c>
      <c r="AJ128" s="8">
        <f>(SUM(PSI_OC!$AL$6:$AL$111)/88)*(PSI_OC!$AO$10/(PSI_OC!$AQ$10*AJ105))*AJ102</f>
        <v>-31.626056219347884</v>
      </c>
    </row>
    <row r="129" spans="1:36" x14ac:dyDescent="0.2">
      <c r="A129" s="75" t="s">
        <v>993</v>
      </c>
      <c r="G129" s="8">
        <f>(SUM(PSI_OC!$AM$6:$AM$111)/88)*(PSI_OC!$AO$11/(PSI_OC!$AQ$11*G105))*G102</f>
        <v>-158.44930887472898</v>
      </c>
      <c r="H129" s="8">
        <f>(SUM(PSI_OC!$AM$6:$AM$111)/88)*(PSI_OC!$AO$11/(PSI_OC!$AQ$11*H105))*H102</f>
        <v>-155.51199825174993</v>
      </c>
      <c r="I129" s="8">
        <f>(SUM(PSI_OC!$AM$6:$AM$111)/88)*(PSI_OC!$AO$11/(PSI_OC!$AQ$11*I105))*I102</f>
        <v>-152.62913907294026</v>
      </c>
      <c r="J129" s="8">
        <f>(SUM(PSI_OC!$AM$6:$AM$111)/88)*(PSI_OC!$AO$11/(PSI_OC!$AQ$11*J105))*J102</f>
        <v>-149.79972192521674</v>
      </c>
      <c r="K129" s="8">
        <f>(SUM(PSI_OC!$AM$6:$AM$111)/88)*(PSI_OC!$AO$11/(PSI_OC!$AQ$11*K105))*K102</f>
        <v>-147.02275610785168</v>
      </c>
      <c r="L129" s="8">
        <f>(SUM(PSI_OC!$AM$6:$AM$111)/88)*(PSI_OC!$AO$11/(PSI_OC!$AQ$11*L105))*L102</f>
        <v>-144.29726928558549</v>
      </c>
      <c r="M129" s="8">
        <f>(SUM(PSI_OC!$AM$6:$AM$111)/88)*(PSI_OC!$AO$11/(PSI_OC!$AQ$11*M105))*M102</f>
        <v>-141.62230714817093</v>
      </c>
      <c r="N129" s="8">
        <f>(SUM(PSI_OC!$AM$6:$AM$111)/88)*(PSI_OC!$AO$11/(PSI_OC!$AQ$11*N105))*N102</f>
        <v>-138.99693307622712</v>
      </c>
      <c r="O129" s="8">
        <f>(SUM(PSI_OC!$AM$6:$AM$111)/88)*(PSI_OC!$AO$11/(PSI_OC!$AQ$11*O105))*O102</f>
        <v>-136.42022781328967</v>
      </c>
      <c r="P129" s="8">
        <f>(SUM(PSI_OC!$AM$6:$AM$111)/88)*(PSI_OC!$AO$11/(PSI_OC!$AQ$11*P105))*P102</f>
        <v>-133.89128914393896</v>
      </c>
      <c r="Q129" s="8">
        <f>(SUM(PSI_OC!$AM$6:$AM$111)/88)*(PSI_OC!$AO$11/(PSI_OC!$AQ$11*Q105))*Q102</f>
        <v>-131.40923157789572</v>
      </c>
      <c r="R129" s="8">
        <f>(SUM(PSI_OC!$AM$6:$AM$111)/88)*(PSI_OC!$AO$11/(PSI_OC!$AQ$11*R105))*R102</f>
        <v>-128.97318603997272</v>
      </c>
      <c r="S129" s="8">
        <f>(SUM(PSI_OC!$AM$6:$AM$111)/88)*(PSI_OC!$AO$11/(PSI_OC!$AQ$11*S105))*S102</f>
        <v>-126.58229956577432</v>
      </c>
      <c r="T129" s="8">
        <f>(SUM(PSI_OC!$AM$6:$AM$111)/88)*(PSI_OC!$AO$11/(PSI_OC!$AQ$11*T105))*T102</f>
        <v>-124.23573500303701</v>
      </c>
      <c r="U129" s="8">
        <f>(SUM(PSI_OC!$AM$6:$AM$111)/88)*(PSI_OC!$AO$11/(PSI_OC!$AQ$11*U105))*U102</f>
        <v>-121.93267071850592</v>
      </c>
      <c r="V129" s="8">
        <f>(SUM(PSI_OC!$AM$6:$AM$111)/88)*(PSI_OC!$AO$11/(PSI_OC!$AQ$11*V105))*V102</f>
        <v>-119.6723003102459</v>
      </c>
      <c r="W129" s="8">
        <f>(SUM(PSI_OC!$AM$6:$AM$111)/88)*(PSI_OC!$AO$11/(PSI_OC!$AQ$11*W105))*W102</f>
        <v>-117.45383232528593</v>
      </c>
      <c r="X129" s="8">
        <f>(SUM(PSI_OC!$AM$6:$AM$111)/88)*(PSI_OC!$AO$11/(PSI_OC!$AQ$11*X105))*X102</f>
        <v>-115.27648998249651</v>
      </c>
      <c r="Y129" s="8">
        <f>(SUM(PSI_OC!$AM$6:$AM$111)/88)*(PSI_OC!$AO$11/(PSI_OC!$AQ$11*Y105))*Y102</f>
        <v>-113.13951090060594</v>
      </c>
      <c r="Z129" s="8">
        <f>(SUM(PSI_OC!$AM$6:$AM$111)/88)*(PSI_OC!$AO$11/(PSI_OC!$AQ$11*Z105))*Z102</f>
        <v>-111.04214683125713</v>
      </c>
      <c r="AA129" s="8">
        <f>(SUM(PSI_OC!$AM$6:$AM$111)/88)*(PSI_OC!$AO$11/(PSI_OC!$AQ$11*AA105))*AA102</f>
        <v>-108.98366339701437</v>
      </c>
      <c r="AB129" s="8">
        <f>(SUM(PSI_OC!$AM$6:$AM$111)/88)*(PSI_OC!$AO$11/(PSI_OC!$AQ$11*AB105))*AB102</f>
        <v>-106.96333983422549</v>
      </c>
      <c r="AC129" s="8">
        <f>(SUM(PSI_OC!$AM$6:$AM$111)/88)*(PSI_OC!$AO$11/(PSI_OC!$AQ$11*AC105))*AC102</f>
        <v>-104.98046874065206</v>
      </c>
      <c r="AD129" s="8">
        <f>(SUM(PSI_OC!$AM$6:$AM$111)/88)*(PSI_OC!$AO$11/(PSI_OC!$AQ$11*AD105))*AD102</f>
        <v>-103.03435582777699</v>
      </c>
      <c r="AE129" s="8">
        <f>(SUM(PSI_OC!$AM$6:$AM$111)/88)*(PSI_OC!$AO$11/(PSI_OC!$AQ$11*AE105))*AE102</f>
        <v>-101.12431967770451</v>
      </c>
      <c r="AF129" s="8">
        <f>(SUM(PSI_OC!$AM$6:$AM$111)/88)*(PSI_OC!$AO$11/(PSI_OC!$AQ$11*AF105))*AF102</f>
        <v>-99.249691504566258</v>
      </c>
      <c r="AG129" s="8">
        <f>(SUM(PSI_OC!$AM$6:$AM$111)/88)*(PSI_OC!$AO$11/(PSI_OC!$AQ$11*AG105))*AG102</f>
        <v>-97.409814920350712</v>
      </c>
      <c r="AH129" s="8">
        <f>(SUM(PSI_OC!$AM$6:$AM$111)/88)*(PSI_OC!$AO$11/(PSI_OC!$AQ$11*AH105))*AH102</f>
        <v>-95.60404570507329</v>
      </c>
      <c r="AI129" s="8">
        <f>(SUM(PSI_OC!$AM$6:$AM$111)/88)*(PSI_OC!$AO$11/(PSI_OC!$AQ$11*AI105))*AI102</f>
        <v>-93.831751581207442</v>
      </c>
      <c r="AJ129" s="8">
        <f>(SUM(PSI_OC!$AM$6:$AM$111)/88)*(PSI_OC!$AO$11/(PSI_OC!$AQ$11*AJ105))*AJ102</f>
        <v>-92.092311992296928</v>
      </c>
    </row>
    <row r="130" spans="1:36" x14ac:dyDescent="0.2">
      <c r="A130" s="22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115"/>
    </row>
    <row r="131" spans="1:36" x14ac:dyDescent="0.2">
      <c r="A131" s="118" t="s">
        <v>959</v>
      </c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119"/>
    </row>
    <row r="132" spans="1:36" x14ac:dyDescent="0.2">
      <c r="A132" s="22" t="s">
        <v>562</v>
      </c>
      <c r="B132" t="s">
        <v>530</v>
      </c>
      <c r="G132" s="8">
        <f>C21*C18*G102</f>
        <v>252945349.52784118</v>
      </c>
      <c r="H132" s="8">
        <f t="shared" ref="H132:AJ132" si="3">$C$21*H102</f>
        <v>500881880.25315082</v>
      </c>
      <c r="I132" s="8">
        <f t="shared" si="3"/>
        <v>495922653.71599102</v>
      </c>
      <c r="J132" s="8">
        <f t="shared" si="3"/>
        <v>491012528.43167418</v>
      </c>
      <c r="K132" s="8">
        <f t="shared" si="3"/>
        <v>486151018.2491824</v>
      </c>
      <c r="L132" s="8">
        <f t="shared" si="3"/>
        <v>481337641.83087355</v>
      </c>
      <c r="M132" s="8">
        <f t="shared" si="3"/>
        <v>476571922.6048255</v>
      </c>
      <c r="N132" s="8">
        <f t="shared" si="3"/>
        <v>471853388.71764886</v>
      </c>
      <c r="O132" s="8">
        <f t="shared" si="3"/>
        <v>467181572.98777109</v>
      </c>
      <c r="P132" s="8">
        <f t="shared" si="3"/>
        <v>462556012.85917932</v>
      </c>
      <c r="Q132" s="8">
        <f t="shared" si="3"/>
        <v>457976250.35562319</v>
      </c>
      <c r="R132" s="8">
        <f t="shared" si="3"/>
        <v>453441832.03527045</v>
      </c>
      <c r="S132" s="8">
        <f t="shared" si="3"/>
        <v>448952308.94581228</v>
      </c>
      <c r="T132" s="8">
        <f t="shared" si="3"/>
        <v>444507236.58001214</v>
      </c>
      <c r="U132" s="8">
        <f t="shared" si="3"/>
        <v>440106174.83169532</v>
      </c>
      <c r="V132" s="8">
        <f t="shared" si="3"/>
        <v>435748687.95217341</v>
      </c>
      <c r="W132" s="8">
        <f t="shared" si="3"/>
        <v>431434344.50710237</v>
      </c>
      <c r="X132" s="8">
        <f t="shared" si="3"/>
        <v>427162717.33376473</v>
      </c>
      <c r="Y132" s="8">
        <f t="shared" si="3"/>
        <v>422933383.49877703</v>
      </c>
      <c r="Z132" s="8">
        <f t="shared" si="3"/>
        <v>418745924.25621486</v>
      </c>
      <c r="AA132" s="8">
        <f t="shared" si="3"/>
        <v>414599925.0061534</v>
      </c>
      <c r="AB132" s="8">
        <f t="shared" si="3"/>
        <v>410494975.25361711</v>
      </c>
      <c r="AC132" s="8">
        <f t="shared" si="3"/>
        <v>406430668.56793779</v>
      </c>
      <c r="AD132" s="8">
        <f t="shared" si="3"/>
        <v>402406602.5425126</v>
      </c>
      <c r="AE132" s="8">
        <f t="shared" si="3"/>
        <v>398422378.75496286</v>
      </c>
      <c r="AF132" s="8">
        <f t="shared" si="3"/>
        <v>394477602.72768605</v>
      </c>
      <c r="AG132" s="8">
        <f t="shared" si="3"/>
        <v>390571883.88879818</v>
      </c>
      <c r="AH132" s="8">
        <f t="shared" si="3"/>
        <v>386704835.53346354</v>
      </c>
      <c r="AI132" s="8">
        <f t="shared" si="3"/>
        <v>382876074.78560746</v>
      </c>
      <c r="AJ132" s="115">
        <f t="shared" si="3"/>
        <v>379085222.56000727</v>
      </c>
    </row>
    <row r="133" spans="1:36" x14ac:dyDescent="0.2">
      <c r="A133" s="22" t="s">
        <v>561</v>
      </c>
      <c r="B133" t="s">
        <v>530</v>
      </c>
      <c r="G133" s="8">
        <f t="shared" ref="G133:AJ133" si="4">$C$22*G105</f>
        <v>2505189850191974</v>
      </c>
      <c r="H133" s="8">
        <f t="shared" si="4"/>
        <v>2527235520873663</v>
      </c>
      <c r="I133" s="8">
        <f t="shared" si="4"/>
        <v>2549475193457351</v>
      </c>
      <c r="J133" s="8">
        <f t="shared" si="4"/>
        <v>2571910575159775.5</v>
      </c>
      <c r="K133" s="8">
        <f t="shared" si="4"/>
        <v>2594543388221181.5</v>
      </c>
      <c r="L133" s="8">
        <f t="shared" si="4"/>
        <v>2617375370037528</v>
      </c>
      <c r="M133" s="8">
        <f t="shared" si="4"/>
        <v>2640408273293858</v>
      </c>
      <c r="N133" s="8">
        <f t="shared" si="4"/>
        <v>2663643866098843.5</v>
      </c>
      <c r="O133" s="8">
        <f t="shared" si="4"/>
        <v>2687083932120513.5</v>
      </c>
      <c r="P133" s="8">
        <f t="shared" si="4"/>
        <v>2710730270723174</v>
      </c>
      <c r="Q133" s="8">
        <f t="shared" si="4"/>
        <v>2734584697105537.5</v>
      </c>
      <c r="R133" s="8">
        <f t="shared" si="4"/>
        <v>2758649042440066.5</v>
      </c>
      <c r="S133" s="8">
        <f t="shared" si="4"/>
        <v>2782925154013539</v>
      </c>
      <c r="T133" s="8">
        <f t="shared" si="4"/>
        <v>2807414895368857.5</v>
      </c>
      <c r="U133" s="8">
        <f t="shared" si="4"/>
        <v>2832120146448103.5</v>
      </c>
      <c r="V133" s="8">
        <f t="shared" si="4"/>
        <v>2857042803736847</v>
      </c>
      <c r="W133" s="8">
        <f t="shared" si="4"/>
        <v>2882184780409731</v>
      </c>
      <c r="X133" s="8">
        <f t="shared" si="4"/>
        <v>2907548006477336.5</v>
      </c>
      <c r="Y133" s="8">
        <f t="shared" si="4"/>
        <v>2933134428934336.5</v>
      </c>
      <c r="Z133" s="8">
        <f t="shared" si="4"/>
        <v>2958946011908959</v>
      </c>
      <c r="AA133" s="8">
        <f t="shared" si="4"/>
        <v>2984984736813757</v>
      </c>
      <c r="AB133" s="8">
        <f t="shared" si="4"/>
        <v>3011252602497718</v>
      </c>
      <c r="AC133" s="8">
        <f t="shared" si="4"/>
        <v>3037751625399698</v>
      </c>
      <c r="AD133" s="8">
        <f t="shared" si="4"/>
        <v>3064483839703215</v>
      </c>
      <c r="AE133" s="8">
        <f t="shared" si="4"/>
        <v>3091451297492603</v>
      </c>
      <c r="AF133" s="8">
        <f t="shared" si="4"/>
        <v>3118656068910538.5</v>
      </c>
      <c r="AG133" s="8">
        <f t="shared" si="4"/>
        <v>3146100242316950.5</v>
      </c>
      <c r="AH133" s="8">
        <f t="shared" si="4"/>
        <v>3173785924449339.5</v>
      </c>
      <c r="AI133" s="8">
        <f t="shared" si="4"/>
        <v>3201715240584494</v>
      </c>
      <c r="AJ133" s="115">
        <f t="shared" si="4"/>
        <v>3229890334701637</v>
      </c>
    </row>
    <row r="134" spans="1:36" x14ac:dyDescent="0.2">
      <c r="A134" s="22" t="s">
        <v>976</v>
      </c>
      <c r="B134" t="s">
        <v>530</v>
      </c>
      <c r="G134" s="8">
        <f t="shared" ref="G134:AJ134" si="5">$C$23*G105</f>
        <v>88187774826444.781</v>
      </c>
      <c r="H134" s="8">
        <f t="shared" si="5"/>
        <v>88963827244917.5</v>
      </c>
      <c r="I134" s="8">
        <f t="shared" si="5"/>
        <v>89746708924672.766</v>
      </c>
      <c r="J134" s="8">
        <f t="shared" si="5"/>
        <v>90536479963209.875</v>
      </c>
      <c r="K134" s="8">
        <f t="shared" si="5"/>
        <v>91333200986886.125</v>
      </c>
      <c r="L134" s="8">
        <f t="shared" si="5"/>
        <v>92136933155570.719</v>
      </c>
      <c r="M134" s="8">
        <f t="shared" si="5"/>
        <v>92947738167339.734</v>
      </c>
      <c r="N134" s="8">
        <f t="shared" si="5"/>
        <v>93765678263212.312</v>
      </c>
      <c r="O134" s="8">
        <f t="shared" si="5"/>
        <v>94590816231928.578</v>
      </c>
      <c r="P134" s="8">
        <f t="shared" si="5"/>
        <v>95423215414769.562</v>
      </c>
      <c r="Q134" s="8">
        <f t="shared" si="5"/>
        <v>96262939710419.5</v>
      </c>
      <c r="R134" s="8">
        <f t="shared" si="5"/>
        <v>97110053579871.203</v>
      </c>
      <c r="S134" s="8">
        <f t="shared" si="5"/>
        <v>97964622051374.078</v>
      </c>
      <c r="T134" s="8">
        <f t="shared" si="5"/>
        <v>98826710725426.156</v>
      </c>
      <c r="U134" s="8">
        <f t="shared" si="5"/>
        <v>99696385779809.891</v>
      </c>
      <c r="V134" s="8">
        <f t="shared" si="5"/>
        <v>100573713974672.23</v>
      </c>
      <c r="W134" s="8">
        <f t="shared" si="5"/>
        <v>101458762657649.33</v>
      </c>
      <c r="X134" s="8">
        <f t="shared" si="5"/>
        <v>102351599769036.64</v>
      </c>
      <c r="Y134" s="8">
        <f t="shared" si="5"/>
        <v>103252293847004.16</v>
      </c>
      <c r="Z134" s="8">
        <f t="shared" si="5"/>
        <v>104160914032857.78</v>
      </c>
      <c r="AA134" s="8">
        <f t="shared" si="5"/>
        <v>105077530076346.91</v>
      </c>
      <c r="AB134" s="8">
        <f t="shared" si="5"/>
        <v>106002212341018.77</v>
      </c>
      <c r="AC134" s="8">
        <f t="shared" si="5"/>
        <v>106935031809619.75</v>
      </c>
      <c r="AD134" s="8">
        <f t="shared" si="5"/>
        <v>107876060089544.38</v>
      </c>
      <c r="AE134" s="8">
        <f t="shared" si="5"/>
        <v>108825369418332.36</v>
      </c>
      <c r="AF134" s="8">
        <f t="shared" si="5"/>
        <v>109783032669213.7</v>
      </c>
      <c r="AG134" s="8">
        <f t="shared" si="5"/>
        <v>110749123356702.77</v>
      </c>
      <c r="AH134" s="8">
        <f t="shared" si="5"/>
        <v>111723715642241.73</v>
      </c>
      <c r="AI134" s="8">
        <f t="shared" si="5"/>
        <v>112706884339893.47</v>
      </c>
      <c r="AJ134" s="8">
        <f t="shared" si="5"/>
        <v>113698704922084.52</v>
      </c>
    </row>
    <row r="135" spans="1:36" x14ac:dyDescent="0.2">
      <c r="A135" s="108" t="s">
        <v>552</v>
      </c>
      <c r="B135" t="s">
        <v>537</v>
      </c>
      <c r="C135" t="s">
        <v>312</v>
      </c>
      <c r="G135" s="36">
        <f t="shared" ref="G135:AJ135" si="6">(G132/G133)*G107</f>
        <v>8.0774828145965181</v>
      </c>
      <c r="H135" s="36">
        <f t="shared" si="6"/>
        <v>15.855487187201179</v>
      </c>
      <c r="I135" s="36">
        <f t="shared" si="6"/>
        <v>15.561560433728914</v>
      </c>
      <c r="J135" s="36">
        <f t="shared" si="6"/>
        <v>15.273082452368575</v>
      </c>
      <c r="K135" s="36">
        <f t="shared" si="6"/>
        <v>14.989952234562164</v>
      </c>
      <c r="L135" s="36">
        <f t="shared" si="6"/>
        <v>14.712070644233872</v>
      </c>
      <c r="M135" s="36">
        <f t="shared" si="6"/>
        <v>14.439340383078296</v>
      </c>
      <c r="N135" s="36">
        <f t="shared" si="6"/>
        <v>14.171665956492074</v>
      </c>
      <c r="O135" s="36">
        <f t="shared" si="6"/>
        <v>13.90895364013716</v>
      </c>
      <c r="P135" s="36">
        <f t="shared" si="6"/>
        <v>13.651111447123885</v>
      </c>
      <c r="Q135" s="36">
        <f t="shared" si="6"/>
        <v>13.398049095802374</v>
      </c>
      <c r="R135" s="36">
        <f t="shared" si="6"/>
        <v>13.149677978151054</v>
      </c>
      <c r="S135" s="36">
        <f t="shared" si="6"/>
        <v>12.905911128751201</v>
      </c>
      <c r="T135" s="36">
        <f t="shared" si="6"/>
        <v>12.666663194336573</v>
      </c>
      <c r="U135" s="36">
        <f t="shared" si="6"/>
        <v>12.431850403907573</v>
      </c>
      <c r="V135" s="36">
        <f t="shared" si="6"/>
        <v>12.201390539399389</v>
      </c>
      <c r="W135" s="36">
        <f t="shared" si="6"/>
        <v>11.975202906893976</v>
      </c>
      <c r="X135" s="36">
        <f t="shared" si="6"/>
        <v>11.753208308365569</v>
      </c>
      <c r="Y135" s="36">
        <f t="shared" si="6"/>
        <v>11.535329013950085</v>
      </c>
      <c r="Z135" s="36">
        <f t="shared" si="6"/>
        <v>11.321488734728531</v>
      </c>
      <c r="AA135" s="36">
        <f t="shared" si="6"/>
        <v>11.111612596015004</v>
      </c>
      <c r="AB135" s="36">
        <f t="shared" si="6"/>
        <v>10.905627111139792</v>
      </c>
      <c r="AC135" s="36">
        <f t="shared" si="6"/>
        <v>10.703460155718581</v>
      </c>
      <c r="AD135" s="36">
        <f t="shared" si="6"/>
        <v>10.505040942398555</v>
      </c>
      <c r="AE135" s="36">
        <f t="shared" si="6"/>
        <v>10.310299996072732</v>
      </c>
      <c r="AF135" s="36">
        <f t="shared" si="6"/>
        <v>10.119169129553722</v>
      </c>
      <c r="AG135" s="36">
        <f t="shared" si="6"/>
        <v>9.9315814196984604</v>
      </c>
      <c r="AH135" s="36">
        <f t="shared" si="6"/>
        <v>9.7474711839755326</v>
      </c>
      <c r="AI135" s="36">
        <f t="shared" si="6"/>
        <v>9.5667739574668982</v>
      </c>
      <c r="AJ135" s="54">
        <f t="shared" si="6"/>
        <v>9.3894264702959447</v>
      </c>
    </row>
    <row r="136" spans="1:36" x14ac:dyDescent="0.2">
      <c r="A136" s="22"/>
      <c r="AJ136" s="29"/>
    </row>
    <row r="137" spans="1:36" x14ac:dyDescent="0.2">
      <c r="A137" s="120" t="s">
        <v>554</v>
      </c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8"/>
    </row>
    <row r="138" spans="1:36" x14ac:dyDescent="0.2">
      <c r="A138" s="22" t="s">
        <v>556</v>
      </c>
      <c r="B138" t="s">
        <v>560</v>
      </c>
      <c r="G138" s="8">
        <f>$C$26*G102*C18</f>
        <v>0</v>
      </c>
      <c r="H138" s="8">
        <f t="shared" ref="H138:AJ138" si="7">$C$26*H102</f>
        <v>0</v>
      </c>
      <c r="I138" s="8">
        <f t="shared" si="7"/>
        <v>0</v>
      </c>
      <c r="J138" s="8">
        <f t="shared" si="7"/>
        <v>0</v>
      </c>
      <c r="K138" s="8">
        <f t="shared" si="7"/>
        <v>0</v>
      </c>
      <c r="L138" s="8">
        <f t="shared" si="7"/>
        <v>0</v>
      </c>
      <c r="M138" s="8">
        <f t="shared" si="7"/>
        <v>0</v>
      </c>
      <c r="N138" s="8">
        <f t="shared" si="7"/>
        <v>0</v>
      </c>
      <c r="O138" s="8">
        <f t="shared" si="7"/>
        <v>0</v>
      </c>
      <c r="P138" s="8">
        <f t="shared" si="7"/>
        <v>0</v>
      </c>
      <c r="Q138" s="8">
        <f t="shared" si="7"/>
        <v>0</v>
      </c>
      <c r="R138" s="8">
        <f t="shared" si="7"/>
        <v>0</v>
      </c>
      <c r="S138" s="8">
        <f t="shared" si="7"/>
        <v>0</v>
      </c>
      <c r="T138" s="8">
        <f t="shared" si="7"/>
        <v>0</v>
      </c>
      <c r="U138" s="8">
        <f t="shared" si="7"/>
        <v>0</v>
      </c>
      <c r="V138" s="8">
        <f t="shared" si="7"/>
        <v>0</v>
      </c>
      <c r="W138" s="8">
        <f t="shared" si="7"/>
        <v>0</v>
      </c>
      <c r="X138" s="8">
        <f t="shared" si="7"/>
        <v>0</v>
      </c>
      <c r="Y138" s="8">
        <f t="shared" si="7"/>
        <v>0</v>
      </c>
      <c r="Z138" s="8">
        <f t="shared" si="7"/>
        <v>0</v>
      </c>
      <c r="AA138" s="8">
        <f t="shared" si="7"/>
        <v>0</v>
      </c>
      <c r="AB138" s="8">
        <f t="shared" si="7"/>
        <v>0</v>
      </c>
      <c r="AC138" s="8">
        <f t="shared" si="7"/>
        <v>0</v>
      </c>
      <c r="AD138" s="8">
        <f t="shared" si="7"/>
        <v>0</v>
      </c>
      <c r="AE138" s="8">
        <f t="shared" si="7"/>
        <v>0</v>
      </c>
      <c r="AF138" s="8">
        <f t="shared" si="7"/>
        <v>0</v>
      </c>
      <c r="AG138" s="8">
        <f t="shared" si="7"/>
        <v>0</v>
      </c>
      <c r="AH138" s="8">
        <f t="shared" si="7"/>
        <v>0</v>
      </c>
      <c r="AI138" s="8">
        <f t="shared" si="7"/>
        <v>0</v>
      </c>
      <c r="AJ138" s="115">
        <f t="shared" si="7"/>
        <v>0</v>
      </c>
    </row>
    <row r="139" spans="1:36" x14ac:dyDescent="0.2">
      <c r="A139" s="22" t="s">
        <v>557</v>
      </c>
      <c r="B139" t="s">
        <v>560</v>
      </c>
      <c r="G139" s="8">
        <f>$C$28</f>
        <v>2900000000000</v>
      </c>
      <c r="H139" s="8">
        <f>$C$28</f>
        <v>2900000000000</v>
      </c>
      <c r="I139" s="8">
        <f t="shared" ref="I139:L139" si="8">$C$28</f>
        <v>2900000000000</v>
      </c>
      <c r="J139" s="8">
        <f t="shared" si="8"/>
        <v>2900000000000</v>
      </c>
      <c r="K139" s="8">
        <f t="shared" si="8"/>
        <v>2900000000000</v>
      </c>
      <c r="L139" s="8">
        <f t="shared" si="8"/>
        <v>2900000000000</v>
      </c>
      <c r="M139" s="8">
        <f t="shared" ref="M139:AA139" si="9">$C$29</f>
        <v>3900000000000</v>
      </c>
      <c r="N139" s="8">
        <f t="shared" si="9"/>
        <v>3900000000000</v>
      </c>
      <c r="O139" s="8">
        <f t="shared" si="9"/>
        <v>3900000000000</v>
      </c>
      <c r="P139" s="8">
        <f t="shared" si="9"/>
        <v>3900000000000</v>
      </c>
      <c r="Q139" s="8">
        <f t="shared" si="9"/>
        <v>3900000000000</v>
      </c>
      <c r="R139" s="8">
        <f t="shared" si="9"/>
        <v>3900000000000</v>
      </c>
      <c r="S139" s="8">
        <f t="shared" si="9"/>
        <v>3900000000000</v>
      </c>
      <c r="T139" s="8">
        <f t="shared" si="9"/>
        <v>3900000000000</v>
      </c>
      <c r="U139" s="8">
        <f t="shared" si="9"/>
        <v>3900000000000</v>
      </c>
      <c r="V139" s="8">
        <f t="shared" si="9"/>
        <v>3900000000000</v>
      </c>
      <c r="W139" s="8">
        <f t="shared" si="9"/>
        <v>3900000000000</v>
      </c>
      <c r="X139" s="8">
        <f t="shared" si="9"/>
        <v>3900000000000</v>
      </c>
      <c r="Y139" s="8">
        <f t="shared" si="9"/>
        <v>3900000000000</v>
      </c>
      <c r="Z139" s="8">
        <f t="shared" si="9"/>
        <v>3900000000000</v>
      </c>
      <c r="AA139" s="8">
        <f t="shared" si="9"/>
        <v>3900000000000</v>
      </c>
      <c r="AB139" s="8">
        <f>$C$30</f>
        <v>8750000000000</v>
      </c>
      <c r="AC139" s="8">
        <f t="shared" ref="AC139:AJ139" si="10">$C$30</f>
        <v>8750000000000</v>
      </c>
      <c r="AD139" s="8">
        <f t="shared" si="10"/>
        <v>8750000000000</v>
      </c>
      <c r="AE139" s="8">
        <f t="shared" si="10"/>
        <v>8750000000000</v>
      </c>
      <c r="AF139" s="8">
        <f t="shared" si="10"/>
        <v>8750000000000</v>
      </c>
      <c r="AG139" s="8">
        <f t="shared" si="10"/>
        <v>8750000000000</v>
      </c>
      <c r="AH139" s="8">
        <f t="shared" si="10"/>
        <v>8750000000000</v>
      </c>
      <c r="AI139" s="8">
        <f t="shared" si="10"/>
        <v>8750000000000</v>
      </c>
      <c r="AJ139" s="115">
        <f t="shared" si="10"/>
        <v>8750000000000</v>
      </c>
    </row>
    <row r="140" spans="1:36" x14ac:dyDescent="0.2">
      <c r="A140" s="108" t="s">
        <v>558</v>
      </c>
      <c r="B140" t="s">
        <v>537</v>
      </c>
      <c r="C140" t="s">
        <v>312</v>
      </c>
      <c r="G140" s="36">
        <f t="shared" ref="G140:AJ140" si="11">G138/G139*G107</f>
        <v>0</v>
      </c>
      <c r="H140" s="36">
        <f t="shared" si="11"/>
        <v>0</v>
      </c>
      <c r="I140" s="36">
        <f t="shared" si="11"/>
        <v>0</v>
      </c>
      <c r="J140" s="36">
        <f t="shared" si="11"/>
        <v>0</v>
      </c>
      <c r="K140" s="36">
        <f t="shared" si="11"/>
        <v>0</v>
      </c>
      <c r="L140" s="36">
        <f t="shared" si="11"/>
        <v>0</v>
      </c>
      <c r="M140" s="36">
        <f t="shared" si="11"/>
        <v>0</v>
      </c>
      <c r="N140" s="36">
        <f t="shared" si="11"/>
        <v>0</v>
      </c>
      <c r="O140" s="36">
        <f t="shared" si="11"/>
        <v>0</v>
      </c>
      <c r="P140" s="36">
        <f t="shared" si="11"/>
        <v>0</v>
      </c>
      <c r="Q140" s="36">
        <f t="shared" si="11"/>
        <v>0</v>
      </c>
      <c r="R140" s="36">
        <f t="shared" si="11"/>
        <v>0</v>
      </c>
      <c r="S140" s="36">
        <f t="shared" si="11"/>
        <v>0</v>
      </c>
      <c r="T140" s="36">
        <f t="shared" si="11"/>
        <v>0</v>
      </c>
      <c r="U140" s="36">
        <f t="shared" si="11"/>
        <v>0</v>
      </c>
      <c r="V140" s="36">
        <f t="shared" si="11"/>
        <v>0</v>
      </c>
      <c r="W140" s="36">
        <f t="shared" si="11"/>
        <v>0</v>
      </c>
      <c r="X140" s="36">
        <f t="shared" si="11"/>
        <v>0</v>
      </c>
      <c r="Y140" s="36">
        <f t="shared" si="11"/>
        <v>0</v>
      </c>
      <c r="Z140" s="36">
        <f t="shared" si="11"/>
        <v>0</v>
      </c>
      <c r="AA140" s="36">
        <f t="shared" si="11"/>
        <v>0</v>
      </c>
      <c r="AB140" s="36">
        <f t="shared" si="11"/>
        <v>0</v>
      </c>
      <c r="AC140" s="36">
        <f t="shared" si="11"/>
        <v>0</v>
      </c>
      <c r="AD140" s="36">
        <f t="shared" si="11"/>
        <v>0</v>
      </c>
      <c r="AE140" s="36">
        <f t="shared" si="11"/>
        <v>0</v>
      </c>
      <c r="AF140" s="36">
        <f t="shared" si="11"/>
        <v>0</v>
      </c>
      <c r="AG140" s="36">
        <f t="shared" si="11"/>
        <v>0</v>
      </c>
      <c r="AH140" s="36">
        <f t="shared" si="11"/>
        <v>0</v>
      </c>
      <c r="AI140" s="36">
        <f t="shared" si="11"/>
        <v>0</v>
      </c>
      <c r="AJ140" s="54">
        <f t="shared" si="11"/>
        <v>0</v>
      </c>
    </row>
    <row r="141" spans="1:36" x14ac:dyDescent="0.2">
      <c r="A141" s="22"/>
      <c r="AJ141" s="29"/>
    </row>
    <row r="142" spans="1:36" x14ac:dyDescent="0.2">
      <c r="A142" s="121" t="s">
        <v>567</v>
      </c>
      <c r="B142" s="111"/>
      <c r="C142" s="111"/>
      <c r="D142" s="111"/>
      <c r="E142" s="111"/>
      <c r="F142" s="111"/>
      <c r="G142" s="111"/>
      <c r="H142" s="111"/>
      <c r="I142" s="111"/>
      <c r="J142" s="111"/>
      <c r="K142" s="111"/>
      <c r="L142" s="111"/>
      <c r="M142" s="111"/>
      <c r="N142" s="111"/>
      <c r="O142" s="111"/>
      <c r="P142" s="111"/>
      <c r="Q142" s="111"/>
      <c r="R142" s="111"/>
      <c r="S142" s="111"/>
      <c r="T142" s="111"/>
      <c r="U142" s="111"/>
      <c r="V142" s="111"/>
      <c r="W142" s="111"/>
      <c r="X142" s="111"/>
      <c r="Y142" s="111"/>
      <c r="Z142" s="111"/>
      <c r="AA142" s="111"/>
      <c r="AB142" s="111"/>
      <c r="AC142" s="111"/>
      <c r="AD142" s="111"/>
      <c r="AE142" s="111"/>
      <c r="AF142" s="111"/>
      <c r="AG142" s="111"/>
      <c r="AH142" s="111"/>
      <c r="AI142" s="111"/>
      <c r="AJ142" s="112"/>
    </row>
    <row r="143" spans="1:36" x14ac:dyDescent="0.2">
      <c r="A143" s="22" t="s">
        <v>559</v>
      </c>
      <c r="B143" t="s">
        <v>16</v>
      </c>
      <c r="G143" s="65">
        <f>SUM($C$33,$C$34)*G102*C18</f>
        <v>198019801.98019803</v>
      </c>
      <c r="H143" s="65">
        <f t="shared" ref="H143:AJ143" si="12">SUM($C$33,$C$34)*H102</f>
        <v>392118419.76276833</v>
      </c>
      <c r="I143" s="65">
        <f t="shared" si="12"/>
        <v>388236059.17105782</v>
      </c>
      <c r="J143" s="65">
        <f t="shared" si="12"/>
        <v>384392137.79312646</v>
      </c>
      <c r="K143" s="65">
        <f t="shared" si="12"/>
        <v>380586275.04269958</v>
      </c>
      <c r="L143" s="65">
        <f t="shared" si="12"/>
        <v>376818094.1016826</v>
      </c>
      <c r="M143" s="65">
        <f t="shared" si="12"/>
        <v>373087221.88285422</v>
      </c>
      <c r="N143" s="65">
        <f t="shared" si="12"/>
        <v>369393288.99292487</v>
      </c>
      <c r="O143" s="65">
        <f t="shared" si="12"/>
        <v>365735929.69596517</v>
      </c>
      <c r="P143" s="65">
        <f t="shared" si="12"/>
        <v>362114781.87719327</v>
      </c>
      <c r="Q143" s="65">
        <f t="shared" si="12"/>
        <v>358529487.0071221</v>
      </c>
      <c r="R143" s="65">
        <f t="shared" si="12"/>
        <v>354979690.10606146</v>
      </c>
      <c r="S143" s="65">
        <f t="shared" si="12"/>
        <v>351465039.70897174</v>
      </c>
      <c r="T143" s="65">
        <f t="shared" si="12"/>
        <v>347985187.83066505</v>
      </c>
      <c r="U143" s="65">
        <f t="shared" si="12"/>
        <v>344539789.93135166</v>
      </c>
      <c r="V143" s="65">
        <f t="shared" si="12"/>
        <v>341128504.88252622</v>
      </c>
      <c r="W143" s="65">
        <f t="shared" si="12"/>
        <v>337750994.93319428</v>
      </c>
      <c r="X143" s="65">
        <f t="shared" si="12"/>
        <v>334406925.67642999</v>
      </c>
      <c r="Y143" s="65">
        <f t="shared" si="12"/>
        <v>331095966.01626736</v>
      </c>
      <c r="Z143" s="65">
        <f t="shared" si="12"/>
        <v>327817788.13491815</v>
      </c>
      <c r="AA143" s="65">
        <f t="shared" si="12"/>
        <v>324572067.46031505</v>
      </c>
      <c r="AB143" s="65">
        <f t="shared" si="12"/>
        <v>321358482.63397521</v>
      </c>
      <c r="AC143" s="65">
        <f t="shared" si="12"/>
        <v>318176715.47918344</v>
      </c>
      <c r="AD143" s="65">
        <f t="shared" si="12"/>
        <v>315026450.9694885</v>
      </c>
      <c r="AE143" s="65">
        <f t="shared" si="12"/>
        <v>311907377.19751328</v>
      </c>
      <c r="AF143" s="65">
        <f t="shared" si="12"/>
        <v>308819185.34407258</v>
      </c>
      <c r="AG143" s="65">
        <f t="shared" si="12"/>
        <v>305761569.64759672</v>
      </c>
      <c r="AH143" s="65">
        <f t="shared" si="12"/>
        <v>302734227.37385809</v>
      </c>
      <c r="AI143" s="65">
        <f t="shared" si="12"/>
        <v>299736858.78599817</v>
      </c>
      <c r="AJ143" s="189">
        <f t="shared" si="12"/>
        <v>296769167.11484957</v>
      </c>
    </row>
    <row r="144" spans="1:36" x14ac:dyDescent="0.2">
      <c r="A144" s="22" t="s">
        <v>564</v>
      </c>
      <c r="B144" t="s">
        <v>16</v>
      </c>
      <c r="G144" s="8">
        <f t="shared" ref="G144:AJ144" si="13">SUM($C$36,$C$35)*G105</f>
        <v>4678058597807.4609</v>
      </c>
      <c r="H144" s="8">
        <f t="shared" si="13"/>
        <v>4719225513468.167</v>
      </c>
      <c r="I144" s="8">
        <f t="shared" si="13"/>
        <v>4760754697986.6865</v>
      </c>
      <c r="J144" s="8">
        <f t="shared" si="13"/>
        <v>4802649339328.9688</v>
      </c>
      <c r="K144" s="8">
        <f t="shared" si="13"/>
        <v>4844912653515.0635</v>
      </c>
      <c r="L144" s="8">
        <f t="shared" si="13"/>
        <v>4887547884865.9961</v>
      </c>
      <c r="M144" s="8">
        <f t="shared" si="13"/>
        <v>4930558306252.8164</v>
      </c>
      <c r="N144" s="8">
        <f t="shared" si="13"/>
        <v>4973947219347.8408</v>
      </c>
      <c r="O144" s="8">
        <f t="shared" si="13"/>
        <v>5017717954878.1016</v>
      </c>
      <c r="P144" s="8">
        <f t="shared" si="13"/>
        <v>5061873872881.0293</v>
      </c>
      <c r="Q144" s="8">
        <f t="shared" si="13"/>
        <v>5106418362962.3809</v>
      </c>
      <c r="R144" s="8">
        <f t="shared" si="13"/>
        <v>5151354844556.4502</v>
      </c>
      <c r="S144" s="8">
        <f t="shared" si="13"/>
        <v>5196686767188.5469</v>
      </c>
      <c r="T144" s="8">
        <f t="shared" si="13"/>
        <v>5242417610739.8057</v>
      </c>
      <c r="U144" s="8">
        <f t="shared" si="13"/>
        <v>5288550885714.3154</v>
      </c>
      <c r="V144" s="8">
        <f t="shared" si="13"/>
        <v>5335090133508.6025</v>
      </c>
      <c r="W144" s="8">
        <f t="shared" si="13"/>
        <v>5382038926683.4775</v>
      </c>
      <c r="X144" s="8">
        <f t="shared" si="13"/>
        <v>5429400869238.292</v>
      </c>
      <c r="Y144" s="8">
        <f t="shared" si="13"/>
        <v>5477179596887.5879</v>
      </c>
      <c r="Z144" s="8">
        <f t="shared" si="13"/>
        <v>5525378777340.1982</v>
      </c>
      <c r="AA144" s="8">
        <f t="shared" si="13"/>
        <v>5574002110580.791</v>
      </c>
      <c r="AB144" s="8">
        <f t="shared" si="13"/>
        <v>5623053329153.9023</v>
      </c>
      <c r="AC144" s="8">
        <f t="shared" si="13"/>
        <v>5672536198450.457</v>
      </c>
      <c r="AD144" s="8">
        <f t="shared" si="13"/>
        <v>5722454516996.8203</v>
      </c>
      <c r="AE144" s="8">
        <f t="shared" si="13"/>
        <v>5772812116746.3916</v>
      </c>
      <c r="AF144" s="8">
        <f t="shared" si="13"/>
        <v>5823612863373.7607</v>
      </c>
      <c r="AG144" s="8">
        <f t="shared" si="13"/>
        <v>5874860656571.4492</v>
      </c>
      <c r="AH144" s="8">
        <f t="shared" si="13"/>
        <v>5926559430349.2773</v>
      </c>
      <c r="AI144" s="8">
        <f t="shared" si="13"/>
        <v>5978713153336.3506</v>
      </c>
      <c r="AJ144" s="115">
        <f t="shared" si="13"/>
        <v>6031325829085.71</v>
      </c>
    </row>
    <row r="145" spans="1:38" x14ac:dyDescent="0.2">
      <c r="A145" s="22" t="s">
        <v>977</v>
      </c>
      <c r="B145" t="s">
        <v>16</v>
      </c>
      <c r="G145" s="8">
        <f>13000000000</f>
        <v>13000000000</v>
      </c>
      <c r="H145" s="8">
        <f t="shared" ref="H145:AJ145" si="14">13000000000</f>
        <v>13000000000</v>
      </c>
      <c r="I145" s="8">
        <f t="shared" si="14"/>
        <v>13000000000</v>
      </c>
      <c r="J145" s="8">
        <f t="shared" si="14"/>
        <v>13000000000</v>
      </c>
      <c r="K145" s="8">
        <f t="shared" si="14"/>
        <v>13000000000</v>
      </c>
      <c r="L145" s="8">
        <f t="shared" si="14"/>
        <v>13000000000</v>
      </c>
      <c r="M145" s="8">
        <f t="shared" si="14"/>
        <v>13000000000</v>
      </c>
      <c r="N145" s="8">
        <f t="shared" si="14"/>
        <v>13000000000</v>
      </c>
      <c r="O145" s="8">
        <f t="shared" si="14"/>
        <v>13000000000</v>
      </c>
      <c r="P145" s="8">
        <f t="shared" si="14"/>
        <v>13000000000</v>
      </c>
      <c r="Q145" s="8">
        <f t="shared" si="14"/>
        <v>13000000000</v>
      </c>
      <c r="R145" s="8">
        <f t="shared" si="14"/>
        <v>13000000000</v>
      </c>
      <c r="S145" s="8">
        <f t="shared" si="14"/>
        <v>13000000000</v>
      </c>
      <c r="T145" s="8">
        <f t="shared" si="14"/>
        <v>13000000000</v>
      </c>
      <c r="U145" s="8">
        <f t="shared" si="14"/>
        <v>13000000000</v>
      </c>
      <c r="V145" s="8">
        <f t="shared" si="14"/>
        <v>13000000000</v>
      </c>
      <c r="W145" s="8">
        <f t="shared" si="14"/>
        <v>13000000000</v>
      </c>
      <c r="X145" s="8">
        <f t="shared" si="14"/>
        <v>13000000000</v>
      </c>
      <c r="Y145" s="8">
        <f t="shared" si="14"/>
        <v>13000000000</v>
      </c>
      <c r="Z145" s="8">
        <f t="shared" si="14"/>
        <v>13000000000</v>
      </c>
      <c r="AA145" s="8">
        <f t="shared" si="14"/>
        <v>13000000000</v>
      </c>
      <c r="AB145" s="8">
        <f t="shared" si="14"/>
        <v>13000000000</v>
      </c>
      <c r="AC145" s="8">
        <f t="shared" si="14"/>
        <v>13000000000</v>
      </c>
      <c r="AD145" s="8">
        <f t="shared" si="14"/>
        <v>13000000000</v>
      </c>
      <c r="AE145" s="8">
        <f t="shared" si="14"/>
        <v>13000000000</v>
      </c>
      <c r="AF145" s="8">
        <f t="shared" si="14"/>
        <v>13000000000</v>
      </c>
      <c r="AG145" s="8">
        <f t="shared" si="14"/>
        <v>13000000000</v>
      </c>
      <c r="AH145" s="8">
        <f t="shared" si="14"/>
        <v>13000000000</v>
      </c>
      <c r="AI145" s="8">
        <f t="shared" si="14"/>
        <v>13000000000</v>
      </c>
      <c r="AJ145" s="8">
        <f t="shared" si="14"/>
        <v>13000000000</v>
      </c>
    </row>
    <row r="146" spans="1:38" x14ac:dyDescent="0.2">
      <c r="A146" s="22" t="s">
        <v>978</v>
      </c>
      <c r="B146" t="s">
        <v>16</v>
      </c>
      <c r="G146" s="8">
        <f>G144-G145</f>
        <v>4665058597807.4609</v>
      </c>
      <c r="H146" s="8">
        <f t="shared" ref="H146:AJ146" si="15">H144-H145</f>
        <v>4706225513468.167</v>
      </c>
      <c r="I146" s="8">
        <f t="shared" si="15"/>
        <v>4747754697986.6865</v>
      </c>
      <c r="J146" s="8">
        <f t="shared" si="15"/>
        <v>4789649339328.9688</v>
      </c>
      <c r="K146" s="8">
        <f t="shared" si="15"/>
        <v>4831912653515.0635</v>
      </c>
      <c r="L146" s="8">
        <f t="shared" si="15"/>
        <v>4874547884865.9961</v>
      </c>
      <c r="M146" s="8">
        <f t="shared" si="15"/>
        <v>4917558306252.8164</v>
      </c>
      <c r="N146" s="8">
        <f t="shared" si="15"/>
        <v>4960947219347.8408</v>
      </c>
      <c r="O146" s="8">
        <f t="shared" si="15"/>
        <v>5004717954878.1016</v>
      </c>
      <c r="P146" s="8">
        <f t="shared" si="15"/>
        <v>5048873872881.0293</v>
      </c>
      <c r="Q146" s="8">
        <f t="shared" si="15"/>
        <v>5093418362962.3809</v>
      </c>
      <c r="R146" s="8">
        <f t="shared" si="15"/>
        <v>5138354844556.4502</v>
      </c>
      <c r="S146" s="8">
        <f t="shared" si="15"/>
        <v>5183686767188.5469</v>
      </c>
      <c r="T146" s="8">
        <f t="shared" si="15"/>
        <v>5229417610739.8057</v>
      </c>
      <c r="U146" s="8">
        <f t="shared" si="15"/>
        <v>5275550885714.3154</v>
      </c>
      <c r="V146" s="8">
        <f t="shared" si="15"/>
        <v>5322090133508.6025</v>
      </c>
      <c r="W146" s="8">
        <f t="shared" si="15"/>
        <v>5369038926683.4775</v>
      </c>
      <c r="X146" s="8">
        <f t="shared" si="15"/>
        <v>5416400869238.292</v>
      </c>
      <c r="Y146" s="8">
        <f t="shared" si="15"/>
        <v>5464179596887.5879</v>
      </c>
      <c r="Z146" s="8">
        <f t="shared" si="15"/>
        <v>5512378777340.1982</v>
      </c>
      <c r="AA146" s="8">
        <f t="shared" si="15"/>
        <v>5561002110580.791</v>
      </c>
      <c r="AB146" s="8">
        <f t="shared" si="15"/>
        <v>5610053329153.9023</v>
      </c>
      <c r="AC146" s="8">
        <f t="shared" si="15"/>
        <v>5659536198450.457</v>
      </c>
      <c r="AD146" s="8">
        <f t="shared" si="15"/>
        <v>5709454516996.8203</v>
      </c>
      <c r="AE146" s="8">
        <f t="shared" si="15"/>
        <v>5759812116746.3916</v>
      </c>
      <c r="AF146" s="8">
        <f t="shared" si="15"/>
        <v>5810612863373.7607</v>
      </c>
      <c r="AG146" s="8">
        <f t="shared" si="15"/>
        <v>5861860656571.4492</v>
      </c>
      <c r="AH146" s="8">
        <f t="shared" si="15"/>
        <v>5913559430349.2773</v>
      </c>
      <c r="AI146" s="8">
        <f t="shared" si="15"/>
        <v>5965713153336.3506</v>
      </c>
      <c r="AJ146" s="8">
        <f t="shared" si="15"/>
        <v>6018325829085.71</v>
      </c>
    </row>
    <row r="147" spans="1:38" x14ac:dyDescent="0.2">
      <c r="A147" s="108" t="s">
        <v>566</v>
      </c>
      <c r="B147" t="s">
        <v>537</v>
      </c>
      <c r="C147" t="s">
        <v>312</v>
      </c>
      <c r="G147" s="36">
        <f t="shared" ref="G147:AJ147" si="16">IF(G146&lt;0,(G143/G144*(G144/G145)*G107),G143/G144*G107)</f>
        <v>3386.3586415613872</v>
      </c>
      <c r="H147" s="36">
        <f t="shared" si="16"/>
        <v>6647.1656189127489</v>
      </c>
      <c r="I147" s="36">
        <f t="shared" si="16"/>
        <v>6523.9414134946637</v>
      </c>
      <c r="J147" s="36">
        <f t="shared" si="16"/>
        <v>6403.0015207703536</v>
      </c>
      <c r="K147" s="36">
        <f t="shared" si="16"/>
        <v>6284.3035944778567</v>
      </c>
      <c r="L147" s="36">
        <f t="shared" si="16"/>
        <v>6167.8060733641523</v>
      </c>
      <c r="M147" s="36">
        <f t="shared" si="16"/>
        <v>6053.4681666327951</v>
      </c>
      <c r="N147" s="36">
        <f t="shared" si="16"/>
        <v>5941.2498396612727</v>
      </c>
      <c r="O147" s="36">
        <f t="shared" si="16"/>
        <v>5831.1117999831895</v>
      </c>
      <c r="P147" s="36">
        <f t="shared" si="16"/>
        <v>5723.0154835302692</v>
      </c>
      <c r="Q147" s="36">
        <f t="shared" si="16"/>
        <v>5616.9230411294202</v>
      </c>
      <c r="R147" s="36">
        <f t="shared" si="16"/>
        <v>5512.7973252500951</v>
      </c>
      <c r="S147" s="36">
        <f t="shared" si="16"/>
        <v>5410.601876997368</v>
      </c>
      <c r="T147" s="36">
        <f t="shared" si="16"/>
        <v>5310.3009133460873</v>
      </c>
      <c r="U147" s="36">
        <f t="shared" si="16"/>
        <v>5211.8593146117046</v>
      </c>
      <c r="V147" s="36">
        <f t="shared" si="16"/>
        <v>5115.2426121533481</v>
      </c>
      <c r="W147" s="36">
        <f t="shared" si="16"/>
        <v>5020.4169763049022</v>
      </c>
      <c r="X147" s="36">
        <f t="shared" si="16"/>
        <v>4927.3492045297435</v>
      </c>
      <c r="Y147" s="36">
        <f t="shared" si="16"/>
        <v>4836.0067097951351</v>
      </c>
      <c r="Z147" s="36">
        <f t="shared" si="16"/>
        <v>4746.3575091620814</v>
      </c>
      <c r="AA147" s="36">
        <f t="shared" si="16"/>
        <v>4658.3702125867449</v>
      </c>
      <c r="AB147" s="36">
        <f t="shared" si="16"/>
        <v>4572.0140119294201</v>
      </c>
      <c r="AC147" s="36">
        <f t="shared" si="16"/>
        <v>4487.2586701673008</v>
      </c>
      <c r="AD147" s="36">
        <f t="shared" si="16"/>
        <v>4404.0745108071751</v>
      </c>
      <c r="AE147" s="36">
        <f t="shared" si="16"/>
        <v>4322.4324074944197</v>
      </c>
      <c r="AF147" s="36">
        <f t="shared" si="16"/>
        <v>4242.3037738146095</v>
      </c>
      <c r="AG147" s="36">
        <f t="shared" si="16"/>
        <v>4163.6605532841795</v>
      </c>
      <c r="AH147" s="36">
        <f t="shared" si="16"/>
        <v>4086.4752095266404</v>
      </c>
      <c r="AI147" s="36">
        <f t="shared" si="16"/>
        <v>4010.7207166309163</v>
      </c>
      <c r="AJ147" s="36">
        <f t="shared" si="16"/>
        <v>3936.3705496884008</v>
      </c>
    </row>
    <row r="148" spans="1:38" x14ac:dyDescent="0.2">
      <c r="A148" s="22"/>
      <c r="AJ148" s="29"/>
    </row>
    <row r="149" spans="1:38" x14ac:dyDescent="0.2">
      <c r="A149" s="171" t="s">
        <v>709</v>
      </c>
      <c r="B149" s="210"/>
      <c r="C149" s="210"/>
      <c r="D149" s="210"/>
      <c r="E149" s="210"/>
      <c r="F149" s="210"/>
      <c r="G149" s="211"/>
      <c r="H149" s="211"/>
      <c r="I149" s="211"/>
      <c r="J149" s="211"/>
      <c r="K149" s="211"/>
      <c r="L149" s="211"/>
      <c r="M149" s="211"/>
      <c r="N149" s="211"/>
      <c r="O149" s="211"/>
      <c r="P149" s="211"/>
      <c r="Q149" s="211"/>
      <c r="R149" s="211"/>
      <c r="S149" s="211"/>
      <c r="T149" s="211"/>
      <c r="U149" s="211"/>
      <c r="V149" s="211"/>
      <c r="W149" s="211"/>
      <c r="X149" s="211"/>
      <c r="Y149" s="211"/>
      <c r="Z149" s="211"/>
      <c r="AA149" s="211"/>
      <c r="AB149" s="211"/>
      <c r="AC149" s="211"/>
      <c r="AD149" s="211"/>
      <c r="AE149" s="211"/>
      <c r="AF149" s="211"/>
      <c r="AG149" s="211"/>
      <c r="AH149" s="211"/>
      <c r="AI149" s="211"/>
      <c r="AJ149" s="172"/>
    </row>
    <row r="150" spans="1:38" x14ac:dyDescent="0.2">
      <c r="A150" s="173" t="s">
        <v>712</v>
      </c>
      <c r="B150" t="s">
        <v>713</v>
      </c>
      <c r="G150" s="17">
        <f>$C$39*G$102*C18</f>
        <v>6.0499014726402942E-2</v>
      </c>
      <c r="H150" s="17">
        <f>$C$39*H$102</f>
        <v>0.11980002916119394</v>
      </c>
      <c r="I150" s="17">
        <f t="shared" ref="I150:AJ150" si="17">$C$39*I$102</f>
        <v>0.11861389025860787</v>
      </c>
      <c r="J150" s="17">
        <f t="shared" si="17"/>
        <v>0.11743949530555232</v>
      </c>
      <c r="K150" s="17">
        <f t="shared" si="17"/>
        <v>0.11627672802529936</v>
      </c>
      <c r="L150" s="17">
        <f t="shared" si="17"/>
        <v>0.11512547329237557</v>
      </c>
      <c r="M150" s="17">
        <f t="shared" si="17"/>
        <v>0.11398561712116397</v>
      </c>
      <c r="N150" s="17">
        <f t="shared" si="17"/>
        <v>0.11285704665461777</v>
      </c>
      <c r="O150" s="17">
        <f t="shared" si="17"/>
        <v>0.11173965015308687</v>
      </c>
      <c r="P150" s="17">
        <f t="shared" si="17"/>
        <v>0.11063331698325433</v>
      </c>
      <c r="Q150" s="17">
        <f t="shared" si="17"/>
        <v>0.10953793760718254</v>
      </c>
      <c r="R150" s="17">
        <f t="shared" si="17"/>
        <v>0.10845340357146785</v>
      </c>
      <c r="S150" s="17">
        <f t="shared" si="17"/>
        <v>0.10737960749650281</v>
      </c>
      <c r="T150" s="17">
        <f t="shared" si="17"/>
        <v>0.10631644306584437</v>
      </c>
      <c r="U150" s="17">
        <f t="shared" si="17"/>
        <v>0.10526380501568752</v>
      </c>
      <c r="V150" s="17">
        <f t="shared" si="17"/>
        <v>0.10422158912444304</v>
      </c>
      <c r="W150" s="17">
        <f t="shared" si="17"/>
        <v>0.10318969220241885</v>
      </c>
      <c r="X150" s="17">
        <f t="shared" si="17"/>
        <v>0.10216801208160282</v>
      </c>
      <c r="Y150" s="17">
        <f t="shared" si="17"/>
        <v>0.10115644760554737</v>
      </c>
      <c r="Z150" s="17">
        <f t="shared" si="17"/>
        <v>0.10015489861935382</v>
      </c>
      <c r="AA150" s="17">
        <f t="shared" si="17"/>
        <v>9.9163265959756275E-2</v>
      </c>
      <c r="AB150" s="17">
        <f t="shared" si="17"/>
        <v>9.8181451445303214E-2</v>
      </c>
      <c r="AC150" s="17">
        <f t="shared" si="17"/>
        <v>9.7209357866636856E-2</v>
      </c>
      <c r="AD150" s="17">
        <f t="shared" si="17"/>
        <v>9.6246888976868172E-2</v>
      </c>
      <c r="AE150" s="17">
        <f t="shared" si="17"/>
        <v>9.5293949482047668E-2</v>
      </c>
      <c r="AF150" s="17">
        <f t="shared" si="17"/>
        <v>9.4350445031730373E-2</v>
      </c>
      <c r="AG150" s="17">
        <f t="shared" si="17"/>
        <v>9.3416282209634063E-2</v>
      </c>
      <c r="AH150" s="17">
        <f t="shared" si="17"/>
        <v>9.2491368524390147E-2</v>
      </c>
      <c r="AI150" s="17">
        <f t="shared" si="17"/>
        <v>9.1575612400386294E-2</v>
      </c>
      <c r="AJ150" s="17">
        <f t="shared" si="17"/>
        <v>9.0668923168699275E-2</v>
      </c>
    </row>
    <row r="151" spans="1:38" x14ac:dyDescent="0.2">
      <c r="A151" s="173" t="s">
        <v>699</v>
      </c>
      <c r="B151" t="s">
        <v>713</v>
      </c>
      <c r="G151" s="8">
        <f>$C$43/30</f>
        <v>95333333333333.328</v>
      </c>
      <c r="H151" s="8">
        <f t="shared" ref="H151:AJ151" si="18">$C$43/30</f>
        <v>95333333333333.328</v>
      </c>
      <c r="I151" s="8">
        <f t="shared" si="18"/>
        <v>95333333333333.328</v>
      </c>
      <c r="J151" s="8">
        <f t="shared" si="18"/>
        <v>95333333333333.328</v>
      </c>
      <c r="K151" s="8">
        <f t="shared" si="18"/>
        <v>95333333333333.328</v>
      </c>
      <c r="L151" s="8">
        <f t="shared" si="18"/>
        <v>95333333333333.328</v>
      </c>
      <c r="M151" s="8">
        <f t="shared" si="18"/>
        <v>95333333333333.328</v>
      </c>
      <c r="N151" s="8">
        <f t="shared" si="18"/>
        <v>95333333333333.328</v>
      </c>
      <c r="O151" s="8">
        <f t="shared" si="18"/>
        <v>95333333333333.328</v>
      </c>
      <c r="P151" s="8">
        <f t="shared" si="18"/>
        <v>95333333333333.328</v>
      </c>
      <c r="Q151" s="8">
        <f t="shared" si="18"/>
        <v>95333333333333.328</v>
      </c>
      <c r="R151" s="8">
        <f t="shared" si="18"/>
        <v>95333333333333.328</v>
      </c>
      <c r="S151" s="8">
        <f t="shared" si="18"/>
        <v>95333333333333.328</v>
      </c>
      <c r="T151" s="8">
        <f t="shared" si="18"/>
        <v>95333333333333.328</v>
      </c>
      <c r="U151" s="8">
        <f t="shared" si="18"/>
        <v>95333333333333.328</v>
      </c>
      <c r="V151" s="8">
        <f t="shared" si="18"/>
        <v>95333333333333.328</v>
      </c>
      <c r="W151" s="8">
        <f t="shared" si="18"/>
        <v>95333333333333.328</v>
      </c>
      <c r="X151" s="8">
        <f t="shared" si="18"/>
        <v>95333333333333.328</v>
      </c>
      <c r="Y151" s="8">
        <f t="shared" si="18"/>
        <v>95333333333333.328</v>
      </c>
      <c r="Z151" s="8">
        <f t="shared" si="18"/>
        <v>95333333333333.328</v>
      </c>
      <c r="AA151" s="8">
        <f t="shared" si="18"/>
        <v>95333333333333.328</v>
      </c>
      <c r="AB151" s="8">
        <f t="shared" si="18"/>
        <v>95333333333333.328</v>
      </c>
      <c r="AC151" s="8">
        <f t="shared" si="18"/>
        <v>95333333333333.328</v>
      </c>
      <c r="AD151" s="8">
        <f t="shared" si="18"/>
        <v>95333333333333.328</v>
      </c>
      <c r="AE151" s="8">
        <f t="shared" si="18"/>
        <v>95333333333333.328</v>
      </c>
      <c r="AF151" s="8">
        <f t="shared" si="18"/>
        <v>95333333333333.328</v>
      </c>
      <c r="AG151" s="8">
        <f t="shared" si="18"/>
        <v>95333333333333.328</v>
      </c>
      <c r="AH151" s="8">
        <f t="shared" si="18"/>
        <v>95333333333333.328</v>
      </c>
      <c r="AI151" s="8">
        <f t="shared" si="18"/>
        <v>95333333333333.328</v>
      </c>
      <c r="AJ151" s="115">
        <f t="shared" si="18"/>
        <v>95333333333333.328</v>
      </c>
    </row>
    <row r="152" spans="1:38" x14ac:dyDescent="0.2">
      <c r="A152" s="108" t="s">
        <v>716</v>
      </c>
      <c r="B152" t="s">
        <v>537</v>
      </c>
      <c r="C152" t="s">
        <v>312</v>
      </c>
      <c r="G152" s="17">
        <f t="shared" ref="G152:AJ152" si="19">G150/G151*G107*-1</f>
        <v>-5.0768403966212264E-8</v>
      </c>
      <c r="H152" s="17">
        <f t="shared" si="19"/>
        <v>-1.0053149300240052E-7</v>
      </c>
      <c r="I152" s="17">
        <f t="shared" si="19"/>
        <v>-9.9536131685545081E-8</v>
      </c>
      <c r="J152" s="17">
        <f t="shared" si="19"/>
        <v>-9.8550625431232728E-8</v>
      </c>
      <c r="K152" s="17">
        <f t="shared" si="19"/>
        <v>-9.7574876664586867E-8</v>
      </c>
      <c r="L152" s="17">
        <f t="shared" si="19"/>
        <v>-9.6608788776818668E-8</v>
      </c>
      <c r="M152" s="17">
        <f t="shared" si="19"/>
        <v>-9.5652266115662072E-8</v>
      </c>
      <c r="N152" s="17">
        <f t="shared" si="19"/>
        <v>-9.470521397590302E-8</v>
      </c>
      <c r="O152" s="17">
        <f t="shared" si="19"/>
        <v>-9.3767538590002984E-8</v>
      </c>
      <c r="P152" s="17">
        <f t="shared" si="19"/>
        <v>-9.2839147118814839E-8</v>
      </c>
      <c r="Q152" s="17">
        <f t="shared" si="19"/>
        <v>-9.191994764239095E-8</v>
      </c>
      <c r="R152" s="17">
        <f t="shared" si="19"/>
        <v>-9.1009849150882112E-8</v>
      </c>
      <c r="S152" s="17">
        <f t="shared" si="19"/>
        <v>-9.010876153552685E-8</v>
      </c>
      <c r="T152" s="17">
        <f t="shared" si="19"/>
        <v>-8.9216595579729543E-8</v>
      </c>
      <c r="U152" s="17">
        <f t="shared" si="19"/>
        <v>-8.8333262950227301E-8</v>
      </c>
      <c r="V152" s="17">
        <f t="shared" si="19"/>
        <v>-8.7458676188343816E-8</v>
      </c>
      <c r="W152" s="17">
        <f t="shared" si="19"/>
        <v>-8.6592748701330494E-8</v>
      </c>
      <c r="X152" s="17">
        <f t="shared" si="19"/>
        <v>-8.5735394753792586E-8</v>
      </c>
      <c r="Y152" s="17">
        <f t="shared" si="19"/>
        <v>-8.4886529459200605E-8</v>
      </c>
      <c r="Z152" s="17">
        <f t="shared" si="19"/>
        <v>-8.404606877148574E-8</v>
      </c>
      <c r="AA152" s="17">
        <f t="shared" si="19"/>
        <v>-8.3213929476718561E-8</v>
      </c>
      <c r="AB152" s="17">
        <f t="shared" si="19"/>
        <v>-8.2390029184869836E-8</v>
      </c>
      <c r="AC152" s="17">
        <f t="shared" si="19"/>
        <v>-8.1574286321653302E-8</v>
      </c>
      <c r="AD152" s="17">
        <f t="shared" si="19"/>
        <v>-8.0766620120448822E-8</v>
      </c>
      <c r="AE152" s="17">
        <f t="shared" si="19"/>
        <v>-7.9966950614305729E-8</v>
      </c>
      <c r="AF152" s="17">
        <f t="shared" si="19"/>
        <v>-7.9175198628025494E-8</v>
      </c>
      <c r="AG152" s="17">
        <f t="shared" si="19"/>
        <v>-7.83912857703223E-8</v>
      </c>
      <c r="AH152" s="17">
        <f t="shared" si="19"/>
        <v>-7.7615134426061669E-8</v>
      </c>
      <c r="AI152" s="17">
        <f t="shared" si="19"/>
        <v>-7.6846667748575912E-8</v>
      </c>
      <c r="AJ152" s="122">
        <f t="shared" si="19"/>
        <v>-7.6085809652055339E-8</v>
      </c>
    </row>
    <row r="153" spans="1:38" x14ac:dyDescent="0.2">
      <c r="A153" s="22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7"/>
      <c r="AA153" s="17"/>
      <c r="AB153" s="17"/>
      <c r="AC153" s="17"/>
      <c r="AD153" s="17"/>
      <c r="AE153" s="17"/>
      <c r="AF153" s="17"/>
      <c r="AG153" s="17"/>
      <c r="AH153" s="17"/>
      <c r="AI153" s="17"/>
      <c r="AJ153" s="122"/>
    </row>
    <row r="154" spans="1:38" x14ac:dyDescent="0.2">
      <c r="A154" s="173" t="s">
        <v>714</v>
      </c>
      <c r="B154" t="s">
        <v>726</v>
      </c>
      <c r="C154" s="47"/>
      <c r="D154" s="47"/>
      <c r="G154" s="17">
        <f>$C$40*$G$102*C18</f>
        <v>45706.634453865343</v>
      </c>
      <c r="H154" s="17">
        <f>$C$40*$G$102</f>
        <v>91413.268907730686</v>
      </c>
      <c r="I154" s="17">
        <f t="shared" ref="I154:AJ154" si="20">$C$40*$G$102</f>
        <v>91413.268907730686</v>
      </c>
      <c r="J154" s="17">
        <f t="shared" si="20"/>
        <v>91413.268907730686</v>
      </c>
      <c r="K154" s="17">
        <f t="shared" si="20"/>
        <v>91413.268907730686</v>
      </c>
      <c r="L154" s="17">
        <f t="shared" si="20"/>
        <v>91413.268907730686</v>
      </c>
      <c r="M154" s="17">
        <f t="shared" si="20"/>
        <v>91413.268907730686</v>
      </c>
      <c r="N154" s="17">
        <f t="shared" si="20"/>
        <v>91413.268907730686</v>
      </c>
      <c r="O154" s="17">
        <f t="shared" si="20"/>
        <v>91413.268907730686</v>
      </c>
      <c r="P154" s="17">
        <f t="shared" si="20"/>
        <v>91413.268907730686</v>
      </c>
      <c r="Q154" s="17">
        <f t="shared" si="20"/>
        <v>91413.268907730686</v>
      </c>
      <c r="R154" s="17">
        <f t="shared" si="20"/>
        <v>91413.268907730686</v>
      </c>
      <c r="S154" s="17">
        <f t="shared" si="20"/>
        <v>91413.268907730686</v>
      </c>
      <c r="T154" s="17">
        <f t="shared" si="20"/>
        <v>91413.268907730686</v>
      </c>
      <c r="U154" s="17">
        <f t="shared" si="20"/>
        <v>91413.268907730686</v>
      </c>
      <c r="V154" s="17">
        <f t="shared" si="20"/>
        <v>91413.268907730686</v>
      </c>
      <c r="W154" s="17">
        <f t="shared" si="20"/>
        <v>91413.268907730686</v>
      </c>
      <c r="X154" s="17">
        <f t="shared" si="20"/>
        <v>91413.268907730686</v>
      </c>
      <c r="Y154" s="17">
        <f t="shared" si="20"/>
        <v>91413.268907730686</v>
      </c>
      <c r="Z154" s="17">
        <f t="shared" si="20"/>
        <v>91413.268907730686</v>
      </c>
      <c r="AA154" s="17">
        <f t="shared" si="20"/>
        <v>91413.268907730686</v>
      </c>
      <c r="AB154" s="17">
        <f t="shared" si="20"/>
        <v>91413.268907730686</v>
      </c>
      <c r="AC154" s="17">
        <f t="shared" si="20"/>
        <v>91413.268907730686</v>
      </c>
      <c r="AD154" s="17">
        <f t="shared" si="20"/>
        <v>91413.268907730686</v>
      </c>
      <c r="AE154" s="17">
        <f t="shared" si="20"/>
        <v>91413.268907730686</v>
      </c>
      <c r="AF154" s="17">
        <f t="shared" si="20"/>
        <v>91413.268907730686</v>
      </c>
      <c r="AG154" s="17">
        <f t="shared" si="20"/>
        <v>91413.268907730686</v>
      </c>
      <c r="AH154" s="17">
        <f t="shared" si="20"/>
        <v>91413.268907730686</v>
      </c>
      <c r="AI154" s="17">
        <f t="shared" si="20"/>
        <v>91413.268907730686</v>
      </c>
      <c r="AJ154" s="17">
        <f t="shared" si="20"/>
        <v>91413.268907730686</v>
      </c>
    </row>
    <row r="155" spans="1:38" x14ac:dyDescent="0.2">
      <c r="A155" s="173" t="s">
        <v>715</v>
      </c>
      <c r="B155" t="s">
        <v>726</v>
      </c>
      <c r="C155" s="47"/>
      <c r="D155" s="47"/>
      <c r="G155" s="8">
        <f t="shared" ref="G155:AJ155" si="21">$C$44*($D$105/G105)*G105</f>
        <v>43574999999.999992</v>
      </c>
      <c r="H155" s="8">
        <f t="shared" si="21"/>
        <v>43575000000</v>
      </c>
      <c r="I155" s="8">
        <f t="shared" si="21"/>
        <v>43575000000</v>
      </c>
      <c r="J155" s="8">
        <f t="shared" si="21"/>
        <v>43575000000</v>
      </c>
      <c r="K155" s="8">
        <f t="shared" si="21"/>
        <v>43575000000</v>
      </c>
      <c r="L155" s="8">
        <f t="shared" si="21"/>
        <v>43575000000</v>
      </c>
      <c r="M155" s="8">
        <f t="shared" si="21"/>
        <v>43575000000</v>
      </c>
      <c r="N155" s="8">
        <f t="shared" si="21"/>
        <v>43575000000</v>
      </c>
      <c r="O155" s="8">
        <f t="shared" si="21"/>
        <v>43575000000</v>
      </c>
      <c r="P155" s="8">
        <f t="shared" si="21"/>
        <v>43574999999.999992</v>
      </c>
      <c r="Q155" s="8">
        <f t="shared" si="21"/>
        <v>43575000000</v>
      </c>
      <c r="R155" s="8">
        <f t="shared" si="21"/>
        <v>43574999999.999992</v>
      </c>
      <c r="S155" s="8">
        <f t="shared" si="21"/>
        <v>43575000000</v>
      </c>
      <c r="T155" s="8">
        <f t="shared" si="21"/>
        <v>43575000000</v>
      </c>
      <c r="U155" s="8">
        <f t="shared" si="21"/>
        <v>43575000000</v>
      </c>
      <c r="V155" s="8">
        <f t="shared" si="21"/>
        <v>43575000000</v>
      </c>
      <c r="W155" s="8">
        <f t="shared" si="21"/>
        <v>43575000000.000008</v>
      </c>
      <c r="X155" s="8">
        <f t="shared" si="21"/>
        <v>43575000000</v>
      </c>
      <c r="Y155" s="8">
        <f t="shared" si="21"/>
        <v>43575000000</v>
      </c>
      <c r="Z155" s="8">
        <f t="shared" si="21"/>
        <v>43575000000</v>
      </c>
      <c r="AA155" s="8">
        <f t="shared" si="21"/>
        <v>43575000000.000008</v>
      </c>
      <c r="AB155" s="8">
        <f t="shared" si="21"/>
        <v>43575000000</v>
      </c>
      <c r="AC155" s="8">
        <f t="shared" si="21"/>
        <v>43575000000</v>
      </c>
      <c r="AD155" s="8">
        <f t="shared" si="21"/>
        <v>43575000000</v>
      </c>
      <c r="AE155" s="8">
        <f t="shared" si="21"/>
        <v>43575000000</v>
      </c>
      <c r="AF155" s="8">
        <f t="shared" si="21"/>
        <v>43575000000</v>
      </c>
      <c r="AG155" s="8">
        <f t="shared" si="21"/>
        <v>43574999999.999992</v>
      </c>
      <c r="AH155" s="8">
        <f t="shared" si="21"/>
        <v>43575000000</v>
      </c>
      <c r="AI155" s="8">
        <f t="shared" si="21"/>
        <v>43575000000</v>
      </c>
      <c r="AJ155" s="115">
        <f t="shared" si="21"/>
        <v>43575000000</v>
      </c>
    </row>
    <row r="156" spans="1:38" x14ac:dyDescent="0.2">
      <c r="A156" s="108" t="s">
        <v>727</v>
      </c>
      <c r="B156" t="s">
        <v>537</v>
      </c>
      <c r="C156" t="s">
        <v>312</v>
      </c>
      <c r="G156" s="17">
        <f t="shared" ref="G156:AJ156" si="22">G154/G155*-1*G107</f>
        <v>-83.913499857928358</v>
      </c>
      <c r="H156" s="17">
        <f t="shared" si="22"/>
        <v>-167.82699971585669</v>
      </c>
      <c r="I156" s="17">
        <f t="shared" si="22"/>
        <v>-167.82699971585669</v>
      </c>
      <c r="J156" s="17">
        <f t="shared" si="22"/>
        <v>-167.82699971585669</v>
      </c>
      <c r="K156" s="17">
        <f t="shared" si="22"/>
        <v>-167.82699971585669</v>
      </c>
      <c r="L156" s="17">
        <f t="shared" si="22"/>
        <v>-167.82699971585669</v>
      </c>
      <c r="M156" s="17">
        <f t="shared" si="22"/>
        <v>-167.82699971585669</v>
      </c>
      <c r="N156" s="17">
        <f t="shared" si="22"/>
        <v>-167.82699971585669</v>
      </c>
      <c r="O156" s="17">
        <f t="shared" si="22"/>
        <v>-167.82699971585669</v>
      </c>
      <c r="P156" s="17">
        <f t="shared" si="22"/>
        <v>-167.82699971585672</v>
      </c>
      <c r="Q156" s="17">
        <f t="shared" si="22"/>
        <v>-167.82699971585669</v>
      </c>
      <c r="R156" s="17">
        <f t="shared" si="22"/>
        <v>-167.82699971585672</v>
      </c>
      <c r="S156" s="17">
        <f t="shared" si="22"/>
        <v>-167.82699971585669</v>
      </c>
      <c r="T156" s="17">
        <f t="shared" si="22"/>
        <v>-167.82699971585669</v>
      </c>
      <c r="U156" s="17">
        <f t="shared" si="22"/>
        <v>-167.82699971585669</v>
      </c>
      <c r="V156" s="17">
        <f t="shared" si="22"/>
        <v>-167.82699971585669</v>
      </c>
      <c r="W156" s="17">
        <f t="shared" si="22"/>
        <v>-167.82699971585663</v>
      </c>
      <c r="X156" s="17">
        <f t="shared" si="22"/>
        <v>-167.82699971585669</v>
      </c>
      <c r="Y156" s="17">
        <f t="shared" si="22"/>
        <v>-167.82699971585669</v>
      </c>
      <c r="Z156" s="17">
        <f t="shared" si="22"/>
        <v>-167.82699971585669</v>
      </c>
      <c r="AA156" s="17">
        <f t="shared" si="22"/>
        <v>-167.82699971585663</v>
      </c>
      <c r="AB156" s="17">
        <f t="shared" si="22"/>
        <v>-167.82699971585669</v>
      </c>
      <c r="AC156" s="17">
        <f t="shared" si="22"/>
        <v>-167.82699971585669</v>
      </c>
      <c r="AD156" s="17">
        <f t="shared" si="22"/>
        <v>-167.82699971585669</v>
      </c>
      <c r="AE156" s="17">
        <f t="shared" si="22"/>
        <v>-167.82699971585669</v>
      </c>
      <c r="AF156" s="17">
        <f t="shared" si="22"/>
        <v>-167.82699971585669</v>
      </c>
      <c r="AG156" s="17">
        <f t="shared" si="22"/>
        <v>-167.82699971585672</v>
      </c>
      <c r="AH156" s="17">
        <f t="shared" si="22"/>
        <v>-167.82699971585669</v>
      </c>
      <c r="AI156" s="17">
        <f t="shared" si="22"/>
        <v>-167.82699971585669</v>
      </c>
      <c r="AJ156" s="122">
        <f t="shared" si="22"/>
        <v>-167.82699971585669</v>
      </c>
    </row>
    <row r="157" spans="1:38" x14ac:dyDescent="0.2">
      <c r="A157" s="108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7"/>
      <c r="AA157" s="17"/>
      <c r="AB157" s="17"/>
      <c r="AC157" s="17"/>
      <c r="AD157" s="17"/>
      <c r="AE157" s="17"/>
      <c r="AF157" s="17"/>
      <c r="AG157" s="17"/>
      <c r="AH157" s="17"/>
      <c r="AI157" s="17"/>
      <c r="AJ157" s="122"/>
    </row>
    <row r="158" spans="1:38" x14ac:dyDescent="0.2">
      <c r="A158" s="173" t="s">
        <v>728</v>
      </c>
      <c r="B158" t="s">
        <v>681</v>
      </c>
      <c r="G158" s="17">
        <f>$C$41*G102*C18</f>
        <v>8655495.4956922103</v>
      </c>
      <c r="H158" s="17">
        <f t="shared" ref="H158:AJ158" si="23">$C$41*H102</f>
        <v>17139595.040974673</v>
      </c>
      <c r="I158" s="17">
        <f t="shared" si="23"/>
        <v>16969896.080172949</v>
      </c>
      <c r="J158" s="17">
        <f t="shared" si="23"/>
        <v>16801877.307101924</v>
      </c>
      <c r="K158" s="17">
        <f t="shared" si="23"/>
        <v>16635522.086239532</v>
      </c>
      <c r="L158" s="17">
        <f t="shared" si="23"/>
        <v>16470813.94677181</v>
      </c>
      <c r="M158" s="17">
        <f t="shared" si="23"/>
        <v>16307736.580962194</v>
      </c>
      <c r="N158" s="17">
        <f t="shared" si="23"/>
        <v>16146273.842536822</v>
      </c>
      <c r="O158" s="17">
        <f t="shared" si="23"/>
        <v>15986409.745085958</v>
      </c>
      <c r="P158" s="17">
        <f t="shared" si="23"/>
        <v>15828128.460481148</v>
      </c>
      <c r="Q158" s="17">
        <f t="shared" si="23"/>
        <v>15671414.317308072</v>
      </c>
      <c r="R158" s="17">
        <f t="shared" si="23"/>
        <v>15516251.799314922</v>
      </c>
      <c r="S158" s="17">
        <f t="shared" si="23"/>
        <v>15362625.543876158</v>
      </c>
      <c r="T158" s="17">
        <f t="shared" si="23"/>
        <v>15210520.340471443</v>
      </c>
      <c r="U158" s="17">
        <f t="shared" si="23"/>
        <v>15059921.129179651</v>
      </c>
      <c r="V158" s="17">
        <f t="shared" si="23"/>
        <v>14910812.999187768</v>
      </c>
      <c r="W158" s="17">
        <f t="shared" si="23"/>
        <v>14763181.18731462</v>
      </c>
      <c r="X158" s="17">
        <f t="shared" si="23"/>
        <v>14617011.07654913</v>
      </c>
      <c r="Y158" s="17">
        <f t="shared" si="23"/>
        <v>14472288.194603102</v>
      </c>
      <c r="Z158" s="17">
        <f t="shared" si="23"/>
        <v>14328998.212478315</v>
      </c>
      <c r="AA158" s="17">
        <f t="shared" si="23"/>
        <v>14187126.94304784</v>
      </c>
      <c r="AB158" s="17">
        <f t="shared" si="23"/>
        <v>14046660.339651324</v>
      </c>
      <c r="AC158" s="17">
        <f t="shared" si="23"/>
        <v>13907584.494704282</v>
      </c>
      <c r="AD158" s="17">
        <f t="shared" si="23"/>
        <v>13769885.63832107</v>
      </c>
      <c r="AE158" s="17">
        <f t="shared" si="23"/>
        <v>13633550.136951551</v>
      </c>
      <c r="AF158" s="17">
        <f t="shared" si="23"/>
        <v>13498564.492031239</v>
      </c>
      <c r="AG158" s="17">
        <f t="shared" si="23"/>
        <v>13364915.338644797</v>
      </c>
      <c r="AH158" s="17">
        <f t="shared" si="23"/>
        <v>13232589.444202768</v>
      </c>
      <c r="AI158" s="17">
        <f t="shared" si="23"/>
        <v>13101573.707131453</v>
      </c>
      <c r="AJ158" s="17">
        <f t="shared" si="23"/>
        <v>12971855.155575693</v>
      </c>
    </row>
    <row r="159" spans="1:38" x14ac:dyDescent="0.2">
      <c r="A159" s="173" t="s">
        <v>701</v>
      </c>
      <c r="B159" t="s">
        <v>681</v>
      </c>
      <c r="G159" s="8">
        <f t="shared" ref="G159:AJ159" si="24">$C$45*($D$105/G105)*G105</f>
        <v>434256000000</v>
      </c>
      <c r="H159" s="8">
        <f t="shared" si="24"/>
        <v>434256000000</v>
      </c>
      <c r="I159" s="8">
        <f t="shared" si="24"/>
        <v>434256000000</v>
      </c>
      <c r="J159" s="8">
        <f t="shared" si="24"/>
        <v>434256000000</v>
      </c>
      <c r="K159" s="8">
        <f t="shared" si="24"/>
        <v>434256000000</v>
      </c>
      <c r="L159" s="8">
        <f t="shared" si="24"/>
        <v>434256000000</v>
      </c>
      <c r="M159" s="8">
        <f t="shared" si="24"/>
        <v>434256000000.00006</v>
      </c>
      <c r="N159" s="8">
        <f t="shared" si="24"/>
        <v>434256000000.00006</v>
      </c>
      <c r="O159" s="8">
        <f t="shared" si="24"/>
        <v>434256000000.00006</v>
      </c>
      <c r="P159" s="8">
        <f t="shared" si="24"/>
        <v>434256000000</v>
      </c>
      <c r="Q159" s="8">
        <f t="shared" si="24"/>
        <v>434255999999.99994</v>
      </c>
      <c r="R159" s="8">
        <f t="shared" si="24"/>
        <v>434256000000</v>
      </c>
      <c r="S159" s="8">
        <f t="shared" si="24"/>
        <v>434256000000</v>
      </c>
      <c r="T159" s="8">
        <f t="shared" si="24"/>
        <v>434256000000</v>
      </c>
      <c r="U159" s="8">
        <f t="shared" si="24"/>
        <v>434256000000</v>
      </c>
      <c r="V159" s="8">
        <f t="shared" si="24"/>
        <v>434256000000</v>
      </c>
      <c r="W159" s="8">
        <f t="shared" si="24"/>
        <v>434256000000</v>
      </c>
      <c r="X159" s="8">
        <f t="shared" si="24"/>
        <v>434256000000</v>
      </c>
      <c r="Y159" s="8">
        <f t="shared" si="24"/>
        <v>434256000000</v>
      </c>
      <c r="Z159" s="8">
        <f t="shared" si="24"/>
        <v>434256000000</v>
      </c>
      <c r="AA159" s="8">
        <f t="shared" si="24"/>
        <v>434256000000.00006</v>
      </c>
      <c r="AB159" s="8">
        <f t="shared" si="24"/>
        <v>434256000000.00006</v>
      </c>
      <c r="AC159" s="8">
        <f t="shared" si="24"/>
        <v>434256000000</v>
      </c>
      <c r="AD159" s="8">
        <f t="shared" si="24"/>
        <v>434255999999.99994</v>
      </c>
      <c r="AE159" s="8">
        <f t="shared" si="24"/>
        <v>434256000000</v>
      </c>
      <c r="AF159" s="8">
        <f t="shared" si="24"/>
        <v>434256000000</v>
      </c>
      <c r="AG159" s="8">
        <f t="shared" si="24"/>
        <v>434256000000</v>
      </c>
      <c r="AH159" s="8">
        <f t="shared" si="24"/>
        <v>434256000000</v>
      </c>
      <c r="AI159" s="8">
        <f t="shared" si="24"/>
        <v>434256000000</v>
      </c>
      <c r="AJ159" s="115">
        <f t="shared" si="24"/>
        <v>434256000000</v>
      </c>
      <c r="AK159" s="8"/>
      <c r="AL159" s="8"/>
    </row>
    <row r="160" spans="1:38" x14ac:dyDescent="0.2">
      <c r="A160" s="108" t="s">
        <v>729</v>
      </c>
      <c r="B160" t="s">
        <v>537</v>
      </c>
      <c r="C160" t="s">
        <v>312</v>
      </c>
      <c r="G160" s="17">
        <f t="shared" ref="G160:AJ160" si="25">G158/G159*-1*G107</f>
        <v>-1594.5424810604272</v>
      </c>
      <c r="H160" s="17">
        <f t="shared" si="25"/>
        <v>-3157.5098634859942</v>
      </c>
      <c r="I160" s="17">
        <f t="shared" si="25"/>
        <v>-3126.2473895900939</v>
      </c>
      <c r="J160" s="17">
        <f t="shared" si="25"/>
        <v>-3095.2944451387061</v>
      </c>
      <c r="K160" s="17">
        <f t="shared" si="25"/>
        <v>-3064.6479654838677</v>
      </c>
      <c r="L160" s="17">
        <f t="shared" si="25"/>
        <v>-3034.3049163206606</v>
      </c>
      <c r="M160" s="17">
        <f t="shared" si="25"/>
        <v>-3004.2622933867933</v>
      </c>
      <c r="N160" s="17">
        <f t="shared" si="25"/>
        <v>-2974.5171221651412</v>
      </c>
      <c r="O160" s="17">
        <f t="shared" si="25"/>
        <v>-2945.0664575892479</v>
      </c>
      <c r="P160" s="17">
        <f t="shared" si="25"/>
        <v>-2915.9073837517312</v>
      </c>
      <c r="Q160" s="17">
        <f t="shared" si="25"/>
        <v>-2887.0370136155766</v>
      </c>
      <c r="R160" s="17">
        <f t="shared" si="25"/>
        <v>-2858.4524887282932</v>
      </c>
      <c r="S160" s="17">
        <f t="shared" si="25"/>
        <v>-2830.1509789389038</v>
      </c>
      <c r="T160" s="17">
        <f t="shared" si="25"/>
        <v>-2802.1296821177266</v>
      </c>
      <c r="U160" s="17">
        <f t="shared" si="25"/>
        <v>-2774.385823878938</v>
      </c>
      <c r="V160" s="17">
        <f t="shared" si="25"/>
        <v>-2746.9166573058783</v>
      </c>
      <c r="W160" s="17">
        <f t="shared" si="25"/>
        <v>-2719.719462679087</v>
      </c>
      <c r="X160" s="17">
        <f t="shared" si="25"/>
        <v>-2692.7915472070167</v>
      </c>
      <c r="Y160" s="17">
        <f t="shared" si="25"/>
        <v>-2666.1302447594235</v>
      </c>
      <c r="Z160" s="17">
        <f t="shared" si="25"/>
        <v>-2639.7329156033888</v>
      </c>
      <c r="AA160" s="17">
        <f t="shared" si="25"/>
        <v>-2613.5969461419695</v>
      </c>
      <c r="AB160" s="17">
        <f t="shared" si="25"/>
        <v>-2587.7197486554146</v>
      </c>
      <c r="AC160" s="17">
        <f t="shared" si="25"/>
        <v>-2562.0987610449656</v>
      </c>
      <c r="AD160" s="17">
        <f t="shared" si="25"/>
        <v>-2536.7314465791737</v>
      </c>
      <c r="AE160" s="17">
        <f t="shared" si="25"/>
        <v>-2511.6152936427457</v>
      </c>
      <c r="AF160" s="17">
        <f t="shared" si="25"/>
        <v>-2486.7478154878668</v>
      </c>
      <c r="AG160" s="17">
        <f t="shared" si="25"/>
        <v>-2462.1265499879878</v>
      </c>
      <c r="AH160" s="17">
        <f t="shared" si="25"/>
        <v>-2437.7490593940474</v>
      </c>
      <c r="AI160" s="17">
        <f t="shared" si="25"/>
        <v>-2413.6129300931161</v>
      </c>
      <c r="AJ160" s="122">
        <f t="shared" si="25"/>
        <v>-2389.7157723694213</v>
      </c>
    </row>
    <row r="161" spans="1:36" x14ac:dyDescent="0.2">
      <c r="A161" s="108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7"/>
      <c r="AA161" s="17"/>
      <c r="AB161" s="17"/>
      <c r="AC161" s="17"/>
      <c r="AD161" s="17"/>
      <c r="AE161" s="17"/>
      <c r="AF161" s="17"/>
      <c r="AG161" s="17"/>
      <c r="AH161" s="17"/>
      <c r="AI161" s="17"/>
      <c r="AJ161" s="122"/>
    </row>
    <row r="162" spans="1:36" x14ac:dyDescent="0.2">
      <c r="A162" s="118" t="s">
        <v>731</v>
      </c>
      <c r="B162" s="3"/>
      <c r="C162" s="3"/>
      <c r="D162" s="3"/>
      <c r="E162" s="3"/>
      <c r="F162" s="3"/>
      <c r="G162" s="212"/>
      <c r="H162" s="212"/>
      <c r="I162" s="212"/>
      <c r="J162" s="212"/>
      <c r="K162" s="212"/>
      <c r="L162" s="212"/>
      <c r="M162" s="212"/>
      <c r="N162" s="212"/>
      <c r="O162" s="212"/>
      <c r="P162" s="212"/>
      <c r="Q162" s="212"/>
      <c r="R162" s="212"/>
      <c r="S162" s="212"/>
      <c r="T162" s="212"/>
      <c r="U162" s="212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12"/>
      <c r="AF162" s="212"/>
      <c r="AG162" s="212"/>
      <c r="AH162" s="212"/>
      <c r="AI162" s="212"/>
      <c r="AJ162" s="162"/>
    </row>
    <row r="163" spans="1:36" x14ac:dyDescent="0.2">
      <c r="A163" s="173" t="s">
        <v>732</v>
      </c>
      <c r="B163" t="s">
        <v>689</v>
      </c>
      <c r="G163" s="17">
        <f>$C$48*G102*C18</f>
        <v>258180.71119422864</v>
      </c>
      <c r="H163" s="17">
        <f t="shared" ref="H163:AJ163" si="26">$C$48*H102</f>
        <v>511248.93305787852</v>
      </c>
      <c r="I163" s="17">
        <f t="shared" si="26"/>
        <v>506187.06243354315</v>
      </c>
      <c r="J163" s="17">
        <f t="shared" si="26"/>
        <v>501175.30934014166</v>
      </c>
      <c r="K163" s="17">
        <f t="shared" si="26"/>
        <v>496213.17756449676</v>
      </c>
      <c r="L163" s="17">
        <f t="shared" si="26"/>
        <v>491300.17580643232</v>
      </c>
      <c r="M163" s="17">
        <f t="shared" si="26"/>
        <v>486435.81763013115</v>
      </c>
      <c r="N163" s="17">
        <f t="shared" si="26"/>
        <v>481619.62141597131</v>
      </c>
      <c r="O163" s="17">
        <f t="shared" si="26"/>
        <v>476851.11031284282</v>
      </c>
      <c r="P163" s="17">
        <f t="shared" si="26"/>
        <v>472129.8121909335</v>
      </c>
      <c r="Q163" s="17">
        <f t="shared" si="26"/>
        <v>467455.25959498377</v>
      </c>
      <c r="R163" s="17">
        <f t="shared" si="26"/>
        <v>462826.98969800369</v>
      </c>
      <c r="S163" s="17">
        <f t="shared" si="26"/>
        <v>458244.54425544915</v>
      </c>
      <c r="T163" s="17">
        <f t="shared" si="26"/>
        <v>453707.46955985064</v>
      </c>
      <c r="U163" s="17">
        <f t="shared" si="26"/>
        <v>449215.31639589183</v>
      </c>
      <c r="V163" s="17">
        <f t="shared" si="26"/>
        <v>444767.63999593235</v>
      </c>
      <c r="W163" s="17">
        <f t="shared" si="26"/>
        <v>440363.99999597261</v>
      </c>
      <c r="X163" s="17">
        <f t="shared" si="26"/>
        <v>436003.96039205207</v>
      </c>
      <c r="Y163" s="17">
        <f t="shared" si="26"/>
        <v>431687.08949708135</v>
      </c>
      <c r="Z163" s="17">
        <f t="shared" si="26"/>
        <v>427412.95989810029</v>
      </c>
      <c r="AA163" s="17">
        <f t="shared" si="26"/>
        <v>423181.14841396076</v>
      </c>
      <c r="AB163" s="17">
        <f t="shared" si="26"/>
        <v>418991.2360534264</v>
      </c>
      <c r="AC163" s="17">
        <f t="shared" si="26"/>
        <v>414842.80797368957</v>
      </c>
      <c r="AD163" s="17">
        <f t="shared" si="26"/>
        <v>410735.45343929651</v>
      </c>
      <c r="AE163" s="17">
        <f t="shared" si="26"/>
        <v>406668.76578148163</v>
      </c>
      <c r="AF163" s="17">
        <f t="shared" si="26"/>
        <v>402642.34235790261</v>
      </c>
      <c r="AG163" s="17">
        <f t="shared" si="26"/>
        <v>398655.78451277502</v>
      </c>
      <c r="AH163" s="17">
        <f t="shared" si="26"/>
        <v>394708.69753740093</v>
      </c>
      <c r="AI163" s="17">
        <f t="shared" si="26"/>
        <v>390800.69063109008</v>
      </c>
      <c r="AJ163" s="122">
        <f t="shared" si="26"/>
        <v>386931.37686246535</v>
      </c>
    </row>
    <row r="164" spans="1:36" x14ac:dyDescent="0.2">
      <c r="A164" s="173" t="s">
        <v>702</v>
      </c>
      <c r="B164" t="s">
        <v>689</v>
      </c>
      <c r="G164" s="8">
        <f t="shared" ref="G164:AJ164" si="27">$C$53*($D$105/G105)*G105</f>
        <v>173718999999.99997</v>
      </c>
      <c r="H164" s="8">
        <f t="shared" si="27"/>
        <v>173719000000</v>
      </c>
      <c r="I164" s="8">
        <f t="shared" si="27"/>
        <v>173719000000</v>
      </c>
      <c r="J164" s="8">
        <f t="shared" si="27"/>
        <v>173719000000</v>
      </c>
      <c r="K164" s="8">
        <f t="shared" si="27"/>
        <v>173719000000</v>
      </c>
      <c r="L164" s="8">
        <f t="shared" si="27"/>
        <v>173719000000</v>
      </c>
      <c r="M164" s="8">
        <f t="shared" si="27"/>
        <v>173719000000</v>
      </c>
      <c r="N164" s="8">
        <f t="shared" si="27"/>
        <v>173719000000</v>
      </c>
      <c r="O164" s="8">
        <f t="shared" si="27"/>
        <v>173719000000</v>
      </c>
      <c r="P164" s="8">
        <f t="shared" si="27"/>
        <v>173719000000</v>
      </c>
      <c r="Q164" s="8">
        <f t="shared" si="27"/>
        <v>173719000000</v>
      </c>
      <c r="R164" s="8">
        <f t="shared" si="27"/>
        <v>173719000000</v>
      </c>
      <c r="S164" s="8">
        <f t="shared" si="27"/>
        <v>173719000000</v>
      </c>
      <c r="T164" s="8">
        <f t="shared" si="27"/>
        <v>173718999999.99997</v>
      </c>
      <c r="U164" s="8">
        <f t="shared" si="27"/>
        <v>173719000000</v>
      </c>
      <c r="V164" s="8">
        <f t="shared" si="27"/>
        <v>173719000000</v>
      </c>
      <c r="W164" s="8">
        <f t="shared" si="27"/>
        <v>173719000000</v>
      </c>
      <c r="X164" s="8">
        <f t="shared" si="27"/>
        <v>173719000000.00003</v>
      </c>
      <c r="Y164" s="8">
        <f t="shared" si="27"/>
        <v>173719000000</v>
      </c>
      <c r="Z164" s="8">
        <f t="shared" si="27"/>
        <v>173718999999.99997</v>
      </c>
      <c r="AA164" s="8">
        <f t="shared" si="27"/>
        <v>173719000000</v>
      </c>
      <c r="AB164" s="8">
        <f t="shared" si="27"/>
        <v>173719000000</v>
      </c>
      <c r="AC164" s="8">
        <f t="shared" si="27"/>
        <v>173719000000</v>
      </c>
      <c r="AD164" s="8">
        <f t="shared" si="27"/>
        <v>173719000000</v>
      </c>
      <c r="AE164" s="8">
        <f t="shared" si="27"/>
        <v>173719000000</v>
      </c>
      <c r="AF164" s="8">
        <f t="shared" si="27"/>
        <v>173719000000</v>
      </c>
      <c r="AG164" s="8">
        <f t="shared" si="27"/>
        <v>173719000000</v>
      </c>
      <c r="AH164" s="8">
        <f t="shared" si="27"/>
        <v>173719000000</v>
      </c>
      <c r="AI164" s="8">
        <f t="shared" si="27"/>
        <v>173719000000</v>
      </c>
      <c r="AJ164" s="115">
        <f t="shared" si="27"/>
        <v>173719000000</v>
      </c>
    </row>
    <row r="165" spans="1:36" x14ac:dyDescent="0.2">
      <c r="A165" s="108" t="s">
        <v>733</v>
      </c>
      <c r="B165" t="s">
        <v>537</v>
      </c>
      <c r="C165" t="s">
        <v>312</v>
      </c>
      <c r="G165" s="17">
        <f t="shared" ref="G165:AJ165" si="28">G163/G164*-1*G107</f>
        <v>-118.89578512159461</v>
      </c>
      <c r="H165" s="17">
        <f t="shared" si="28"/>
        <v>-235.43719826058336</v>
      </c>
      <c r="I165" s="17">
        <f t="shared" si="28"/>
        <v>-233.10613689166672</v>
      </c>
      <c r="J165" s="17">
        <f t="shared" si="28"/>
        <v>-230.79815533828386</v>
      </c>
      <c r="K165" s="17">
        <f t="shared" si="28"/>
        <v>-228.5130250874098</v>
      </c>
      <c r="L165" s="17">
        <f t="shared" si="28"/>
        <v>-226.25051988852451</v>
      </c>
      <c r="M165" s="17">
        <f t="shared" si="28"/>
        <v>-224.01041573121242</v>
      </c>
      <c r="N165" s="17">
        <f t="shared" si="28"/>
        <v>-221.79249082298253</v>
      </c>
      <c r="O165" s="17">
        <f t="shared" si="28"/>
        <v>-219.59652556730941</v>
      </c>
      <c r="P165" s="17">
        <f t="shared" si="28"/>
        <v>-217.42230254189053</v>
      </c>
      <c r="Q165" s="17">
        <f t="shared" si="28"/>
        <v>-215.2696064771194</v>
      </c>
      <c r="R165" s="17">
        <f t="shared" si="28"/>
        <v>-213.13822423477163</v>
      </c>
      <c r="S165" s="17">
        <f t="shared" si="28"/>
        <v>-211.02794478690259</v>
      </c>
      <c r="T165" s="17">
        <f t="shared" si="28"/>
        <v>-208.93855919495309</v>
      </c>
      <c r="U165" s="17">
        <f t="shared" si="28"/>
        <v>-206.86986058906248</v>
      </c>
      <c r="V165" s="17">
        <f t="shared" si="28"/>
        <v>-204.82164414758654</v>
      </c>
      <c r="W165" s="17">
        <f t="shared" si="28"/>
        <v>-202.79370707681838</v>
      </c>
      <c r="X165" s="17">
        <f t="shared" si="28"/>
        <v>-200.78584859090924</v>
      </c>
      <c r="Y165" s="17">
        <f t="shared" si="28"/>
        <v>-198.79786989198942</v>
      </c>
      <c r="Z165" s="17">
        <f t="shared" si="28"/>
        <v>-196.82957415048458</v>
      </c>
      <c r="AA165" s="17">
        <f t="shared" si="28"/>
        <v>-194.8807664856283</v>
      </c>
      <c r="AB165" s="17">
        <f t="shared" si="28"/>
        <v>-192.95125394616659</v>
      </c>
      <c r="AC165" s="17">
        <f t="shared" si="28"/>
        <v>-191.04084549125406</v>
      </c>
      <c r="AD165" s="17">
        <f t="shared" si="28"/>
        <v>-189.14935197153864</v>
      </c>
      <c r="AE165" s="17">
        <f t="shared" si="28"/>
        <v>-187.27658611043427</v>
      </c>
      <c r="AF165" s="17">
        <f t="shared" si="28"/>
        <v>-185.4223624855785</v>
      </c>
      <c r="AG165" s="17">
        <f t="shared" si="28"/>
        <v>-183.58649751047381</v>
      </c>
      <c r="AH165" s="17">
        <f t="shared" si="28"/>
        <v>-181.76880941631069</v>
      </c>
      <c r="AI165" s="17">
        <f t="shared" si="28"/>
        <v>-179.96911823397099</v>
      </c>
      <c r="AJ165" s="122">
        <f t="shared" si="28"/>
        <v>-178.18724577620887</v>
      </c>
    </row>
    <row r="166" spans="1:36" x14ac:dyDescent="0.2">
      <c r="A166" s="108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7"/>
      <c r="AA166" s="17"/>
      <c r="AB166" s="17"/>
      <c r="AC166" s="17"/>
      <c r="AD166" s="17"/>
      <c r="AE166" s="17"/>
      <c r="AF166" s="17"/>
      <c r="AG166" s="17"/>
      <c r="AH166" s="17"/>
      <c r="AI166" s="17"/>
      <c r="AJ166" s="122"/>
    </row>
    <row r="167" spans="1:36" x14ac:dyDescent="0.2">
      <c r="A167" s="173" t="s">
        <v>734</v>
      </c>
      <c r="B167" t="s">
        <v>688</v>
      </c>
      <c r="G167" s="17">
        <f>$C$49*G102*C18</f>
        <v>11148285.458404677</v>
      </c>
      <c r="H167" s="17">
        <f t="shared" ref="H167:AJ167" si="29">$C$49*H102</f>
        <v>22075812.788920153</v>
      </c>
      <c r="I167" s="17">
        <f t="shared" si="29"/>
        <v>21857240.38506946</v>
      </c>
      <c r="J167" s="17">
        <f t="shared" si="29"/>
        <v>21640832.064425208</v>
      </c>
      <c r="K167" s="17">
        <f t="shared" si="29"/>
        <v>21426566.400421001</v>
      </c>
      <c r="L167" s="17">
        <f t="shared" si="29"/>
        <v>21214422.178634647</v>
      </c>
      <c r="M167" s="17">
        <f t="shared" si="29"/>
        <v>21004378.394687776</v>
      </c>
      <c r="N167" s="17">
        <f t="shared" si="29"/>
        <v>20796414.252166111</v>
      </c>
      <c r="O167" s="17">
        <f t="shared" si="29"/>
        <v>20590509.160560504</v>
      </c>
      <c r="P167" s="17">
        <f t="shared" si="29"/>
        <v>20386642.733228222</v>
      </c>
      <c r="Q167" s="17">
        <f t="shared" si="29"/>
        <v>20184794.785374481</v>
      </c>
      <c r="R167" s="17">
        <f t="shared" si="29"/>
        <v>19984945.332053941</v>
      </c>
      <c r="S167" s="17">
        <f t="shared" si="29"/>
        <v>19787074.586192019</v>
      </c>
      <c r="T167" s="17">
        <f t="shared" si="29"/>
        <v>19591162.95662576</v>
      </c>
      <c r="U167" s="17">
        <f t="shared" si="29"/>
        <v>19397191.046164125</v>
      </c>
      <c r="V167" s="17">
        <f t="shared" si="29"/>
        <v>19205139.649667442</v>
      </c>
      <c r="W167" s="17">
        <f t="shared" si="29"/>
        <v>19014989.75214598</v>
      </c>
      <c r="X167" s="17">
        <f t="shared" si="29"/>
        <v>18826722.52687721</v>
      </c>
      <c r="Y167" s="17">
        <f t="shared" si="29"/>
        <v>18640319.333541796</v>
      </c>
      <c r="Z167" s="17">
        <f t="shared" si="29"/>
        <v>18455761.716378011</v>
      </c>
      <c r="AA167" s="17">
        <f t="shared" si="29"/>
        <v>18273031.402354471</v>
      </c>
      <c r="AB167" s="17">
        <f t="shared" si="29"/>
        <v>18092110.299360856</v>
      </c>
      <c r="AC167" s="17">
        <f t="shared" si="29"/>
        <v>17912980.494416691</v>
      </c>
      <c r="AD167" s="17">
        <f t="shared" si="29"/>
        <v>17735624.251897711</v>
      </c>
      <c r="AE167" s="17">
        <f t="shared" si="29"/>
        <v>17560024.011779912</v>
      </c>
      <c r="AF167" s="17">
        <f t="shared" si="29"/>
        <v>17386162.3879009</v>
      </c>
      <c r="AG167" s="17">
        <f t="shared" si="29"/>
        <v>17214022.166238524</v>
      </c>
      <c r="AH167" s="17">
        <f t="shared" si="29"/>
        <v>17043586.303206455</v>
      </c>
      <c r="AI167" s="17">
        <f t="shared" si="29"/>
        <v>16874837.923966788</v>
      </c>
      <c r="AJ167" s="122">
        <f t="shared" si="29"/>
        <v>16707760.320759194</v>
      </c>
    </row>
    <row r="168" spans="1:36" x14ac:dyDescent="0.2">
      <c r="A168" s="173" t="s">
        <v>703</v>
      </c>
      <c r="B168" t="s">
        <v>688</v>
      </c>
      <c r="G168" s="8">
        <f t="shared" ref="G168:AJ168" si="30">$C$54*($D$105/G105)*G105</f>
        <v>106281500000000</v>
      </c>
      <c r="H168" s="8">
        <f t="shared" si="30"/>
        <v>106281500000000</v>
      </c>
      <c r="I168" s="8">
        <f t="shared" si="30"/>
        <v>106281500000000</v>
      </c>
      <c r="J168" s="8">
        <f t="shared" si="30"/>
        <v>106281500000000</v>
      </c>
      <c r="K168" s="8">
        <f t="shared" si="30"/>
        <v>106281500000000</v>
      </c>
      <c r="L168" s="8">
        <f t="shared" si="30"/>
        <v>106281500000000</v>
      </c>
      <c r="M168" s="8">
        <f t="shared" si="30"/>
        <v>106281500000000</v>
      </c>
      <c r="N168" s="8">
        <f t="shared" si="30"/>
        <v>106281500000000.02</v>
      </c>
      <c r="O168" s="8">
        <f t="shared" si="30"/>
        <v>106281500000000</v>
      </c>
      <c r="P168" s="8">
        <f t="shared" si="30"/>
        <v>106281500000000</v>
      </c>
      <c r="Q168" s="8">
        <f t="shared" si="30"/>
        <v>106281500000000</v>
      </c>
      <c r="R168" s="8">
        <f t="shared" si="30"/>
        <v>106281500000000</v>
      </c>
      <c r="S168" s="8">
        <f t="shared" si="30"/>
        <v>106281500000000</v>
      </c>
      <c r="T168" s="8">
        <f t="shared" si="30"/>
        <v>106281500000000</v>
      </c>
      <c r="U168" s="8">
        <f t="shared" si="30"/>
        <v>106281499999999.98</v>
      </c>
      <c r="V168" s="8">
        <f t="shared" si="30"/>
        <v>106281500000000.02</v>
      </c>
      <c r="W168" s="8">
        <f t="shared" si="30"/>
        <v>106281500000000</v>
      </c>
      <c r="X168" s="8">
        <f t="shared" si="30"/>
        <v>106281500000000</v>
      </c>
      <c r="Y168" s="8">
        <f t="shared" si="30"/>
        <v>106281500000000</v>
      </c>
      <c r="Z168" s="8">
        <f t="shared" si="30"/>
        <v>106281499999999.98</v>
      </c>
      <c r="AA168" s="8">
        <f t="shared" si="30"/>
        <v>106281500000000</v>
      </c>
      <c r="AB168" s="8">
        <f t="shared" si="30"/>
        <v>106281500000000</v>
      </c>
      <c r="AC168" s="8">
        <f t="shared" si="30"/>
        <v>106281500000000</v>
      </c>
      <c r="AD168" s="8">
        <f t="shared" si="30"/>
        <v>106281499999999.98</v>
      </c>
      <c r="AE168" s="8">
        <f t="shared" si="30"/>
        <v>106281500000000</v>
      </c>
      <c r="AF168" s="8">
        <f t="shared" si="30"/>
        <v>106281500000000</v>
      </c>
      <c r="AG168" s="8">
        <f t="shared" si="30"/>
        <v>106281500000000</v>
      </c>
      <c r="AH168" s="8">
        <f t="shared" si="30"/>
        <v>106281500000000</v>
      </c>
      <c r="AI168" s="8">
        <f t="shared" si="30"/>
        <v>106281500000000.02</v>
      </c>
      <c r="AJ168" s="115">
        <f t="shared" si="30"/>
        <v>106281500000000</v>
      </c>
    </row>
    <row r="169" spans="1:36" x14ac:dyDescent="0.2">
      <c r="A169" s="108" t="s">
        <v>735</v>
      </c>
      <c r="B169" t="s">
        <v>537</v>
      </c>
      <c r="C169" t="s">
        <v>312</v>
      </c>
      <c r="G169" s="17">
        <f>G167/G168*-1</f>
        <v>-1.048939416399343E-7</v>
      </c>
      <c r="H169" s="17">
        <f t="shared" ref="H169:AJ169" si="31">H167/H168*-1</f>
        <v>-2.0771077552462238E-7</v>
      </c>
      <c r="I169" s="17">
        <f t="shared" si="31"/>
        <v>-2.0565423319269544E-7</v>
      </c>
      <c r="J169" s="17">
        <f t="shared" si="31"/>
        <v>-2.0361805266603508E-7</v>
      </c>
      <c r="K169" s="17">
        <f t="shared" si="31"/>
        <v>-2.0160203234260902E-7</v>
      </c>
      <c r="L169" s="17">
        <f t="shared" si="31"/>
        <v>-1.996059726164445E-7</v>
      </c>
      <c r="M169" s="17">
        <f t="shared" si="31"/>
        <v>-1.9762967585786591E-7</v>
      </c>
      <c r="N169" s="17">
        <f t="shared" si="31"/>
        <v>-1.9567294639392659E-7</v>
      </c>
      <c r="O169" s="17">
        <f t="shared" si="31"/>
        <v>-1.9373559048903622E-7</v>
      </c>
      <c r="P169" s="17">
        <f t="shared" si="31"/>
        <v>-1.9181741632577843E-7</v>
      </c>
      <c r="Q169" s="17">
        <f t="shared" si="31"/>
        <v>-1.8991823398591929E-7</v>
      </c>
      <c r="R169" s="17">
        <f t="shared" si="31"/>
        <v>-1.8803785543160324E-7</v>
      </c>
      <c r="S169" s="17">
        <f t="shared" si="31"/>
        <v>-1.8617609448673587E-7</v>
      </c>
      <c r="T169" s="17">
        <f t="shared" si="31"/>
        <v>-1.8433276681855036E-7</v>
      </c>
      <c r="U169" s="17">
        <f t="shared" si="31"/>
        <v>-1.8250768991935687E-7</v>
      </c>
      <c r="V169" s="17">
        <f t="shared" si="31"/>
        <v>-1.8070068308847202E-7</v>
      </c>
      <c r="W169" s="17">
        <f t="shared" si="31"/>
        <v>-1.7891156741432873E-7</v>
      </c>
      <c r="X169" s="17">
        <f t="shared" si="31"/>
        <v>-1.7714016575676115E-7</v>
      </c>
      <c r="Y169" s="17">
        <f t="shared" si="31"/>
        <v>-1.7538630272946651E-7</v>
      </c>
      <c r="Z169" s="17">
        <f t="shared" si="31"/>
        <v>-1.736498046826401E-7</v>
      </c>
      <c r="AA169" s="17">
        <f t="shared" si="31"/>
        <v>-1.7193049968578229E-7</v>
      </c>
      <c r="AB169" s="17">
        <f t="shared" si="31"/>
        <v>-1.7022821751067548E-7</v>
      </c>
      <c r="AC169" s="17">
        <f t="shared" si="31"/>
        <v>-1.6854278961453019E-7</v>
      </c>
      <c r="AD169" s="17">
        <f t="shared" si="31"/>
        <v>-1.6687404912329722E-7</v>
      </c>
      <c r="AE169" s="17">
        <f t="shared" si="31"/>
        <v>-1.6522183081514574E-7</v>
      </c>
      <c r="AF169" s="17">
        <f t="shared" si="31"/>
        <v>-1.6358597110410466E-7</v>
      </c>
      <c r="AG169" s="17">
        <f t="shared" si="31"/>
        <v>-1.6196630802386609E-7</v>
      </c>
      <c r="AH169" s="17">
        <f t="shared" si="31"/>
        <v>-1.6036268121174857E-7</v>
      </c>
      <c r="AI169" s="17">
        <f t="shared" si="31"/>
        <v>-1.5877493189282035E-7</v>
      </c>
      <c r="AJ169" s="122">
        <f t="shared" si="31"/>
        <v>-1.5720290286417856E-7</v>
      </c>
    </row>
    <row r="170" spans="1:36" x14ac:dyDescent="0.2">
      <c r="A170" s="108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7"/>
      <c r="AA170" s="17"/>
      <c r="AB170" s="17"/>
      <c r="AC170" s="17"/>
      <c r="AD170" s="17"/>
      <c r="AE170" s="17"/>
      <c r="AF170" s="17"/>
      <c r="AG170" s="17"/>
      <c r="AH170" s="17"/>
      <c r="AI170" s="17"/>
      <c r="AJ170" s="122"/>
    </row>
    <row r="171" spans="1:36" x14ac:dyDescent="0.2">
      <c r="A171" s="173" t="s">
        <v>736</v>
      </c>
      <c r="B171" t="s">
        <v>687</v>
      </c>
      <c r="G171" s="17">
        <f>$C$50*G102*C18</f>
        <v>55.298407961828389</v>
      </c>
      <c r="H171" s="17">
        <f t="shared" ref="H171:AJ171" si="32">$C$50*H102</f>
        <v>109.50179794421463</v>
      </c>
      <c r="I171" s="17">
        <f t="shared" si="32"/>
        <v>108.41762172694519</v>
      </c>
      <c r="J171" s="17">
        <f t="shared" si="32"/>
        <v>107.34417992766849</v>
      </c>
      <c r="K171" s="17">
        <f t="shared" si="32"/>
        <v>106.28136626501832</v>
      </c>
      <c r="L171" s="17">
        <f t="shared" si="32"/>
        <v>105.2290755099191</v>
      </c>
      <c r="M171" s="17">
        <f t="shared" si="32"/>
        <v>104.18720347516746</v>
      </c>
      <c r="N171" s="17">
        <f t="shared" si="32"/>
        <v>103.15564700511628</v>
      </c>
      <c r="O171" s="17">
        <f t="shared" si="32"/>
        <v>102.13430396546164</v>
      </c>
      <c r="P171" s="17">
        <f t="shared" si="32"/>
        <v>101.12307323313034</v>
      </c>
      <c r="Q171" s="17">
        <f t="shared" si="32"/>
        <v>100.12185468626768</v>
      </c>
      <c r="R171" s="17">
        <f t="shared" si="32"/>
        <v>99.130549194324445</v>
      </c>
      <c r="S171" s="17">
        <f t="shared" si="32"/>
        <v>98.149058608242015</v>
      </c>
      <c r="T171" s="17">
        <f t="shared" si="32"/>
        <v>97.177285750734654</v>
      </c>
      <c r="U171" s="17">
        <f t="shared" si="32"/>
        <v>96.215134406668</v>
      </c>
      <c r="V171" s="17">
        <f t="shared" si="32"/>
        <v>95.262509313532647</v>
      </c>
      <c r="W171" s="17">
        <f t="shared" si="32"/>
        <v>94.319316152012505</v>
      </c>
      <c r="X171" s="17">
        <f t="shared" si="32"/>
        <v>93.385461536646048</v>
      </c>
      <c r="Y171" s="17">
        <f t="shared" si="32"/>
        <v>92.460853006580265</v>
      </c>
      <c r="Z171" s="17">
        <f t="shared" si="32"/>
        <v>91.545399016416098</v>
      </c>
      <c r="AA171" s="17">
        <f t="shared" si="32"/>
        <v>90.639008927144673</v>
      </c>
      <c r="AB171" s="17">
        <f t="shared" si="32"/>
        <v>89.741592997172916</v>
      </c>
      <c r="AC171" s="17">
        <f t="shared" si="32"/>
        <v>88.853062373438533</v>
      </c>
      <c r="AD171" s="17">
        <f t="shared" si="32"/>
        <v>87.973329082612395</v>
      </c>
      <c r="AE171" s="17">
        <f t="shared" si="32"/>
        <v>87.10230602238849</v>
      </c>
      <c r="AF171" s="17">
        <f t="shared" si="32"/>
        <v>86.239906952859897</v>
      </c>
      <c r="AG171" s="17">
        <f t="shared" si="32"/>
        <v>85.386046487980138</v>
      </c>
      <c r="AH171" s="17">
        <f t="shared" si="32"/>
        <v>84.540640087109026</v>
      </c>
      <c r="AI171" s="17">
        <f t="shared" si="32"/>
        <v>83.70360404664261</v>
      </c>
      <c r="AJ171" s="122">
        <f t="shared" si="32"/>
        <v>82.874855491725341</v>
      </c>
    </row>
    <row r="172" spans="1:36" x14ac:dyDescent="0.2">
      <c r="A172" s="173" t="s">
        <v>704</v>
      </c>
      <c r="B172" t="s">
        <v>687</v>
      </c>
      <c r="G172" s="8">
        <f t="shared" ref="G172:AJ172" si="33">$C$55*($D$105/G105)*G105</f>
        <v>10624000000</v>
      </c>
      <c r="H172" s="8">
        <f t="shared" si="33"/>
        <v>10624000000</v>
      </c>
      <c r="I172" s="8">
        <f t="shared" si="33"/>
        <v>10624000000</v>
      </c>
      <c r="J172" s="8">
        <f t="shared" si="33"/>
        <v>10624000000</v>
      </c>
      <c r="K172" s="8">
        <f t="shared" si="33"/>
        <v>10624000000</v>
      </c>
      <c r="L172" s="8">
        <f t="shared" si="33"/>
        <v>10624000000</v>
      </c>
      <c r="M172" s="8">
        <f t="shared" si="33"/>
        <v>10624000000</v>
      </c>
      <c r="N172" s="8">
        <f t="shared" si="33"/>
        <v>10624000000</v>
      </c>
      <c r="O172" s="8">
        <f t="shared" si="33"/>
        <v>10624000000</v>
      </c>
      <c r="P172" s="8">
        <f t="shared" si="33"/>
        <v>10624000000</v>
      </c>
      <c r="Q172" s="8">
        <f t="shared" si="33"/>
        <v>10624000000</v>
      </c>
      <c r="R172" s="8">
        <f t="shared" si="33"/>
        <v>10624000000</v>
      </c>
      <c r="S172" s="8">
        <f t="shared" si="33"/>
        <v>10624000000</v>
      </c>
      <c r="T172" s="8">
        <f t="shared" si="33"/>
        <v>10624000000</v>
      </c>
      <c r="U172" s="8">
        <f t="shared" si="33"/>
        <v>10624000000</v>
      </c>
      <c r="V172" s="8">
        <f t="shared" si="33"/>
        <v>10624000000</v>
      </c>
      <c r="W172" s="8">
        <f t="shared" si="33"/>
        <v>10624000000</v>
      </c>
      <c r="X172" s="8">
        <f t="shared" si="33"/>
        <v>10624000000.000002</v>
      </c>
      <c r="Y172" s="8">
        <f t="shared" si="33"/>
        <v>10624000000</v>
      </c>
      <c r="Z172" s="8">
        <f t="shared" si="33"/>
        <v>10624000000</v>
      </c>
      <c r="AA172" s="8">
        <f t="shared" si="33"/>
        <v>10624000000</v>
      </c>
      <c r="AB172" s="8">
        <f t="shared" si="33"/>
        <v>10624000000</v>
      </c>
      <c r="AC172" s="8">
        <f t="shared" si="33"/>
        <v>10624000000</v>
      </c>
      <c r="AD172" s="8">
        <f t="shared" si="33"/>
        <v>10624000000</v>
      </c>
      <c r="AE172" s="8">
        <f t="shared" si="33"/>
        <v>10624000000</v>
      </c>
      <c r="AF172" s="8">
        <f t="shared" si="33"/>
        <v>10624000000</v>
      </c>
      <c r="AG172" s="8">
        <f t="shared" si="33"/>
        <v>10624000000</v>
      </c>
      <c r="AH172" s="8">
        <f t="shared" si="33"/>
        <v>10624000000</v>
      </c>
      <c r="AI172" s="8">
        <f t="shared" si="33"/>
        <v>10624000000.000002</v>
      </c>
      <c r="AJ172" s="115">
        <f t="shared" si="33"/>
        <v>10624000000</v>
      </c>
    </row>
    <row r="173" spans="1:36" x14ac:dyDescent="0.2">
      <c r="A173" s="108" t="s">
        <v>737</v>
      </c>
      <c r="B173" t="s">
        <v>537</v>
      </c>
      <c r="C173" t="s">
        <v>312</v>
      </c>
      <c r="G173" s="17">
        <f t="shared" ref="G173:AJ173" si="34">G171/G172*-1*G107</f>
        <v>-0.41640367441135834</v>
      </c>
      <c r="H173" s="17">
        <f t="shared" si="34"/>
        <v>-0.82456173150764034</v>
      </c>
      <c r="I173" s="17">
        <f t="shared" si="34"/>
        <v>-0.81639775396796077</v>
      </c>
      <c r="J173" s="17">
        <f t="shared" si="34"/>
        <v>-0.80831460788906995</v>
      </c>
      <c r="K173" s="17">
        <f t="shared" si="34"/>
        <v>-0.80031149295947535</v>
      </c>
      <c r="L173" s="17">
        <f t="shared" si="34"/>
        <v>-0.79238761679155945</v>
      </c>
      <c r="M173" s="17">
        <f t="shared" si="34"/>
        <v>-0.78454219484312859</v>
      </c>
      <c r="N173" s="17">
        <f t="shared" si="34"/>
        <v>-0.77677445033973103</v>
      </c>
      <c r="O173" s="17">
        <f t="shared" si="34"/>
        <v>-0.76908361419775328</v>
      </c>
      <c r="P173" s="17">
        <f t="shared" si="34"/>
        <v>-0.76146892494827056</v>
      </c>
      <c r="Q173" s="17">
        <f t="shared" si="34"/>
        <v>-0.75392962866165425</v>
      </c>
      <c r="R173" s="17">
        <f t="shared" si="34"/>
        <v>-0.74646497887292496</v>
      </c>
      <c r="S173" s="17">
        <f t="shared" si="34"/>
        <v>-0.73907423650784654</v>
      </c>
      <c r="T173" s="17">
        <f t="shared" si="34"/>
        <v>-0.73175666980974885</v>
      </c>
      <c r="U173" s="17">
        <f t="shared" si="34"/>
        <v>-0.72451155426707825</v>
      </c>
      <c r="V173" s="17">
        <f t="shared" si="34"/>
        <v>-0.71733817254166155</v>
      </c>
      <c r="W173" s="17">
        <f t="shared" si="34"/>
        <v>-0.71023581439768457</v>
      </c>
      <c r="X173" s="17">
        <f t="shared" si="34"/>
        <v>-0.70320377663137068</v>
      </c>
      <c r="Y173" s="17">
        <f t="shared" si="34"/>
        <v>-0.69624136300135742</v>
      </c>
      <c r="Z173" s="17">
        <f t="shared" si="34"/>
        <v>-0.68934788415975978</v>
      </c>
      <c r="AA173" s="17">
        <f t="shared" si="34"/>
        <v>-0.68252265758392072</v>
      </c>
      <c r="AB173" s="17">
        <f t="shared" si="34"/>
        <v>-0.67576500750883217</v>
      </c>
      <c r="AC173" s="17">
        <f t="shared" si="34"/>
        <v>-0.66907426486022992</v>
      </c>
      <c r="AD173" s="17">
        <f t="shared" si="34"/>
        <v>-0.66244976718834636</v>
      </c>
      <c r="AE173" s="17">
        <f t="shared" si="34"/>
        <v>-0.65589085860232299</v>
      </c>
      <c r="AF173" s="17">
        <f t="shared" si="34"/>
        <v>-0.64939688970527032</v>
      </c>
      <c r="AG173" s="17">
        <f t="shared" si="34"/>
        <v>-0.64296721752997088</v>
      </c>
      <c r="AH173" s="17">
        <f t="shared" si="34"/>
        <v>-0.63660120547521859</v>
      </c>
      <c r="AI173" s="17">
        <f t="shared" si="34"/>
        <v>-0.63029822324279061</v>
      </c>
      <c r="AJ173" s="122">
        <f t="shared" si="34"/>
        <v>-0.62405764677504028</v>
      </c>
    </row>
    <row r="174" spans="1:36" x14ac:dyDescent="0.2">
      <c r="A174" s="108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7"/>
      <c r="AA174" s="17"/>
      <c r="AB174" s="17"/>
      <c r="AC174" s="17"/>
      <c r="AD174" s="17"/>
      <c r="AE174" s="17"/>
      <c r="AF174" s="17"/>
      <c r="AG174" s="17"/>
      <c r="AH174" s="17"/>
      <c r="AI174" s="17"/>
      <c r="AJ174" s="122"/>
    </row>
    <row r="175" spans="1:36" x14ac:dyDescent="0.2">
      <c r="A175" s="173" t="s">
        <v>738</v>
      </c>
      <c r="B175" t="s">
        <v>686</v>
      </c>
      <c r="G175" s="17">
        <f>$C$51*G102*C18</f>
        <v>352005.79714668402</v>
      </c>
      <c r="H175" s="17">
        <f t="shared" ref="H175:AJ175" si="35">$C$51*H102</f>
        <v>697041.18246868125</v>
      </c>
      <c r="I175" s="17">
        <f t="shared" si="35"/>
        <v>690139.78462245676</v>
      </c>
      <c r="J175" s="17">
        <f t="shared" si="35"/>
        <v>683306.71744797693</v>
      </c>
      <c r="K175" s="17">
        <f t="shared" si="35"/>
        <v>676541.30440393765</v>
      </c>
      <c r="L175" s="17">
        <f t="shared" si="35"/>
        <v>669842.87564746279</v>
      </c>
      <c r="M175" s="17">
        <f t="shared" si="35"/>
        <v>663210.76796778524</v>
      </c>
      <c r="N175" s="17">
        <f t="shared" si="35"/>
        <v>656644.3247205792</v>
      </c>
      <c r="O175" s="17">
        <f t="shared" si="35"/>
        <v>650142.8957629496</v>
      </c>
      <c r="P175" s="17">
        <f t="shared" si="35"/>
        <v>643705.83738905913</v>
      </c>
      <c r="Q175" s="17">
        <f t="shared" si="35"/>
        <v>637332.51226639526</v>
      </c>
      <c r="R175" s="17">
        <f t="shared" si="35"/>
        <v>631022.2893726686</v>
      </c>
      <c r="S175" s="17">
        <f t="shared" si="35"/>
        <v>624774.54393333511</v>
      </c>
      <c r="T175" s="17">
        <f t="shared" si="35"/>
        <v>618588.65735973767</v>
      </c>
      <c r="U175" s="17">
        <f t="shared" si="35"/>
        <v>612464.01718785928</v>
      </c>
      <c r="V175" s="17">
        <f t="shared" si="35"/>
        <v>606400.0170176822</v>
      </c>
      <c r="W175" s="17">
        <f t="shared" si="35"/>
        <v>600396.0564531507</v>
      </c>
      <c r="X175" s="17">
        <f t="shared" si="35"/>
        <v>594451.54104272346</v>
      </c>
      <c r="Y175" s="17">
        <f t="shared" si="35"/>
        <v>588565.88222051843</v>
      </c>
      <c r="Z175" s="17">
        <f t="shared" si="35"/>
        <v>582738.49724803795</v>
      </c>
      <c r="AA175" s="17">
        <f t="shared" si="35"/>
        <v>576968.80915647338</v>
      </c>
      <c r="AB175" s="17">
        <f t="shared" si="35"/>
        <v>571256.24668957735</v>
      </c>
      <c r="AC175" s="17">
        <f t="shared" si="35"/>
        <v>565600.24424710637</v>
      </c>
      <c r="AD175" s="17">
        <f t="shared" si="35"/>
        <v>560000.24182881811</v>
      </c>
      <c r="AE175" s="17">
        <f t="shared" si="35"/>
        <v>554455.68497902772</v>
      </c>
      <c r="AF175" s="17">
        <f t="shared" si="35"/>
        <v>548966.02473171067</v>
      </c>
      <c r="AG175" s="17">
        <f t="shared" si="35"/>
        <v>543530.71755614935</v>
      </c>
      <c r="AH175" s="17">
        <f t="shared" si="35"/>
        <v>538149.22530311812</v>
      </c>
      <c r="AI175" s="17">
        <f t="shared" si="35"/>
        <v>532821.0151516021</v>
      </c>
      <c r="AJ175" s="122">
        <f t="shared" si="35"/>
        <v>527545.55955604161</v>
      </c>
    </row>
    <row r="176" spans="1:36" x14ac:dyDescent="0.2">
      <c r="A176" s="173" t="s">
        <v>705</v>
      </c>
      <c r="B176" t="s">
        <v>686</v>
      </c>
      <c r="G176" s="8">
        <f t="shared" ref="G176:AJ176" si="36">$C$56*($D$105/G105)*G105</f>
        <v>36540251999999.992</v>
      </c>
      <c r="H176" s="8">
        <f t="shared" si="36"/>
        <v>36540252000000</v>
      </c>
      <c r="I176" s="8">
        <f t="shared" si="36"/>
        <v>36540252000000</v>
      </c>
      <c r="J176" s="8">
        <f t="shared" si="36"/>
        <v>36540251999999.992</v>
      </c>
      <c r="K176" s="8">
        <f t="shared" si="36"/>
        <v>36540252000000</v>
      </c>
      <c r="L176" s="8">
        <f t="shared" si="36"/>
        <v>36540251999999.992</v>
      </c>
      <c r="M176" s="8">
        <f t="shared" si="36"/>
        <v>36540252000000</v>
      </c>
      <c r="N176" s="8">
        <f t="shared" si="36"/>
        <v>36540252000000</v>
      </c>
      <c r="O176" s="8">
        <f t="shared" si="36"/>
        <v>36540252000000</v>
      </c>
      <c r="P176" s="8">
        <f t="shared" si="36"/>
        <v>36540252000000</v>
      </c>
      <c r="Q176" s="8">
        <f t="shared" si="36"/>
        <v>36540251999999.992</v>
      </c>
      <c r="R176" s="8">
        <f t="shared" si="36"/>
        <v>36540251999999.992</v>
      </c>
      <c r="S176" s="8">
        <f t="shared" si="36"/>
        <v>36540251999999.992</v>
      </c>
      <c r="T176" s="8">
        <f t="shared" si="36"/>
        <v>36540251999999.992</v>
      </c>
      <c r="U176" s="8">
        <f t="shared" si="36"/>
        <v>36540252000000</v>
      </c>
      <c r="V176" s="8">
        <f t="shared" si="36"/>
        <v>36540252000000</v>
      </c>
      <c r="W176" s="8">
        <f t="shared" si="36"/>
        <v>36540252000000</v>
      </c>
      <c r="X176" s="8">
        <f t="shared" si="36"/>
        <v>36540252000000</v>
      </c>
      <c r="Y176" s="8">
        <f t="shared" si="36"/>
        <v>36540252000000</v>
      </c>
      <c r="Z176" s="8">
        <f t="shared" si="36"/>
        <v>36540251999999.992</v>
      </c>
      <c r="AA176" s="8">
        <f t="shared" si="36"/>
        <v>36540252000000</v>
      </c>
      <c r="AB176" s="8">
        <f t="shared" si="36"/>
        <v>36540252000000</v>
      </c>
      <c r="AC176" s="8">
        <f t="shared" si="36"/>
        <v>36540251999999.992</v>
      </c>
      <c r="AD176" s="8">
        <f t="shared" si="36"/>
        <v>36540251999999.992</v>
      </c>
      <c r="AE176" s="8">
        <f t="shared" si="36"/>
        <v>36540251999999.992</v>
      </c>
      <c r="AF176" s="8">
        <f t="shared" si="36"/>
        <v>36540252000000</v>
      </c>
      <c r="AG176" s="8">
        <f t="shared" si="36"/>
        <v>36540252000000</v>
      </c>
      <c r="AH176" s="8">
        <f t="shared" si="36"/>
        <v>36540252000000</v>
      </c>
      <c r="AI176" s="8">
        <f t="shared" si="36"/>
        <v>36540252000000</v>
      </c>
      <c r="AJ176" s="115">
        <f t="shared" si="36"/>
        <v>36540252000000</v>
      </c>
    </row>
    <row r="177" spans="1:36" x14ac:dyDescent="0.2">
      <c r="A177" s="108" t="s">
        <v>739</v>
      </c>
      <c r="B177" t="s">
        <v>537</v>
      </c>
      <c r="C177" t="s">
        <v>312</v>
      </c>
      <c r="G177" s="17">
        <f t="shared" ref="G177:AJ177" si="37">G175/G176*-1*G107</f>
        <v>-0.77066966510616097</v>
      </c>
      <c r="H177" s="17">
        <f t="shared" si="37"/>
        <v>-1.5260785447646747</v>
      </c>
      <c r="I177" s="17">
        <f t="shared" si="37"/>
        <v>-1.5109688562026486</v>
      </c>
      <c r="J177" s="17">
        <f t="shared" si="37"/>
        <v>-1.4960087685174739</v>
      </c>
      <c r="K177" s="17">
        <f t="shared" si="37"/>
        <v>-1.4811968005123504</v>
      </c>
      <c r="L177" s="17">
        <f t="shared" si="37"/>
        <v>-1.4665314856557921</v>
      </c>
      <c r="M177" s="17">
        <f t="shared" si="37"/>
        <v>-1.4520113719364283</v>
      </c>
      <c r="N177" s="17">
        <f t="shared" si="37"/>
        <v>-1.4376350217192353</v>
      </c>
      <c r="O177" s="17">
        <f t="shared" si="37"/>
        <v>-1.4234010116032032</v>
      </c>
      <c r="P177" s="17">
        <f t="shared" si="37"/>
        <v>-1.4093079322803996</v>
      </c>
      <c r="Q177" s="17">
        <f t="shared" si="37"/>
        <v>-1.3953543883964354</v>
      </c>
      <c r="R177" s="17">
        <f t="shared" si="37"/>
        <v>-1.3815389984123125</v>
      </c>
      <c r="S177" s="17">
        <f t="shared" si="37"/>
        <v>-1.3678603944676357</v>
      </c>
      <c r="T177" s="17">
        <f t="shared" si="37"/>
        <v>-1.3543172222451838</v>
      </c>
      <c r="U177" s="17">
        <f t="shared" si="37"/>
        <v>-1.3409081408368158</v>
      </c>
      <c r="V177" s="17">
        <f t="shared" si="37"/>
        <v>-1.327631822610708</v>
      </c>
      <c r="W177" s="17">
        <f t="shared" si="37"/>
        <v>-1.314486953079909</v>
      </c>
      <c r="X177" s="17">
        <f t="shared" si="37"/>
        <v>-1.3014722307721873</v>
      </c>
      <c r="Y177" s="17">
        <f t="shared" si="37"/>
        <v>-1.2885863671011759</v>
      </c>
      <c r="Z177" s="17">
        <f t="shared" si="37"/>
        <v>-1.2758280862387881</v>
      </c>
      <c r="AA177" s="17">
        <f t="shared" si="37"/>
        <v>-1.2631961249888992</v>
      </c>
      <c r="AB177" s="17">
        <f t="shared" si="37"/>
        <v>-1.2506892326622756</v>
      </c>
      <c r="AC177" s="17">
        <f t="shared" si="37"/>
        <v>-1.2383061709527488</v>
      </c>
      <c r="AD177" s="17">
        <f t="shared" si="37"/>
        <v>-1.2260457138146026</v>
      </c>
      <c r="AE177" s="17">
        <f t="shared" si="37"/>
        <v>-1.2139066473411904</v>
      </c>
      <c r="AF177" s="17">
        <f t="shared" si="37"/>
        <v>-1.2018877696447428</v>
      </c>
      <c r="AG177" s="17">
        <f t="shared" si="37"/>
        <v>-1.1899878907373695</v>
      </c>
      <c r="AH177" s="17">
        <f t="shared" si="37"/>
        <v>-1.178205832413237</v>
      </c>
      <c r="AI177" s="17">
        <f t="shared" si="37"/>
        <v>-1.1665404281319178</v>
      </c>
      <c r="AJ177" s="122">
        <f t="shared" si="37"/>
        <v>-1.1549905229028887</v>
      </c>
    </row>
    <row r="178" spans="1:36" x14ac:dyDescent="0.2">
      <c r="A178" s="108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22"/>
    </row>
    <row r="179" spans="1:36" x14ac:dyDescent="0.2">
      <c r="A179" s="116" t="s">
        <v>741</v>
      </c>
      <c r="B179" s="30"/>
      <c r="C179" s="30"/>
      <c r="D179" s="30"/>
      <c r="E179" s="30"/>
      <c r="F179" s="30"/>
      <c r="G179" s="213"/>
      <c r="H179" s="213"/>
      <c r="I179" s="213"/>
      <c r="J179" s="213"/>
      <c r="K179" s="213"/>
      <c r="L179" s="213"/>
      <c r="M179" s="213"/>
      <c r="N179" s="213"/>
      <c r="O179" s="213"/>
      <c r="P179" s="213"/>
      <c r="Q179" s="213"/>
      <c r="R179" s="213"/>
      <c r="S179" s="213"/>
      <c r="T179" s="213"/>
      <c r="U179" s="213"/>
      <c r="V179" s="213"/>
      <c r="W179" s="213"/>
      <c r="X179" s="213"/>
      <c r="Y179" s="213"/>
      <c r="Z179" s="213"/>
      <c r="AA179" s="213"/>
      <c r="AB179" s="213"/>
      <c r="AC179" s="213"/>
      <c r="AD179" s="213"/>
      <c r="AE179" s="213"/>
      <c r="AF179" s="213"/>
      <c r="AG179" s="213"/>
      <c r="AH179" s="213"/>
      <c r="AI179" s="213"/>
      <c r="AJ179" s="164"/>
    </row>
    <row r="180" spans="1:36" x14ac:dyDescent="0.2">
      <c r="A180" s="173" t="s">
        <v>742</v>
      </c>
      <c r="B180" t="s">
        <v>698</v>
      </c>
      <c r="G180" s="17">
        <f>$C$59*G102*C18</f>
        <v>4.8731458334930859E-2</v>
      </c>
      <c r="H180" s="17">
        <f t="shared" ref="H180:AJ180" si="38">$C$59*H102</f>
        <v>9.649793729689278E-2</v>
      </c>
      <c r="I180" s="17">
        <f t="shared" si="38"/>
        <v>9.5542512175141384E-2</v>
      </c>
      <c r="J180" s="17">
        <f t="shared" si="38"/>
        <v>9.4596546708060766E-2</v>
      </c>
      <c r="K180" s="17">
        <f t="shared" si="38"/>
        <v>9.3659947235703742E-2</v>
      </c>
      <c r="L180" s="17">
        <f t="shared" si="38"/>
        <v>9.2732621025449227E-2</v>
      </c>
      <c r="M180" s="17">
        <f t="shared" si="38"/>
        <v>9.1814476262821049E-2</v>
      </c>
      <c r="N180" s="17">
        <f t="shared" si="38"/>
        <v>9.0905422042397058E-2</v>
      </c>
      <c r="O180" s="17">
        <f t="shared" si="38"/>
        <v>9.0005368358808943E-2</v>
      </c>
      <c r="P180" s="17">
        <f t="shared" si="38"/>
        <v>8.9114226097830651E-2</v>
      </c>
      <c r="Q180" s="17">
        <f t="shared" si="38"/>
        <v>8.8231907027555109E-2</v>
      </c>
      <c r="R180" s="17">
        <f t="shared" si="38"/>
        <v>8.7358323789658521E-2</v>
      </c>
      <c r="S180" s="17">
        <f t="shared" si="38"/>
        <v>8.6493389890751005E-2</v>
      </c>
      <c r="T180" s="17">
        <f t="shared" si="38"/>
        <v>8.5637019693812877E-2</v>
      </c>
      <c r="U180" s="17">
        <f t="shared" si="38"/>
        <v>8.4789128409715739E-2</v>
      </c>
      <c r="V180" s="17">
        <f t="shared" si="38"/>
        <v>8.3949632088827428E-2</v>
      </c>
      <c r="W180" s="17">
        <f t="shared" si="38"/>
        <v>8.3118447612700416E-2</v>
      </c>
      <c r="X180" s="17">
        <f t="shared" si="38"/>
        <v>8.2295492685842006E-2</v>
      </c>
      <c r="Y180" s="17">
        <f t="shared" si="38"/>
        <v>8.148068582756636E-2</v>
      </c>
      <c r="Z180" s="17">
        <f t="shared" si="38"/>
        <v>8.0673946363927079E-2</v>
      </c>
      <c r="AA180" s="17">
        <f t="shared" si="38"/>
        <v>7.9875194419729789E-2</v>
      </c>
      <c r="AB180" s="17">
        <f t="shared" si="38"/>
        <v>7.9084350910623533E-2</v>
      </c>
      <c r="AC180" s="17">
        <f t="shared" si="38"/>
        <v>7.830133753527084E-2</v>
      </c>
      <c r="AD180" s="17">
        <f t="shared" si="38"/>
        <v>7.7526076767594876E-2</v>
      </c>
      <c r="AE180" s="17">
        <f t="shared" si="38"/>
        <v>7.6758491849103827E-2</v>
      </c>
      <c r="AF180" s="17">
        <f t="shared" si="38"/>
        <v>7.5998506781290914E-2</v>
      </c>
      <c r="AG180" s="17">
        <f t="shared" si="38"/>
        <v>7.5246046318109841E-2</v>
      </c>
      <c r="AH180" s="17">
        <f t="shared" si="38"/>
        <v>7.4501035958524586E-2</v>
      </c>
      <c r="AI180" s="17">
        <f t="shared" si="38"/>
        <v>7.3763401939133263E-2</v>
      </c>
      <c r="AJ180" s="122">
        <f t="shared" si="38"/>
        <v>7.3033071226864602E-2</v>
      </c>
    </row>
    <row r="181" spans="1:36" x14ac:dyDescent="0.2">
      <c r="A181" s="173" t="s">
        <v>706</v>
      </c>
      <c r="B181" t="s">
        <v>698</v>
      </c>
      <c r="G181" s="8">
        <f t="shared" ref="G181:AJ181" si="39">$C$62*$D$105*($D$105/G105)*G105</f>
        <v>6.8889999999999992E+19</v>
      </c>
      <c r="H181" s="8">
        <f t="shared" si="39"/>
        <v>6.889E+19</v>
      </c>
      <c r="I181" s="8">
        <f t="shared" si="39"/>
        <v>6.889E+19</v>
      </c>
      <c r="J181" s="8">
        <f t="shared" si="39"/>
        <v>6.889E+19</v>
      </c>
      <c r="K181" s="8">
        <f t="shared" si="39"/>
        <v>6.8889999999999992E+19</v>
      </c>
      <c r="L181" s="8">
        <f t="shared" si="39"/>
        <v>6.889E+19</v>
      </c>
      <c r="M181" s="8">
        <f t="shared" si="39"/>
        <v>6.889E+19</v>
      </c>
      <c r="N181" s="8">
        <f t="shared" si="39"/>
        <v>6.8890000000000008E+19</v>
      </c>
      <c r="O181" s="8">
        <f t="shared" si="39"/>
        <v>6.889E+19</v>
      </c>
      <c r="P181" s="8">
        <f t="shared" si="39"/>
        <v>6.889E+19</v>
      </c>
      <c r="Q181" s="8">
        <f t="shared" si="39"/>
        <v>6.889E+19</v>
      </c>
      <c r="R181" s="8">
        <f t="shared" si="39"/>
        <v>6.889E+19</v>
      </c>
      <c r="S181" s="8">
        <f t="shared" si="39"/>
        <v>6.8889999999999992E+19</v>
      </c>
      <c r="T181" s="8">
        <f t="shared" si="39"/>
        <v>6.889E+19</v>
      </c>
      <c r="U181" s="8">
        <f t="shared" si="39"/>
        <v>6.889E+19</v>
      </c>
      <c r="V181" s="8">
        <f t="shared" si="39"/>
        <v>6.889E+19</v>
      </c>
      <c r="W181" s="8">
        <f t="shared" si="39"/>
        <v>6.889E+19</v>
      </c>
      <c r="X181" s="8">
        <f t="shared" si="39"/>
        <v>6.889E+19</v>
      </c>
      <c r="Y181" s="8">
        <f t="shared" si="39"/>
        <v>6.889E+19</v>
      </c>
      <c r="Z181" s="8">
        <f t="shared" si="39"/>
        <v>6.889E+19</v>
      </c>
      <c r="AA181" s="8">
        <f t="shared" si="39"/>
        <v>6.889E+19</v>
      </c>
      <c r="AB181" s="8">
        <f t="shared" si="39"/>
        <v>6.889E+19</v>
      </c>
      <c r="AC181" s="8">
        <f t="shared" si="39"/>
        <v>6.889E+19</v>
      </c>
      <c r="AD181" s="8">
        <f t="shared" si="39"/>
        <v>6.889E+19</v>
      </c>
      <c r="AE181" s="8">
        <f t="shared" si="39"/>
        <v>6.8889999999999992E+19</v>
      </c>
      <c r="AF181" s="8">
        <f t="shared" si="39"/>
        <v>6.889E+19</v>
      </c>
      <c r="AG181" s="8">
        <f t="shared" si="39"/>
        <v>6.889E+19</v>
      </c>
      <c r="AH181" s="8">
        <f t="shared" si="39"/>
        <v>6.889E+19</v>
      </c>
      <c r="AI181" s="8">
        <f t="shared" si="39"/>
        <v>6.889E+19</v>
      </c>
      <c r="AJ181" s="115">
        <f t="shared" si="39"/>
        <v>6.889E+19</v>
      </c>
    </row>
    <row r="182" spans="1:36" x14ac:dyDescent="0.2">
      <c r="A182" s="108" t="s">
        <v>743</v>
      </c>
      <c r="B182" t="s">
        <v>537</v>
      </c>
      <c r="C182" t="s">
        <v>312</v>
      </c>
      <c r="G182" s="17">
        <f t="shared" ref="G182:AJ182" si="40">G180/G181*-1*G107</f>
        <v>-5.6590458220271E-14</v>
      </c>
      <c r="H182" s="17">
        <f t="shared" si="40"/>
        <v>-1.120603133074673E-13</v>
      </c>
      <c r="I182" s="17">
        <f t="shared" si="40"/>
        <v>-1.1095080525491815E-13</v>
      </c>
      <c r="J182" s="17">
        <f t="shared" si="40"/>
        <v>-1.0985228243061201E-13</v>
      </c>
      <c r="K182" s="17">
        <f t="shared" si="40"/>
        <v>-1.087646360699129E-13</v>
      </c>
      <c r="L182" s="17">
        <f t="shared" si="40"/>
        <v>-1.0768775848506225E-13</v>
      </c>
      <c r="M182" s="17">
        <f t="shared" si="40"/>
        <v>-1.0662154305451711E-13</v>
      </c>
      <c r="N182" s="17">
        <f t="shared" si="40"/>
        <v>-1.0556588421239314E-13</v>
      </c>
      <c r="O182" s="17">
        <f t="shared" si="40"/>
        <v>-1.04520677438013E-13</v>
      </c>
      <c r="P182" s="17">
        <f t="shared" si="40"/>
        <v>-1.0348581924555744E-13</v>
      </c>
      <c r="Q182" s="17">
        <f t="shared" si="40"/>
        <v>-1.0246120717381926E-13</v>
      </c>
      <c r="R182" s="17">
        <f t="shared" si="40"/>
        <v>-1.0144673977605866E-13</v>
      </c>
      <c r="S182" s="17">
        <f t="shared" si="40"/>
        <v>-1.0044231660995909E-13</v>
      </c>
      <c r="T182" s="17">
        <f t="shared" si="40"/>
        <v>-9.9447838227682252E-14</v>
      </c>
      <c r="U182" s="17">
        <f t="shared" si="40"/>
        <v>-9.8463206166022045E-14</v>
      </c>
      <c r="V182" s="17">
        <f t="shared" si="40"/>
        <v>-9.7488322936655456E-14</v>
      </c>
      <c r="W182" s="17">
        <f t="shared" si="40"/>
        <v>-9.6523092016490538E-14</v>
      </c>
      <c r="X182" s="17">
        <f t="shared" si="40"/>
        <v>-9.5567417838109461E-14</v>
      </c>
      <c r="Y182" s="17">
        <f t="shared" si="40"/>
        <v>-9.4621205780306418E-14</v>
      </c>
      <c r="Z182" s="17">
        <f t="shared" si="40"/>
        <v>-9.3684362158719201E-14</v>
      </c>
      <c r="AA182" s="17">
        <f t="shared" si="40"/>
        <v>-9.2756794216553675E-14</v>
      </c>
      <c r="AB182" s="17">
        <f t="shared" si="40"/>
        <v>-9.1838410115399659E-14</v>
      </c>
      <c r="AC182" s="17">
        <f t="shared" si="40"/>
        <v>-9.0929118926138295E-14</v>
      </c>
      <c r="AD182" s="17">
        <f t="shared" si="40"/>
        <v>-9.0028830619938893E-14</v>
      </c>
      <c r="AE182" s="17">
        <f t="shared" si="40"/>
        <v>-8.9137456059345441E-14</v>
      </c>
      <c r="AF182" s="17">
        <f t="shared" si="40"/>
        <v>-8.8254906989450907E-14</v>
      </c>
      <c r="AG182" s="17">
        <f t="shared" si="40"/>
        <v>-8.7381096029159335E-14</v>
      </c>
      <c r="AH182" s="17">
        <f t="shared" si="40"/>
        <v>-8.6515936662533988E-14</v>
      </c>
      <c r="AI182" s="17">
        <f t="shared" si="40"/>
        <v>-8.5659343230231677E-14</v>
      </c>
      <c r="AJ182" s="122">
        <f t="shared" si="40"/>
        <v>-8.4811230921021461E-14</v>
      </c>
    </row>
    <row r="183" spans="1:36" x14ac:dyDescent="0.2">
      <c r="A183" s="108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7"/>
      <c r="AA183" s="17"/>
      <c r="AB183" s="17"/>
      <c r="AC183" s="17"/>
      <c r="AD183" s="17"/>
      <c r="AE183" s="17"/>
      <c r="AF183" s="17"/>
      <c r="AG183" s="17"/>
      <c r="AH183" s="17"/>
      <c r="AI183" s="17"/>
      <c r="AJ183" s="122"/>
    </row>
    <row r="184" spans="1:36" x14ac:dyDescent="0.2">
      <c r="A184" s="173" t="s">
        <v>744</v>
      </c>
      <c r="B184" t="s">
        <v>698</v>
      </c>
      <c r="G184" s="17">
        <f>$C$60*G102*C18</f>
        <v>0.309669020176985</v>
      </c>
      <c r="H184" s="17">
        <f t="shared" ref="H184:AJ184" si="41">$C$60*H102</f>
        <v>0.61320598054848507</v>
      </c>
      <c r="I184" s="17">
        <f t="shared" si="41"/>
        <v>0.607134634206421</v>
      </c>
      <c r="J184" s="17">
        <f t="shared" si="41"/>
        <v>0.60112340020437705</v>
      </c>
      <c r="K184" s="17">
        <f t="shared" si="41"/>
        <v>0.5951716833706705</v>
      </c>
      <c r="L184" s="17">
        <f t="shared" si="41"/>
        <v>0.58927889442640624</v>
      </c>
      <c r="M184" s="17">
        <f t="shared" si="41"/>
        <v>0.58344444992713507</v>
      </c>
      <c r="N184" s="17">
        <f t="shared" si="41"/>
        <v>0.57766777220508414</v>
      </c>
      <c r="O184" s="17">
        <f t="shared" si="41"/>
        <v>0.5719482893119644</v>
      </c>
      <c r="P184" s="17">
        <f t="shared" si="41"/>
        <v>0.56628543496234107</v>
      </c>
      <c r="Q184" s="17">
        <f t="shared" si="41"/>
        <v>0.56067864847756543</v>
      </c>
      <c r="R184" s="17">
        <f t="shared" si="41"/>
        <v>0.55512737473026286</v>
      </c>
      <c r="S184" s="17">
        <f t="shared" si="41"/>
        <v>0.54963106408936913</v>
      </c>
      <c r="T184" s="17">
        <f t="shared" si="41"/>
        <v>0.54418917236571196</v>
      </c>
      <c r="U184" s="17">
        <f t="shared" si="41"/>
        <v>0.53880116075813078</v>
      </c>
      <c r="V184" s="17">
        <f t="shared" si="41"/>
        <v>0.53346649580012928</v>
      </c>
      <c r="W184" s="17">
        <f t="shared" si="41"/>
        <v>0.52818464930705866</v>
      </c>
      <c r="X184" s="17">
        <f t="shared" si="41"/>
        <v>0.52295509832382048</v>
      </c>
      <c r="Y184" s="17">
        <f t="shared" si="41"/>
        <v>0.51777732507308971</v>
      </c>
      <c r="Z184" s="17">
        <f t="shared" si="41"/>
        <v>0.51265081690404912</v>
      </c>
      <c r="AA184" s="17">
        <f t="shared" si="41"/>
        <v>0.50757506624163284</v>
      </c>
      <c r="AB184" s="17">
        <f t="shared" si="41"/>
        <v>0.50254957053627003</v>
      </c>
      <c r="AC184" s="17">
        <f t="shared" si="41"/>
        <v>0.49757383221412882</v>
      </c>
      <c r="AD184" s="17">
        <f t="shared" si="41"/>
        <v>0.49264735862785025</v>
      </c>
      <c r="AE184" s="17">
        <f t="shared" si="41"/>
        <v>0.48776966200777239</v>
      </c>
      <c r="AF184" s="17">
        <f t="shared" si="41"/>
        <v>0.48294025941363605</v>
      </c>
      <c r="AG184" s="17">
        <f t="shared" si="41"/>
        <v>0.47815867268676859</v>
      </c>
      <c r="AH184" s="17">
        <f t="shared" si="41"/>
        <v>0.47342442840274113</v>
      </c>
      <c r="AI184" s="17">
        <f t="shared" si="41"/>
        <v>0.46873705782449615</v>
      </c>
      <c r="AJ184" s="122">
        <f t="shared" si="41"/>
        <v>0.46409609685593667</v>
      </c>
    </row>
    <row r="185" spans="1:36" x14ac:dyDescent="0.2">
      <c r="A185" s="173" t="s">
        <v>707</v>
      </c>
      <c r="B185" t="s">
        <v>698</v>
      </c>
      <c r="G185" s="8">
        <f t="shared" ref="G185:AJ185" si="42">$C$63*($D$105/G105)*G105</f>
        <v>8300000000</v>
      </c>
      <c r="H185" s="8">
        <f t="shared" si="42"/>
        <v>8300000000</v>
      </c>
      <c r="I185" s="8">
        <f t="shared" si="42"/>
        <v>8300000000</v>
      </c>
      <c r="J185" s="8">
        <f t="shared" si="42"/>
        <v>8300000000</v>
      </c>
      <c r="K185" s="8">
        <f t="shared" si="42"/>
        <v>8300000000</v>
      </c>
      <c r="L185" s="8">
        <f t="shared" si="42"/>
        <v>8300000000</v>
      </c>
      <c r="M185" s="8">
        <f t="shared" si="42"/>
        <v>8300000000</v>
      </c>
      <c r="N185" s="8">
        <f t="shared" si="42"/>
        <v>8300000000</v>
      </c>
      <c r="O185" s="8">
        <f t="shared" si="42"/>
        <v>8300000000</v>
      </c>
      <c r="P185" s="8">
        <f t="shared" si="42"/>
        <v>8300000000</v>
      </c>
      <c r="Q185" s="8">
        <f t="shared" si="42"/>
        <v>8300000000</v>
      </c>
      <c r="R185" s="8">
        <f t="shared" si="42"/>
        <v>8300000000</v>
      </c>
      <c r="S185" s="8">
        <f t="shared" si="42"/>
        <v>8300000000</v>
      </c>
      <c r="T185" s="8">
        <f t="shared" si="42"/>
        <v>8300000000</v>
      </c>
      <c r="U185" s="8">
        <f t="shared" si="42"/>
        <v>8300000000</v>
      </c>
      <c r="V185" s="8">
        <f t="shared" si="42"/>
        <v>8300000000</v>
      </c>
      <c r="W185" s="8">
        <f t="shared" si="42"/>
        <v>8300000000</v>
      </c>
      <c r="X185" s="8">
        <f t="shared" si="42"/>
        <v>8300000000</v>
      </c>
      <c r="Y185" s="8">
        <f t="shared" si="42"/>
        <v>8300000000</v>
      </c>
      <c r="Z185" s="8">
        <f t="shared" si="42"/>
        <v>8300000000</v>
      </c>
      <c r="AA185" s="8">
        <f t="shared" si="42"/>
        <v>8300000000.000001</v>
      </c>
      <c r="AB185" s="8">
        <f t="shared" si="42"/>
        <v>8300000000</v>
      </c>
      <c r="AC185" s="8">
        <f t="shared" si="42"/>
        <v>8300000000</v>
      </c>
      <c r="AD185" s="8">
        <f t="shared" si="42"/>
        <v>8300000000</v>
      </c>
      <c r="AE185" s="8">
        <f t="shared" si="42"/>
        <v>8300000000</v>
      </c>
      <c r="AF185" s="8">
        <f t="shared" si="42"/>
        <v>8300000000</v>
      </c>
      <c r="AG185" s="8">
        <f t="shared" si="42"/>
        <v>8300000000</v>
      </c>
      <c r="AH185" s="8">
        <f t="shared" si="42"/>
        <v>8300000000</v>
      </c>
      <c r="AI185" s="8">
        <f t="shared" si="42"/>
        <v>8300000000</v>
      </c>
      <c r="AJ185" s="115">
        <f t="shared" si="42"/>
        <v>8300000000</v>
      </c>
    </row>
    <row r="186" spans="1:36" x14ac:dyDescent="0.2">
      <c r="A186" s="108" t="s">
        <v>743</v>
      </c>
      <c r="B186" t="s">
        <v>537</v>
      </c>
      <c r="C186" t="s">
        <v>312</v>
      </c>
      <c r="G186" s="17">
        <f t="shared" ref="G186:AJ186" si="43">G184/G185*-1*G107</f>
        <v>-2.9847616402600965E-3</v>
      </c>
      <c r="H186" s="17">
        <f t="shared" si="43"/>
        <v>-5.9104190896239524E-3</v>
      </c>
      <c r="I186" s="17">
        <f t="shared" si="43"/>
        <v>-5.8519000887365885E-3</v>
      </c>
      <c r="J186" s="17">
        <f t="shared" si="43"/>
        <v>-5.7939604838976094E-3</v>
      </c>
      <c r="K186" s="17">
        <f t="shared" si="43"/>
        <v>-5.7365945385124866E-3</v>
      </c>
      <c r="L186" s="17">
        <f t="shared" si="43"/>
        <v>-5.6797965727846391E-3</v>
      </c>
      <c r="M186" s="17">
        <f t="shared" si="43"/>
        <v>-5.623560963153109E-3</v>
      </c>
      <c r="N186" s="17">
        <f t="shared" si="43"/>
        <v>-5.5678821417357504E-3</v>
      </c>
      <c r="O186" s="17">
        <f t="shared" si="43"/>
        <v>-5.5127545957779703E-3</v>
      </c>
      <c r="P186" s="17">
        <f t="shared" si="43"/>
        <v>-5.4581728671069018E-3</v>
      </c>
      <c r="Q186" s="17">
        <f t="shared" si="43"/>
        <v>-5.404131551590992E-3</v>
      </c>
      <c r="R186" s="17">
        <f t="shared" si="43"/>
        <v>-5.3506252986049432E-3</v>
      </c>
      <c r="S186" s="17">
        <f t="shared" si="43"/>
        <v>-5.2976488104999426E-3</v>
      </c>
      <c r="T186" s="17">
        <f t="shared" si="43"/>
        <v>-5.2451968420791509E-3</v>
      </c>
      <c r="U186" s="17">
        <f t="shared" si="43"/>
        <v>-5.1932642000783692E-3</v>
      </c>
      <c r="V186" s="17">
        <f t="shared" si="43"/>
        <v>-5.1418457426518488E-3</v>
      </c>
      <c r="W186" s="17">
        <f t="shared" si="43"/>
        <v>-5.0909363788632167E-3</v>
      </c>
      <c r="X186" s="17">
        <f t="shared" si="43"/>
        <v>-5.0405310681814024E-3</v>
      </c>
      <c r="Y186" s="17">
        <f t="shared" si="43"/>
        <v>-4.9906248199815878E-3</v>
      </c>
      <c r="Z186" s="17">
        <f t="shared" si="43"/>
        <v>-4.9412126930510761E-3</v>
      </c>
      <c r="AA186" s="17">
        <f t="shared" si="43"/>
        <v>-4.8922897951000754E-3</v>
      </c>
      <c r="AB186" s="17">
        <f t="shared" si="43"/>
        <v>-4.8438512822773011E-3</v>
      </c>
      <c r="AC186" s="17">
        <f t="shared" si="43"/>
        <v>-4.7958923586903981E-3</v>
      </c>
      <c r="AD186" s="17">
        <f t="shared" si="43"/>
        <v>-4.748408275931087E-3</v>
      </c>
      <c r="AE186" s="17">
        <f t="shared" si="43"/>
        <v>-4.7013943326050358E-3</v>
      </c>
      <c r="AF186" s="17">
        <f t="shared" si="43"/>
        <v>-4.654845873866372E-3</v>
      </c>
      <c r="AG186" s="17">
        <f t="shared" si="43"/>
        <v>-4.6087582909568056E-3</v>
      </c>
      <c r="AH186" s="17">
        <f t="shared" si="43"/>
        <v>-4.5631270207493121E-3</v>
      </c>
      <c r="AI186" s="17">
        <f t="shared" si="43"/>
        <v>-4.5179475452963485E-3</v>
      </c>
      <c r="AJ186" s="122">
        <f t="shared" si="43"/>
        <v>-4.4732153913825219E-3</v>
      </c>
    </row>
    <row r="187" spans="1:36" x14ac:dyDescent="0.2">
      <c r="A187" s="108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22"/>
    </row>
    <row r="188" spans="1:36" x14ac:dyDescent="0.2">
      <c r="A188" s="184" t="s">
        <v>766</v>
      </c>
      <c r="B188" s="179"/>
      <c r="C188" s="179"/>
      <c r="D188" s="179"/>
      <c r="E188" s="179"/>
      <c r="F188" s="179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  <c r="AA188" s="214"/>
      <c r="AB188" s="214"/>
      <c r="AC188" s="214"/>
      <c r="AD188" s="214"/>
      <c r="AE188" s="214"/>
      <c r="AF188" s="214"/>
      <c r="AG188" s="214"/>
      <c r="AH188" s="214"/>
      <c r="AI188" s="214"/>
      <c r="AJ188" s="183"/>
    </row>
    <row r="189" spans="1:36" x14ac:dyDescent="0.2">
      <c r="A189" s="173" t="s">
        <v>767</v>
      </c>
      <c r="B189" t="s">
        <v>16</v>
      </c>
      <c r="G189" s="65">
        <f>$C$66*G102*C18</f>
        <v>85004230660.562943</v>
      </c>
      <c r="H189" s="65">
        <f t="shared" ref="H189:AJ189" si="44">$C$66*H102</f>
        <v>168325209228.83752</v>
      </c>
      <c r="I189" s="65">
        <f t="shared" si="44"/>
        <v>166658622998.84906</v>
      </c>
      <c r="J189" s="65">
        <f t="shared" si="44"/>
        <v>165008537622.6228</v>
      </c>
      <c r="K189" s="65">
        <f t="shared" si="44"/>
        <v>163374789725.36914</v>
      </c>
      <c r="L189" s="65">
        <f t="shared" si="44"/>
        <v>161757217549.87039</v>
      </c>
      <c r="M189" s="65">
        <f t="shared" si="44"/>
        <v>160155660940.46579</v>
      </c>
      <c r="N189" s="65">
        <f t="shared" si="44"/>
        <v>158569961327.19382</v>
      </c>
      <c r="O189" s="65">
        <f t="shared" si="44"/>
        <v>156999961710.09283</v>
      </c>
      <c r="P189" s="65">
        <f t="shared" si="44"/>
        <v>155445506643.65631</v>
      </c>
      <c r="Q189" s="65">
        <f t="shared" si="44"/>
        <v>153906442221.44189</v>
      </c>
      <c r="R189" s="65">
        <f t="shared" si="44"/>
        <v>152382616060.83356</v>
      </c>
      <c r="S189" s="65">
        <f t="shared" si="44"/>
        <v>150873877287.95401</v>
      </c>
      <c r="T189" s="65">
        <f t="shared" si="44"/>
        <v>149380076522.72675</v>
      </c>
      <c r="U189" s="65">
        <f t="shared" si="44"/>
        <v>147901065864.08591</v>
      </c>
      <c r="V189" s="65">
        <f t="shared" si="44"/>
        <v>146436698875.33255</v>
      </c>
      <c r="W189" s="65">
        <f t="shared" si="44"/>
        <v>144986830569.63617</v>
      </c>
      <c r="X189" s="65">
        <f t="shared" si="44"/>
        <v>143551317395.67938</v>
      </c>
      <c r="Y189" s="65">
        <f t="shared" si="44"/>
        <v>142130017223.44495</v>
      </c>
      <c r="Z189" s="65">
        <f t="shared" si="44"/>
        <v>140722789330.14349</v>
      </c>
      <c r="AA189" s="65">
        <f t="shared" si="44"/>
        <v>139329494386.28073</v>
      </c>
      <c r="AB189" s="65">
        <f t="shared" si="44"/>
        <v>137949994441.86206</v>
      </c>
      <c r="AC189" s="65">
        <f t="shared" si="44"/>
        <v>136584152912.73473</v>
      </c>
      <c r="AD189" s="65">
        <f t="shared" si="44"/>
        <v>135231834567.06407</v>
      </c>
      <c r="AE189" s="65">
        <f t="shared" si="44"/>
        <v>133892905511.9446</v>
      </c>
      <c r="AF189" s="65">
        <f t="shared" si="44"/>
        <v>132567233180.14317</v>
      </c>
      <c r="AG189" s="65">
        <f t="shared" si="44"/>
        <v>131254686316.97348</v>
      </c>
      <c r="AH189" s="65">
        <f t="shared" si="44"/>
        <v>129955134967.30046</v>
      </c>
      <c r="AI189" s="65">
        <f t="shared" si="44"/>
        <v>128668450462.67374</v>
      </c>
      <c r="AJ189" s="189">
        <f t="shared" si="44"/>
        <v>127394505408.58781</v>
      </c>
    </row>
    <row r="190" spans="1:36" x14ac:dyDescent="0.2">
      <c r="A190" s="173" t="s">
        <v>961</v>
      </c>
      <c r="B190" t="s">
        <v>16</v>
      </c>
      <c r="E190" s="8"/>
      <c r="G190" s="8">
        <f>$C$71*$C$73*G105*C18</f>
        <v>29397635997.150711</v>
      </c>
      <c r="H190" s="8">
        <f t="shared" ref="H190:AJ190" si="45">$C$71*$C$73*H105</f>
        <v>59312670387.851273</v>
      </c>
      <c r="I190" s="8">
        <f t="shared" si="45"/>
        <v>59834621887.264359</v>
      </c>
      <c r="J190" s="8">
        <f t="shared" si="45"/>
        <v>60361166559.872284</v>
      </c>
      <c r="K190" s="8">
        <f t="shared" si="45"/>
        <v>60892344825.599152</v>
      </c>
      <c r="L190" s="8">
        <f t="shared" si="45"/>
        <v>61428197460.06443</v>
      </c>
      <c r="M190" s="8">
        <f t="shared" si="45"/>
        <v>61968765597.71299</v>
      </c>
      <c r="N190" s="8">
        <f t="shared" si="45"/>
        <v>62514090734.972855</v>
      </c>
      <c r="O190" s="8">
        <f t="shared" si="45"/>
        <v>63064214733.440613</v>
      </c>
      <c r="P190" s="8">
        <f t="shared" si="45"/>
        <v>63619179823.094902</v>
      </c>
      <c r="Q190" s="8">
        <f t="shared" si="45"/>
        <v>64179028605.538116</v>
      </c>
      <c r="R190" s="8">
        <f t="shared" si="45"/>
        <v>64743804057.266861</v>
      </c>
      <c r="S190" s="8">
        <f t="shared" si="45"/>
        <v>65313549532.97081</v>
      </c>
      <c r="T190" s="8">
        <f t="shared" si="45"/>
        <v>65888308768.860939</v>
      </c>
      <c r="U190" s="8">
        <f t="shared" si="45"/>
        <v>66468125886.026909</v>
      </c>
      <c r="V190" s="8">
        <f t="shared" si="45"/>
        <v>67053045393.823959</v>
      </c>
      <c r="W190" s="8">
        <f t="shared" si="45"/>
        <v>67643112193.289597</v>
      </c>
      <c r="X190" s="8">
        <f t="shared" si="45"/>
        <v>68238371580.590546</v>
      </c>
      <c r="Y190" s="8">
        <f t="shared" si="45"/>
        <v>68838869250.499725</v>
      </c>
      <c r="Z190" s="8">
        <f t="shared" si="45"/>
        <v>69444651299.904129</v>
      </c>
      <c r="AA190" s="8">
        <f t="shared" si="45"/>
        <v>70055764231.343262</v>
      </c>
      <c r="AB190" s="8">
        <f t="shared" si="45"/>
        <v>70672254956.579102</v>
      </c>
      <c r="AC190" s="8">
        <f t="shared" si="45"/>
        <v>71294170800.196991</v>
      </c>
      <c r="AD190" s="8">
        <f t="shared" si="45"/>
        <v>71921559503.238724</v>
      </c>
      <c r="AE190" s="8">
        <f t="shared" si="45"/>
        <v>72554469226.867203</v>
      </c>
      <c r="AF190" s="8">
        <f t="shared" si="45"/>
        <v>73192948556.06366</v>
      </c>
      <c r="AG190" s="8">
        <f t="shared" si="45"/>
        <v>73837046503.356995</v>
      </c>
      <c r="AH190" s="8">
        <f t="shared" si="45"/>
        <v>74486812512.586533</v>
      </c>
      <c r="AI190" s="8">
        <f t="shared" si="45"/>
        <v>75142296462.697296</v>
      </c>
      <c r="AJ190" s="115">
        <f t="shared" si="45"/>
        <v>75803548671.569031</v>
      </c>
    </row>
    <row r="191" spans="1:36" x14ac:dyDescent="0.2">
      <c r="A191" s="173" t="s">
        <v>962</v>
      </c>
      <c r="B191" t="s">
        <v>16</v>
      </c>
      <c r="E191" s="8"/>
      <c r="G191" s="8">
        <f>(G189/G132)*G134</f>
        <v>2.9636180174025264E+16</v>
      </c>
      <c r="H191" s="8">
        <f t="shared" ref="H191:AJ191" si="46">(H189/H132)*H134</f>
        <v>2.9896978559556696E+16</v>
      </c>
      <c r="I191" s="8">
        <f t="shared" si="46"/>
        <v>3.0160071970880792E+16</v>
      </c>
      <c r="J191" s="8">
        <f t="shared" si="46"/>
        <v>3.042548060422454E+16</v>
      </c>
      <c r="K191" s="8">
        <f t="shared" si="46"/>
        <v>3.0693224833541716E+16</v>
      </c>
      <c r="L191" s="8">
        <f t="shared" si="46"/>
        <v>3.096332521207688E+16</v>
      </c>
      <c r="M191" s="8">
        <f t="shared" si="46"/>
        <v>3.1235802473943156E+16</v>
      </c>
      <c r="N191" s="8">
        <f t="shared" si="46"/>
        <v>3.1510677535713852E+16</v>
      </c>
      <c r="O191" s="8">
        <f t="shared" si="46"/>
        <v>3.1787971498028128E+16</v>
      </c>
      <c r="P191" s="8">
        <f t="shared" si="46"/>
        <v>3.2067705647210784E+16</v>
      </c>
      <c r="Q191" s="8">
        <f t="shared" si="46"/>
        <v>3.234990145690622E+16</v>
      </c>
      <c r="R191" s="8">
        <f t="shared" si="46"/>
        <v>3.2634580589727E+16</v>
      </c>
      <c r="S191" s="8">
        <f t="shared" si="46"/>
        <v>3.2921764898916608E+16</v>
      </c>
      <c r="T191" s="8">
        <f t="shared" si="46"/>
        <v>3.3211476430027068E+16</v>
      </c>
      <c r="U191" s="8">
        <f t="shared" si="46"/>
        <v>3.3503737422611296E+16</v>
      </c>
      <c r="V191" s="8">
        <f t="shared" si="46"/>
        <v>3.3798570311930284E+16</v>
      </c>
      <c r="W191" s="8">
        <f t="shared" si="46"/>
        <v>3.4095997730675264E+16</v>
      </c>
      <c r="X191" s="8">
        <f t="shared" si="46"/>
        <v>3.4396042510705208E+16</v>
      </c>
      <c r="Y191" s="8">
        <f t="shared" si="46"/>
        <v>3.4698727684799412E+16</v>
      </c>
      <c r="Z191" s="8">
        <f t="shared" si="46"/>
        <v>3.5004076488425636E+16</v>
      </c>
      <c r="AA191" s="8">
        <f t="shared" si="46"/>
        <v>3.531211236152378E+16</v>
      </c>
      <c r="AB191" s="8">
        <f t="shared" si="46"/>
        <v>3.5622858950305192E+16</v>
      </c>
      <c r="AC191" s="8">
        <f t="shared" si="46"/>
        <v>3.5936340109067876E+16</v>
      </c>
      <c r="AD191" s="8">
        <f t="shared" si="46"/>
        <v>3.6252579902027672E+16</v>
      </c>
      <c r="AE191" s="8">
        <f t="shared" si="46"/>
        <v>3.6571602605165512E+16</v>
      </c>
      <c r="AF191" s="8">
        <f t="shared" si="46"/>
        <v>3.6893432708090976E+16</v>
      </c>
      <c r="AG191" s="8">
        <f t="shared" si="46"/>
        <v>3.7218094915922168E+16</v>
      </c>
      <c r="AH191" s="8">
        <f t="shared" si="46"/>
        <v>3.7545614151182272E+16</v>
      </c>
      <c r="AI191" s="8">
        <f t="shared" si="46"/>
        <v>3.7876015555712688E+16</v>
      </c>
      <c r="AJ191" s="8">
        <f t="shared" si="46"/>
        <v>3.8209324492602952E+16</v>
      </c>
    </row>
    <row r="192" spans="1:36" x14ac:dyDescent="0.2">
      <c r="A192" s="173" t="s">
        <v>958</v>
      </c>
      <c r="B192" t="s">
        <v>16</v>
      </c>
      <c r="E192" s="8"/>
      <c r="G192" s="8">
        <f>G190-G191</f>
        <v>-2.9636150776389268E+16</v>
      </c>
      <c r="H192" s="8">
        <f t="shared" ref="H192:AJ192" si="47">H190-H191</f>
        <v>-2.9896919246886308E+16</v>
      </c>
      <c r="I192" s="8">
        <f t="shared" si="47"/>
        <v>-3.0160012136258904E+16</v>
      </c>
      <c r="J192" s="8">
        <f t="shared" si="47"/>
        <v>-3.042542024305798E+16</v>
      </c>
      <c r="K192" s="8">
        <f t="shared" si="47"/>
        <v>-3.0693163941196892E+16</v>
      </c>
      <c r="L192" s="8">
        <f t="shared" si="47"/>
        <v>-3.096326378387942E+16</v>
      </c>
      <c r="M192" s="8">
        <f t="shared" si="47"/>
        <v>-3.123574050517756E+16</v>
      </c>
      <c r="N192" s="8">
        <f t="shared" si="47"/>
        <v>-3.1510615021623116E+16</v>
      </c>
      <c r="O192" s="8">
        <f t="shared" si="47"/>
        <v>-3.1787908433813396E+16</v>
      </c>
      <c r="P192" s="8">
        <f t="shared" si="47"/>
        <v>-3.206764202803096E+16</v>
      </c>
      <c r="Q192" s="8">
        <f t="shared" si="47"/>
        <v>-3.2349837277877616E+16</v>
      </c>
      <c r="R192" s="8">
        <f t="shared" si="47"/>
        <v>-3.2634515845922944E+16</v>
      </c>
      <c r="S192" s="8">
        <f t="shared" si="47"/>
        <v>-3.2921699585367076E+16</v>
      </c>
      <c r="T192" s="8">
        <f t="shared" si="47"/>
        <v>-3.32114105417183E+16</v>
      </c>
      <c r="U192" s="8">
        <f t="shared" si="47"/>
        <v>-3.3503670954485408E+16</v>
      </c>
      <c r="V192" s="8">
        <f t="shared" si="47"/>
        <v>-3.3798503258884892E+16</v>
      </c>
      <c r="W192" s="8">
        <f t="shared" si="47"/>
        <v>-3.4095930087563072E+16</v>
      </c>
      <c r="X192" s="8">
        <f t="shared" si="47"/>
        <v>-3.4395974272333628E+16</v>
      </c>
      <c r="Y192" s="8">
        <f t="shared" si="47"/>
        <v>-3.469865884593016E+16</v>
      </c>
      <c r="Z192" s="8">
        <f t="shared" si="47"/>
        <v>-3.5004007043774336E+16</v>
      </c>
      <c r="AA192" s="8">
        <f t="shared" si="47"/>
        <v>-3.5312042305759548E+16</v>
      </c>
      <c r="AB192" s="8">
        <f t="shared" si="47"/>
        <v>-3.5622788278050236E+16</v>
      </c>
      <c r="AC192" s="8">
        <f t="shared" si="47"/>
        <v>-3.5936268814897076E+16</v>
      </c>
      <c r="AD192" s="8">
        <f t="shared" si="47"/>
        <v>-3.6252507980468168E+16</v>
      </c>
      <c r="AE192" s="8">
        <f t="shared" si="47"/>
        <v>-3.6571530050696288E+16</v>
      </c>
      <c r="AF192" s="8">
        <f t="shared" si="47"/>
        <v>-3.6893359515142416E+16</v>
      </c>
      <c r="AG192" s="8">
        <f t="shared" si="47"/>
        <v>-3.7218021078875664E+16</v>
      </c>
      <c r="AH192" s="8">
        <f t="shared" si="47"/>
        <v>-3.754553966436976E+16</v>
      </c>
      <c r="AI192" s="8">
        <f t="shared" si="47"/>
        <v>-3.7875940413416224E+16</v>
      </c>
      <c r="AJ192" s="8">
        <f t="shared" si="47"/>
        <v>-3.820924868905428E+16</v>
      </c>
    </row>
    <row r="193" spans="1:36" x14ac:dyDescent="0.2">
      <c r="A193" s="108" t="s">
        <v>768</v>
      </c>
      <c r="B193" t="s">
        <v>537</v>
      </c>
      <c r="C193" t="s">
        <v>312</v>
      </c>
      <c r="G193" s="17">
        <f t="shared" ref="G193:AJ193" si="48">IF(G192&lt;0,(G189/G190*(G190/G191)*G107),G189/G190*G107)</f>
        <v>229.46069341302012</v>
      </c>
      <c r="H193" s="17">
        <f t="shared" si="48"/>
        <v>450.41396780219225</v>
      </c>
      <c r="I193" s="17">
        <f t="shared" si="48"/>
        <v>442.06425809528861</v>
      </c>
      <c r="J193" s="17">
        <f t="shared" si="48"/>
        <v>433.86933411257024</v>
      </c>
      <c r="K193" s="17">
        <f t="shared" si="48"/>
        <v>425.82632645842369</v>
      </c>
      <c r="L193" s="17">
        <f t="shared" si="48"/>
        <v>417.9324189296799</v>
      </c>
      <c r="M193" s="17">
        <f t="shared" si="48"/>
        <v>410.18484752954203</v>
      </c>
      <c r="N193" s="17">
        <f t="shared" si="48"/>
        <v>402.58089949978989</v>
      </c>
      <c r="O193" s="17">
        <f t="shared" si="48"/>
        <v>395.11791237092774</v>
      </c>
      <c r="P193" s="17">
        <f t="shared" si="48"/>
        <v>387.79327302993829</v>
      </c>
      <c r="Q193" s="17">
        <f t="shared" si="48"/>
        <v>380.60441680531966</v>
      </c>
      <c r="R193" s="17">
        <f t="shared" si="48"/>
        <v>373.54882656908273</v>
      </c>
      <c r="S193" s="17">
        <f t="shared" si="48"/>
        <v>366.62403185539779</v>
      </c>
      <c r="T193" s="17">
        <f t="shared" si="48"/>
        <v>359.82760799557741</v>
      </c>
      <c r="U193" s="17">
        <f t="shared" si="48"/>
        <v>353.15717526909503</v>
      </c>
      <c r="V193" s="17">
        <f t="shared" si="48"/>
        <v>346.61039807034223</v>
      </c>
      <c r="W193" s="17">
        <f t="shared" si="48"/>
        <v>340.18498409083446</v>
      </c>
      <c r="X193" s="17">
        <f t="shared" si="48"/>
        <v>333.87868351657346</v>
      </c>
      <c r="Y193" s="17">
        <f t="shared" si="48"/>
        <v>327.68928824029086</v>
      </c>
      <c r="Z193" s="17">
        <f t="shared" si="48"/>
        <v>321.61463108829525</v>
      </c>
      <c r="AA193" s="17">
        <f t="shared" si="48"/>
        <v>315.65258506165088</v>
      </c>
      <c r="AB193" s="17">
        <f t="shared" si="48"/>
        <v>309.80106259142394</v>
      </c>
      <c r="AC193" s="17">
        <f t="shared" si="48"/>
        <v>304.0580148077355</v>
      </c>
      <c r="AD193" s="17">
        <f t="shared" si="48"/>
        <v>298.42143082236271</v>
      </c>
      <c r="AE193" s="17">
        <f t="shared" si="48"/>
        <v>292.88933702464124</v>
      </c>
      <c r="AF193" s="17">
        <f t="shared" si="48"/>
        <v>287.45979639041889</v>
      </c>
      <c r="AG193" s="17">
        <f t="shared" si="48"/>
        <v>282.13090780382055</v>
      </c>
      <c r="AH193" s="17">
        <f t="shared" si="48"/>
        <v>276.9008053915843</v>
      </c>
      <c r="AI193" s="17">
        <f t="shared" si="48"/>
        <v>271.76765786974062</v>
      </c>
      <c r="AJ193" s="17">
        <f t="shared" si="48"/>
        <v>266.72966790240008</v>
      </c>
    </row>
    <row r="194" spans="1:36" x14ac:dyDescent="0.2">
      <c r="A194" s="108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7"/>
      <c r="AA194" s="17"/>
      <c r="AB194" s="17"/>
      <c r="AC194" s="17"/>
      <c r="AD194" s="17"/>
      <c r="AE194" s="17"/>
      <c r="AF194" s="17"/>
      <c r="AG194" s="17"/>
      <c r="AH194" s="17"/>
      <c r="AI194" s="17"/>
      <c r="AJ194" s="122"/>
    </row>
    <row r="195" spans="1:36" x14ac:dyDescent="0.2">
      <c r="A195" s="173" t="s">
        <v>769</v>
      </c>
      <c r="B195" t="s">
        <v>16</v>
      </c>
      <c r="G195" s="17">
        <f>$C$68*G102*C18</f>
        <v>33231.163187736267</v>
      </c>
      <c r="H195" s="17">
        <f t="shared" ref="H195:AJ195" si="49">$C$68*H102</f>
        <v>65804.283540071803</v>
      </c>
      <c r="I195" s="17">
        <f t="shared" si="49"/>
        <v>65152.755980269125</v>
      </c>
      <c r="J195" s="17">
        <f t="shared" si="49"/>
        <v>64507.679188385264</v>
      </c>
      <c r="K195" s="17">
        <f t="shared" si="49"/>
        <v>63868.989295430962</v>
      </c>
      <c r="L195" s="17">
        <f t="shared" si="49"/>
        <v>63236.623064783118</v>
      </c>
      <c r="M195" s="17">
        <f t="shared" si="49"/>
        <v>62610.517885923902</v>
      </c>
      <c r="N195" s="17">
        <f t="shared" si="49"/>
        <v>61990.61176824147</v>
      </c>
      <c r="O195" s="17">
        <f t="shared" si="49"/>
        <v>61376.843334892532</v>
      </c>
      <c r="P195" s="17">
        <f t="shared" si="49"/>
        <v>60769.151816725287</v>
      </c>
      <c r="Q195" s="17">
        <f t="shared" si="49"/>
        <v>60167.477046262669</v>
      </c>
      <c r="R195" s="17">
        <f t="shared" si="49"/>
        <v>59571.759451745216</v>
      </c>
      <c r="S195" s="17">
        <f t="shared" si="49"/>
        <v>58981.940051232879</v>
      </c>
      <c r="T195" s="17">
        <f t="shared" si="49"/>
        <v>58397.960446765224</v>
      </c>
      <c r="U195" s="17">
        <f t="shared" si="49"/>
        <v>57819.762818579446</v>
      </c>
      <c r="V195" s="17">
        <f t="shared" si="49"/>
        <v>57247.28991938557</v>
      </c>
      <c r="W195" s="17">
        <f t="shared" si="49"/>
        <v>56680.485068698581</v>
      </c>
      <c r="X195" s="17">
        <f t="shared" si="49"/>
        <v>56119.292147226319</v>
      </c>
      <c r="Y195" s="17">
        <f t="shared" si="49"/>
        <v>55563.655591313196</v>
      </c>
      <c r="Z195" s="17">
        <f t="shared" si="49"/>
        <v>55013.520387438803</v>
      </c>
      <c r="AA195" s="17">
        <f t="shared" si="49"/>
        <v>54468.832066771101</v>
      </c>
      <c r="AB195" s="17">
        <f t="shared" si="49"/>
        <v>53929.536699773351</v>
      </c>
      <c r="AC195" s="17">
        <f t="shared" si="49"/>
        <v>53395.580890864716</v>
      </c>
      <c r="AD195" s="17">
        <f t="shared" si="49"/>
        <v>52866.911773133368</v>
      </c>
      <c r="AE195" s="17">
        <f t="shared" si="49"/>
        <v>52343.477003102336</v>
      </c>
      <c r="AF195" s="17">
        <f t="shared" si="49"/>
        <v>51825.224755546871</v>
      </c>
      <c r="AG195" s="17">
        <f t="shared" si="49"/>
        <v>51312.103718363258</v>
      </c>
      <c r="AH195" s="17">
        <f t="shared" si="49"/>
        <v>50804.063087488365</v>
      </c>
      <c r="AI195" s="17">
        <f t="shared" si="49"/>
        <v>50301.05256186967</v>
      </c>
      <c r="AJ195" s="122">
        <f t="shared" si="49"/>
        <v>49803.022338484814</v>
      </c>
    </row>
    <row r="196" spans="1:36" x14ac:dyDescent="0.2">
      <c r="A196" s="173" t="s">
        <v>770</v>
      </c>
      <c r="B196" t="s">
        <v>16</v>
      </c>
      <c r="G196" s="8">
        <f t="shared" ref="G196:AJ196" si="50">$C$72*$C$73*G105</f>
        <v>5879527199.4301434</v>
      </c>
      <c r="H196" s="8">
        <f t="shared" si="50"/>
        <v>5931267038.7851286</v>
      </c>
      <c r="I196" s="8">
        <f t="shared" si="50"/>
        <v>5983462188.7264366</v>
      </c>
      <c r="J196" s="8">
        <f t="shared" si="50"/>
        <v>6036116655.9872293</v>
      </c>
      <c r="K196" s="8">
        <f t="shared" si="50"/>
        <v>6089234482.5599165</v>
      </c>
      <c r="L196" s="8">
        <f t="shared" si="50"/>
        <v>6142819746.006444</v>
      </c>
      <c r="M196" s="8">
        <f t="shared" si="50"/>
        <v>6196876559.7713003</v>
      </c>
      <c r="N196" s="8">
        <f t="shared" si="50"/>
        <v>6251409073.4972868</v>
      </c>
      <c r="O196" s="8">
        <f t="shared" si="50"/>
        <v>6306421473.3440628</v>
      </c>
      <c r="P196" s="8">
        <f t="shared" si="50"/>
        <v>6361917982.3094912</v>
      </c>
      <c r="Q196" s="8">
        <f t="shared" si="50"/>
        <v>6417902860.553813</v>
      </c>
      <c r="R196" s="8">
        <f t="shared" si="50"/>
        <v>6474380405.7266865</v>
      </c>
      <c r="S196" s="8">
        <f t="shared" si="50"/>
        <v>6531354953.2970819</v>
      </c>
      <c r="T196" s="8">
        <f t="shared" si="50"/>
        <v>6588830876.886095</v>
      </c>
      <c r="U196" s="8">
        <f t="shared" si="50"/>
        <v>6646812588.6026926</v>
      </c>
      <c r="V196" s="8">
        <f t="shared" si="50"/>
        <v>6705304539.3823967</v>
      </c>
      <c r="W196" s="8">
        <f t="shared" si="50"/>
        <v>6764311219.3289604</v>
      </c>
      <c r="X196" s="8">
        <f t="shared" si="50"/>
        <v>6823837158.0590553</v>
      </c>
      <c r="Y196" s="8">
        <f t="shared" si="50"/>
        <v>6883886925.0499744</v>
      </c>
      <c r="Z196" s="8">
        <f t="shared" si="50"/>
        <v>6944465129.9904137</v>
      </c>
      <c r="AA196" s="8">
        <f t="shared" si="50"/>
        <v>7005576423.1343279</v>
      </c>
      <c r="AB196" s="8">
        <f t="shared" si="50"/>
        <v>7067225495.6579103</v>
      </c>
      <c r="AC196" s="8">
        <f t="shared" si="50"/>
        <v>7129417080.019701</v>
      </c>
      <c r="AD196" s="8">
        <f t="shared" si="50"/>
        <v>7192155950.3238726</v>
      </c>
      <c r="AE196" s="8">
        <f t="shared" si="50"/>
        <v>7255446922.6867218</v>
      </c>
      <c r="AF196" s="8">
        <f t="shared" si="50"/>
        <v>7319294855.6063662</v>
      </c>
      <c r="AG196" s="8">
        <f t="shared" si="50"/>
        <v>7383704650.335701</v>
      </c>
      <c r="AH196" s="8">
        <f t="shared" si="50"/>
        <v>7448681251.2586546</v>
      </c>
      <c r="AI196" s="8">
        <f t="shared" si="50"/>
        <v>7514229646.2697315</v>
      </c>
      <c r="AJ196" s="115">
        <f t="shared" si="50"/>
        <v>7580354867.1569042</v>
      </c>
    </row>
    <row r="197" spans="1:36" x14ac:dyDescent="0.2">
      <c r="A197" s="173" t="s">
        <v>963</v>
      </c>
      <c r="B197" t="s">
        <v>16</v>
      </c>
      <c r="G197" s="8">
        <f>(G195/G132)*G134</f>
        <v>11585832045.899557</v>
      </c>
      <c r="H197" s="8">
        <f t="shared" ref="H197:AJ197" si="51">(H195/H132)*H134</f>
        <v>11687787367.903473</v>
      </c>
      <c r="I197" s="8">
        <f t="shared" si="51"/>
        <v>11790639896.741022</v>
      </c>
      <c r="J197" s="8">
        <f t="shared" si="51"/>
        <v>11894397527.832342</v>
      </c>
      <c r="K197" s="8">
        <f t="shared" si="51"/>
        <v>11999068226.077269</v>
      </c>
      <c r="L197" s="8">
        <f t="shared" si="51"/>
        <v>12104660026.466749</v>
      </c>
      <c r="M197" s="8">
        <f t="shared" si="51"/>
        <v>12211181034.699652</v>
      </c>
      <c r="N197" s="8">
        <f t="shared" si="51"/>
        <v>12318639427.80501</v>
      </c>
      <c r="O197" s="8">
        <f t="shared" si="51"/>
        <v>12427043454.769691</v>
      </c>
      <c r="P197" s="8">
        <f t="shared" si="51"/>
        <v>12536401437.171669</v>
      </c>
      <c r="Q197" s="8">
        <f t="shared" si="51"/>
        <v>12646721769.818773</v>
      </c>
      <c r="R197" s="8">
        <f t="shared" si="51"/>
        <v>12758012921.393183</v>
      </c>
      <c r="S197" s="8">
        <f t="shared" si="51"/>
        <v>12870283435.10144</v>
      </c>
      <c r="T197" s="8">
        <f t="shared" si="51"/>
        <v>12983541929.330332</v>
      </c>
      <c r="U197" s="8">
        <f t="shared" si="51"/>
        <v>13097797098.308435</v>
      </c>
      <c r="V197" s="8">
        <f t="shared" si="51"/>
        <v>13213057712.773556</v>
      </c>
      <c r="W197" s="8">
        <f t="shared" si="51"/>
        <v>13329332620.645956</v>
      </c>
      <c r="X197" s="8">
        <f t="shared" si="51"/>
        <v>13446630747.707642</v>
      </c>
      <c r="Y197" s="8">
        <f t="shared" si="51"/>
        <v>13564961098.287468</v>
      </c>
      <c r="Z197" s="8">
        <f t="shared" si="51"/>
        <v>13684332755.952396</v>
      </c>
      <c r="AA197" s="8">
        <f t="shared" si="51"/>
        <v>13804754884.204773</v>
      </c>
      <c r="AB197" s="8">
        <f t="shared" si="51"/>
        <v>13926236727.185776</v>
      </c>
      <c r="AC197" s="8">
        <f t="shared" si="51"/>
        <v>14048787610.385014</v>
      </c>
      <c r="AD197" s="8">
        <f t="shared" si="51"/>
        <v>14172416941.356398</v>
      </c>
      <c r="AE197" s="8">
        <f t="shared" si="51"/>
        <v>14297134210.440336</v>
      </c>
      <c r="AF197" s="8">
        <f t="shared" si="51"/>
        <v>14422948991.49221</v>
      </c>
      <c r="AG197" s="8">
        <f t="shared" si="51"/>
        <v>14549870942.617344</v>
      </c>
      <c r="AH197" s="8">
        <f t="shared" si="51"/>
        <v>14677909806.912371</v>
      </c>
      <c r="AI197" s="8">
        <f t="shared" si="51"/>
        <v>14807075413.2132</v>
      </c>
      <c r="AJ197" s="8">
        <f t="shared" si="51"/>
        <v>14937377676.849478</v>
      </c>
    </row>
    <row r="198" spans="1:36" x14ac:dyDescent="0.2">
      <c r="A198" s="173" t="s">
        <v>958</v>
      </c>
      <c r="B198" t="s">
        <v>16</v>
      </c>
      <c r="G198" s="8">
        <f>G196-G197</f>
        <v>-5706304846.4694138</v>
      </c>
      <c r="H198" s="8">
        <f t="shared" ref="H198:AJ198" si="52">H196-H197</f>
        <v>-5756520329.1183443</v>
      </c>
      <c r="I198" s="8">
        <f t="shared" si="52"/>
        <v>-5807177708.0145855</v>
      </c>
      <c r="J198" s="8">
        <f t="shared" si="52"/>
        <v>-5858280871.8451128</v>
      </c>
      <c r="K198" s="8">
        <f t="shared" si="52"/>
        <v>-5909833743.5173521</v>
      </c>
      <c r="L198" s="8">
        <f t="shared" si="52"/>
        <v>-5961840280.4603052</v>
      </c>
      <c r="M198" s="8">
        <f t="shared" si="52"/>
        <v>-6014304474.9283514</v>
      </c>
      <c r="N198" s="8">
        <f t="shared" si="52"/>
        <v>-6067230354.307723</v>
      </c>
      <c r="O198" s="8">
        <f t="shared" si="52"/>
        <v>-6120621981.4256287</v>
      </c>
      <c r="P198" s="8">
        <f t="shared" si="52"/>
        <v>-6174483454.8621778</v>
      </c>
      <c r="Q198" s="8">
        <f t="shared" si="52"/>
        <v>-6228818909.2649603</v>
      </c>
      <c r="R198" s="8">
        <f t="shared" si="52"/>
        <v>-6283632515.6664963</v>
      </c>
      <c r="S198" s="8">
        <f t="shared" si="52"/>
        <v>-6338928481.8043585</v>
      </c>
      <c r="T198" s="8">
        <f t="shared" si="52"/>
        <v>-6394711052.4442368</v>
      </c>
      <c r="U198" s="8">
        <f t="shared" si="52"/>
        <v>-6450984509.7057428</v>
      </c>
      <c r="V198" s="8">
        <f t="shared" si="52"/>
        <v>-6507753173.3911591</v>
      </c>
      <c r="W198" s="8">
        <f t="shared" si="52"/>
        <v>-6565021401.3169956</v>
      </c>
      <c r="X198" s="8">
        <f t="shared" si="52"/>
        <v>-6622793589.6485863</v>
      </c>
      <c r="Y198" s="8">
        <f t="shared" si="52"/>
        <v>-6681074173.2374935</v>
      </c>
      <c r="Z198" s="8">
        <f t="shared" si="52"/>
        <v>-6739867625.9619827</v>
      </c>
      <c r="AA198" s="8">
        <f t="shared" si="52"/>
        <v>-6799178461.0704451</v>
      </c>
      <c r="AB198" s="8">
        <f t="shared" si="52"/>
        <v>-6859011231.5278654</v>
      </c>
      <c r="AC198" s="8">
        <f t="shared" si="52"/>
        <v>-6919370530.3653126</v>
      </c>
      <c r="AD198" s="8">
        <f t="shared" si="52"/>
        <v>-6980260991.0325251</v>
      </c>
      <c r="AE198" s="8">
        <f t="shared" si="52"/>
        <v>-7041687287.7536144</v>
      </c>
      <c r="AF198" s="8">
        <f t="shared" si="52"/>
        <v>-7103654135.8858442</v>
      </c>
      <c r="AG198" s="8">
        <f t="shared" si="52"/>
        <v>-7166166292.2816429</v>
      </c>
      <c r="AH198" s="8">
        <f t="shared" si="52"/>
        <v>-7229228555.6537161</v>
      </c>
      <c r="AI198" s="8">
        <f t="shared" si="52"/>
        <v>-7292845766.9434681</v>
      </c>
      <c r="AJ198" s="8">
        <f t="shared" si="52"/>
        <v>-7357022809.6925735</v>
      </c>
    </row>
    <row r="199" spans="1:36" x14ac:dyDescent="0.2">
      <c r="A199" s="108" t="s">
        <v>771</v>
      </c>
      <c r="B199" t="s">
        <v>537</v>
      </c>
      <c r="C199" t="s">
        <v>312</v>
      </c>
      <c r="G199" s="17">
        <f t="shared" ref="G199:AJ199" si="53">IF(G198&lt;0,(G195/G196*(G196/G197)*G107),G195/G196*G107)</f>
        <v>229.46069341302012</v>
      </c>
      <c r="H199" s="17">
        <f t="shared" si="53"/>
        <v>450.41396780219225</v>
      </c>
      <c r="I199" s="17">
        <f t="shared" si="53"/>
        <v>442.06425809528855</v>
      </c>
      <c r="J199" s="17">
        <f t="shared" si="53"/>
        <v>433.86933411257036</v>
      </c>
      <c r="K199" s="17">
        <f t="shared" si="53"/>
        <v>425.82632645842364</v>
      </c>
      <c r="L199" s="17">
        <f t="shared" si="53"/>
        <v>417.93241892967973</v>
      </c>
      <c r="M199" s="17">
        <f t="shared" si="53"/>
        <v>410.18484752954203</v>
      </c>
      <c r="N199" s="17">
        <f t="shared" si="53"/>
        <v>402.58089949978984</v>
      </c>
      <c r="O199" s="17">
        <f t="shared" si="53"/>
        <v>395.1179123709278</v>
      </c>
      <c r="P199" s="17">
        <f t="shared" si="53"/>
        <v>387.79327302993829</v>
      </c>
      <c r="Q199" s="17">
        <f t="shared" si="53"/>
        <v>380.60441680531954</v>
      </c>
      <c r="R199" s="17">
        <f t="shared" si="53"/>
        <v>373.54882656908268</v>
      </c>
      <c r="S199" s="17">
        <f t="shared" si="53"/>
        <v>366.62403185539796</v>
      </c>
      <c r="T199" s="17">
        <f t="shared" si="53"/>
        <v>359.82760799557747</v>
      </c>
      <c r="U199" s="17">
        <f t="shared" si="53"/>
        <v>353.15717526909492</v>
      </c>
      <c r="V199" s="17">
        <f t="shared" si="53"/>
        <v>346.61039807034211</v>
      </c>
      <c r="W199" s="17">
        <f t="shared" si="53"/>
        <v>340.18498409083452</v>
      </c>
      <c r="X199" s="17">
        <f t="shared" si="53"/>
        <v>333.87868351657346</v>
      </c>
      <c r="Y199" s="17">
        <f t="shared" si="53"/>
        <v>327.68928824029098</v>
      </c>
      <c r="Z199" s="17">
        <f t="shared" si="53"/>
        <v>321.61463108829525</v>
      </c>
      <c r="AA199" s="17">
        <f t="shared" si="53"/>
        <v>315.65258506165088</v>
      </c>
      <c r="AB199" s="17">
        <f t="shared" si="53"/>
        <v>309.801062591424</v>
      </c>
      <c r="AC199" s="17">
        <f t="shared" si="53"/>
        <v>304.0580148077355</v>
      </c>
      <c r="AD199" s="17">
        <f t="shared" si="53"/>
        <v>298.42143082236271</v>
      </c>
      <c r="AE199" s="17">
        <f t="shared" si="53"/>
        <v>292.88933702464118</v>
      </c>
      <c r="AF199" s="17">
        <f t="shared" si="53"/>
        <v>287.459796390419</v>
      </c>
      <c r="AG199" s="17">
        <f t="shared" si="53"/>
        <v>282.13090780382049</v>
      </c>
      <c r="AH199" s="17">
        <f t="shared" si="53"/>
        <v>276.9008053915843</v>
      </c>
      <c r="AI199" s="17">
        <f t="shared" si="53"/>
        <v>271.76765786974062</v>
      </c>
      <c r="AJ199" s="17">
        <f t="shared" si="53"/>
        <v>266.72966790240008</v>
      </c>
    </row>
    <row r="200" spans="1:36" x14ac:dyDescent="0.2">
      <c r="A200" s="108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7"/>
      <c r="AA200" s="17"/>
      <c r="AB200" s="17"/>
      <c r="AC200" s="17"/>
      <c r="AD200" s="17"/>
      <c r="AE200" s="17"/>
      <c r="AF200" s="17"/>
      <c r="AG200" s="17"/>
      <c r="AH200" s="17"/>
      <c r="AI200" s="17"/>
      <c r="AJ200" s="122"/>
    </row>
    <row r="201" spans="1:36" x14ac:dyDescent="0.2">
      <c r="A201" s="185" t="s">
        <v>773</v>
      </c>
      <c r="B201" s="176"/>
      <c r="C201" s="176"/>
      <c r="D201" s="176"/>
      <c r="E201" s="176"/>
      <c r="F201" s="176"/>
      <c r="G201" s="215"/>
      <c r="H201" s="215"/>
      <c r="I201" s="215"/>
      <c r="J201" s="215"/>
      <c r="K201" s="215"/>
      <c r="L201" s="215"/>
      <c r="M201" s="215"/>
      <c r="N201" s="215"/>
      <c r="O201" s="215"/>
      <c r="P201" s="215"/>
      <c r="Q201" s="215"/>
      <c r="R201" s="215"/>
      <c r="S201" s="215"/>
      <c r="T201" s="215"/>
      <c r="U201" s="215"/>
      <c r="V201" s="215"/>
      <c r="W201" s="215"/>
      <c r="X201" s="215"/>
      <c r="Y201" s="215"/>
      <c r="Z201" s="215"/>
      <c r="AA201" s="215"/>
      <c r="AB201" s="215"/>
      <c r="AC201" s="215"/>
      <c r="AD201" s="215"/>
      <c r="AE201" s="215"/>
      <c r="AF201" s="215"/>
      <c r="AG201" s="215"/>
      <c r="AH201" s="215"/>
      <c r="AI201" s="215"/>
      <c r="AJ201" s="190"/>
    </row>
    <row r="202" spans="1:36" x14ac:dyDescent="0.2">
      <c r="A202" s="185" t="s">
        <v>774</v>
      </c>
      <c r="B202" s="176"/>
      <c r="C202" s="176"/>
      <c r="D202" s="176"/>
      <c r="E202" s="176"/>
      <c r="F202" s="176"/>
      <c r="G202" s="215"/>
      <c r="H202" s="215"/>
      <c r="I202" s="215"/>
      <c r="J202" s="215"/>
      <c r="K202" s="215"/>
      <c r="L202" s="215"/>
      <c r="M202" s="215"/>
      <c r="N202" s="215"/>
      <c r="O202" s="215"/>
      <c r="P202" s="215"/>
      <c r="Q202" s="215"/>
      <c r="R202" s="215"/>
      <c r="S202" s="215"/>
      <c r="T202" s="215"/>
      <c r="U202" s="215"/>
      <c r="V202" s="215"/>
      <c r="W202" s="215"/>
      <c r="X202" s="215"/>
      <c r="Y202" s="215"/>
      <c r="Z202" s="215"/>
      <c r="AA202" s="215"/>
      <c r="AB202" s="215"/>
      <c r="AC202" s="215"/>
      <c r="AD202" s="215"/>
      <c r="AE202" s="215"/>
      <c r="AF202" s="215"/>
      <c r="AG202" s="215"/>
      <c r="AH202" s="215"/>
      <c r="AI202" s="215"/>
      <c r="AJ202" s="190"/>
    </row>
    <row r="203" spans="1:36" x14ac:dyDescent="0.2">
      <c r="A203" s="185" t="s">
        <v>782</v>
      </c>
      <c r="B203" s="176"/>
      <c r="C203" s="176"/>
      <c r="D203" s="176"/>
      <c r="E203" s="176"/>
      <c r="F203" s="176"/>
      <c r="G203" s="215"/>
      <c r="H203" s="215"/>
      <c r="I203" s="215"/>
      <c r="J203" s="215"/>
      <c r="K203" s="215"/>
      <c r="L203" s="215"/>
      <c r="M203" s="215"/>
      <c r="N203" s="215"/>
      <c r="O203" s="215"/>
      <c r="P203" s="215"/>
      <c r="Q203" s="215"/>
      <c r="R203" s="215"/>
      <c r="S203" s="215"/>
      <c r="T203" s="215"/>
      <c r="U203" s="215"/>
      <c r="V203" s="215"/>
      <c r="W203" s="215"/>
      <c r="X203" s="215"/>
      <c r="Y203" s="215"/>
      <c r="Z203" s="215"/>
      <c r="AA203" s="215"/>
      <c r="AB203" s="215"/>
      <c r="AC203" s="215"/>
      <c r="AD203" s="215"/>
      <c r="AE203" s="215"/>
      <c r="AF203" s="215"/>
      <c r="AG203" s="215"/>
      <c r="AH203" s="215"/>
      <c r="AI203" s="215"/>
      <c r="AJ203" s="190"/>
    </row>
    <row r="204" spans="1:36" x14ac:dyDescent="0.2">
      <c r="A204" s="185" t="s">
        <v>775</v>
      </c>
      <c r="B204" s="176"/>
      <c r="C204" s="176"/>
      <c r="D204" s="176"/>
      <c r="E204" s="176"/>
      <c r="F204" s="176"/>
      <c r="G204" s="215"/>
      <c r="H204" s="215"/>
      <c r="I204" s="215"/>
      <c r="J204" s="215"/>
      <c r="K204" s="215"/>
      <c r="L204" s="215"/>
      <c r="M204" s="215"/>
      <c r="N204" s="215"/>
      <c r="O204" s="215"/>
      <c r="P204" s="215"/>
      <c r="Q204" s="215"/>
      <c r="R204" s="215"/>
      <c r="S204" s="215"/>
      <c r="T204" s="215"/>
      <c r="U204" s="215"/>
      <c r="V204" s="215"/>
      <c r="W204" s="215"/>
      <c r="X204" s="215"/>
      <c r="Y204" s="215"/>
      <c r="Z204" s="215"/>
      <c r="AA204" s="215"/>
      <c r="AB204" s="215"/>
      <c r="AC204" s="215"/>
      <c r="AD204" s="215"/>
      <c r="AE204" s="215"/>
      <c r="AF204" s="215"/>
      <c r="AG204" s="215"/>
      <c r="AH204" s="215"/>
      <c r="AI204" s="215"/>
      <c r="AJ204" s="190"/>
    </row>
    <row r="205" spans="1:36" x14ac:dyDescent="0.2">
      <c r="A205" s="185" t="s">
        <v>568</v>
      </c>
      <c r="B205" s="176"/>
      <c r="C205" s="176"/>
      <c r="D205" s="176"/>
      <c r="E205" s="176"/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176"/>
      <c r="AH205" s="176"/>
      <c r="AI205" s="176"/>
      <c r="AJ205" s="186"/>
    </row>
    <row r="206" spans="1:36" x14ac:dyDescent="0.2">
      <c r="A206" s="22" t="s">
        <v>569</v>
      </c>
      <c r="B206" t="s">
        <v>570</v>
      </c>
      <c r="G206" s="216">
        <f>$C$77*G102*C18</f>
        <v>208.41584158415841</v>
      </c>
      <c r="H206" s="216">
        <f t="shared" ref="H206:AJ206" si="54">$C$77*H102</f>
        <v>412.70463680031366</v>
      </c>
      <c r="I206" s="216">
        <f t="shared" si="54"/>
        <v>408.61845227753832</v>
      </c>
      <c r="J206" s="216">
        <f t="shared" si="54"/>
        <v>404.57272502726562</v>
      </c>
      <c r="K206" s="216">
        <f t="shared" si="54"/>
        <v>400.56705448244128</v>
      </c>
      <c r="L206" s="216">
        <f t="shared" si="54"/>
        <v>396.60104404202099</v>
      </c>
      <c r="M206" s="216">
        <f t="shared" si="54"/>
        <v>392.67430103170403</v>
      </c>
      <c r="N206" s="216">
        <f t="shared" si="54"/>
        <v>388.78643666505343</v>
      </c>
      <c r="O206" s="216">
        <f t="shared" si="54"/>
        <v>384.93706600500332</v>
      </c>
      <c r="P206" s="216">
        <f t="shared" si="54"/>
        <v>381.1258079257459</v>
      </c>
      <c r="Q206" s="216">
        <f t="shared" si="54"/>
        <v>377.35228507499602</v>
      </c>
      <c r="R206" s="216">
        <f t="shared" si="54"/>
        <v>373.6161238366297</v>
      </c>
      <c r="S206" s="216">
        <f t="shared" si="54"/>
        <v>369.91695429369275</v>
      </c>
      <c r="T206" s="216">
        <f t="shared" si="54"/>
        <v>366.25441019177498</v>
      </c>
      <c r="U206" s="216">
        <f t="shared" si="54"/>
        <v>362.62812890274762</v>
      </c>
      <c r="V206" s="216">
        <f t="shared" si="54"/>
        <v>359.03775138885885</v>
      </c>
      <c r="W206" s="216">
        <f t="shared" si="54"/>
        <v>355.48292216718698</v>
      </c>
      <c r="X206" s="216">
        <f t="shared" si="54"/>
        <v>351.96328927444256</v>
      </c>
      <c r="Y206" s="216">
        <f t="shared" si="54"/>
        <v>348.4785042321214</v>
      </c>
      <c r="Z206" s="216">
        <f t="shared" si="54"/>
        <v>345.02822201200138</v>
      </c>
      <c r="AA206" s="216">
        <f t="shared" si="54"/>
        <v>341.61210100198161</v>
      </c>
      <c r="AB206" s="216">
        <f t="shared" si="54"/>
        <v>338.22980297225894</v>
      </c>
      <c r="AC206" s="216">
        <f t="shared" si="54"/>
        <v>334.88099304184055</v>
      </c>
      <c r="AD206" s="216">
        <f t="shared" si="54"/>
        <v>331.56533964538664</v>
      </c>
      <c r="AE206" s="216">
        <f t="shared" si="54"/>
        <v>328.28251450038272</v>
      </c>
      <c r="AF206" s="216">
        <f t="shared" si="54"/>
        <v>325.03219257463638</v>
      </c>
      <c r="AG206" s="216">
        <f t="shared" si="54"/>
        <v>321.81405205409555</v>
      </c>
      <c r="AH206" s="216">
        <f t="shared" si="54"/>
        <v>318.62777431098567</v>
      </c>
      <c r="AI206" s="216">
        <f t="shared" si="54"/>
        <v>315.47304387226302</v>
      </c>
      <c r="AJ206" s="123">
        <f t="shared" si="54"/>
        <v>312.34954838837916</v>
      </c>
    </row>
    <row r="207" spans="1:36" x14ac:dyDescent="0.2">
      <c r="A207" s="22"/>
      <c r="AJ207" s="29"/>
    </row>
    <row r="208" spans="1:36" x14ac:dyDescent="0.2">
      <c r="A208" s="108" t="s">
        <v>776</v>
      </c>
      <c r="B208" t="s">
        <v>537</v>
      </c>
      <c r="C208" t="s">
        <v>313</v>
      </c>
      <c r="G208" s="17">
        <f>G206/G105*G108*C18</f>
        <v>9.7835710808180237E-2</v>
      </c>
      <c r="H208" s="17">
        <f t="shared" ref="H208:AJ208" si="55">H206/H105*H108</f>
        <v>0.38408818558342123</v>
      </c>
      <c r="I208" s="17">
        <f t="shared" si="55"/>
        <v>0.37696801373990202</v>
      </c>
      <c r="J208" s="17">
        <f t="shared" si="55"/>
        <v>0.36997983462353273</v>
      </c>
      <c r="K208" s="17">
        <f t="shared" si="55"/>
        <v>0.36312120137201814</v>
      </c>
      <c r="L208" s="17">
        <f t="shared" si="55"/>
        <v>0.35638971248264584</v>
      </c>
      <c r="M208" s="17">
        <f t="shared" si="55"/>
        <v>0.34978301097141778</v>
      </c>
      <c r="N208" s="17">
        <f t="shared" si="55"/>
        <v>0.34329878354776755</v>
      </c>
      <c r="O208" s="17">
        <f t="shared" si="55"/>
        <v>0.3369347598045786</v>
      </c>
      <c r="P208" s="17">
        <f t="shared" si="55"/>
        <v>0.33068871142321687</v>
      </c>
      <c r="Q208" s="17">
        <f t="shared" si="55"/>
        <v>0.32455845139330042</v>
      </c>
      <c r="R208" s="17">
        <f t="shared" si="55"/>
        <v>0.3185418332469323</v>
      </c>
      <c r="S208" s="17">
        <f t="shared" si="55"/>
        <v>0.31263675030713117</v>
      </c>
      <c r="T208" s="17">
        <f t="shared" si="55"/>
        <v>0.306841134950192</v>
      </c>
      <c r="U208" s="17">
        <f t="shared" si="55"/>
        <v>0.30115295788172214</v>
      </c>
      <c r="V208" s="17">
        <f t="shared" si="55"/>
        <v>0.29557022742609779</v>
      </c>
      <c r="W208" s="17">
        <f t="shared" si="55"/>
        <v>0.2900909888290939</v>
      </c>
      <c r="X208" s="17">
        <f t="shared" si="55"/>
        <v>0.28471332357343881</v>
      </c>
      <c r="Y208" s="17">
        <f t="shared" si="55"/>
        <v>0.27943534870705994</v>
      </c>
      <c r="Z208" s="17">
        <f t="shared" si="55"/>
        <v>0.27425521618378074</v>
      </c>
      <c r="AA208" s="17">
        <f t="shared" si="55"/>
        <v>0.26917111221624046</v>
      </c>
      <c r="AB208" s="17">
        <f t="shared" si="55"/>
        <v>0.26418125664080877</v>
      </c>
      <c r="AC208" s="17">
        <f t="shared" si="55"/>
        <v>0.25928390229427456</v>
      </c>
      <c r="AD208" s="17">
        <f t="shared" si="55"/>
        <v>0.25447733440208786</v>
      </c>
      <c r="AE208" s="17">
        <f t="shared" si="55"/>
        <v>0.24975986997794447</v>
      </c>
      <c r="AF208" s="17">
        <f t="shared" si="55"/>
        <v>0.2451298572344992</v>
      </c>
      <c r="AG208" s="17">
        <f t="shared" si="55"/>
        <v>0.2405856750050048</v>
      </c>
      <c r="AH208" s="17">
        <f t="shared" si="55"/>
        <v>0.23612573217567073</v>
      </c>
      <c r="AI208" s="17">
        <f t="shared" si="55"/>
        <v>0.23174846712854671</v>
      </c>
      <c r="AJ208" s="122">
        <f t="shared" si="55"/>
        <v>0.22745234719473259</v>
      </c>
    </row>
    <row r="209" spans="1:36" x14ac:dyDescent="0.2">
      <c r="A209" s="22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7"/>
      <c r="AA209" s="17"/>
      <c r="AB209" s="17"/>
      <c r="AC209" s="17"/>
      <c r="AD209" s="17"/>
      <c r="AE209" s="17"/>
      <c r="AF209" s="17"/>
      <c r="AG209" s="17"/>
      <c r="AH209" s="17"/>
      <c r="AI209" s="17"/>
      <c r="AJ209" s="122"/>
    </row>
    <row r="210" spans="1:36" x14ac:dyDescent="0.2">
      <c r="A210" s="173" t="s">
        <v>780</v>
      </c>
      <c r="B210" t="s">
        <v>779</v>
      </c>
      <c r="G210" s="17">
        <f>$C$81*$C$82*G102*C18</f>
        <v>13547.029702970296</v>
      </c>
      <c r="H210" s="17">
        <f t="shared" ref="H210:AJ210" si="56">$C$81*$C$82*H102</f>
        <v>26825.801392020388</v>
      </c>
      <c r="I210" s="17">
        <f t="shared" si="56"/>
        <v>26560.199398039993</v>
      </c>
      <c r="J210" s="17">
        <f t="shared" si="56"/>
        <v>26297.227126772264</v>
      </c>
      <c r="K210" s="17">
        <f t="shared" si="56"/>
        <v>26036.858541358684</v>
      </c>
      <c r="L210" s="17">
        <f t="shared" si="56"/>
        <v>25779.067862731365</v>
      </c>
      <c r="M210" s="17">
        <f t="shared" si="56"/>
        <v>25523.829567060762</v>
      </c>
      <c r="N210" s="17">
        <f t="shared" si="56"/>
        <v>25271.118383228473</v>
      </c>
      <c r="O210" s="17">
        <f t="shared" si="56"/>
        <v>25020.909290325217</v>
      </c>
      <c r="P210" s="17">
        <f t="shared" si="56"/>
        <v>24773.177515173484</v>
      </c>
      <c r="Q210" s="17">
        <f t="shared" si="56"/>
        <v>24527.898529874739</v>
      </c>
      <c r="R210" s="17">
        <f t="shared" si="56"/>
        <v>24285.04804938093</v>
      </c>
      <c r="S210" s="17">
        <f t="shared" si="56"/>
        <v>24044.602029090027</v>
      </c>
      <c r="T210" s="17">
        <f t="shared" si="56"/>
        <v>23806.536662465373</v>
      </c>
      <c r="U210" s="17">
        <f t="shared" si="56"/>
        <v>23570.828378678594</v>
      </c>
      <c r="V210" s="17">
        <f t="shared" si="56"/>
        <v>23337.453840275826</v>
      </c>
      <c r="W210" s="17">
        <f t="shared" si="56"/>
        <v>23106.389940867153</v>
      </c>
      <c r="X210" s="17">
        <f t="shared" si="56"/>
        <v>22877.613802838765</v>
      </c>
      <c r="Y210" s="17">
        <f t="shared" si="56"/>
        <v>22651.102775087893</v>
      </c>
      <c r="Z210" s="17">
        <f t="shared" si="56"/>
        <v>22426.834430780087</v>
      </c>
      <c r="AA210" s="17">
        <f t="shared" si="56"/>
        <v>22204.786565128805</v>
      </c>
      <c r="AB210" s="17">
        <f t="shared" si="56"/>
        <v>21984.937193196831</v>
      </c>
      <c r="AC210" s="17">
        <f t="shared" si="56"/>
        <v>21767.264547719635</v>
      </c>
      <c r="AD210" s="17">
        <f t="shared" si="56"/>
        <v>21551.747076950131</v>
      </c>
      <c r="AE210" s="17">
        <f t="shared" si="56"/>
        <v>21338.363442524878</v>
      </c>
      <c r="AF210" s="17">
        <f t="shared" si="56"/>
        <v>21127.092517351364</v>
      </c>
      <c r="AG210" s="17">
        <f t="shared" si="56"/>
        <v>20917.91338351621</v>
      </c>
      <c r="AH210" s="17">
        <f t="shared" si="56"/>
        <v>20710.805330214069</v>
      </c>
      <c r="AI210" s="17">
        <f t="shared" si="56"/>
        <v>20505.747851697099</v>
      </c>
      <c r="AJ210" s="122">
        <f t="shared" si="56"/>
        <v>20302.720645244648</v>
      </c>
    </row>
    <row r="211" spans="1:36" x14ac:dyDescent="0.2">
      <c r="A211" s="173" t="s">
        <v>777</v>
      </c>
      <c r="B211" t="s">
        <v>779</v>
      </c>
      <c r="G211">
        <f t="shared" ref="G211:AJ211" si="57">$C$86*$C$88*(1+$C$5)^G101</f>
        <v>196413359999.99997</v>
      </c>
      <c r="H211">
        <f t="shared" si="57"/>
        <v>198141797568</v>
      </c>
      <c r="I211">
        <f t="shared" si="57"/>
        <v>199885445386.59836</v>
      </c>
      <c r="J211">
        <f t="shared" si="57"/>
        <v>201644437306.00043</v>
      </c>
      <c r="K211">
        <f t="shared" si="57"/>
        <v>203418908354.29321</v>
      </c>
      <c r="L211">
        <f t="shared" si="57"/>
        <v>205208994747.81097</v>
      </c>
      <c r="M211">
        <f t="shared" si="57"/>
        <v>207014833901.59167</v>
      </c>
      <c r="N211">
        <f t="shared" si="57"/>
        <v>208836564439.92572</v>
      </c>
      <c r="O211">
        <f t="shared" si="57"/>
        <v>210674326206.99704</v>
      </c>
      <c r="P211">
        <f t="shared" si="57"/>
        <v>212528260277.61859</v>
      </c>
      <c r="Q211">
        <f t="shared" si="57"/>
        <v>214398508968.06165</v>
      </c>
      <c r="R211">
        <f t="shared" si="57"/>
        <v>216285215846.98059</v>
      </c>
      <c r="S211">
        <f t="shared" si="57"/>
        <v>218188525746.43396</v>
      </c>
      <c r="T211">
        <f t="shared" si="57"/>
        <v>220108584773.00259</v>
      </c>
      <c r="U211">
        <f t="shared" si="57"/>
        <v>222045540319.005</v>
      </c>
      <c r="V211">
        <f t="shared" si="57"/>
        <v>223999541073.81223</v>
      </c>
      <c r="W211">
        <f t="shared" si="57"/>
        <v>225970737035.26178</v>
      </c>
      <c r="X211">
        <f t="shared" si="57"/>
        <v>227959279521.17209</v>
      </c>
      <c r="Y211">
        <f t="shared" si="57"/>
        <v>229965321180.95837</v>
      </c>
      <c r="Z211">
        <f t="shared" si="57"/>
        <v>231989016007.3508</v>
      </c>
      <c r="AA211">
        <f t="shared" si="57"/>
        <v>234030519348.21545</v>
      </c>
      <c r="AB211">
        <f t="shared" si="57"/>
        <v>236089987918.47974</v>
      </c>
      <c r="AC211">
        <f t="shared" si="57"/>
        <v>238167579812.16232</v>
      </c>
      <c r="AD211">
        <f t="shared" si="57"/>
        <v>240263454514.50937</v>
      </c>
      <c r="AE211">
        <f t="shared" si="57"/>
        <v>242377772914.23706</v>
      </c>
      <c r="AF211">
        <f t="shared" si="57"/>
        <v>244510697315.88232</v>
      </c>
      <c r="AG211">
        <f t="shared" si="57"/>
        <v>246662391452.26205</v>
      </c>
      <c r="AH211">
        <f t="shared" si="57"/>
        <v>248833020497.04199</v>
      </c>
      <c r="AI211">
        <f t="shared" si="57"/>
        <v>251022751077.41589</v>
      </c>
      <c r="AJ211" s="29">
        <f t="shared" si="57"/>
        <v>253231751286.89716</v>
      </c>
    </row>
    <row r="212" spans="1:36" x14ac:dyDescent="0.2">
      <c r="A212" s="108" t="s">
        <v>778</v>
      </c>
      <c r="B212" t="s">
        <v>537</v>
      </c>
      <c r="C212" t="s">
        <v>313</v>
      </c>
      <c r="G212" s="17">
        <f t="shared" ref="G212:AJ212" si="58">G210/G211*G108</f>
        <v>0.55177630291423341</v>
      </c>
      <c r="H212" s="17">
        <f t="shared" si="58"/>
        <v>1.0830951054762317</v>
      </c>
      <c r="I212" s="17">
        <f t="shared" si="58"/>
        <v>1.0630168433392406</v>
      </c>
      <c r="J212" s="17">
        <f t="shared" si="58"/>
        <v>1.043310789153705</v>
      </c>
      <c r="K212" s="17">
        <f t="shared" si="58"/>
        <v>1.0239700429818641</v>
      </c>
      <c r="L212" s="17">
        <f t="shared" si="58"/>
        <v>1.0049878327960129</v>
      </c>
      <c r="M212" s="17">
        <f t="shared" si="58"/>
        <v>0.98635751210732991</v>
      </c>
      <c r="N212" s="17">
        <f t="shared" si="58"/>
        <v>0.96807255763865074</v>
      </c>
      <c r="O212" s="17">
        <f t="shared" si="58"/>
        <v>0.95012656704039178</v>
      </c>
      <c r="P212" s="17">
        <f t="shared" si="58"/>
        <v>0.93251325664880924</v>
      </c>
      <c r="Q212" s="17">
        <f t="shared" si="58"/>
        <v>0.91522645928581881</v>
      </c>
      <c r="R212" s="17">
        <f t="shared" si="58"/>
        <v>0.89826012209960149</v>
      </c>
      <c r="S212" s="17">
        <f t="shared" si="58"/>
        <v>0.88160830444523997</v>
      </c>
      <c r="T212" s="17">
        <f t="shared" si="58"/>
        <v>0.8652651758046418</v>
      </c>
      <c r="U212" s="17">
        <f t="shared" si="58"/>
        <v>0.84922501374502601</v>
      </c>
      <c r="V212" s="17">
        <f t="shared" si="58"/>
        <v>0.83348220191525046</v>
      </c>
      <c r="W212" s="17">
        <f t="shared" si="58"/>
        <v>0.81803122807928874</v>
      </c>
      <c r="X212" s="17">
        <f t="shared" si="58"/>
        <v>0.80286668218615664</v>
      </c>
      <c r="Y212" s="17">
        <f t="shared" si="58"/>
        <v>0.78798325447562145</v>
      </c>
      <c r="Z212" s="17">
        <f t="shared" si="58"/>
        <v>0.77337573361902512</v>
      </c>
      <c r="AA212" s="17">
        <f t="shared" si="58"/>
        <v>0.75903900489457665</v>
      </c>
      <c r="AB212" s="17">
        <f t="shared" si="58"/>
        <v>0.74496804839646413</v>
      </c>
      <c r="AC212" s="17">
        <f t="shared" si="58"/>
        <v>0.73115793727717293</v>
      </c>
      <c r="AD212" s="17">
        <f t="shared" si="58"/>
        <v>0.71760383602238209</v>
      </c>
      <c r="AE212" s="17">
        <f t="shared" si="58"/>
        <v>0.70430099875784391</v>
      </c>
      <c r="AF212" s="17">
        <f t="shared" si="58"/>
        <v>0.69124476758764841</v>
      </c>
      <c r="AG212" s="17">
        <f t="shared" si="58"/>
        <v>0.67843057096329407</v>
      </c>
      <c r="AH212" s="17">
        <f t="shared" si="58"/>
        <v>0.66585392208299032</v>
      </c>
      <c r="AI212" s="17">
        <f t="shared" si="58"/>
        <v>0.6535104173206383</v>
      </c>
      <c r="AJ212" s="122">
        <f t="shared" si="58"/>
        <v>0.64139573468392819</v>
      </c>
    </row>
    <row r="213" spans="1:36" x14ac:dyDescent="0.2">
      <c r="A213" s="108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7"/>
      <c r="AA213" s="17"/>
      <c r="AB213" s="17"/>
      <c r="AC213" s="17"/>
      <c r="AD213" s="17"/>
      <c r="AE213" s="17"/>
      <c r="AF213" s="17"/>
      <c r="AG213" s="17"/>
      <c r="AH213" s="17"/>
      <c r="AI213" s="17"/>
      <c r="AJ213" s="122"/>
    </row>
    <row r="214" spans="1:36" x14ac:dyDescent="0.2">
      <c r="A214" s="108" t="s">
        <v>783</v>
      </c>
      <c r="B214" t="s">
        <v>537</v>
      </c>
      <c r="C214" t="s">
        <v>313</v>
      </c>
      <c r="G214" s="17">
        <f>G208</f>
        <v>9.7835710808180237E-2</v>
      </c>
      <c r="H214" s="17">
        <f t="shared" ref="H214:AJ214" si="59">H208</f>
        <v>0.38408818558342123</v>
      </c>
      <c r="I214" s="17">
        <f t="shared" si="59"/>
        <v>0.37696801373990202</v>
      </c>
      <c r="J214" s="17">
        <f t="shared" si="59"/>
        <v>0.36997983462353273</v>
      </c>
      <c r="K214" s="17">
        <f t="shared" si="59"/>
        <v>0.36312120137201814</v>
      </c>
      <c r="L214" s="17">
        <f t="shared" si="59"/>
        <v>0.35638971248264584</v>
      </c>
      <c r="M214" s="17">
        <f t="shared" si="59"/>
        <v>0.34978301097141778</v>
      </c>
      <c r="N214" s="17">
        <f t="shared" si="59"/>
        <v>0.34329878354776755</v>
      </c>
      <c r="O214" s="17">
        <f t="shared" si="59"/>
        <v>0.3369347598045786</v>
      </c>
      <c r="P214" s="17">
        <f t="shared" si="59"/>
        <v>0.33068871142321687</v>
      </c>
      <c r="Q214" s="17">
        <f t="shared" si="59"/>
        <v>0.32455845139330042</v>
      </c>
      <c r="R214" s="17">
        <f t="shared" si="59"/>
        <v>0.3185418332469323</v>
      </c>
      <c r="S214" s="17">
        <f t="shared" si="59"/>
        <v>0.31263675030713117</v>
      </c>
      <c r="T214" s="17">
        <f t="shared" si="59"/>
        <v>0.306841134950192</v>
      </c>
      <c r="U214" s="17">
        <f t="shared" si="59"/>
        <v>0.30115295788172214</v>
      </c>
      <c r="V214" s="17">
        <f t="shared" si="59"/>
        <v>0.29557022742609779</v>
      </c>
      <c r="W214" s="17">
        <f t="shared" si="59"/>
        <v>0.2900909888290939</v>
      </c>
      <c r="X214" s="17">
        <f t="shared" si="59"/>
        <v>0.28471332357343881</v>
      </c>
      <c r="Y214" s="17">
        <f t="shared" si="59"/>
        <v>0.27943534870705994</v>
      </c>
      <c r="Z214" s="17">
        <f t="shared" si="59"/>
        <v>0.27425521618378074</v>
      </c>
      <c r="AA214" s="17">
        <f t="shared" si="59"/>
        <v>0.26917111221624046</v>
      </c>
      <c r="AB214" s="17">
        <f t="shared" si="59"/>
        <v>0.26418125664080877</v>
      </c>
      <c r="AC214" s="17">
        <f t="shared" si="59"/>
        <v>0.25928390229427456</v>
      </c>
      <c r="AD214" s="17">
        <f t="shared" si="59"/>
        <v>0.25447733440208786</v>
      </c>
      <c r="AE214" s="17">
        <f t="shared" si="59"/>
        <v>0.24975986997794447</v>
      </c>
      <c r="AF214" s="17">
        <f t="shared" si="59"/>
        <v>0.2451298572344992</v>
      </c>
      <c r="AG214" s="17">
        <f t="shared" si="59"/>
        <v>0.2405856750050048</v>
      </c>
      <c r="AH214" s="17">
        <f t="shared" si="59"/>
        <v>0.23612573217567073</v>
      </c>
      <c r="AI214" s="17">
        <f t="shared" si="59"/>
        <v>0.23174846712854671</v>
      </c>
      <c r="AJ214" s="122">
        <f t="shared" si="59"/>
        <v>0.22745234719473259</v>
      </c>
    </row>
    <row r="215" spans="1:36" x14ac:dyDescent="0.2">
      <c r="A215" s="108" t="s">
        <v>784</v>
      </c>
      <c r="B215" t="s">
        <v>537</v>
      </c>
      <c r="C215" t="s">
        <v>313</v>
      </c>
      <c r="G215" s="17">
        <f>G208</f>
        <v>9.7835710808180237E-2</v>
      </c>
      <c r="H215" s="17">
        <f t="shared" ref="H215:AJ215" si="60">H208</f>
        <v>0.38408818558342123</v>
      </c>
      <c r="I215" s="17">
        <f t="shared" si="60"/>
        <v>0.37696801373990202</v>
      </c>
      <c r="J215" s="17">
        <f t="shared" si="60"/>
        <v>0.36997983462353273</v>
      </c>
      <c r="K215" s="17">
        <f t="shared" si="60"/>
        <v>0.36312120137201814</v>
      </c>
      <c r="L215" s="17">
        <f t="shared" si="60"/>
        <v>0.35638971248264584</v>
      </c>
      <c r="M215" s="17">
        <f t="shared" si="60"/>
        <v>0.34978301097141778</v>
      </c>
      <c r="N215" s="17">
        <f t="shared" si="60"/>
        <v>0.34329878354776755</v>
      </c>
      <c r="O215" s="17">
        <f t="shared" si="60"/>
        <v>0.3369347598045786</v>
      </c>
      <c r="P215" s="17">
        <f t="shared" si="60"/>
        <v>0.33068871142321687</v>
      </c>
      <c r="Q215" s="17">
        <f t="shared" si="60"/>
        <v>0.32455845139330042</v>
      </c>
      <c r="R215" s="17">
        <f t="shared" si="60"/>
        <v>0.3185418332469323</v>
      </c>
      <c r="S215" s="17">
        <f t="shared" si="60"/>
        <v>0.31263675030713117</v>
      </c>
      <c r="T215" s="17">
        <f t="shared" si="60"/>
        <v>0.306841134950192</v>
      </c>
      <c r="U215" s="17">
        <f t="shared" si="60"/>
        <v>0.30115295788172214</v>
      </c>
      <c r="V215" s="17">
        <f t="shared" si="60"/>
        <v>0.29557022742609779</v>
      </c>
      <c r="W215" s="17">
        <f t="shared" si="60"/>
        <v>0.2900909888290939</v>
      </c>
      <c r="X215" s="17">
        <f t="shared" si="60"/>
        <v>0.28471332357343881</v>
      </c>
      <c r="Y215" s="17">
        <f t="shared" si="60"/>
        <v>0.27943534870705994</v>
      </c>
      <c r="Z215" s="17">
        <f t="shared" si="60"/>
        <v>0.27425521618378074</v>
      </c>
      <c r="AA215" s="17">
        <f t="shared" si="60"/>
        <v>0.26917111221624046</v>
      </c>
      <c r="AB215" s="17">
        <f t="shared" si="60"/>
        <v>0.26418125664080877</v>
      </c>
      <c r="AC215" s="17">
        <f t="shared" si="60"/>
        <v>0.25928390229427456</v>
      </c>
      <c r="AD215" s="17">
        <f t="shared" si="60"/>
        <v>0.25447733440208786</v>
      </c>
      <c r="AE215" s="17">
        <f t="shared" si="60"/>
        <v>0.24975986997794447</v>
      </c>
      <c r="AF215" s="17">
        <f t="shared" si="60"/>
        <v>0.2451298572344992</v>
      </c>
      <c r="AG215" s="17">
        <f t="shared" si="60"/>
        <v>0.2405856750050048</v>
      </c>
      <c r="AH215" s="17">
        <f t="shared" si="60"/>
        <v>0.23612573217567073</v>
      </c>
      <c r="AI215" s="17">
        <f t="shared" si="60"/>
        <v>0.23174846712854671</v>
      </c>
      <c r="AJ215" s="122">
        <f t="shared" si="60"/>
        <v>0.22745234719473259</v>
      </c>
    </row>
    <row r="216" spans="1:36" x14ac:dyDescent="0.2">
      <c r="A216" s="108" t="s">
        <v>798</v>
      </c>
      <c r="B216" t="s">
        <v>537</v>
      </c>
      <c r="C216" t="s">
        <v>781</v>
      </c>
      <c r="G216" s="17">
        <f>G206/G105*G109*C18</f>
        <v>9.7835710808180237E-3</v>
      </c>
      <c r="H216" s="17">
        <f t="shared" ref="H216:AJ216" si="61">H206/H105*H109</f>
        <v>3.840881855834212E-2</v>
      </c>
      <c r="I216" s="17">
        <f t="shared" si="61"/>
        <v>3.7696801373990202E-2</v>
      </c>
      <c r="J216" s="17">
        <f t="shared" si="61"/>
        <v>3.6997983462353272E-2</v>
      </c>
      <c r="K216" s="17">
        <f t="shared" si="61"/>
        <v>3.6312120137201816E-2</v>
      </c>
      <c r="L216" s="17">
        <f t="shared" si="61"/>
        <v>3.5638971248264581E-2</v>
      </c>
      <c r="M216" s="17">
        <f t="shared" si="61"/>
        <v>3.4978301097141777E-2</v>
      </c>
      <c r="N216" s="17">
        <f t="shared" si="61"/>
        <v>3.4329878354776758E-2</v>
      </c>
      <c r="O216" s="17">
        <f t="shared" si="61"/>
        <v>3.3693475980457861E-2</v>
      </c>
      <c r="P216" s="17">
        <f t="shared" si="61"/>
        <v>3.3068871142321689E-2</v>
      </c>
      <c r="Q216" s="17">
        <f t="shared" si="61"/>
        <v>3.2455845139330038E-2</v>
      </c>
      <c r="R216" s="17">
        <f t="shared" si="61"/>
        <v>3.1854183324693232E-2</v>
      </c>
      <c r="S216" s="17">
        <f t="shared" si="61"/>
        <v>3.1263675030713117E-2</v>
      </c>
      <c r="T216" s="17">
        <f t="shared" si="61"/>
        <v>3.0684113495019198E-2</v>
      </c>
      <c r="U216" s="17">
        <f t="shared" si="61"/>
        <v>3.0115295788172212E-2</v>
      </c>
      <c r="V216" s="17">
        <f t="shared" si="61"/>
        <v>2.9557022742609778E-2</v>
      </c>
      <c r="W216" s="17">
        <f t="shared" si="61"/>
        <v>2.9009098882909392E-2</v>
      </c>
      <c r="X216" s="17">
        <f t="shared" si="61"/>
        <v>2.8471332357343882E-2</v>
      </c>
      <c r="Y216" s="17">
        <f t="shared" si="61"/>
        <v>2.7943534870705992E-2</v>
      </c>
      <c r="Z216" s="17">
        <f t="shared" si="61"/>
        <v>2.7425521618378072E-2</v>
      </c>
      <c r="AA216" s="17">
        <f t="shared" si="61"/>
        <v>2.6917111221624046E-2</v>
      </c>
      <c r="AB216" s="17">
        <f t="shared" si="61"/>
        <v>2.6418125664080878E-2</v>
      </c>
      <c r="AC216" s="17">
        <f t="shared" si="61"/>
        <v>2.5928390229427455E-2</v>
      </c>
      <c r="AD216" s="17">
        <f t="shared" si="61"/>
        <v>2.5447733440208786E-2</v>
      </c>
      <c r="AE216" s="17">
        <f t="shared" si="61"/>
        <v>2.4975986997794446E-2</v>
      </c>
      <c r="AF216" s="17">
        <f t="shared" si="61"/>
        <v>2.4512985723449919E-2</v>
      </c>
      <c r="AG216" s="17">
        <f t="shared" si="61"/>
        <v>2.4058567500500481E-2</v>
      </c>
      <c r="AH216" s="17">
        <f t="shared" si="61"/>
        <v>2.3612573217567073E-2</v>
      </c>
      <c r="AI216" s="17">
        <f t="shared" si="61"/>
        <v>2.317484671285467E-2</v>
      </c>
      <c r="AJ216" s="122">
        <f t="shared" si="61"/>
        <v>2.2745234719473258E-2</v>
      </c>
    </row>
    <row r="217" spans="1:36" x14ac:dyDescent="0.2">
      <c r="A217" s="108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7"/>
      <c r="AA217" s="17"/>
      <c r="AB217" s="17"/>
      <c r="AC217" s="17"/>
      <c r="AD217" s="17"/>
      <c r="AE217" s="17"/>
      <c r="AF217" s="17"/>
      <c r="AG217" s="17"/>
      <c r="AH217" s="17"/>
      <c r="AI217" s="17"/>
      <c r="AJ217" s="122"/>
    </row>
    <row r="218" spans="1:36" x14ac:dyDescent="0.2">
      <c r="A218" s="184" t="s">
        <v>796</v>
      </c>
      <c r="B218" s="179"/>
      <c r="C218" s="179"/>
      <c r="D218" s="179"/>
      <c r="E218" s="179"/>
      <c r="F218" s="179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  <c r="AA218" s="214"/>
      <c r="AB218" s="214"/>
      <c r="AC218" s="214"/>
      <c r="AD218" s="214"/>
      <c r="AE218" s="214"/>
      <c r="AF218" s="214"/>
      <c r="AG218" s="214"/>
      <c r="AH218" s="214"/>
      <c r="AI218" s="214"/>
      <c r="AJ218" s="183"/>
    </row>
    <row r="219" spans="1:36" x14ac:dyDescent="0.2">
      <c r="A219" s="173" t="s">
        <v>797</v>
      </c>
      <c r="B219" t="s">
        <v>16</v>
      </c>
      <c r="G219" s="17">
        <f>$C$69*G102*C18</f>
        <v>181663.0515517077</v>
      </c>
      <c r="H219" s="17">
        <f t="shared" ref="H219:AJ219" si="62">$C$69*H102</f>
        <v>359728.8149538766</v>
      </c>
      <c r="I219" s="17">
        <f t="shared" si="62"/>
        <v>356167.14351868979</v>
      </c>
      <c r="J219" s="17">
        <f t="shared" si="62"/>
        <v>352640.73615711852</v>
      </c>
      <c r="K219" s="17">
        <f t="shared" si="62"/>
        <v>349149.24371991941</v>
      </c>
      <c r="L219" s="17">
        <f t="shared" si="62"/>
        <v>345692.32051477162</v>
      </c>
      <c r="M219" s="17">
        <f t="shared" si="62"/>
        <v>342269.62427205121</v>
      </c>
      <c r="N219" s="17">
        <f t="shared" si="62"/>
        <v>338880.8161109417</v>
      </c>
      <c r="O219" s="17">
        <f t="shared" si="62"/>
        <v>335525.56050588284</v>
      </c>
      <c r="P219" s="17">
        <f t="shared" si="62"/>
        <v>332203.52525334933</v>
      </c>
      <c r="Q219" s="17">
        <f t="shared" si="62"/>
        <v>328914.3814389598</v>
      </c>
      <c r="R219" s="17">
        <f t="shared" si="62"/>
        <v>325657.80340491072</v>
      </c>
      <c r="S219" s="17">
        <f t="shared" si="62"/>
        <v>322433.46871773334</v>
      </c>
      <c r="T219" s="17">
        <f t="shared" si="62"/>
        <v>319241.05813636963</v>
      </c>
      <c r="U219" s="17">
        <f t="shared" si="62"/>
        <v>316080.25558056409</v>
      </c>
      <c r="V219" s="17">
        <f t="shared" si="62"/>
        <v>312950.74809956824</v>
      </c>
      <c r="W219" s="17">
        <f t="shared" si="62"/>
        <v>309852.22584115667</v>
      </c>
      <c r="X219" s="17">
        <f t="shared" si="62"/>
        <v>306784.38202094723</v>
      </c>
      <c r="Y219" s="17">
        <f t="shared" si="62"/>
        <v>303746.912892027</v>
      </c>
      <c r="Z219" s="17">
        <f t="shared" si="62"/>
        <v>300739.51771487819</v>
      </c>
      <c r="AA219" s="17">
        <f t="shared" si="62"/>
        <v>297761.89872760221</v>
      </c>
      <c r="AB219" s="17">
        <f t="shared" si="62"/>
        <v>294813.76111643773</v>
      </c>
      <c r="AC219" s="17">
        <f t="shared" si="62"/>
        <v>291894.81298657204</v>
      </c>
      <c r="AD219" s="17">
        <f t="shared" si="62"/>
        <v>289004.76533323963</v>
      </c>
      <c r="AE219" s="17">
        <f t="shared" si="62"/>
        <v>286143.33201310848</v>
      </c>
      <c r="AF219" s="17">
        <f t="shared" si="62"/>
        <v>283310.22971594898</v>
      </c>
      <c r="AG219" s="17">
        <f t="shared" si="62"/>
        <v>280505.17793658329</v>
      </c>
      <c r="AH219" s="17">
        <f t="shared" si="62"/>
        <v>277727.89894711215</v>
      </c>
      <c r="AI219" s="17">
        <f t="shared" si="62"/>
        <v>274978.11776941794</v>
      </c>
      <c r="AJ219" s="122">
        <f t="shared" si="62"/>
        <v>272255.56214793853</v>
      </c>
    </row>
    <row r="220" spans="1:36" x14ac:dyDescent="0.2">
      <c r="A220" s="173" t="s">
        <v>790</v>
      </c>
      <c r="B220" t="s">
        <v>16</v>
      </c>
      <c r="G220" s="8">
        <f t="shared" ref="G220:AJ220" si="63">$C$74*G105</f>
        <v>2811947791.0318074</v>
      </c>
      <c r="H220" s="8">
        <f t="shared" si="63"/>
        <v>2836692931.5928874</v>
      </c>
      <c r="I220" s="8">
        <f t="shared" si="63"/>
        <v>2861655829.3909044</v>
      </c>
      <c r="J220" s="8">
        <f t="shared" si="63"/>
        <v>2886838400.6895442</v>
      </c>
      <c r="K220" s="8">
        <f t="shared" si="63"/>
        <v>2912242578.615612</v>
      </c>
      <c r="L220" s="8">
        <f t="shared" si="63"/>
        <v>2937870313.3074293</v>
      </c>
      <c r="M220" s="8">
        <f t="shared" si="63"/>
        <v>2963723572.0645347</v>
      </c>
      <c r="N220" s="8">
        <f t="shared" si="63"/>
        <v>2989804339.498702</v>
      </c>
      <c r="O220" s="8">
        <f t="shared" si="63"/>
        <v>3016114617.6862907</v>
      </c>
      <c r="P220" s="8">
        <f t="shared" si="63"/>
        <v>3042656426.3219304</v>
      </c>
      <c r="Q220" s="8">
        <f t="shared" si="63"/>
        <v>3069431802.8735623</v>
      </c>
      <c r="R220" s="8">
        <f t="shared" si="63"/>
        <v>3096442802.7388501</v>
      </c>
      <c r="S220" s="8">
        <f t="shared" si="63"/>
        <v>3123691499.4029522</v>
      </c>
      <c r="T220" s="8">
        <f t="shared" si="63"/>
        <v>3151179984.5976977</v>
      </c>
      <c r="U220" s="8">
        <f t="shared" si="63"/>
        <v>3178910368.4621568</v>
      </c>
      <c r="V220" s="8">
        <f t="shared" si="63"/>
        <v>3206884779.7046247</v>
      </c>
      <c r="W220" s="8">
        <f t="shared" si="63"/>
        <v>3235105365.7660246</v>
      </c>
      <c r="X220" s="8">
        <f t="shared" si="63"/>
        <v>3263574292.9847655</v>
      </c>
      <c r="Y220" s="8">
        <f t="shared" si="63"/>
        <v>3292293746.763031</v>
      </c>
      <c r="Z220" s="8">
        <f t="shared" si="63"/>
        <v>3321265931.7345457</v>
      </c>
      <c r="AA220" s="8">
        <f t="shared" si="63"/>
        <v>3350493071.9338088</v>
      </c>
      <c r="AB220" s="8">
        <f t="shared" si="63"/>
        <v>3379977410.9668264</v>
      </c>
      <c r="AC220" s="8">
        <f t="shared" si="63"/>
        <v>3409721212.1833348</v>
      </c>
      <c r="AD220" s="8">
        <f t="shared" si="63"/>
        <v>3439726758.8505478</v>
      </c>
      <c r="AE220" s="8">
        <f t="shared" si="63"/>
        <v>3469996354.3284321</v>
      </c>
      <c r="AF220" s="8">
        <f t="shared" si="63"/>
        <v>3500532322.2465229</v>
      </c>
      <c r="AG220" s="8">
        <f t="shared" si="63"/>
        <v>3531337006.682292</v>
      </c>
      <c r="AH220" s="8">
        <f t="shared" si="63"/>
        <v>3562412772.3410954</v>
      </c>
      <c r="AI220" s="8">
        <f t="shared" si="63"/>
        <v>3593762004.7376976</v>
      </c>
      <c r="AJ220" s="115">
        <f t="shared" si="63"/>
        <v>3625387110.3793888</v>
      </c>
    </row>
    <row r="221" spans="1:36" x14ac:dyDescent="0.2">
      <c r="A221" s="173" t="s">
        <v>964</v>
      </c>
      <c r="B221" t="s">
        <v>16</v>
      </c>
      <c r="G221" s="8">
        <f>(G219/G132)*G134</f>
        <v>63335658530.316208</v>
      </c>
      <c r="H221" s="8">
        <f t="shared" ref="H221:AJ221" si="64">(H219/H132)*H134</f>
        <v>63893012325.382988</v>
      </c>
      <c r="I221" s="8">
        <f t="shared" si="64"/>
        <v>64455270833.846352</v>
      </c>
      <c r="J221" s="8">
        <f t="shared" si="64"/>
        <v>65022477217.184196</v>
      </c>
      <c r="K221" s="8">
        <f t="shared" si="64"/>
        <v>65594675016.695427</v>
      </c>
      <c r="L221" s="8">
        <f t="shared" si="64"/>
        <v>66171908156.842346</v>
      </c>
      <c r="M221" s="8">
        <f t="shared" si="64"/>
        <v>66754220948.622543</v>
      </c>
      <c r="N221" s="8">
        <f t="shared" si="64"/>
        <v>67341658092.970413</v>
      </c>
      <c r="O221" s="8">
        <f t="shared" si="64"/>
        <v>67934264684.18856</v>
      </c>
      <c r="P221" s="8">
        <f t="shared" si="64"/>
        <v>68532086213.409416</v>
      </c>
      <c r="Q221" s="8">
        <f t="shared" si="64"/>
        <v>69135168572.087402</v>
      </c>
      <c r="R221" s="8">
        <f t="shared" si="64"/>
        <v>69743558055.52179</v>
      </c>
      <c r="S221" s="8">
        <f t="shared" si="64"/>
        <v>70357301366.410385</v>
      </c>
      <c r="T221" s="8">
        <f t="shared" si="64"/>
        <v>70976445618.434784</v>
      </c>
      <c r="U221" s="8">
        <f t="shared" si="64"/>
        <v>71601038339.876999</v>
      </c>
      <c r="V221" s="8">
        <f t="shared" si="64"/>
        <v>72231127477.267914</v>
      </c>
      <c r="W221" s="8">
        <f t="shared" si="64"/>
        <v>72866761399.067856</v>
      </c>
      <c r="X221" s="8">
        <f t="shared" si="64"/>
        <v>73507988899.379669</v>
      </c>
      <c r="Y221" s="8">
        <f t="shared" si="64"/>
        <v>74154859201.694199</v>
      </c>
      <c r="Z221" s="8">
        <f t="shared" si="64"/>
        <v>74807421962.669098</v>
      </c>
      <c r="AA221" s="8">
        <f t="shared" si="64"/>
        <v>75465727275.940567</v>
      </c>
      <c r="AB221" s="8">
        <f t="shared" si="64"/>
        <v>76129825675.968842</v>
      </c>
      <c r="AC221" s="8">
        <f t="shared" si="64"/>
        <v>76799768141.917374</v>
      </c>
      <c r="AD221" s="8">
        <f t="shared" si="64"/>
        <v>77475606101.566238</v>
      </c>
      <c r="AE221" s="8">
        <f t="shared" si="64"/>
        <v>78157391435.26001</v>
      </c>
      <c r="AF221" s="8">
        <f t="shared" si="64"/>
        <v>78845176479.89032</v>
      </c>
      <c r="AG221" s="8">
        <f t="shared" si="64"/>
        <v>79539014032.913345</v>
      </c>
      <c r="AH221" s="8">
        <f t="shared" si="64"/>
        <v>80238957356.402969</v>
      </c>
      <c r="AI221" s="8">
        <f t="shared" si="64"/>
        <v>80945060181.139313</v>
      </c>
      <c r="AJ221" s="8">
        <f t="shared" si="64"/>
        <v>81657376710.733337</v>
      </c>
    </row>
    <row r="222" spans="1:36" x14ac:dyDescent="0.2">
      <c r="A222" s="173" t="s">
        <v>958</v>
      </c>
      <c r="B222" t="s">
        <v>16</v>
      </c>
      <c r="G222" s="8">
        <f>G220-G221</f>
        <v>-60523710739.284401</v>
      </c>
      <c r="H222" s="8">
        <f>H220-H221</f>
        <v>-61056319393.7901</v>
      </c>
      <c r="I222" s="8">
        <f t="shared" ref="I222:AJ222" si="65">I220-I221</f>
        <v>-61593615004.455444</v>
      </c>
      <c r="J222" s="8">
        <f t="shared" si="65"/>
        <v>-62135638816.494652</v>
      </c>
      <c r="K222" s="8">
        <f t="shared" si="65"/>
        <v>-62682432438.079819</v>
      </c>
      <c r="L222" s="8">
        <f t="shared" si="65"/>
        <v>-63234037843.53492</v>
      </c>
      <c r="M222" s="8">
        <f t="shared" si="65"/>
        <v>-63790497376.558006</v>
      </c>
      <c r="N222" s="8">
        <f t="shared" si="65"/>
        <v>-64351853753.47171</v>
      </c>
      <c r="O222" s="8">
        <f t="shared" si="65"/>
        <v>-64918150066.502274</v>
      </c>
      <c r="P222" s="8">
        <f t="shared" si="65"/>
        <v>-65489429787.087486</v>
      </c>
      <c r="Q222" s="8">
        <f t="shared" si="65"/>
        <v>-66065736769.213837</v>
      </c>
      <c r="R222" s="8">
        <f t="shared" si="65"/>
        <v>-66647115252.782936</v>
      </c>
      <c r="S222" s="8">
        <f t="shared" si="65"/>
        <v>-67233609867.007431</v>
      </c>
      <c r="T222" s="8">
        <f t="shared" si="65"/>
        <v>-67825265633.83709</v>
      </c>
      <c r="U222" s="8">
        <f t="shared" si="65"/>
        <v>-68422127971.414841</v>
      </c>
      <c r="V222" s="8">
        <f t="shared" si="65"/>
        <v>-69024242697.563293</v>
      </c>
      <c r="W222" s="8">
        <f t="shared" si="65"/>
        <v>-69631656033.301834</v>
      </c>
      <c r="X222" s="8">
        <f t="shared" si="65"/>
        <v>-70244414606.394897</v>
      </c>
      <c r="Y222" s="8">
        <f t="shared" si="65"/>
        <v>-70862565454.931168</v>
      </c>
      <c r="Z222" s="8">
        <f t="shared" si="65"/>
        <v>-71486156030.934555</v>
      </c>
      <c r="AA222" s="8">
        <f t="shared" si="65"/>
        <v>-72115234204.00676</v>
      </c>
      <c r="AB222" s="8">
        <f t="shared" si="65"/>
        <v>-72749848265.002014</v>
      </c>
      <c r="AC222" s="8">
        <f t="shared" si="65"/>
        <v>-73390046929.734039</v>
      </c>
      <c r="AD222" s="8">
        <f t="shared" si="65"/>
        <v>-74035879342.715698</v>
      </c>
      <c r="AE222" s="8">
        <f t="shared" si="65"/>
        <v>-74687395080.93158</v>
      </c>
      <c r="AF222" s="8">
        <f t="shared" si="65"/>
        <v>-75344644157.643799</v>
      </c>
      <c r="AG222" s="8">
        <f t="shared" si="65"/>
        <v>-76007677026.231049</v>
      </c>
      <c r="AH222" s="8">
        <f t="shared" si="65"/>
        <v>-76676544584.061874</v>
      </c>
      <c r="AI222" s="8">
        <f t="shared" si="65"/>
        <v>-77351298176.401611</v>
      </c>
      <c r="AJ222" s="8">
        <f t="shared" si="65"/>
        <v>-78031989600.353943</v>
      </c>
    </row>
    <row r="223" spans="1:36" x14ac:dyDescent="0.2">
      <c r="A223" s="108" t="s">
        <v>799</v>
      </c>
      <c r="B223" t="s">
        <v>537</v>
      </c>
      <c r="C223" t="s">
        <v>781</v>
      </c>
      <c r="G223" s="36">
        <f t="shared" ref="G223:AJ223" si="66">IF(G222&lt;0,(G219/G220*(G220/G221)*G109),G219/G220*G109)</f>
        <v>2.2946069341302007</v>
      </c>
      <c r="H223" s="36">
        <f t="shared" si="66"/>
        <v>4.5041396780219234</v>
      </c>
      <c r="I223" s="36">
        <f t="shared" si="66"/>
        <v>4.4206425809528858</v>
      </c>
      <c r="J223" s="36">
        <f t="shared" si="66"/>
        <v>4.3386933411257029</v>
      </c>
      <c r="K223" s="36">
        <f t="shared" si="66"/>
        <v>4.2582632645842367</v>
      </c>
      <c r="L223" s="36">
        <f t="shared" si="66"/>
        <v>4.1793241892967981</v>
      </c>
      <c r="M223" s="36">
        <f t="shared" si="66"/>
        <v>4.1018484752954203</v>
      </c>
      <c r="N223" s="36">
        <f t="shared" si="66"/>
        <v>4.0258089949978988</v>
      </c>
      <c r="O223" s="36">
        <f t="shared" si="66"/>
        <v>3.9511791237092782</v>
      </c>
      <c r="P223" s="36">
        <f t="shared" si="66"/>
        <v>3.8779327302993831</v>
      </c>
      <c r="Q223" s="36">
        <f t="shared" si="66"/>
        <v>3.8060441680531958</v>
      </c>
      <c r="R223" s="36">
        <f t="shared" si="66"/>
        <v>3.7354882656908264</v>
      </c>
      <c r="S223" s="36">
        <f t="shared" si="66"/>
        <v>3.6662403185539785</v>
      </c>
      <c r="T223" s="36">
        <f t="shared" si="66"/>
        <v>3.5982760799557743</v>
      </c>
      <c r="U223" s="36">
        <f t="shared" si="66"/>
        <v>3.5315717526909496</v>
      </c>
      <c r="V223" s="36">
        <f t="shared" si="66"/>
        <v>3.4661039807034215</v>
      </c>
      <c r="W223" s="36">
        <f t="shared" si="66"/>
        <v>3.4018498409083455</v>
      </c>
      <c r="X223" s="36">
        <f t="shared" si="66"/>
        <v>3.3387868351657346</v>
      </c>
      <c r="Y223" s="36">
        <f t="shared" si="66"/>
        <v>3.2768928824029091</v>
      </c>
      <c r="Z223" s="36">
        <f t="shared" si="66"/>
        <v>3.2161463108829516</v>
      </c>
      <c r="AA223" s="36">
        <f t="shared" si="66"/>
        <v>3.156525850616509</v>
      </c>
      <c r="AB223" s="36">
        <f t="shared" si="66"/>
        <v>3.0980106259142399</v>
      </c>
      <c r="AC223" s="36">
        <f t="shared" si="66"/>
        <v>3.0405801480773547</v>
      </c>
      <c r="AD223" s="36">
        <f t="shared" si="66"/>
        <v>2.9842143082236272</v>
      </c>
      <c r="AE223" s="36">
        <f t="shared" si="66"/>
        <v>2.9288933702464122</v>
      </c>
      <c r="AF223" s="36">
        <f t="shared" si="66"/>
        <v>2.874597963904189</v>
      </c>
      <c r="AG223" s="36">
        <f t="shared" si="66"/>
        <v>2.8213090780382051</v>
      </c>
      <c r="AH223" s="36">
        <f t="shared" si="66"/>
        <v>2.7690080539158433</v>
      </c>
      <c r="AI223" s="36">
        <f t="shared" si="66"/>
        <v>2.717676578697406</v>
      </c>
      <c r="AJ223" s="36">
        <f t="shared" si="66"/>
        <v>2.6672966790240009</v>
      </c>
    </row>
    <row r="224" spans="1:36" ht="16" thickBot="1" x14ac:dyDescent="0.25">
      <c r="A224" s="34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37"/>
    </row>
    <row r="225" spans="1:3" x14ac:dyDescent="0.2">
      <c r="A225" s="10"/>
      <c r="B225" s="11"/>
      <c r="C225" s="19"/>
    </row>
    <row r="226" spans="1:3" x14ac:dyDescent="0.2">
      <c r="A226" s="108" t="s">
        <v>555</v>
      </c>
      <c r="B226" s="36">
        <f>SUM(D112:F112,G123:AJ123,G135:AJ135,G140:AJ140,G147:AJ147,G216:AJ216,G152:AJ152,G156:AJ156,G160:AJ160,G165:AJ165,G169:AJ169,G173:AJ173,G177:AJ177,G182:AJ182,G186:AJ186,G193:AJ193,G199:AJ199,G208:AJ208,G214:AJ215,G223:AJ223)</f>
        <v>82237.532777957385</v>
      </c>
      <c r="C226" s="29" t="s">
        <v>537</v>
      </c>
    </row>
    <row r="227" spans="1:3" ht="16" thickBot="1" x14ac:dyDescent="0.25">
      <c r="A227" s="34"/>
      <c r="B227" s="12"/>
      <c r="C227" s="37"/>
    </row>
  </sheetData>
  <mergeCells count="14">
    <mergeCell ref="F1:J1"/>
    <mergeCell ref="A20:C20"/>
    <mergeCell ref="A98:C98"/>
    <mergeCell ref="A25:C25"/>
    <mergeCell ref="A32:C32"/>
    <mergeCell ref="A1:C1"/>
    <mergeCell ref="A8:C8"/>
    <mergeCell ref="A12:C12"/>
    <mergeCell ref="A3:C3"/>
    <mergeCell ref="A38:C38"/>
    <mergeCell ref="A47:C47"/>
    <mergeCell ref="A58:C58"/>
    <mergeCell ref="A65:C65"/>
    <mergeCell ref="A76:C76"/>
  </mergeCell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5E7A6-03BE-3E44-B74D-CF3E89FCF162}">
  <sheetPr codeName="Sheet10"/>
  <dimension ref="A1:AL198"/>
  <sheetViews>
    <sheetView zoomScale="150" zoomScaleNormal="150" workbookViewId="0">
      <selection activeCell="I2" sqref="I2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4.6640625" bestFit="1" customWidth="1"/>
  </cols>
  <sheetData>
    <row r="1" spans="1:12" ht="23" thickBot="1" x14ac:dyDescent="0.35">
      <c r="A1" s="516" t="s">
        <v>545</v>
      </c>
      <c r="B1" s="517"/>
      <c r="C1" s="518"/>
      <c r="F1" s="519" t="s">
        <v>748</v>
      </c>
      <c r="G1" s="520"/>
      <c r="H1" s="520"/>
      <c r="I1" s="520"/>
      <c r="J1" s="521"/>
    </row>
    <row r="2" spans="1:12" x14ac:dyDescent="0.2">
      <c r="A2" s="10"/>
      <c r="B2" s="11"/>
      <c r="C2" s="19"/>
      <c r="F2" s="160" t="s">
        <v>29</v>
      </c>
      <c r="G2" s="151">
        <v>1.0206976000000001E-3</v>
      </c>
      <c r="H2" s="152" t="s">
        <v>216</v>
      </c>
      <c r="I2" s="153">
        <f>G2*C$21</f>
        <v>521525.03661234188</v>
      </c>
      <c r="J2" s="19" t="s">
        <v>673</v>
      </c>
      <c r="L2" s="75"/>
    </row>
    <row r="3" spans="1:12" x14ac:dyDescent="0.2">
      <c r="A3" s="513" t="s">
        <v>540</v>
      </c>
      <c r="B3" s="514"/>
      <c r="C3" s="515"/>
      <c r="F3" s="165" t="s">
        <v>30</v>
      </c>
      <c r="G3" s="70">
        <v>1.9265607541666659E-10</v>
      </c>
      <c r="H3" s="25" t="s">
        <v>217</v>
      </c>
      <c r="I3" s="16">
        <f>G3*C$21</f>
        <v>9.8437545836560336E-2</v>
      </c>
      <c r="J3" s="29" t="s">
        <v>674</v>
      </c>
    </row>
    <row r="4" spans="1:12" x14ac:dyDescent="0.2">
      <c r="A4" s="26" t="s">
        <v>535</v>
      </c>
      <c r="B4" s="146"/>
      <c r="C4" s="106">
        <f>Variables!F9</f>
        <v>8300000000</v>
      </c>
      <c r="F4" s="161" t="s">
        <v>31</v>
      </c>
      <c r="G4" s="1">
        <v>4.4073889791666675E-2</v>
      </c>
      <c r="H4" s="25" t="s">
        <v>218</v>
      </c>
      <c r="I4" s="16">
        <f>G4*C$21</f>
        <v>22519536.625977449</v>
      </c>
      <c r="J4" s="29" t="s">
        <v>675</v>
      </c>
    </row>
    <row r="5" spans="1:12" x14ac:dyDescent="0.2">
      <c r="A5" s="26" t="s">
        <v>541</v>
      </c>
      <c r="B5" s="146" t="s">
        <v>542</v>
      </c>
      <c r="C5" s="255">
        <f>Variables!F10</f>
        <v>8.8000000000000005E-3</v>
      </c>
      <c r="F5" s="161" t="s">
        <v>211</v>
      </c>
      <c r="G5" s="70">
        <v>2.1861800608333306E-7</v>
      </c>
      <c r="H5" s="25" t="s">
        <v>219</v>
      </c>
      <c r="I5" s="16">
        <f>G5*C$21</f>
        <v>111.70278408289334</v>
      </c>
      <c r="J5" s="29" t="s">
        <v>676</v>
      </c>
    </row>
    <row r="6" spans="1:12" x14ac:dyDescent="0.2">
      <c r="A6" s="252"/>
      <c r="B6" s="146"/>
      <c r="C6" s="253"/>
      <c r="F6" s="161" t="s">
        <v>212</v>
      </c>
      <c r="G6" s="70">
        <v>1.3916278666666669E-3</v>
      </c>
      <c r="H6" s="25" t="s">
        <v>220</v>
      </c>
      <c r="I6" s="16">
        <f>G6*C$21</f>
        <v>711051.71023630176</v>
      </c>
      <c r="J6" s="29" t="s">
        <v>677</v>
      </c>
    </row>
    <row r="7" spans="1:12" x14ac:dyDescent="0.2">
      <c r="A7" s="22"/>
      <c r="C7" s="23"/>
      <c r="F7" s="166" t="s">
        <v>32</v>
      </c>
      <c r="G7" s="1">
        <v>7.5286264041666662E-2</v>
      </c>
      <c r="H7" s="25" t="s">
        <v>221</v>
      </c>
      <c r="I7" s="16">
        <f>C21*G7</f>
        <v>38467486.952782728</v>
      </c>
      <c r="J7" s="29" t="s">
        <v>678</v>
      </c>
    </row>
    <row r="8" spans="1:12" x14ac:dyDescent="0.2">
      <c r="A8" s="522" t="s">
        <v>536</v>
      </c>
      <c r="B8" s="523"/>
      <c r="C8" s="524"/>
      <c r="F8" s="165" t="s">
        <v>213</v>
      </c>
      <c r="G8" s="70">
        <v>1.2242526725833333E-9</v>
      </c>
      <c r="H8" s="25" t="s">
        <v>217</v>
      </c>
      <c r="I8" s="181">
        <f>G8*C$21</f>
        <v>0.62553142075750967</v>
      </c>
      <c r="J8" s="29" t="s">
        <v>674</v>
      </c>
    </row>
    <row r="9" spans="1:12" x14ac:dyDescent="0.2">
      <c r="A9" s="32" t="s">
        <v>536</v>
      </c>
      <c r="B9" s="3"/>
      <c r="C9" s="170">
        <f>Variables!F11</f>
        <v>0.01</v>
      </c>
      <c r="F9" s="158" t="s">
        <v>33</v>
      </c>
      <c r="G9" s="70">
        <v>2.3917820524999979E-10</v>
      </c>
      <c r="H9" s="25" t="s">
        <v>222</v>
      </c>
      <c r="I9" s="16">
        <f>G9*C$21</f>
        <v>0.12220800974733394</v>
      </c>
      <c r="J9" s="29" t="s">
        <v>679</v>
      </c>
    </row>
    <row r="10" spans="1:12" x14ac:dyDescent="0.2">
      <c r="A10" s="32" t="s">
        <v>1</v>
      </c>
      <c r="B10" s="3" t="s">
        <v>2</v>
      </c>
      <c r="C10" s="256">
        <f>Variables!F12</f>
        <v>8000</v>
      </c>
      <c r="F10" s="158" t="s">
        <v>214</v>
      </c>
      <c r="G10" s="70">
        <v>1.8069766666666668E-4</v>
      </c>
      <c r="H10" s="25" t="s">
        <v>223</v>
      </c>
      <c r="I10" s="16">
        <f>G10*C$21</f>
        <v>92327.401596807991</v>
      </c>
      <c r="J10" s="29" t="s">
        <v>680</v>
      </c>
    </row>
    <row r="11" spans="1:12" ht="16" thickBot="1" x14ac:dyDescent="0.25">
      <c r="A11" s="22"/>
      <c r="C11" s="35"/>
      <c r="F11" s="159" t="s">
        <v>215</v>
      </c>
      <c r="G11" s="154">
        <v>3.4218836249999995E-2</v>
      </c>
      <c r="H11" s="155" t="s">
        <v>224</v>
      </c>
      <c r="I11" s="156">
        <f>G11*C$21</f>
        <v>17484100.901298266</v>
      </c>
      <c r="J11" s="37" t="s">
        <v>681</v>
      </c>
    </row>
    <row r="12" spans="1:12" x14ac:dyDescent="0.2">
      <c r="A12" s="525" t="s">
        <v>544</v>
      </c>
      <c r="B12" s="526"/>
      <c r="C12" s="527"/>
    </row>
    <row r="13" spans="1:12" x14ac:dyDescent="0.2">
      <c r="A13" s="41" t="s">
        <v>20</v>
      </c>
      <c r="B13" s="145"/>
      <c r="C13" s="42">
        <v>3</v>
      </c>
    </row>
    <row r="14" spans="1:12" x14ac:dyDescent="0.2">
      <c r="A14" s="41"/>
      <c r="B14" s="145" t="s">
        <v>21</v>
      </c>
      <c r="C14" s="43">
        <v>0.1</v>
      </c>
    </row>
    <row r="15" spans="1:12" x14ac:dyDescent="0.2">
      <c r="A15" s="41"/>
      <c r="B15" s="145" t="s">
        <v>22</v>
      </c>
      <c r="C15" s="43">
        <v>0.5</v>
      </c>
    </row>
    <row r="16" spans="1:12" x14ac:dyDescent="0.2">
      <c r="A16" s="41"/>
      <c r="B16" s="145" t="s">
        <v>23</v>
      </c>
      <c r="C16" s="43">
        <v>0.4</v>
      </c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259">
        <f>Variables!F13</f>
        <v>0.5</v>
      </c>
    </row>
    <row r="19" spans="1:8" x14ac:dyDescent="0.2">
      <c r="A19" s="22"/>
      <c r="C19" s="29"/>
    </row>
    <row r="20" spans="1:8" x14ac:dyDescent="0.2">
      <c r="A20" s="537" t="s">
        <v>571</v>
      </c>
      <c r="B20" s="538"/>
      <c r="C20" s="539"/>
    </row>
    <row r="21" spans="1:8" x14ac:dyDescent="0.2">
      <c r="A21" s="44" t="s">
        <v>533</v>
      </c>
      <c r="B21" s="147" t="s">
        <v>530</v>
      </c>
      <c r="C21" s="105">
        <f>PSI_OC!A9</f>
        <v>510949606.0462392</v>
      </c>
    </row>
    <row r="22" spans="1:8" x14ac:dyDescent="0.2">
      <c r="A22" s="44" t="s">
        <v>722</v>
      </c>
      <c r="B22" s="147" t="s">
        <v>546</v>
      </c>
      <c r="C22" s="105">
        <f>Variables!F16</f>
        <v>294000</v>
      </c>
    </row>
    <row r="23" spans="1:8" x14ac:dyDescent="0.2">
      <c r="A23" s="44" t="s">
        <v>1101</v>
      </c>
      <c r="B23" s="147" t="s">
        <v>546</v>
      </c>
      <c r="C23" s="105">
        <f>Variables!F19</f>
        <v>4161</v>
      </c>
    </row>
    <row r="24" spans="1:8" x14ac:dyDescent="0.2">
      <c r="A24" s="44"/>
      <c r="B24" s="147"/>
      <c r="C24" s="105"/>
    </row>
    <row r="25" spans="1:8" x14ac:dyDescent="0.2">
      <c r="A25" s="22"/>
      <c r="C25" s="31"/>
    </row>
    <row r="26" spans="1:8" x14ac:dyDescent="0.2">
      <c r="A26" s="540" t="s">
        <v>572</v>
      </c>
      <c r="B26" s="541"/>
      <c r="C26" s="542"/>
    </row>
    <row r="27" spans="1:8" x14ac:dyDescent="0.2">
      <c r="A27" s="53" t="s">
        <v>550</v>
      </c>
      <c r="B27" s="2" t="s">
        <v>531</v>
      </c>
      <c r="C27" s="107">
        <f>I7*-1</f>
        <v>-38467486.952782728</v>
      </c>
      <c r="H27" s="17"/>
    </row>
    <row r="28" spans="1:8" x14ac:dyDescent="0.2">
      <c r="A28" s="53"/>
      <c r="B28" s="2"/>
      <c r="C28" s="28"/>
    </row>
    <row r="29" spans="1:8" x14ac:dyDescent="0.2">
      <c r="A29" s="27" t="s">
        <v>547</v>
      </c>
      <c r="B29" s="2" t="s">
        <v>531</v>
      </c>
      <c r="C29" s="107">
        <f>Variables!F21</f>
        <v>2900000000000</v>
      </c>
    </row>
    <row r="30" spans="1:8" x14ac:dyDescent="0.2">
      <c r="A30" s="27" t="s">
        <v>548</v>
      </c>
      <c r="B30" s="2" t="s">
        <v>531</v>
      </c>
      <c r="C30" s="107">
        <f>Variables!F22</f>
        <v>3900000000000</v>
      </c>
      <c r="D30" s="17"/>
    </row>
    <row r="31" spans="1:8" x14ac:dyDescent="0.2">
      <c r="A31" s="27" t="s">
        <v>549</v>
      </c>
      <c r="B31" s="2" t="s">
        <v>531</v>
      </c>
      <c r="C31" s="107">
        <f>Variables!F23</f>
        <v>8750000000000</v>
      </c>
    </row>
    <row r="32" spans="1:8" x14ac:dyDescent="0.2">
      <c r="A32" s="22"/>
      <c r="C32" s="29"/>
    </row>
    <row r="33" spans="1:3" x14ac:dyDescent="0.2">
      <c r="A33" s="543" t="s">
        <v>672</v>
      </c>
      <c r="B33" s="544"/>
      <c r="C33" s="545"/>
    </row>
    <row r="34" spans="1:3" x14ac:dyDescent="0.2">
      <c r="A34" s="142" t="s">
        <v>33</v>
      </c>
      <c r="B34" s="144" t="s">
        <v>682</v>
      </c>
      <c r="C34" s="168">
        <f>I9</f>
        <v>0.12220800974733394</v>
      </c>
    </row>
    <row r="35" spans="1:3" x14ac:dyDescent="0.2">
      <c r="A35" s="142" t="s">
        <v>214</v>
      </c>
      <c r="B35" s="144" t="s">
        <v>683</v>
      </c>
      <c r="C35" s="168">
        <f>I10</f>
        <v>92327.401596807991</v>
      </c>
    </row>
    <row r="36" spans="1:3" x14ac:dyDescent="0.2">
      <c r="A36" s="142" t="s">
        <v>215</v>
      </c>
      <c r="B36" s="144" t="s">
        <v>681</v>
      </c>
      <c r="C36" s="168">
        <f>I11</f>
        <v>17484100.901298266</v>
      </c>
    </row>
    <row r="37" spans="1:3" x14ac:dyDescent="0.2">
      <c r="A37" s="142"/>
      <c r="B37" s="144"/>
      <c r="C37" s="143"/>
    </row>
    <row r="38" spans="1:3" x14ac:dyDescent="0.2">
      <c r="A38" s="142" t="s">
        <v>699</v>
      </c>
      <c r="B38" s="144" t="s">
        <v>690</v>
      </c>
      <c r="C38" s="150">
        <f>Variables!F26</f>
        <v>2860000000000000</v>
      </c>
    </row>
    <row r="39" spans="1:3" x14ac:dyDescent="0.2">
      <c r="A39" s="142" t="s">
        <v>700</v>
      </c>
      <c r="B39" s="144" t="s">
        <v>691</v>
      </c>
      <c r="C39" s="150">
        <f>Variables!F27</f>
        <v>5.25</v>
      </c>
    </row>
    <row r="40" spans="1:3" x14ac:dyDescent="0.2">
      <c r="A40" s="142" t="s">
        <v>701</v>
      </c>
      <c r="B40" s="144" t="s">
        <v>692</v>
      </c>
      <c r="C40" s="150">
        <f>Variables!F28</f>
        <v>52.32</v>
      </c>
    </row>
    <row r="41" spans="1:3" x14ac:dyDescent="0.2">
      <c r="A41" s="22"/>
      <c r="C41" s="29"/>
    </row>
    <row r="42" spans="1:3" x14ac:dyDescent="0.2">
      <c r="A42" s="546" t="s">
        <v>730</v>
      </c>
      <c r="B42" s="547"/>
      <c r="C42" s="548"/>
    </row>
    <row r="43" spans="1:3" x14ac:dyDescent="0.2">
      <c r="A43" s="32" t="s">
        <v>29</v>
      </c>
      <c r="B43" s="3" t="s">
        <v>689</v>
      </c>
      <c r="C43" s="162">
        <f>I2</f>
        <v>521525.03661234188</v>
      </c>
    </row>
    <row r="44" spans="1:3" x14ac:dyDescent="0.2">
      <c r="A44" s="32" t="s">
        <v>31</v>
      </c>
      <c r="B44" s="3" t="s">
        <v>688</v>
      </c>
      <c r="C44" s="162">
        <f>I4</f>
        <v>22519536.625977449</v>
      </c>
    </row>
    <row r="45" spans="1:3" x14ac:dyDescent="0.2">
      <c r="A45" s="32" t="s">
        <v>684</v>
      </c>
      <c r="B45" s="3" t="s">
        <v>687</v>
      </c>
      <c r="C45" s="162">
        <f>I5</f>
        <v>111.70278408289334</v>
      </c>
    </row>
    <row r="46" spans="1:3" x14ac:dyDescent="0.2">
      <c r="A46" s="32" t="s">
        <v>685</v>
      </c>
      <c r="B46" s="3" t="s">
        <v>686</v>
      </c>
      <c r="C46" s="162">
        <f>I6</f>
        <v>711051.71023630176</v>
      </c>
    </row>
    <row r="47" spans="1:3" x14ac:dyDescent="0.2">
      <c r="A47" s="32"/>
      <c r="B47" s="3"/>
      <c r="C47" s="119"/>
    </row>
    <row r="48" spans="1:3" x14ac:dyDescent="0.2">
      <c r="A48" s="32" t="s">
        <v>702</v>
      </c>
      <c r="B48" s="3" t="s">
        <v>693</v>
      </c>
      <c r="C48" s="256">
        <f>Variables!F29</f>
        <v>20.93</v>
      </c>
    </row>
    <row r="49" spans="1:3" x14ac:dyDescent="0.2">
      <c r="A49" s="32" t="s">
        <v>703</v>
      </c>
      <c r="B49" s="3" t="s">
        <v>694</v>
      </c>
      <c r="C49" s="256">
        <f>Variables!F30</f>
        <v>12805</v>
      </c>
    </row>
    <row r="50" spans="1:3" x14ac:dyDescent="0.2">
      <c r="A50" s="32" t="s">
        <v>704</v>
      </c>
      <c r="B50" s="3" t="s">
        <v>695</v>
      </c>
      <c r="C50" s="256">
        <f>Variables!F31</f>
        <v>1.28</v>
      </c>
    </row>
    <row r="51" spans="1:3" x14ac:dyDescent="0.2">
      <c r="A51" s="32" t="s">
        <v>705</v>
      </c>
      <c r="B51" s="3" t="s">
        <v>696</v>
      </c>
      <c r="C51" s="256">
        <f>Variables!F32</f>
        <v>4402.4399999999996</v>
      </c>
    </row>
    <row r="52" spans="1:3" x14ac:dyDescent="0.2">
      <c r="A52" s="22"/>
      <c r="C52" s="29"/>
    </row>
    <row r="53" spans="1:3" x14ac:dyDescent="0.2">
      <c r="A53" s="549" t="s">
        <v>740</v>
      </c>
      <c r="B53" s="550"/>
      <c r="C53" s="551"/>
    </row>
    <row r="54" spans="1:3" x14ac:dyDescent="0.2">
      <c r="A54" s="163" t="s">
        <v>30</v>
      </c>
      <c r="B54" s="30" t="s">
        <v>698</v>
      </c>
      <c r="C54" s="164">
        <f>I3</f>
        <v>9.8437545836560336E-2</v>
      </c>
    </row>
    <row r="55" spans="1:3" x14ac:dyDescent="0.2">
      <c r="A55" s="163" t="s">
        <v>697</v>
      </c>
      <c r="B55" s="30" t="s">
        <v>708</v>
      </c>
      <c r="C55" s="164">
        <f>I8</f>
        <v>0.62553142075750967</v>
      </c>
    </row>
    <row r="56" spans="1:3" x14ac:dyDescent="0.2">
      <c r="A56" s="163"/>
      <c r="B56" s="30"/>
      <c r="C56" s="117"/>
    </row>
    <row r="57" spans="1:3" x14ac:dyDescent="0.2">
      <c r="A57" s="163" t="s">
        <v>706</v>
      </c>
      <c r="B57" s="30" t="s">
        <v>725</v>
      </c>
      <c r="C57" s="258">
        <f>Variables!F33</f>
        <v>1</v>
      </c>
    </row>
    <row r="58" spans="1:3" x14ac:dyDescent="0.2">
      <c r="A58" s="163" t="s">
        <v>707</v>
      </c>
      <c r="B58" s="30" t="s">
        <v>725</v>
      </c>
      <c r="C58" s="258">
        <f>Variables!F34</f>
        <v>1</v>
      </c>
    </row>
    <row r="59" spans="1:3" x14ac:dyDescent="0.2">
      <c r="A59" s="22"/>
      <c r="C59" s="29"/>
    </row>
    <row r="60" spans="1:3" x14ac:dyDescent="0.2">
      <c r="A60" s="528" t="s">
        <v>788</v>
      </c>
      <c r="B60" s="529"/>
      <c r="C60" s="530"/>
    </row>
    <row r="61" spans="1:3" x14ac:dyDescent="0.2">
      <c r="A61" s="178" t="s">
        <v>789</v>
      </c>
      <c r="B61" s="179" t="s">
        <v>793</v>
      </c>
      <c r="C61" s="182">
        <f>C27*0.000304*-1</f>
        <v>11694.116033645951</v>
      </c>
    </row>
    <row r="62" spans="1:3" x14ac:dyDescent="0.2">
      <c r="A62" s="179"/>
      <c r="B62" s="179"/>
      <c r="C62" s="183">
        <v>0</v>
      </c>
    </row>
    <row r="63" spans="1:3" x14ac:dyDescent="0.2">
      <c r="A63" s="178"/>
      <c r="B63" s="179"/>
      <c r="C63" s="183">
        <f>C62*0.15/1000</f>
        <v>0</v>
      </c>
    </row>
    <row r="64" spans="1:3" x14ac:dyDescent="0.2">
      <c r="A64" s="178"/>
      <c r="B64" s="179"/>
      <c r="C64" s="180"/>
    </row>
    <row r="65" spans="1:3" x14ac:dyDescent="0.2">
      <c r="A65" s="178" t="s">
        <v>791</v>
      </c>
      <c r="B65" s="179" t="s">
        <v>792</v>
      </c>
      <c r="C65" s="180">
        <v>1.73</v>
      </c>
    </row>
    <row r="66" spans="1:3" x14ac:dyDescent="0.2">
      <c r="A66" s="178" t="s">
        <v>752</v>
      </c>
      <c r="B66" s="179" t="s">
        <v>754</v>
      </c>
      <c r="C66" s="180">
        <v>3.0000000000000001E-3</v>
      </c>
    </row>
    <row r="67" spans="1:3" x14ac:dyDescent="0.2">
      <c r="A67" s="178" t="s">
        <v>756</v>
      </c>
      <c r="B67" s="179" t="s">
        <v>786</v>
      </c>
      <c r="C67" s="209">
        <f>Variables!F41</f>
        <v>230</v>
      </c>
    </row>
    <row r="68" spans="1:3" x14ac:dyDescent="0.2">
      <c r="A68" s="178"/>
      <c r="B68" s="179"/>
      <c r="C68" s="180"/>
    </row>
    <row r="69" spans="1:3" x14ac:dyDescent="0.2">
      <c r="A69" s="22"/>
      <c r="C69" s="29"/>
    </row>
    <row r="70" spans="1:3" x14ac:dyDescent="0.2">
      <c r="A70" s="531" t="s">
        <v>772</v>
      </c>
      <c r="B70" s="532"/>
      <c r="C70" s="533"/>
    </row>
    <row r="71" spans="1:3" x14ac:dyDescent="0.2">
      <c r="A71" s="175" t="s">
        <v>534</v>
      </c>
      <c r="B71" s="176" t="s">
        <v>210</v>
      </c>
      <c r="C71" s="177">
        <v>421</v>
      </c>
    </row>
    <row r="72" spans="1:3" x14ac:dyDescent="0.2">
      <c r="A72" s="175"/>
      <c r="B72" s="176"/>
      <c r="C72" s="177"/>
    </row>
    <row r="73" spans="1:3" x14ac:dyDescent="0.2">
      <c r="A73" s="175" t="s">
        <v>746</v>
      </c>
      <c r="B73" s="176" t="s">
        <v>761</v>
      </c>
      <c r="C73" s="177">
        <v>97</v>
      </c>
    </row>
    <row r="74" spans="1:3" x14ac:dyDescent="0.2">
      <c r="A74" s="175"/>
      <c r="B74" s="176" t="s">
        <v>210</v>
      </c>
      <c r="C74" s="177">
        <v>3</v>
      </c>
    </row>
    <row r="75" spans="1:3" x14ac:dyDescent="0.2">
      <c r="A75" s="175" t="s">
        <v>765</v>
      </c>
      <c r="B75" s="176" t="s">
        <v>761</v>
      </c>
      <c r="C75" s="177">
        <v>70</v>
      </c>
    </row>
    <row r="76" spans="1:3" x14ac:dyDescent="0.2">
      <c r="A76" s="175"/>
      <c r="B76" s="176" t="s">
        <v>210</v>
      </c>
      <c r="C76" s="177">
        <v>421</v>
      </c>
    </row>
    <row r="77" spans="1:3" x14ac:dyDescent="0.2">
      <c r="A77" s="175" t="s">
        <v>747</v>
      </c>
      <c r="B77" s="176" t="s">
        <v>761</v>
      </c>
      <c r="C77" s="177">
        <f>80000/(40*52)</f>
        <v>38.46153846153846</v>
      </c>
    </row>
    <row r="78" spans="1:3" x14ac:dyDescent="0.2">
      <c r="A78" s="175"/>
      <c r="B78" s="176" t="s">
        <v>210</v>
      </c>
      <c r="C78" s="177">
        <v>200</v>
      </c>
    </row>
    <row r="79" spans="1:3" x14ac:dyDescent="0.2">
      <c r="A79" s="175"/>
      <c r="B79" s="176"/>
      <c r="C79" s="177"/>
    </row>
    <row r="80" spans="1:3" x14ac:dyDescent="0.2">
      <c r="A80" s="175" t="s">
        <v>745</v>
      </c>
      <c r="B80" s="176" t="s">
        <v>761</v>
      </c>
      <c r="C80" s="177">
        <f>Variables!F35</f>
        <v>33</v>
      </c>
    </row>
    <row r="81" spans="1:36" x14ac:dyDescent="0.2">
      <c r="A81" s="175" t="s">
        <v>764</v>
      </c>
      <c r="B81" s="176" t="s">
        <v>761</v>
      </c>
      <c r="C81" s="177">
        <f>Variables!F36</f>
        <v>97</v>
      </c>
    </row>
    <row r="82" spans="1:36" x14ac:dyDescent="0.2">
      <c r="A82" s="175" t="s">
        <v>759</v>
      </c>
      <c r="B82" s="176" t="s">
        <v>210</v>
      </c>
      <c r="C82" s="177">
        <f>Variables!F37</f>
        <v>5900000000</v>
      </c>
    </row>
    <row r="83" spans="1:36" x14ac:dyDescent="0.2">
      <c r="A83" s="175"/>
      <c r="B83" s="176"/>
      <c r="C83" s="177"/>
    </row>
    <row r="84" spans="1:36" x14ac:dyDescent="0.2">
      <c r="A84" s="175" t="s">
        <v>762</v>
      </c>
      <c r="B84" s="176" t="s">
        <v>210</v>
      </c>
      <c r="C84" s="177">
        <f>C71</f>
        <v>421</v>
      </c>
    </row>
    <row r="85" spans="1:36" x14ac:dyDescent="0.2">
      <c r="A85" s="175" t="s">
        <v>763</v>
      </c>
      <c r="B85" s="176" t="s">
        <v>210</v>
      </c>
      <c r="C85" s="177">
        <v>421</v>
      </c>
    </row>
    <row r="86" spans="1:36" x14ac:dyDescent="0.2">
      <c r="A86" s="22"/>
      <c r="C86" s="29"/>
    </row>
    <row r="87" spans="1:36" ht="16" thickBot="1" x14ac:dyDescent="0.25">
      <c r="A87" s="34"/>
      <c r="B87" s="12"/>
      <c r="C87" s="37"/>
    </row>
    <row r="88" spans="1:36" x14ac:dyDescent="0.2">
      <c r="A88" s="113" t="s">
        <v>555</v>
      </c>
      <c r="B88" s="148">
        <f>B197</f>
        <v>-110604.81922074266</v>
      </c>
      <c r="C88" s="149" t="s">
        <v>537</v>
      </c>
    </row>
    <row r="89" spans="1:36" ht="16" thickBot="1" x14ac:dyDescent="0.25">
      <c r="A89" s="114"/>
      <c r="B89" s="126"/>
      <c r="C89" s="37"/>
    </row>
    <row r="91" spans="1:36" ht="16" thickBot="1" x14ac:dyDescent="0.25"/>
    <row r="92" spans="1:36" ht="23" thickBot="1" x14ac:dyDescent="0.35">
      <c r="A92" s="534" t="s">
        <v>532</v>
      </c>
      <c r="B92" s="535"/>
      <c r="C92" s="536"/>
    </row>
    <row r="93" spans="1:36" x14ac:dyDescent="0.2">
      <c r="A93" s="10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9"/>
    </row>
    <row r="94" spans="1:36" x14ac:dyDescent="0.2">
      <c r="A94" s="108" t="s">
        <v>539</v>
      </c>
      <c r="D94">
        <v>2026</v>
      </c>
      <c r="E94">
        <v>2027</v>
      </c>
      <c r="F94">
        <v>2028</v>
      </c>
      <c r="G94">
        <v>2029</v>
      </c>
      <c r="H94">
        <v>2030</v>
      </c>
      <c r="I94">
        <v>2031</v>
      </c>
      <c r="J94">
        <v>2032</v>
      </c>
      <c r="K94">
        <v>2033</v>
      </c>
      <c r="L94">
        <v>2034</v>
      </c>
      <c r="M94">
        <v>2035</v>
      </c>
      <c r="N94">
        <v>2036</v>
      </c>
      <c r="O94">
        <v>2037</v>
      </c>
      <c r="P94">
        <v>2038</v>
      </c>
      <c r="Q94">
        <v>2039</v>
      </c>
      <c r="R94">
        <v>2040</v>
      </c>
      <c r="S94">
        <v>2041</v>
      </c>
      <c r="T94">
        <v>2042</v>
      </c>
      <c r="U94">
        <v>2043</v>
      </c>
      <c r="V94">
        <v>2044</v>
      </c>
      <c r="W94">
        <v>2045</v>
      </c>
      <c r="X94">
        <v>2046</v>
      </c>
      <c r="Y94">
        <v>2047</v>
      </c>
      <c r="Z94">
        <v>2048</v>
      </c>
      <c r="AA94">
        <v>2049</v>
      </c>
      <c r="AB94">
        <v>2050</v>
      </c>
      <c r="AC94">
        <v>2051</v>
      </c>
      <c r="AD94">
        <v>2052</v>
      </c>
      <c r="AE94">
        <v>2053</v>
      </c>
      <c r="AF94">
        <v>2054</v>
      </c>
      <c r="AG94">
        <v>2055</v>
      </c>
      <c r="AH94">
        <v>2056</v>
      </c>
      <c r="AI94">
        <v>2057</v>
      </c>
      <c r="AJ94" s="29">
        <v>2058</v>
      </c>
    </row>
    <row r="95" spans="1:36" x14ac:dyDescent="0.2">
      <c r="A95" s="22" t="s">
        <v>563</v>
      </c>
      <c r="B95" t="s">
        <v>64</v>
      </c>
      <c r="D95">
        <v>-2</v>
      </c>
      <c r="E95">
        <v>-1</v>
      </c>
      <c r="F95">
        <v>0</v>
      </c>
      <c r="G95">
        <v>1</v>
      </c>
      <c r="H95">
        <v>2</v>
      </c>
      <c r="I95">
        <v>3</v>
      </c>
      <c r="J95">
        <v>4</v>
      </c>
      <c r="K95">
        <v>5</v>
      </c>
      <c r="L95">
        <v>6</v>
      </c>
      <c r="M95">
        <v>7</v>
      </c>
      <c r="N95">
        <v>8</v>
      </c>
      <c r="O95">
        <v>9</v>
      </c>
      <c r="P95">
        <v>10</v>
      </c>
      <c r="Q95">
        <v>11</v>
      </c>
      <c r="R95">
        <v>12</v>
      </c>
      <c r="S95">
        <v>13</v>
      </c>
      <c r="T95">
        <v>14</v>
      </c>
      <c r="U95">
        <v>15</v>
      </c>
      <c r="V95">
        <v>16</v>
      </c>
      <c r="W95">
        <v>17</v>
      </c>
      <c r="X95">
        <v>18</v>
      </c>
      <c r="Y95">
        <v>19</v>
      </c>
      <c r="Z95">
        <v>20</v>
      </c>
      <c r="AA95">
        <v>21</v>
      </c>
      <c r="AB95">
        <v>22</v>
      </c>
      <c r="AC95">
        <v>23</v>
      </c>
      <c r="AD95">
        <v>24</v>
      </c>
      <c r="AE95">
        <v>25</v>
      </c>
      <c r="AF95">
        <v>26</v>
      </c>
      <c r="AG95">
        <v>27</v>
      </c>
      <c r="AH95">
        <v>28</v>
      </c>
      <c r="AI95">
        <v>29</v>
      </c>
      <c r="AJ95" s="29">
        <v>30</v>
      </c>
    </row>
    <row r="96" spans="1:36" x14ac:dyDescent="0.2">
      <c r="A96" s="22" t="s">
        <v>207</v>
      </c>
      <c r="D96" s="36">
        <f>1/(1+$C$9)^D95</f>
        <v>1.0201</v>
      </c>
      <c r="E96" s="36">
        <f t="shared" ref="E96:AJ96" si="0">1/(1+$C$9)^E95</f>
        <v>1.01</v>
      </c>
      <c r="F96" s="36">
        <f t="shared" si="0"/>
        <v>1</v>
      </c>
      <c r="G96" s="36">
        <f t="shared" si="0"/>
        <v>0.99009900990099009</v>
      </c>
      <c r="H96" s="36">
        <f t="shared" si="0"/>
        <v>0.98029604940692083</v>
      </c>
      <c r="I96" s="36">
        <f t="shared" si="0"/>
        <v>0.97059014792764453</v>
      </c>
      <c r="J96" s="36">
        <f t="shared" si="0"/>
        <v>0.96098034448281622</v>
      </c>
      <c r="K96" s="36">
        <f t="shared" si="0"/>
        <v>0.95146568760674888</v>
      </c>
      <c r="L96" s="36">
        <f t="shared" si="0"/>
        <v>0.94204523525420658</v>
      </c>
      <c r="M96" s="36">
        <f t="shared" si="0"/>
        <v>0.93271805470713554</v>
      </c>
      <c r="N96" s="36">
        <f t="shared" si="0"/>
        <v>0.92348322248231218</v>
      </c>
      <c r="O96" s="36">
        <f t="shared" si="0"/>
        <v>0.91433982423991289</v>
      </c>
      <c r="P96" s="36">
        <f t="shared" si="0"/>
        <v>0.90528695469298315</v>
      </c>
      <c r="Q96" s="36">
        <f t="shared" si="0"/>
        <v>0.89632371751780526</v>
      </c>
      <c r="R96" s="36">
        <f t="shared" si="0"/>
        <v>0.88744922526515368</v>
      </c>
      <c r="S96" s="36">
        <f t="shared" si="0"/>
        <v>0.87866259927242929</v>
      </c>
      <c r="T96" s="36">
        <f t="shared" si="0"/>
        <v>0.86996296957666264</v>
      </c>
      <c r="U96" s="36">
        <f t="shared" si="0"/>
        <v>0.86134947482837909</v>
      </c>
      <c r="V96" s="36">
        <f t="shared" si="0"/>
        <v>0.8528212622063156</v>
      </c>
      <c r="W96" s="36">
        <f t="shared" si="0"/>
        <v>0.84437748733298568</v>
      </c>
      <c r="X96" s="36">
        <f t="shared" si="0"/>
        <v>0.83601731419107495</v>
      </c>
      <c r="Y96" s="36">
        <f t="shared" si="0"/>
        <v>0.82773991504066846</v>
      </c>
      <c r="Z96" s="36">
        <f t="shared" si="0"/>
        <v>0.81954447033729538</v>
      </c>
      <c r="AA96" s="36">
        <f t="shared" si="0"/>
        <v>0.81143016865078765</v>
      </c>
      <c r="AB96" s="36">
        <f t="shared" si="0"/>
        <v>0.80339620658493804</v>
      </c>
      <c r="AC96" s="36">
        <f t="shared" si="0"/>
        <v>0.79544178869795856</v>
      </c>
      <c r="AD96" s="36">
        <f t="shared" si="0"/>
        <v>0.78756612742372123</v>
      </c>
      <c r="AE96" s="36">
        <f t="shared" si="0"/>
        <v>0.77976844299378323</v>
      </c>
      <c r="AF96" s="36">
        <f t="shared" si="0"/>
        <v>0.77204796336018144</v>
      </c>
      <c r="AG96" s="36">
        <f t="shared" si="0"/>
        <v>0.76440392411899183</v>
      </c>
      <c r="AH96" s="36">
        <f t="shared" si="0"/>
        <v>0.75683556843464528</v>
      </c>
      <c r="AI96" s="36">
        <f t="shared" si="0"/>
        <v>0.74934214696499535</v>
      </c>
      <c r="AJ96" s="54">
        <f t="shared" si="0"/>
        <v>0.74192291778712394</v>
      </c>
    </row>
    <row r="97" spans="1:36" x14ac:dyDescent="0.2">
      <c r="A97" s="22"/>
      <c r="AJ97" s="29"/>
    </row>
    <row r="98" spans="1:36" x14ac:dyDescent="0.2">
      <c r="A98" s="22" t="s">
        <v>543</v>
      </c>
      <c r="B98" t="s">
        <v>64</v>
      </c>
      <c r="D98">
        <v>0</v>
      </c>
      <c r="E98">
        <v>1</v>
      </c>
      <c r="F98">
        <v>2</v>
      </c>
      <c r="G98">
        <v>3</v>
      </c>
      <c r="H98">
        <v>4</v>
      </c>
      <c r="I98">
        <v>5</v>
      </c>
      <c r="J98">
        <v>6</v>
      </c>
      <c r="K98">
        <v>7</v>
      </c>
      <c r="L98">
        <v>8</v>
      </c>
      <c r="M98">
        <v>9</v>
      </c>
      <c r="N98">
        <v>10</v>
      </c>
      <c r="O98">
        <v>11</v>
      </c>
      <c r="P98">
        <v>12</v>
      </c>
      <c r="Q98">
        <v>13</v>
      </c>
      <c r="R98">
        <v>14</v>
      </c>
      <c r="S98">
        <v>15</v>
      </c>
      <c r="T98">
        <v>16</v>
      </c>
      <c r="U98">
        <v>17</v>
      </c>
      <c r="V98">
        <v>18</v>
      </c>
      <c r="W98">
        <v>19</v>
      </c>
      <c r="X98">
        <v>20</v>
      </c>
      <c r="Y98">
        <v>21</v>
      </c>
      <c r="Z98">
        <v>22</v>
      </c>
      <c r="AA98">
        <v>23</v>
      </c>
      <c r="AB98">
        <v>24</v>
      </c>
      <c r="AC98">
        <v>25</v>
      </c>
      <c r="AD98">
        <v>26</v>
      </c>
      <c r="AE98">
        <v>27</v>
      </c>
      <c r="AF98">
        <v>28</v>
      </c>
      <c r="AG98">
        <v>29</v>
      </c>
      <c r="AH98">
        <v>30</v>
      </c>
      <c r="AI98">
        <v>31</v>
      </c>
      <c r="AJ98" s="29">
        <v>32</v>
      </c>
    </row>
    <row r="99" spans="1:36" x14ac:dyDescent="0.2">
      <c r="A99" s="22" t="s">
        <v>535</v>
      </c>
      <c r="B99" t="s">
        <v>210</v>
      </c>
      <c r="D99" s="8">
        <f t="shared" ref="D99:AJ99" si="1">$C$4*(1+$C$5)^D98</f>
        <v>8300000000</v>
      </c>
      <c r="E99" s="8">
        <f t="shared" si="1"/>
        <v>8373039999.999999</v>
      </c>
      <c r="F99" s="8">
        <f t="shared" si="1"/>
        <v>8446722751.999999</v>
      </c>
      <c r="G99" s="8">
        <f t="shared" si="1"/>
        <v>8521053912.217598</v>
      </c>
      <c r="H99" s="8">
        <f t="shared" si="1"/>
        <v>8596039186.645113</v>
      </c>
      <c r="I99" s="8">
        <f t="shared" si="1"/>
        <v>8671684331.4875889</v>
      </c>
      <c r="J99" s="8">
        <f t="shared" si="1"/>
        <v>8747995153.6046791</v>
      </c>
      <c r="K99" s="8">
        <f t="shared" si="1"/>
        <v>8824977510.9563999</v>
      </c>
      <c r="L99" s="8">
        <f t="shared" si="1"/>
        <v>8902637313.0528164</v>
      </c>
      <c r="M99" s="8">
        <f t="shared" si="1"/>
        <v>8980980521.4076805</v>
      </c>
      <c r="N99" s="8">
        <f t="shared" si="1"/>
        <v>9060013149.996067</v>
      </c>
      <c r="O99" s="8">
        <f t="shared" si="1"/>
        <v>9139741265.716032</v>
      </c>
      <c r="P99" s="8">
        <f t="shared" si="1"/>
        <v>9220170988.8543339</v>
      </c>
      <c r="Q99" s="8">
        <f t="shared" si="1"/>
        <v>9301308493.5562496</v>
      </c>
      <c r="R99" s="8">
        <f t="shared" si="1"/>
        <v>9383160008.2995453</v>
      </c>
      <c r="S99" s="8">
        <f t="shared" si="1"/>
        <v>9465731816.3725815</v>
      </c>
      <c r="T99" s="8">
        <f t="shared" si="1"/>
        <v>9549030256.3566589</v>
      </c>
      <c r="U99" s="8">
        <f t="shared" si="1"/>
        <v>9633061722.6125965</v>
      </c>
      <c r="V99" s="8">
        <f t="shared" si="1"/>
        <v>9717832665.7715893</v>
      </c>
      <c r="W99" s="8">
        <f t="shared" si="1"/>
        <v>9803349593.2303772</v>
      </c>
      <c r="X99" s="8">
        <f t="shared" si="1"/>
        <v>9889619069.6508045</v>
      </c>
      <c r="Y99" s="8">
        <f t="shared" si="1"/>
        <v>9976647717.4637299</v>
      </c>
      <c r="Z99" s="8">
        <f t="shared" si="1"/>
        <v>10064442217.377411</v>
      </c>
      <c r="AA99" s="8">
        <f t="shared" si="1"/>
        <v>10153009308.890329</v>
      </c>
      <c r="AB99" s="8">
        <f t="shared" si="1"/>
        <v>10242355790.808565</v>
      </c>
      <c r="AC99" s="8">
        <f t="shared" si="1"/>
        <v>10332488521.767681</v>
      </c>
      <c r="AD99" s="8">
        <f t="shared" si="1"/>
        <v>10423414420.759235</v>
      </c>
      <c r="AE99" s="8">
        <f t="shared" si="1"/>
        <v>10515140467.661915</v>
      </c>
      <c r="AF99" s="8">
        <f t="shared" si="1"/>
        <v>10607673703.777342</v>
      </c>
      <c r="AG99" s="8">
        <f t="shared" si="1"/>
        <v>10701021232.370581</v>
      </c>
      <c r="AH99" s="8">
        <f t="shared" si="1"/>
        <v>10795190219.215441</v>
      </c>
      <c r="AI99" s="8">
        <f t="shared" si="1"/>
        <v>10890187893.144537</v>
      </c>
      <c r="AJ99" s="115">
        <f t="shared" si="1"/>
        <v>10986021546.604208</v>
      </c>
    </row>
    <row r="100" spans="1:36" x14ac:dyDescent="0.2">
      <c r="A100" s="22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115"/>
    </row>
    <row r="101" spans="1:36" x14ac:dyDescent="0.2">
      <c r="A101" s="22" t="s">
        <v>565</v>
      </c>
      <c r="B101" s="17">
        <f>PSI_OC!A6</f>
        <v>100</v>
      </c>
      <c r="C101" t="s">
        <v>717</v>
      </c>
      <c r="D101" s="8"/>
      <c r="E101" s="8"/>
      <c r="F101" s="8"/>
      <c r="G101" s="8">
        <f>$B101*$C$10*100</f>
        <v>80000000</v>
      </c>
      <c r="H101" s="8">
        <f t="shared" ref="H101:AJ103" si="2">$B101*$C$10*100</f>
        <v>80000000</v>
      </c>
      <c r="I101" s="8">
        <f t="shared" si="2"/>
        <v>80000000</v>
      </c>
      <c r="J101" s="8">
        <f t="shared" si="2"/>
        <v>80000000</v>
      </c>
      <c r="K101" s="8">
        <f t="shared" si="2"/>
        <v>80000000</v>
      </c>
      <c r="L101" s="8">
        <f t="shared" si="2"/>
        <v>80000000</v>
      </c>
      <c r="M101" s="8">
        <f t="shared" si="2"/>
        <v>80000000</v>
      </c>
      <c r="N101" s="8">
        <f t="shared" si="2"/>
        <v>80000000</v>
      </c>
      <c r="O101" s="8">
        <f t="shared" si="2"/>
        <v>80000000</v>
      </c>
      <c r="P101" s="8">
        <f t="shared" si="2"/>
        <v>80000000</v>
      </c>
      <c r="Q101" s="8">
        <f t="shared" si="2"/>
        <v>80000000</v>
      </c>
      <c r="R101" s="8">
        <f t="shared" si="2"/>
        <v>80000000</v>
      </c>
      <c r="S101" s="8">
        <f t="shared" si="2"/>
        <v>80000000</v>
      </c>
      <c r="T101" s="8">
        <f t="shared" si="2"/>
        <v>80000000</v>
      </c>
      <c r="U101" s="8">
        <f t="shared" si="2"/>
        <v>80000000</v>
      </c>
      <c r="V101" s="8">
        <f t="shared" si="2"/>
        <v>80000000</v>
      </c>
      <c r="W101" s="8">
        <f t="shared" si="2"/>
        <v>80000000</v>
      </c>
      <c r="X101" s="8">
        <f t="shared" si="2"/>
        <v>80000000</v>
      </c>
      <c r="Y101" s="8">
        <f t="shared" si="2"/>
        <v>80000000</v>
      </c>
      <c r="Z101" s="8">
        <f t="shared" si="2"/>
        <v>80000000</v>
      </c>
      <c r="AA101" s="8">
        <f t="shared" si="2"/>
        <v>80000000</v>
      </c>
      <c r="AB101" s="8">
        <f t="shared" si="2"/>
        <v>80000000</v>
      </c>
      <c r="AC101" s="8">
        <f t="shared" si="2"/>
        <v>80000000</v>
      </c>
      <c r="AD101" s="8">
        <f t="shared" si="2"/>
        <v>80000000</v>
      </c>
      <c r="AE101" s="8">
        <f t="shared" si="2"/>
        <v>80000000</v>
      </c>
      <c r="AF101" s="8">
        <f t="shared" si="2"/>
        <v>80000000</v>
      </c>
      <c r="AG101" s="8">
        <f t="shared" si="2"/>
        <v>80000000</v>
      </c>
      <c r="AH101" s="8">
        <f t="shared" si="2"/>
        <v>80000000</v>
      </c>
      <c r="AI101" s="8">
        <f t="shared" si="2"/>
        <v>80000000</v>
      </c>
      <c r="AJ101" s="8">
        <f t="shared" si="2"/>
        <v>80000000</v>
      </c>
    </row>
    <row r="102" spans="1:36" x14ac:dyDescent="0.2">
      <c r="A102" s="22" t="s">
        <v>718</v>
      </c>
      <c r="B102" s="17">
        <f>PSI_OC!A7</f>
        <v>10</v>
      </c>
      <c r="C102" t="s">
        <v>717</v>
      </c>
      <c r="D102" s="8"/>
      <c r="E102" s="8"/>
      <c r="F102" s="8"/>
      <c r="G102" s="8">
        <f>$B102*$C$10*100</f>
        <v>8000000</v>
      </c>
      <c r="H102" s="8">
        <f t="shared" si="2"/>
        <v>8000000</v>
      </c>
      <c r="I102" s="8">
        <f t="shared" si="2"/>
        <v>8000000</v>
      </c>
      <c r="J102" s="8">
        <f t="shared" si="2"/>
        <v>8000000</v>
      </c>
      <c r="K102" s="8">
        <f t="shared" si="2"/>
        <v>8000000</v>
      </c>
      <c r="L102" s="8">
        <f t="shared" si="2"/>
        <v>8000000</v>
      </c>
      <c r="M102" s="8">
        <f t="shared" si="2"/>
        <v>8000000</v>
      </c>
      <c r="N102" s="8">
        <f t="shared" si="2"/>
        <v>8000000</v>
      </c>
      <c r="O102" s="8">
        <f t="shared" si="2"/>
        <v>8000000</v>
      </c>
      <c r="P102" s="8">
        <f t="shared" si="2"/>
        <v>8000000</v>
      </c>
      <c r="Q102" s="8">
        <f t="shared" si="2"/>
        <v>8000000</v>
      </c>
      <c r="R102" s="8">
        <f t="shared" si="2"/>
        <v>8000000</v>
      </c>
      <c r="S102" s="8">
        <f t="shared" si="2"/>
        <v>8000000</v>
      </c>
      <c r="T102" s="8">
        <f t="shared" si="2"/>
        <v>8000000</v>
      </c>
      <c r="U102" s="8">
        <f t="shared" si="2"/>
        <v>8000000</v>
      </c>
      <c r="V102" s="8">
        <f t="shared" si="2"/>
        <v>8000000</v>
      </c>
      <c r="W102" s="8">
        <f t="shared" si="2"/>
        <v>8000000</v>
      </c>
      <c r="X102" s="8">
        <f t="shared" si="2"/>
        <v>8000000</v>
      </c>
      <c r="Y102" s="8">
        <f t="shared" si="2"/>
        <v>8000000</v>
      </c>
      <c r="Z102" s="8">
        <f t="shared" si="2"/>
        <v>8000000</v>
      </c>
      <c r="AA102" s="8">
        <f t="shared" si="2"/>
        <v>8000000</v>
      </c>
      <c r="AB102" s="8">
        <f t="shared" si="2"/>
        <v>8000000</v>
      </c>
      <c r="AC102" s="8">
        <f t="shared" si="2"/>
        <v>8000000</v>
      </c>
      <c r="AD102" s="8">
        <f t="shared" si="2"/>
        <v>8000000</v>
      </c>
      <c r="AE102" s="8">
        <f t="shared" si="2"/>
        <v>8000000</v>
      </c>
      <c r="AF102" s="8">
        <f t="shared" si="2"/>
        <v>8000000</v>
      </c>
      <c r="AG102" s="8">
        <f t="shared" si="2"/>
        <v>8000000</v>
      </c>
      <c r="AH102" s="8">
        <f t="shared" si="2"/>
        <v>8000000</v>
      </c>
      <c r="AI102" s="8">
        <f t="shared" si="2"/>
        <v>8000000</v>
      </c>
      <c r="AJ102" s="8">
        <f t="shared" si="2"/>
        <v>8000000</v>
      </c>
    </row>
    <row r="103" spans="1:36" x14ac:dyDescent="0.2">
      <c r="A103" s="22" t="s">
        <v>719</v>
      </c>
      <c r="B103" s="17">
        <f>PSI_OC!A8</f>
        <v>1</v>
      </c>
      <c r="C103" t="s">
        <v>717</v>
      </c>
      <c r="D103" s="8"/>
      <c r="E103" s="8"/>
      <c r="F103" s="8"/>
      <c r="G103" s="8">
        <f>$B103*$C$10*100</f>
        <v>800000</v>
      </c>
      <c r="H103" s="8">
        <f t="shared" si="2"/>
        <v>800000</v>
      </c>
      <c r="I103" s="8">
        <f t="shared" si="2"/>
        <v>800000</v>
      </c>
      <c r="J103" s="8">
        <f t="shared" si="2"/>
        <v>800000</v>
      </c>
      <c r="K103" s="8">
        <f t="shared" si="2"/>
        <v>800000</v>
      </c>
      <c r="L103" s="8">
        <f t="shared" si="2"/>
        <v>800000</v>
      </c>
      <c r="M103" s="8">
        <f t="shared" si="2"/>
        <v>800000</v>
      </c>
      <c r="N103" s="8">
        <f t="shared" si="2"/>
        <v>800000</v>
      </c>
      <c r="O103" s="8">
        <f t="shared" si="2"/>
        <v>800000</v>
      </c>
      <c r="P103" s="8">
        <f t="shared" si="2"/>
        <v>800000</v>
      </c>
      <c r="Q103" s="8">
        <f t="shared" si="2"/>
        <v>800000</v>
      </c>
      <c r="R103" s="8">
        <f t="shared" si="2"/>
        <v>800000</v>
      </c>
      <c r="S103" s="8">
        <f t="shared" si="2"/>
        <v>800000</v>
      </c>
      <c r="T103" s="8">
        <f t="shared" si="2"/>
        <v>800000</v>
      </c>
      <c r="U103" s="8">
        <f t="shared" si="2"/>
        <v>800000</v>
      </c>
      <c r="V103" s="8">
        <f t="shared" si="2"/>
        <v>800000</v>
      </c>
      <c r="W103" s="8">
        <f t="shared" si="2"/>
        <v>800000</v>
      </c>
      <c r="X103" s="8">
        <f t="shared" si="2"/>
        <v>800000</v>
      </c>
      <c r="Y103" s="8">
        <f t="shared" si="2"/>
        <v>800000</v>
      </c>
      <c r="Z103" s="8">
        <f t="shared" si="2"/>
        <v>800000</v>
      </c>
      <c r="AA103" s="8">
        <f t="shared" si="2"/>
        <v>800000</v>
      </c>
      <c r="AB103" s="8">
        <f t="shared" si="2"/>
        <v>800000</v>
      </c>
      <c r="AC103" s="8">
        <f t="shared" si="2"/>
        <v>800000</v>
      </c>
      <c r="AD103" s="8">
        <f t="shared" si="2"/>
        <v>800000</v>
      </c>
      <c r="AE103" s="8">
        <f t="shared" si="2"/>
        <v>800000</v>
      </c>
      <c r="AF103" s="8">
        <f t="shared" si="2"/>
        <v>800000</v>
      </c>
      <c r="AG103" s="8">
        <f t="shared" si="2"/>
        <v>800000</v>
      </c>
      <c r="AH103" s="8">
        <f t="shared" si="2"/>
        <v>800000</v>
      </c>
      <c r="AI103" s="8">
        <f t="shared" si="2"/>
        <v>800000</v>
      </c>
      <c r="AJ103" s="8">
        <f t="shared" si="2"/>
        <v>800000</v>
      </c>
    </row>
    <row r="104" spans="1:36" x14ac:dyDescent="0.2">
      <c r="A104" s="22"/>
      <c r="AJ104" s="29"/>
    </row>
    <row r="105" spans="1:36" x14ac:dyDescent="0.2">
      <c r="A105" s="116" t="s">
        <v>553</v>
      </c>
      <c r="B105" s="30"/>
      <c r="C105" s="30"/>
      <c r="D105" s="30"/>
      <c r="E105" s="30"/>
      <c r="F105" s="30"/>
      <c r="G105" s="30"/>
      <c r="H105" s="30"/>
      <c r="I105" s="30"/>
      <c r="J105" s="30"/>
      <c r="K105" s="30"/>
      <c r="L105" s="30"/>
      <c r="M105" s="30"/>
      <c r="N105" s="30"/>
      <c r="O105" s="30"/>
      <c r="P105" s="30"/>
      <c r="Q105" s="30"/>
      <c r="R105" s="30"/>
      <c r="S105" s="30"/>
      <c r="T105" s="30"/>
      <c r="U105" s="30"/>
      <c r="V105" s="30"/>
      <c r="W105" s="30"/>
      <c r="X105" s="30"/>
      <c r="Y105" s="30"/>
      <c r="Z105" s="30"/>
      <c r="AA105" s="30"/>
      <c r="AB105" s="30"/>
      <c r="AC105" s="30"/>
      <c r="AD105" s="30"/>
      <c r="AE105" s="30"/>
      <c r="AF105" s="30"/>
      <c r="AG105" s="30"/>
      <c r="AH105" s="30"/>
      <c r="AI105" s="30"/>
      <c r="AJ105" s="117"/>
    </row>
    <row r="106" spans="1:36" x14ac:dyDescent="0.2">
      <c r="A106" s="108" t="s">
        <v>710</v>
      </c>
      <c r="B106" t="s">
        <v>537</v>
      </c>
      <c r="D106" s="8"/>
      <c r="E106" s="8"/>
      <c r="F106" s="8"/>
      <c r="AJ106" s="29"/>
    </row>
    <row r="107" spans="1:36" x14ac:dyDescent="0.2">
      <c r="A107" s="173" t="s">
        <v>979</v>
      </c>
      <c r="D107" s="45">
        <f>(SUM(PSI_PC!$W6:$W111)/88)*(PSI_PC!$AE$6/(PSI_PC!$AH$6*D99))*D96</f>
        <v>-52.246812562484607</v>
      </c>
      <c r="E107" s="45">
        <f>(SUM(PSI_PC!$W6:$W111)/88)*(PSI_PC!$AE$6/(PSI_PC!$AH$6*E99))*E96</f>
        <v>-51.278268624701248</v>
      </c>
      <c r="F107" s="45">
        <f>(SUM(PSI_PC!$W6:$W111)/88)*(PSI_PC!$AE$6/(PSI_PC!$AH$6*F99))*F96</f>
        <v>-50.327679415893847</v>
      </c>
      <c r="AJ107" s="29"/>
    </row>
    <row r="108" spans="1:36" x14ac:dyDescent="0.2">
      <c r="A108" s="173" t="s">
        <v>507</v>
      </c>
      <c r="D108" s="45">
        <f>(SUM(PSI_PC!$X6:$X111)/88)*(PSI_PC!$AE$7/(PSI_PC!$AH$7*D99))*D96</f>
        <v>-6711.0165407261702</v>
      </c>
      <c r="E108" s="45">
        <f>(SUM(PSI_PC!$X6:$X111)/88)*(PSI_PC!$AE$7/(PSI_PC!$AH$7*E99))*E96</f>
        <v>-6586.6086760528851</v>
      </c>
      <c r="F108" s="45">
        <f>(SUM(PSI_PC!$X6:$X111)/88)*(PSI_PC!$AE$7/(PSI_PC!$AH$7*F99))*F96</f>
        <v>-6464.5070665793346</v>
      </c>
      <c r="AJ108" s="29"/>
    </row>
    <row r="109" spans="1:36" x14ac:dyDescent="0.2">
      <c r="A109" s="173" t="s">
        <v>663</v>
      </c>
      <c r="D109" s="17">
        <f>(SUM(PSI_PC!$Y6:$Y111)/88)*(PSI_PC!$AE$8/(PSI_PC!$AH$8*D99))*D96</f>
        <v>-8170.7488463106693</v>
      </c>
      <c r="E109" s="17">
        <f>(SUM(PSI_PC!$Y6:$Y111)/88)*(PSI_PC!$AE$8/(PSI_PC!$AH$8*E99))*E96</f>
        <v>-8019.280672959806</v>
      </c>
      <c r="F109" s="17">
        <f>(SUM(PSI_PC!$Y6:$Y111)/88)*(PSI_PC!$AE$8/(PSI_PC!$AH$8*F99))*F96</f>
        <v>-7870.6203949401761</v>
      </c>
      <c r="AJ109" s="29"/>
    </row>
    <row r="110" spans="1:36" x14ac:dyDescent="0.2">
      <c r="A110" s="173" t="s">
        <v>982</v>
      </c>
      <c r="D110" s="17">
        <f>(SUM(PSI_PC!$Z6:$Z111)/88)*(PSI_PC!$AE$9/(PSI_PC!$AH$9*D99))*D96</f>
        <v>-5329.5603068981954</v>
      </c>
      <c r="E110" s="17">
        <f>(SUM(PSI_PC!$Z6:$Z111)/88)*(PSI_PC!$AE$9/(PSI_PC!$AH$9*E99))*E96</f>
        <v>-5230.761680281048</v>
      </c>
      <c r="F110" s="17">
        <f>(SUM(PSI_PC!$Z6:$Z111)/88)*(PSI_PC!$AE$9/(PSI_PC!$AH$9*F99))*F96</f>
        <v>-5133.7945684717524</v>
      </c>
      <c r="AJ110" s="29"/>
    </row>
    <row r="111" spans="1:36" x14ac:dyDescent="0.2">
      <c r="A111" s="173" t="s">
        <v>1054</v>
      </c>
      <c r="D111" s="17">
        <f>(SUM(PSI_PC!$AA6:$AA111)/88)*(PSI_PC!$AE$10/(PSI_PC!$AH$10*D99))*D96</f>
        <v>-129.74873173824037</v>
      </c>
      <c r="E111" s="17">
        <f>(SUM(PSI_PC!$AA6:$AA111)/88)*(PSI_PC!$AE$10/(PSI_PC!$AH$10*E99))*E96</f>
        <v>-127.34346830882333</v>
      </c>
      <c r="F111" s="17">
        <f>(SUM(PSI_PC!$AA6:$AA111)/88)*(PSI_PC!$AE$10/(PSI_PC!$AH$10*F99))*F96</f>
        <v>-124.98279330880659</v>
      </c>
      <c r="AJ111" s="29"/>
    </row>
    <row r="112" spans="1:36" x14ac:dyDescent="0.2">
      <c r="A112" s="173" t="s">
        <v>980</v>
      </c>
      <c r="D112" s="17">
        <f>(SUM(PSI_PC!$AB6:$AB111)/88)*(PSI_PC!$AE$11/(PSI_PC!$AH$11*D99))*D96</f>
        <v>-461.05028253839578</v>
      </c>
      <c r="E112" s="17">
        <f>(SUM(PSI_PC!$AB6:$AB111)/88)*(PSI_PC!$AE$11/(PSI_PC!$AH$11*E99))*E96</f>
        <v>-452.5033983503543</v>
      </c>
      <c r="F112" s="17">
        <f>(SUM(PSI_PC!$AB6:$AB111)/88)*(PSI_PC!$AE$11/(PSI_PC!$AH$11*F99))*F96</f>
        <v>-444.11495507882546</v>
      </c>
      <c r="AJ112" s="29"/>
    </row>
    <row r="113" spans="1:36" x14ac:dyDescent="0.2">
      <c r="A113" s="173" t="s">
        <v>981</v>
      </c>
      <c r="D113" s="17">
        <f>(SUM(PSI_PC!$AC6:$AC111)/88)*(PSI_PC!$AE$12/(PSI_PC!$AH$12*D99))*D96</f>
        <v>-41.650027598211331</v>
      </c>
      <c r="E113" s="17">
        <f>(SUM(PSI_PC!$AC6:$AC111)/88)*(PSI_PC!$AE$12/(PSI_PC!$AH$12*E99))*E96</f>
        <v>-40.877925344308046</v>
      </c>
      <c r="F113" s="17">
        <f>(SUM(PSI_PC!$AC6:$AC111)/88)*(PSI_PC!$AE$12/(PSI_PC!$AH$12*F99))*F96</f>
        <v>-40.120136211544391</v>
      </c>
      <c r="AJ113" s="29"/>
    </row>
    <row r="114" spans="1:36" x14ac:dyDescent="0.2">
      <c r="A114" s="108"/>
      <c r="D114" s="8"/>
      <c r="E114" s="8"/>
      <c r="F114" s="8"/>
      <c r="AJ114" s="29"/>
    </row>
    <row r="115" spans="1:36" x14ac:dyDescent="0.2">
      <c r="A115" s="108" t="s">
        <v>711</v>
      </c>
      <c r="B115" t="s">
        <v>537</v>
      </c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115"/>
    </row>
    <row r="116" spans="1:36" x14ac:dyDescent="0.2">
      <c r="A116" s="173" t="s">
        <v>991</v>
      </c>
      <c r="G116" s="8">
        <f>(SUM(PSI_PC!$AJ6:$AJ111)/88)*(PSI_PC!$AO$6/(PSI_PC!$AQ$6*D99))*D96</f>
        <v>-3.4805943667877065E-5</v>
      </c>
      <c r="H116" s="8">
        <f>(SUM(PSI_PC!$AJ6:$AJ111)/88)*(PSI_PC!$AO$6/(PSI_PC!$AQ$6*E99))*E96</f>
        <v>-3.4160716062881371E-5</v>
      </c>
      <c r="I116" s="8">
        <f>(SUM(PSI_PC!$AJ6:$AJ111)/88)*(PSI_PC!$AO$6/(PSI_PC!$AQ$6*F99))*F96</f>
        <v>-3.3527449594932287E-5</v>
      </c>
      <c r="J116" s="8">
        <f>(SUM(PSI_PC!$AJ6:$AJ111)/88)*(PSI_PC!$AO$6/(PSI_PC!$AQ$6*G99))*G96</f>
        <v>-3.2905922530182207E-5</v>
      </c>
      <c r="K116" s="8">
        <f>(SUM(PSI_PC!$AJ6:$AJ111)/88)*(PSI_PC!$AO$6/(PSI_PC!$AQ$6*H99))*H96</f>
        <v>-3.2295917245253853E-5</v>
      </c>
      <c r="L116" s="8">
        <f>(SUM(PSI_PC!$AJ6:$AJ111)/88)*(PSI_PC!$AO$6/(PSI_PC!$AQ$6*I99))*I96</f>
        <v>-3.1697220151041004E-5</v>
      </c>
      <c r="M116" s="8">
        <f>(SUM(PSI_PC!$AJ6:$AJ111)/88)*(PSI_PC!$AO$6/(PSI_PC!$AQ$6*J99))*J96</f>
        <v>-3.1109621617921691E-5</v>
      </c>
      <c r="N116" s="8">
        <f>(SUM(PSI_PC!$AJ6:$AJ111)/88)*(PSI_PC!$AO$6/(PSI_PC!$AQ$6*K99))*K96</f>
        <v>-3.0532915902357956E-5</v>
      </c>
      <c r="O116" s="8">
        <f>(SUM(PSI_PC!$AJ6:$AJ111)/88)*(PSI_PC!$AO$6/(PSI_PC!$AQ$6*L99))*L96</f>
        <v>-2.9966901074856075E-5</v>
      </c>
      <c r="P116" s="8">
        <f>(SUM(PSI_PC!$AJ6:$AJ111)/88)*(PSI_PC!$AO$6/(PSI_PC!$AQ$6*M99))*M96</f>
        <v>-2.9411378949262415E-5</v>
      </c>
      <c r="Q116" s="8">
        <f>(SUM(PSI_PC!$AJ6:$AJ111)/88)*(PSI_PC!$AO$6/(PSI_PC!$AQ$6*N99))*N96</f>
        <v>-2.8866155013369885E-5</v>
      </c>
      <c r="R116" s="8">
        <f>(SUM(PSI_PC!$AJ6:$AJ111)/88)*(PSI_PC!$AO$6/(PSI_PC!$AQ$6*O99))*O96</f>
        <v>-2.8331038360810883E-5</v>
      </c>
      <c r="S116" s="8">
        <f>(SUM(PSI_PC!$AJ6:$AJ111)/88)*(PSI_PC!$AO$6/(PSI_PC!$AQ$6*P99))*P96</f>
        <v>-2.7805841624212754E-5</v>
      </c>
      <c r="T116" s="8">
        <f>(SUM(PSI_PC!$AJ6:$AJ111)/88)*(PSI_PC!$AO$6/(PSI_PC!$AQ$6*Q99))*Q96</f>
        <v>-2.7290380909592386E-5</v>
      </c>
      <c r="U116" s="8">
        <f>(SUM(PSI_PC!$AJ6:$AJ111)/88)*(PSI_PC!$AO$6/(PSI_PC!$AQ$6*R99))*R96</f>
        <v>-2.678447573196699E-5</v>
      </c>
      <c r="V116" s="8">
        <f>(SUM(PSI_PC!$AJ6:$AJ111)/88)*(PSI_PC!$AO$6/(PSI_PC!$AQ$6*S99))*S96</f>
        <v>-2.628794895215861E-5</v>
      </c>
      <c r="W116" s="8">
        <f>(SUM(PSI_PC!$AJ6:$AJ111)/88)*(PSI_PC!$AO$6/(PSI_PC!$AQ$6*T99))*T96</f>
        <v>-2.5800626714770036E-5</v>
      </c>
      <c r="X116" s="8">
        <f>(SUM(PSI_PC!$AJ6:$AJ111)/88)*(PSI_PC!$AO$6/(PSI_PC!$AQ$6*U99))*U96</f>
        <v>-2.5322338387310528E-5</v>
      </c>
      <c r="Y116" s="8">
        <f>(SUM(PSI_PC!$AJ6:$AJ111)/88)*(PSI_PC!$AO$6/(PSI_PC!$AQ$6*V99))*V96</f>
        <v>-2.4852916500450014E-5</v>
      </c>
      <c r="Z116" s="8">
        <f>(SUM(PSI_PC!$AJ6:$AJ111)/88)*(PSI_PC!$AO$6/(PSI_PC!$AQ$6*W99))*W96</f>
        <v>-2.4392196689380989E-5</v>
      </c>
      <c r="AA116" s="8">
        <f>(SUM(PSI_PC!$AJ6:$AJ111)/88)*(PSI_PC!$AO$6/(PSI_PC!$AQ$6*X99))*X96</f>
        <v>-2.3940017636267173E-5</v>
      </c>
      <c r="AB116" s="8">
        <f>(SUM(PSI_PC!$AJ6:$AJ111)/88)*(PSI_PC!$AO$6/(PSI_PC!$AQ$6*Y99))*Y96</f>
        <v>-2.3496221013759299E-5</v>
      </c>
      <c r="AC116" s="8">
        <f>(SUM(PSI_PC!$AJ6:$AJ111)/88)*(PSI_PC!$AO$6/(PSI_PC!$AQ$6*Z99))*Z96</f>
        <v>-2.3060651429557808E-5</v>
      </c>
      <c r="AD116" s="8">
        <f>(SUM(PSI_PC!$AJ6:$AJ111)/88)*(PSI_PC!$AO$6/(PSI_PC!$AQ$6*AA99))*AA96</f>
        <v>-2.2633156372003421E-5</v>
      </c>
      <c r="AE116" s="8">
        <f>(SUM(PSI_PC!$AJ6:$AJ111)/88)*(PSI_PC!$AO$6/(PSI_PC!$AQ$6*AB99))*AB96</f>
        <v>-2.2213586156676106E-5</v>
      </c>
      <c r="AF116" s="8">
        <f>(SUM(PSI_PC!$AJ6:$AJ111)/88)*(PSI_PC!$AO$6/(PSI_PC!$AQ$6*AC99))*AC96</f>
        <v>-2.1801793873984295E-5</v>
      </c>
      <c r="AG116" s="8">
        <f>(SUM(PSI_PC!$AJ6:$AJ111)/88)*(PSI_PC!$AO$6/(PSI_PC!$AQ$6*AD99))*AD96</f>
        <v>-2.139763533772534E-5</v>
      </c>
      <c r="AH116" s="8">
        <f>(SUM(PSI_PC!$AJ6:$AJ111)/88)*(PSI_PC!$AO$6/(PSI_PC!$AQ$6*AE99))*AE96</f>
        <v>-2.1000969034599818E-5</v>
      </c>
      <c r="AI116" s="8">
        <f>(SUM(PSI_PC!$AJ6:$AJ111)/88)*(PSI_PC!$AO$6/(PSI_PC!$AQ$6*AF99))*AF96</f>
        <v>-2.0611656074661605E-5</v>
      </c>
      <c r="AJ116" s="8">
        <f>(SUM(PSI_PC!$AJ6:$AJ111)/88)*(PSI_PC!$AO$6/(PSI_PC!$AQ$6*AG99))*AG96</f>
        <v>-2.0229560142686553E-5</v>
      </c>
    </row>
    <row r="117" spans="1:36" x14ac:dyDescent="0.2">
      <c r="A117" s="173" t="s">
        <v>1086</v>
      </c>
      <c r="G117" s="45">
        <f>(SUM(PSI_PC!$AK6:$AK111)/88)*(PSI_PC!$AO$7/(PSI_PC!$AQ$7*D99))*D96</f>
        <v>-777.42587332370965</v>
      </c>
      <c r="H117" s="45">
        <f>(SUM(PSI_PC!$AK6:$AK111)/88)*(PSI_PC!$AO$7/(PSI_PC!$AQ$7*E99))*E96</f>
        <v>-763.01406368875644</v>
      </c>
      <c r="I117" s="45">
        <f>(SUM(PSI_PC!$AK6:$AK111)/88)*(PSI_PC!$AO$7/(PSI_PC!$AQ$7*F99))*F96</f>
        <v>-748.86941811931888</v>
      </c>
      <c r="J117" s="45">
        <f>(SUM(PSI_PC!$AK6:$AK111)/88)*(PSI_PC!$AO$7/(PSI_PC!$AQ$7*G99))*G96</f>
        <v>-734.98698396616601</v>
      </c>
      <c r="K117" s="45">
        <f>(SUM(PSI_PC!$AK6:$AK111)/88)*(PSI_PC!$AO$7/(PSI_PC!$AQ$7*H99))*H96</f>
        <v>-721.36190039156997</v>
      </c>
      <c r="L117" s="45">
        <f>(SUM(PSI_PC!$AK6:$AK111)/88)*(PSI_PC!$AO$7/(PSI_PC!$AQ$7*I99))*I96</f>
        <v>-707.98939666731792</v>
      </c>
      <c r="M117" s="45">
        <f>(SUM(PSI_PC!$AK6:$AK111)/88)*(PSI_PC!$AO$7/(PSI_PC!$AQ$7*J99))*J96</f>
        <v>-694.86479050427306</v>
      </c>
      <c r="N117" s="45">
        <f>(SUM(PSI_PC!$AK6:$AK111)/88)*(PSI_PC!$AO$7/(PSI_PC!$AQ$7*K99))*K96</f>
        <v>-681.98348641290613</v>
      </c>
      <c r="O117" s="45">
        <f>(SUM(PSI_PC!$AK6:$AK111)/88)*(PSI_PC!$AO$7/(PSI_PC!$AQ$7*L99))*L96</f>
        <v>-669.34097409421463</v>
      </c>
      <c r="P117" s="45">
        <f>(SUM(PSI_PC!$AK6:$AK111)/88)*(PSI_PC!$AO$7/(PSI_PC!$AQ$7*M99))*M96</f>
        <v>-656.93282686047417</v>
      </c>
      <c r="Q117" s="45">
        <f>(SUM(PSI_PC!$AK6:$AK111)/88)*(PSI_PC!$AO$7/(PSI_PC!$AQ$7*N99))*N96</f>
        <v>-644.75470008526372</v>
      </c>
      <c r="R117" s="45">
        <f>(SUM(PSI_PC!$AK6:$AK111)/88)*(PSI_PC!$AO$7/(PSI_PC!$AQ$7*O99))*O96</f>
        <v>-632.80232968222572</v>
      </c>
      <c r="S117" s="45">
        <f>(SUM(PSI_PC!$AK6:$AK111)/88)*(PSI_PC!$AO$7/(PSI_PC!$AQ$7*P99))*P96</f>
        <v>-621.07153061202575</v>
      </c>
      <c r="T117" s="45">
        <f>(SUM(PSI_PC!$AK6:$AK111)/88)*(PSI_PC!$AO$7/(PSI_PC!$AQ$7*Q99))*Q96</f>
        <v>-609.55819541698986</v>
      </c>
      <c r="U117" s="45">
        <f>(SUM(PSI_PC!$AK6:$AK111)/88)*(PSI_PC!$AO$7/(PSI_PC!$AQ$7*R99))*R96</f>
        <v>-598.25829278290632</v>
      </c>
      <c r="V117" s="45">
        <f>(SUM(PSI_PC!$AK6:$AK111)/88)*(PSI_PC!$AO$7/(PSI_PC!$AQ$7*S99))*S96</f>
        <v>-587.16786612749013</v>
      </c>
      <c r="W117" s="45">
        <f>(SUM(PSI_PC!$AK6:$AK111)/88)*(PSI_PC!$AO$7/(PSI_PC!$AQ$7*T99))*T96</f>
        <v>-576.28303221501301</v>
      </c>
      <c r="X117" s="45">
        <f>(SUM(PSI_PC!$AK6:$AK111)/88)*(PSI_PC!$AO$7/(PSI_PC!$AQ$7*U99))*U96</f>
        <v>-565.59997979661489</v>
      </c>
      <c r="Y117" s="45">
        <f>(SUM(PSI_PC!$AK6:$AK111)/88)*(PSI_PC!$AO$7/(PSI_PC!$AQ$7*V99))*V96</f>
        <v>-555.11496827582084</v>
      </c>
      <c r="Z117" s="45">
        <f>(SUM(PSI_PC!$AK6:$AK111)/88)*(PSI_PC!$AO$7/(PSI_PC!$AQ$7*W99))*W96</f>
        <v>-544.82432639880039</v>
      </c>
      <c r="AA117" s="45">
        <f>(SUM(PSI_PC!$AK6:$AK111)/88)*(PSI_PC!$AO$7/(PSI_PC!$AQ$7*X99))*X96</f>
        <v>-534.72445096889987</v>
      </c>
      <c r="AB117" s="45">
        <f>(SUM(PSI_PC!$AK6:$AK111)/88)*(PSI_PC!$AO$7/(PSI_PC!$AQ$7*Y99))*Y96</f>
        <v>-524.81180558501035</v>
      </c>
      <c r="AC117" s="45">
        <f>(SUM(PSI_PC!$AK6:$AK111)/88)*(PSI_PC!$AO$7/(PSI_PC!$AQ$7*Z99))*Z96</f>
        <v>-515.08291940332026</v>
      </c>
      <c r="AD117" s="45">
        <f>(SUM(PSI_PC!$AK6:$AK111)/88)*(PSI_PC!$AO$7/(PSI_PC!$AQ$7*AA99))*AA96</f>
        <v>-505.53438592202536</v>
      </c>
      <c r="AE117" s="45">
        <f>(SUM(PSI_PC!$AK6:$AK111)/88)*(PSI_PC!$AO$7/(PSI_PC!$AQ$7*AB99))*AB96</f>
        <v>-496.16286178856279</v>
      </c>
      <c r="AF117" s="45">
        <f>(SUM(PSI_PC!$AK6:$AK111)/88)*(PSI_PC!$AO$7/(PSI_PC!$AQ$7*AC99))*AC96</f>
        <v>-486.96506562896292</v>
      </c>
      <c r="AG117" s="45">
        <f>(SUM(PSI_PC!$AK6:$AK111)/88)*(PSI_PC!$AO$7/(PSI_PC!$AQ$7*AD99))*AD96</f>
        <v>-477.93777689889652</v>
      </c>
      <c r="AH117" s="45">
        <f>(SUM(PSI_PC!$AK6:$AK111)/88)*(PSI_PC!$AO$7/(PSI_PC!$AQ$7*AE99))*AE96</f>
        <v>-469.07783475602474</v>
      </c>
      <c r="AI117" s="45">
        <f>(SUM(PSI_PC!$AK6:$AK111)/88)*(PSI_PC!$AO$7/(PSI_PC!$AQ$7*AF99))*AF96</f>
        <v>-460.38213695325169</v>
      </c>
      <c r="AJ117" s="45">
        <f>(SUM(PSI_PC!$AK6:$AK111)/88)*(PSI_PC!$AO$7/(PSI_PC!$AQ$7*AG99))*AG96</f>
        <v>-451.84763875249484</v>
      </c>
    </row>
    <row r="118" spans="1:36" x14ac:dyDescent="0.2">
      <c r="A118" s="173" t="s">
        <v>993</v>
      </c>
      <c r="G118" s="251">
        <f>(SUM(PSI_PC!$AL6:$AL111)/88)*(PSI_PC!$AO$8/(PSI_PC!$AQ$8*D99))*D96</f>
        <v>-0.23164806864622675</v>
      </c>
      <c r="H118" s="251">
        <f>(SUM(PSI_PC!$AL6:$AL111)/88)*(PSI_PC!$AO$8/(PSI_PC!$AQ$8*E99))*E96</f>
        <v>-0.22735380988511669</v>
      </c>
      <c r="I118" s="251">
        <f>(SUM(PSI_PC!$AL6:$AL111)/88)*(PSI_PC!$AO$8/(PSI_PC!$AQ$8*F99))*F96</f>
        <v>-0.22313915747865973</v>
      </c>
      <c r="J118" s="251">
        <f>(SUM(PSI_PC!$AL6:$AL111)/88)*(PSI_PC!$AO$8/(PSI_PC!$AQ$8*G99))*G96</f>
        <v>-0.21900263569564049</v>
      </c>
      <c r="K118" s="251">
        <f>(SUM(PSI_PC!$AL6:$AL111)/88)*(PSI_PC!$AO$8/(PSI_PC!$AQ$8*H99))*H96</f>
        <v>-0.21494279616173764</v>
      </c>
      <c r="L118" s="251">
        <f>(SUM(PSI_PC!$AL6:$AL111)/88)*(PSI_PC!$AO$8/(PSI_PC!$AQ$8*I99))*I96</f>
        <v>-0.21095821735238582</v>
      </c>
      <c r="M118" s="251">
        <f>(SUM(PSI_PC!$AL6:$AL111)/88)*(PSI_PC!$AO$8/(PSI_PC!$AQ$8*J99))*J96</f>
        <v>-0.20704750409503872</v>
      </c>
      <c r="N118" s="251">
        <f>(SUM(PSI_PC!$AL6:$AL111)/88)*(PSI_PC!$AO$8/(PSI_PC!$AQ$8*K99))*K96</f>
        <v>-0.20320928708065922</v>
      </c>
      <c r="O118" s="251">
        <f>(SUM(PSI_PC!$AL6:$AL111)/88)*(PSI_PC!$AO$8/(PSI_PC!$AQ$8*L99))*L96</f>
        <v>-0.19944222238426515</v>
      </c>
      <c r="P118" s="251">
        <f>(SUM(PSI_PC!$AL6:$AL111)/88)*(PSI_PC!$AO$8/(PSI_PC!$AQ$8*M99))*M96</f>
        <v>-0.19574499099436374</v>
      </c>
      <c r="Q118" s="251">
        <f>(SUM(PSI_PC!$AL6:$AL111)/88)*(PSI_PC!$AO$8/(PSI_PC!$AQ$8*N99))*N96</f>
        <v>-0.19211629835110797</v>
      </c>
      <c r="R118" s="251">
        <f>(SUM(PSI_PC!$AL6:$AL111)/88)*(PSI_PC!$AO$8/(PSI_PC!$AQ$8*O99))*O96</f>
        <v>-0.18855487389301662</v>
      </c>
      <c r="S118" s="251">
        <f>(SUM(PSI_PC!$AL6:$AL111)/88)*(PSI_PC!$AO$8/(PSI_PC!$AQ$8*P99))*P96</f>
        <v>-0.18505947061209538</v>
      </c>
      <c r="T118" s="251">
        <f>(SUM(PSI_PC!$AL6:$AL111)/88)*(PSI_PC!$AO$8/(PSI_PC!$AQ$8*Q99))*Q96</f>
        <v>-0.1816288646172057</v>
      </c>
      <c r="U118" s="251">
        <f>(SUM(PSI_PC!$AL6:$AL111)/88)*(PSI_PC!$AO$8/(PSI_PC!$AQ$8*R99))*R96</f>
        <v>-0.17826185470552763</v>
      </c>
      <c r="V118" s="251">
        <f>(SUM(PSI_PC!$AL6:$AL111)/88)*(PSI_PC!$AO$8/(PSI_PC!$AQ$8*S99))*S96</f>
        <v>-0.17495726194196776</v>
      </c>
      <c r="W118" s="251">
        <f>(SUM(PSI_PC!$AL6:$AL111)/88)*(PSI_PC!$AO$8/(PSI_PC!$AQ$8*T99))*T96</f>
        <v>-0.17171392924636247</v>
      </c>
      <c r="X118" s="251">
        <f>(SUM(PSI_PC!$AL6:$AL111)/88)*(PSI_PC!$AO$8/(PSI_PC!$AQ$8*U99))*U96</f>
        <v>-0.16853072098833485</v>
      </c>
      <c r="Y118" s="251">
        <f>(SUM(PSI_PC!$AL6:$AL111)/88)*(PSI_PC!$AO$8/(PSI_PC!$AQ$8*V99))*V96</f>
        <v>-0.16540652258966124</v>
      </c>
      <c r="Z118" s="251">
        <f>(SUM(PSI_PC!$AL6:$AL111)/88)*(PSI_PC!$AO$8/(PSI_PC!$AQ$8*W99))*W96</f>
        <v>-0.16234024013401011</v>
      </c>
      <c r="AA118" s="251">
        <f>(SUM(PSI_PC!$AL6:$AL111)/88)*(PSI_PC!$AO$8/(PSI_PC!$AQ$8*X99))*X96</f>
        <v>-0.15933079998391392</v>
      </c>
      <c r="AB118" s="251">
        <f>(SUM(PSI_PC!$AL6:$AL111)/88)*(PSI_PC!$AO$8/(PSI_PC!$AQ$8*Y99))*Y96</f>
        <v>-0.15637714840484329</v>
      </c>
      <c r="AC118" s="251">
        <f>(SUM(PSI_PC!$AL6:$AL111)/88)*(PSI_PC!$AO$8/(PSI_PC!$AQ$8*Z99))*Z96</f>
        <v>-0.15347825119624858</v>
      </c>
      <c r="AD118" s="251">
        <f>(SUM(PSI_PC!$AL6:$AL111)/88)*(PSI_PC!$AO$8/(PSI_PC!$AQ$8*AA99))*AA96</f>
        <v>-0.15063309332944211</v>
      </c>
      <c r="AE118" s="251">
        <f>(SUM(PSI_PC!$AL6:$AL111)/88)*(PSI_PC!$AO$8/(PSI_PC!$AQ$8*AB99))*AB96</f>
        <v>-0.14784067859219274</v>
      </c>
      <c r="AF118" s="251">
        <f>(SUM(PSI_PC!$AL6:$AL111)/88)*(PSI_PC!$AO$8/(PSI_PC!$AQ$8*AC99))*AC96</f>
        <v>-0.14510002923990931</v>
      </c>
      <c r="AG118" s="251">
        <f>(SUM(PSI_PC!$AL6:$AL111)/88)*(PSI_PC!$AO$8/(PSI_PC!$AQ$8*AD99))*AD96</f>
        <v>-0.14241018565328997</v>
      </c>
      <c r="AH118" s="251">
        <f>(SUM(PSI_PC!$AL6:$AL111)/88)*(PSI_PC!$AO$8/(PSI_PC!$AQ$8*AE99))*AE96</f>
        <v>-0.13977020600231818</v>
      </c>
      <c r="AI118" s="251">
        <f>(SUM(PSI_PC!$AL6:$AL111)/88)*(PSI_PC!$AO$8/(PSI_PC!$AQ$8*AF99))*AF96</f>
        <v>-0.13717916591648754</v>
      </c>
      <c r="AJ118" s="251">
        <f>(SUM(PSI_PC!$AL6:$AL111)/88)*(PSI_PC!$AO$8/(PSI_PC!$AQ$8*AG99))*AG96</f>
        <v>-0.13463615816114</v>
      </c>
    </row>
    <row r="119" spans="1:36" x14ac:dyDescent="0.2">
      <c r="A119" s="173" t="s">
        <v>1091</v>
      </c>
      <c r="G119" s="45">
        <f>(SUM(PSI_PC!$AM6:$AM111)/88)*(PSI_PC!$AO$9/(PSI_PC!$AQ$9*D99))*D96</f>
        <v>-0.16238010692524824</v>
      </c>
      <c r="H119" s="45">
        <f>(SUM(PSI_PC!$AM6:$AM111)/88)*(PSI_PC!$AO$9/(PSI_PC!$AQ$9*E99))*E96</f>
        <v>-0.1593699277302788</v>
      </c>
      <c r="I119" s="45">
        <f>(SUM(PSI_PC!$AM6:$AM111)/88)*(PSI_PC!$AO$9/(PSI_PC!$AQ$9*F99))*F96</f>
        <v>-0.15641555080664291</v>
      </c>
      <c r="J119" s="45">
        <f>(SUM(PSI_PC!$AM6:$AM111)/88)*(PSI_PC!$AO$9/(PSI_PC!$AQ$9*G99))*G96</f>
        <v>-0.15351594169981678</v>
      </c>
      <c r="K119" s="45">
        <f>(SUM(PSI_PC!$AM6:$AM111)/88)*(PSI_PC!$AO$9/(PSI_PC!$AQ$9*H99))*H96</f>
        <v>-0.15067008513184649</v>
      </c>
      <c r="L119" s="45">
        <f>(SUM(PSI_PC!$AM6:$AM111)/88)*(PSI_PC!$AO$9/(PSI_PC!$AQ$9*I99))*I96</f>
        <v>-0.14787698464585558</v>
      </c>
      <c r="M119" s="45">
        <f>(SUM(PSI_PC!$AM6:$AM111)/88)*(PSI_PC!$AO$9/(PSI_PC!$AQ$9*J99))*J96</f>
        <v>-0.14513566225714264</v>
      </c>
      <c r="N119" s="45">
        <f>(SUM(PSI_PC!$AM6:$AM111)/88)*(PSI_PC!$AO$9/(PSI_PC!$AQ$9*K99))*K96</f>
        <v>-0.14244515811074687</v>
      </c>
      <c r="O119" s="45">
        <f>(SUM(PSI_PC!$AM6:$AM111)/88)*(PSI_PC!$AO$9/(PSI_PC!$AQ$9*L99))*L96</f>
        <v>-0.13980453014536129</v>
      </c>
      <c r="P119" s="45">
        <f>(SUM(PSI_PC!$AM6:$AM111)/88)*(PSI_PC!$AO$9/(PSI_PC!$AQ$9*M99))*M96</f>
        <v>-0.13721285376347678</v>
      </c>
      <c r="Q119" s="45">
        <f>(SUM(PSI_PC!$AM6:$AM111)/88)*(PSI_PC!$AO$9/(PSI_PC!$AQ$9*N99))*N96</f>
        <v>-0.13466922150764046</v>
      </c>
      <c r="R119" s="45">
        <f>(SUM(PSI_PC!$AM6:$AM111)/88)*(PSI_PC!$AO$9/(PSI_PC!$AQ$9*O99))*O96</f>
        <v>-0.13217274274271598</v>
      </c>
      <c r="S119" s="45">
        <f>(SUM(PSI_PC!$AM6:$AM111)/88)*(PSI_PC!$AO$9/(PSI_PC!$AQ$9*P99))*P96</f>
        <v>-0.12972254334403391</v>
      </c>
      <c r="T119" s="45">
        <f>(SUM(PSI_PC!$AM6:$AM111)/88)*(PSI_PC!$AO$9/(PSI_PC!$AQ$9*Q99))*Q96</f>
        <v>-0.12731776539132267</v>
      </c>
      <c r="U119" s="45">
        <f>(SUM(PSI_PC!$AM6:$AM111)/88)*(PSI_PC!$AO$9/(PSI_PC!$AQ$9*R99))*R96</f>
        <v>-0.12495756686831394</v>
      </c>
      <c r="V119" s="45">
        <f>(SUM(PSI_PC!$AM6:$AM111)/88)*(PSI_PC!$AO$9/(PSI_PC!$AQ$9*S99))*S96</f>
        <v>-0.12264112136791672</v>
      </c>
      <c r="W119" s="45">
        <f>(SUM(PSI_PC!$AM6:$AM111)/88)*(PSI_PC!$AO$9/(PSI_PC!$AQ$9*T99))*T96</f>
        <v>-0.12036761780285636</v>
      </c>
      <c r="X119" s="45">
        <f>(SUM(PSI_PC!$AM6:$AM111)/88)*(PSI_PC!$AO$9/(PSI_PC!$AQ$9*U99))*U96</f>
        <v>-0.11813626012167816</v>
      </c>
      <c r="Y119" s="45">
        <f>(SUM(PSI_PC!$AM6:$AM111)/88)*(PSI_PC!$AO$9/(PSI_PC!$AQ$9*V99))*V96</f>
        <v>-0.11594626703001516</v>
      </c>
      <c r="Z119" s="45">
        <f>(SUM(PSI_PC!$AM6:$AM111)/88)*(PSI_PC!$AO$9/(PSI_PC!$AQ$9*W99))*W96</f>
        <v>-0.11379687171702402</v>
      </c>
      <c r="AA119" s="45">
        <f>(SUM(PSI_PC!$AM6:$AM111)/88)*(PSI_PC!$AO$9/(PSI_PC!$AQ$9*X99))*X96</f>
        <v>-0.11168732158689082</v>
      </c>
      <c r="AB119" s="45">
        <f>(SUM(PSI_PC!$AM6:$AM111)/88)*(PSI_PC!$AO$9/(PSI_PC!$AQ$9*Y99))*Y96</f>
        <v>-0.10961687799531537</v>
      </c>
      <c r="AC119" s="45">
        <f>(SUM(PSI_PC!$AM6:$AM111)/88)*(PSI_PC!$AO$9/(PSI_PC!$AQ$9*Z99))*Z96</f>
        <v>-0.10758481599087961</v>
      </c>
      <c r="AD119" s="45">
        <f>(SUM(PSI_PC!$AM6:$AM111)/88)*(PSI_PC!$AO$9/(PSI_PC!$AQ$9*AA99))*AA96</f>
        <v>-0.10559042406121148</v>
      </c>
      <c r="AE119" s="45">
        <f>(SUM(PSI_PC!$AM6:$AM111)/88)*(PSI_PC!$AO$9/(PSI_PC!$AQ$9*AB99))*AB96</f>
        <v>-0.10363300388385324</v>
      </c>
      <c r="AF119" s="45">
        <f>(SUM(PSI_PC!$AM6:$AM111)/88)*(PSI_PC!$AO$9/(PSI_PC!$AQ$9*AC99))*AC96</f>
        <v>-0.10171187008174915</v>
      </c>
      <c r="AG119" s="45">
        <f>(SUM(PSI_PC!$AM6:$AM111)/88)*(PSI_PC!$AO$9/(PSI_PC!$AQ$9*AD99))*AD96</f>
        <v>-9.9826349983265256E-2</v>
      </c>
      <c r="AH119" s="45">
        <f>(SUM(PSI_PC!$AM6:$AM111)/88)*(PSI_PC!$AO$9/(PSI_PC!$AQ$9*AE99))*AE96</f>
        <v>-9.797578338665805E-2</v>
      </c>
      <c r="AI119" s="45">
        <f>(SUM(PSI_PC!$AM6:$AM111)/88)*(PSI_PC!$AO$9/(PSI_PC!$AQ$9*AF99))*AF96</f>
        <v>-9.6159522328909591E-2</v>
      </c>
      <c r="AJ119" s="45">
        <f>(SUM(PSI_PC!$AM6:$AM111)/88)*(PSI_PC!$AO$9/(PSI_PC!$AQ$9*AG99))*AG96</f>
        <v>-9.4376930858847713E-2</v>
      </c>
    </row>
    <row r="120" spans="1:36" x14ac:dyDescent="0.2">
      <c r="A120" s="10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115"/>
    </row>
    <row r="121" spans="1:36" x14ac:dyDescent="0.2">
      <c r="A121" s="22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115"/>
    </row>
    <row r="122" spans="1:36" x14ac:dyDescent="0.2">
      <c r="A122" s="118" t="s">
        <v>959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119"/>
    </row>
    <row r="123" spans="1:36" x14ac:dyDescent="0.2">
      <c r="A123" s="22" t="s">
        <v>562</v>
      </c>
      <c r="B123" t="s">
        <v>530</v>
      </c>
      <c r="G123" s="8">
        <f>C21*C18*G96</f>
        <v>252945349.52784118</v>
      </c>
      <c r="H123" s="8">
        <f t="shared" ref="H123:AJ123" si="3">$C$21*H96</f>
        <v>500881880.25315082</v>
      </c>
      <c r="I123" s="8">
        <f t="shared" si="3"/>
        <v>495922653.71599102</v>
      </c>
      <c r="J123" s="8">
        <f t="shared" si="3"/>
        <v>491012528.43167418</v>
      </c>
      <c r="K123" s="8">
        <f t="shared" si="3"/>
        <v>486151018.2491824</v>
      </c>
      <c r="L123" s="8">
        <f t="shared" si="3"/>
        <v>481337641.83087355</v>
      </c>
      <c r="M123" s="8">
        <f t="shared" si="3"/>
        <v>476571922.6048255</v>
      </c>
      <c r="N123" s="8">
        <f t="shared" si="3"/>
        <v>471853388.71764886</v>
      </c>
      <c r="O123" s="8">
        <f t="shared" si="3"/>
        <v>467181572.98777109</v>
      </c>
      <c r="P123" s="8">
        <f t="shared" si="3"/>
        <v>462556012.85917932</v>
      </c>
      <c r="Q123" s="8">
        <f t="shared" si="3"/>
        <v>457976250.35562319</v>
      </c>
      <c r="R123" s="8">
        <f t="shared" si="3"/>
        <v>453441832.03527045</v>
      </c>
      <c r="S123" s="8">
        <f t="shared" si="3"/>
        <v>448952308.94581228</v>
      </c>
      <c r="T123" s="8">
        <f t="shared" si="3"/>
        <v>444507236.58001214</v>
      </c>
      <c r="U123" s="8">
        <f t="shared" si="3"/>
        <v>440106174.83169532</v>
      </c>
      <c r="V123" s="8">
        <f t="shared" si="3"/>
        <v>435748687.95217341</v>
      </c>
      <c r="W123" s="8">
        <f t="shared" si="3"/>
        <v>431434344.50710237</v>
      </c>
      <c r="X123" s="8">
        <f t="shared" si="3"/>
        <v>427162717.33376473</v>
      </c>
      <c r="Y123" s="8">
        <f t="shared" si="3"/>
        <v>422933383.49877703</v>
      </c>
      <c r="Z123" s="8">
        <f t="shared" si="3"/>
        <v>418745924.25621486</v>
      </c>
      <c r="AA123" s="8">
        <f t="shared" si="3"/>
        <v>414599925.0061534</v>
      </c>
      <c r="AB123" s="8">
        <f t="shared" si="3"/>
        <v>410494975.25361711</v>
      </c>
      <c r="AC123" s="8">
        <f t="shared" si="3"/>
        <v>406430668.56793779</v>
      </c>
      <c r="AD123" s="8">
        <f t="shared" si="3"/>
        <v>402406602.5425126</v>
      </c>
      <c r="AE123" s="8">
        <f t="shared" si="3"/>
        <v>398422378.75496286</v>
      </c>
      <c r="AF123" s="8">
        <f t="shared" si="3"/>
        <v>394477602.72768605</v>
      </c>
      <c r="AG123" s="8">
        <f t="shared" si="3"/>
        <v>390571883.88879818</v>
      </c>
      <c r="AH123" s="8">
        <f t="shared" si="3"/>
        <v>386704835.53346354</v>
      </c>
      <c r="AI123" s="8">
        <f t="shared" si="3"/>
        <v>382876074.78560746</v>
      </c>
      <c r="AJ123" s="115">
        <f t="shared" si="3"/>
        <v>379085222.56000727</v>
      </c>
    </row>
    <row r="124" spans="1:36" x14ac:dyDescent="0.2">
      <c r="A124" s="22" t="s">
        <v>561</v>
      </c>
      <c r="B124" t="s">
        <v>530</v>
      </c>
      <c r="G124" s="8">
        <f t="shared" ref="G124:AJ124" si="4">$C$22*G99</f>
        <v>2505189850191974</v>
      </c>
      <c r="H124" s="8">
        <f t="shared" si="4"/>
        <v>2527235520873663</v>
      </c>
      <c r="I124" s="8">
        <f t="shared" si="4"/>
        <v>2549475193457351</v>
      </c>
      <c r="J124" s="8">
        <f t="shared" si="4"/>
        <v>2571910575159775.5</v>
      </c>
      <c r="K124" s="8">
        <f t="shared" si="4"/>
        <v>2594543388221181.5</v>
      </c>
      <c r="L124" s="8">
        <f t="shared" si="4"/>
        <v>2617375370037528</v>
      </c>
      <c r="M124" s="8">
        <f t="shared" si="4"/>
        <v>2640408273293858</v>
      </c>
      <c r="N124" s="8">
        <f t="shared" si="4"/>
        <v>2663643866098843.5</v>
      </c>
      <c r="O124" s="8">
        <f t="shared" si="4"/>
        <v>2687083932120513.5</v>
      </c>
      <c r="P124" s="8">
        <f t="shared" si="4"/>
        <v>2710730270723174</v>
      </c>
      <c r="Q124" s="8">
        <f t="shared" si="4"/>
        <v>2734584697105537.5</v>
      </c>
      <c r="R124" s="8">
        <f t="shared" si="4"/>
        <v>2758649042440066.5</v>
      </c>
      <c r="S124" s="8">
        <f t="shared" si="4"/>
        <v>2782925154013539</v>
      </c>
      <c r="T124" s="8">
        <f t="shared" si="4"/>
        <v>2807414895368857.5</v>
      </c>
      <c r="U124" s="8">
        <f t="shared" si="4"/>
        <v>2832120146448103.5</v>
      </c>
      <c r="V124" s="8">
        <f t="shared" si="4"/>
        <v>2857042803736847</v>
      </c>
      <c r="W124" s="8">
        <f t="shared" si="4"/>
        <v>2882184780409731</v>
      </c>
      <c r="X124" s="8">
        <f t="shared" si="4"/>
        <v>2907548006477336.5</v>
      </c>
      <c r="Y124" s="8">
        <f t="shared" si="4"/>
        <v>2933134428934336.5</v>
      </c>
      <c r="Z124" s="8">
        <f t="shared" si="4"/>
        <v>2958946011908959</v>
      </c>
      <c r="AA124" s="8">
        <f t="shared" si="4"/>
        <v>2984984736813757</v>
      </c>
      <c r="AB124" s="8">
        <f t="shared" si="4"/>
        <v>3011252602497718</v>
      </c>
      <c r="AC124" s="8">
        <f t="shared" si="4"/>
        <v>3037751625399698</v>
      </c>
      <c r="AD124" s="8">
        <f t="shared" si="4"/>
        <v>3064483839703215</v>
      </c>
      <c r="AE124" s="8">
        <f t="shared" si="4"/>
        <v>3091451297492603</v>
      </c>
      <c r="AF124" s="8">
        <f t="shared" si="4"/>
        <v>3118656068910538.5</v>
      </c>
      <c r="AG124" s="8">
        <f t="shared" si="4"/>
        <v>3146100242316950.5</v>
      </c>
      <c r="AH124" s="8">
        <f t="shared" si="4"/>
        <v>3173785924449339.5</v>
      </c>
      <c r="AI124" s="8">
        <f t="shared" si="4"/>
        <v>3201715240584494</v>
      </c>
      <c r="AJ124" s="115">
        <f t="shared" si="4"/>
        <v>3229890334701637</v>
      </c>
    </row>
    <row r="125" spans="1:36" x14ac:dyDescent="0.2">
      <c r="A125" s="22" t="s">
        <v>1102</v>
      </c>
      <c r="B125" t="s">
        <v>530</v>
      </c>
      <c r="G125" s="8">
        <f>$C$23*G99</f>
        <v>35456105328737.422</v>
      </c>
      <c r="H125" s="8">
        <f t="shared" ref="H125:AJ125" si="5">$C$23*H99</f>
        <v>35768119055630.312</v>
      </c>
      <c r="I125" s="8">
        <f t="shared" si="5"/>
        <v>36082878503319.859</v>
      </c>
      <c r="J125" s="8">
        <f t="shared" si="5"/>
        <v>36400407834149.07</v>
      </c>
      <c r="K125" s="8">
        <f t="shared" si="5"/>
        <v>36720731423089.578</v>
      </c>
      <c r="L125" s="8">
        <f t="shared" si="5"/>
        <v>37043873859612.766</v>
      </c>
      <c r="M125" s="8">
        <f t="shared" si="5"/>
        <v>37369859949577.359</v>
      </c>
      <c r="N125" s="8">
        <f t="shared" si="5"/>
        <v>37698714717133.633</v>
      </c>
      <c r="O125" s="8">
        <f t="shared" si="5"/>
        <v>38030463406644.406</v>
      </c>
      <c r="P125" s="8">
        <f t="shared" si="5"/>
        <v>38365131484622.883</v>
      </c>
      <c r="Q125" s="8">
        <f t="shared" si="5"/>
        <v>38702744641687.555</v>
      </c>
      <c r="R125" s="8">
        <f t="shared" si="5"/>
        <v>39043328794534.406</v>
      </c>
      <c r="S125" s="8">
        <f t="shared" si="5"/>
        <v>39386910087926.312</v>
      </c>
      <c r="T125" s="8">
        <f t="shared" si="5"/>
        <v>39733514896700.055</v>
      </c>
      <c r="U125" s="8">
        <f t="shared" si="5"/>
        <v>40083169827791.016</v>
      </c>
      <c r="V125" s="8">
        <f t="shared" si="5"/>
        <v>40435901722275.586</v>
      </c>
      <c r="W125" s="8">
        <f t="shared" si="5"/>
        <v>40791737657431.602</v>
      </c>
      <c r="X125" s="8">
        <f t="shared" si="5"/>
        <v>41150704948817</v>
      </c>
      <c r="Y125" s="8">
        <f t="shared" si="5"/>
        <v>41512831152366.578</v>
      </c>
      <c r="Z125" s="8">
        <f t="shared" si="5"/>
        <v>41878144066507.406</v>
      </c>
      <c r="AA125" s="8">
        <f t="shared" si="5"/>
        <v>42246671734292.664</v>
      </c>
      <c r="AB125" s="8">
        <f t="shared" si="5"/>
        <v>42618442445554.438</v>
      </c>
      <c r="AC125" s="8">
        <f t="shared" si="5"/>
        <v>42993484739075.32</v>
      </c>
      <c r="AD125" s="8">
        <f t="shared" si="5"/>
        <v>43371827404779.18</v>
      </c>
      <c r="AE125" s="8">
        <f t="shared" si="5"/>
        <v>43753499485941.227</v>
      </c>
      <c r="AF125" s="8">
        <f t="shared" si="5"/>
        <v>44138530281417.516</v>
      </c>
      <c r="AG125" s="8">
        <f t="shared" si="5"/>
        <v>44526949347893.984</v>
      </c>
      <c r="AH125" s="8">
        <f t="shared" si="5"/>
        <v>44918786502155.445</v>
      </c>
      <c r="AI125" s="8">
        <f t="shared" si="5"/>
        <v>45314071823374.422</v>
      </c>
      <c r="AJ125" s="8">
        <f t="shared" si="5"/>
        <v>45712835655420.109</v>
      </c>
    </row>
    <row r="126" spans="1:36" x14ac:dyDescent="0.2">
      <c r="A126" s="108" t="s">
        <v>552</v>
      </c>
      <c r="B126" t="s">
        <v>537</v>
      </c>
      <c r="C126" t="s">
        <v>312</v>
      </c>
      <c r="G126" s="36">
        <f t="shared" ref="G126:AJ126" si="6">(G123/G124)*G101</f>
        <v>8.0774828145965181</v>
      </c>
      <c r="H126" s="36">
        <f t="shared" si="6"/>
        <v>15.855487187201179</v>
      </c>
      <c r="I126" s="36">
        <f t="shared" si="6"/>
        <v>15.561560433728914</v>
      </c>
      <c r="J126" s="36">
        <f t="shared" si="6"/>
        <v>15.273082452368575</v>
      </c>
      <c r="K126" s="36">
        <f t="shared" si="6"/>
        <v>14.989952234562164</v>
      </c>
      <c r="L126" s="36">
        <f t="shared" si="6"/>
        <v>14.712070644233872</v>
      </c>
      <c r="M126" s="36">
        <f t="shared" si="6"/>
        <v>14.439340383078296</v>
      </c>
      <c r="N126" s="36">
        <f t="shared" si="6"/>
        <v>14.171665956492074</v>
      </c>
      <c r="O126" s="36">
        <f t="shared" si="6"/>
        <v>13.90895364013716</v>
      </c>
      <c r="P126" s="36">
        <f t="shared" si="6"/>
        <v>13.651111447123885</v>
      </c>
      <c r="Q126" s="36">
        <f t="shared" si="6"/>
        <v>13.398049095802374</v>
      </c>
      <c r="R126" s="36">
        <f t="shared" si="6"/>
        <v>13.149677978151054</v>
      </c>
      <c r="S126" s="36">
        <f t="shared" si="6"/>
        <v>12.905911128751201</v>
      </c>
      <c r="T126" s="36">
        <f t="shared" si="6"/>
        <v>12.666663194336573</v>
      </c>
      <c r="U126" s="36">
        <f t="shared" si="6"/>
        <v>12.431850403907573</v>
      </c>
      <c r="V126" s="36">
        <f t="shared" si="6"/>
        <v>12.201390539399389</v>
      </c>
      <c r="W126" s="36">
        <f t="shared" si="6"/>
        <v>11.975202906893976</v>
      </c>
      <c r="X126" s="36">
        <f t="shared" si="6"/>
        <v>11.753208308365569</v>
      </c>
      <c r="Y126" s="36">
        <f t="shared" si="6"/>
        <v>11.535329013950085</v>
      </c>
      <c r="Z126" s="36">
        <f t="shared" si="6"/>
        <v>11.321488734728531</v>
      </c>
      <c r="AA126" s="36">
        <f t="shared" si="6"/>
        <v>11.111612596015004</v>
      </c>
      <c r="AB126" s="36">
        <f t="shared" si="6"/>
        <v>10.905627111139792</v>
      </c>
      <c r="AC126" s="36">
        <f t="shared" si="6"/>
        <v>10.703460155718581</v>
      </c>
      <c r="AD126" s="36">
        <f>(AD123/AD124)*AD101</f>
        <v>10.505040942398555</v>
      </c>
      <c r="AE126" s="36">
        <f t="shared" si="6"/>
        <v>10.310299996072732</v>
      </c>
      <c r="AF126" s="36">
        <f t="shared" si="6"/>
        <v>10.119169129553722</v>
      </c>
      <c r="AG126" s="36">
        <f t="shared" si="6"/>
        <v>9.9315814196984604</v>
      </c>
      <c r="AH126" s="36">
        <f t="shared" si="6"/>
        <v>9.7474711839755326</v>
      </c>
      <c r="AI126" s="36">
        <f t="shared" si="6"/>
        <v>9.5667739574668982</v>
      </c>
      <c r="AJ126" s="54">
        <f t="shared" si="6"/>
        <v>9.3894264702959447</v>
      </c>
    </row>
    <row r="127" spans="1:36" x14ac:dyDescent="0.2">
      <c r="A127" s="22"/>
      <c r="G127" s="36"/>
      <c r="H127" s="36"/>
      <c r="I127" s="36"/>
      <c r="J127" s="36"/>
      <c r="K127" s="36"/>
      <c r="L127" s="36"/>
      <c r="M127" s="36"/>
      <c r="AJ127" s="29"/>
    </row>
    <row r="128" spans="1:36" x14ac:dyDescent="0.2">
      <c r="A128" s="120" t="s">
        <v>554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8"/>
    </row>
    <row r="129" spans="1:38" x14ac:dyDescent="0.2">
      <c r="A129" s="22" t="s">
        <v>556</v>
      </c>
      <c r="B129" t="s">
        <v>560</v>
      </c>
      <c r="G129" s="8">
        <f>$C$27*G96*C18</f>
        <v>-19043310.372664716</v>
      </c>
      <c r="H129" s="8">
        <f t="shared" ref="H129:AJ129" si="7">$C$27*H96</f>
        <v>-37709525.490425177</v>
      </c>
      <c r="I129" s="8">
        <f t="shared" si="7"/>
        <v>-37336163.851906121</v>
      </c>
      <c r="J129" s="8">
        <f t="shared" si="7"/>
        <v>-36966498.863273382</v>
      </c>
      <c r="K129" s="8">
        <f t="shared" si="7"/>
        <v>-36600493.924033061</v>
      </c>
      <c r="L129" s="8">
        <f t="shared" si="7"/>
        <v>-36238112.796072327</v>
      </c>
      <c r="M129" s="8">
        <f t="shared" si="7"/>
        <v>-35879319.600071624</v>
      </c>
      <c r="N129" s="8">
        <f t="shared" si="7"/>
        <v>-35524078.811952092</v>
      </c>
      <c r="O129" s="8">
        <f t="shared" si="7"/>
        <v>-35172355.259358503</v>
      </c>
      <c r="P129" s="8">
        <f t="shared" si="7"/>
        <v>-34824114.118176736</v>
      </c>
      <c r="Q129" s="8">
        <f t="shared" si="7"/>
        <v>-34479320.909085885</v>
      </c>
      <c r="R129" s="8">
        <f t="shared" si="7"/>
        <v>-34137941.49414444</v>
      </c>
      <c r="S129" s="8">
        <f t="shared" si="7"/>
        <v>-33799942.073410332</v>
      </c>
      <c r="T129" s="8">
        <f t="shared" si="7"/>
        <v>-33465289.181594387</v>
      </c>
      <c r="U129" s="8">
        <f t="shared" si="7"/>
        <v>-33133949.684746929</v>
      </c>
      <c r="V129" s="8">
        <f t="shared" si="7"/>
        <v>-32805890.776977144</v>
      </c>
      <c r="W129" s="8">
        <f t="shared" si="7"/>
        <v>-32481079.97720509</v>
      </c>
      <c r="X129" s="8">
        <f t="shared" si="7"/>
        <v>-32159485.125945635</v>
      </c>
      <c r="Y129" s="8">
        <f t="shared" si="7"/>
        <v>-31841074.382124398</v>
      </c>
      <c r="Z129" s="8">
        <f t="shared" si="7"/>
        <v>-31525816.219925143</v>
      </c>
      <c r="AA129" s="8">
        <f t="shared" si="7"/>
        <v>-31213679.425668463</v>
      </c>
      <c r="AB129" s="8">
        <f t="shared" si="7"/>
        <v>-30904633.094721243</v>
      </c>
      <c r="AC129" s="8">
        <f t="shared" si="7"/>
        <v>-30598646.628436878</v>
      </c>
      <c r="AD129" s="8">
        <f t="shared" si="7"/>
        <v>-30295689.731125616</v>
      </c>
      <c r="AE129" s="8">
        <f t="shared" si="7"/>
        <v>-29995732.407055058</v>
      </c>
      <c r="AF129" s="8">
        <f t="shared" si="7"/>
        <v>-29698744.957480256</v>
      </c>
      <c r="AG129" s="8">
        <f t="shared" si="7"/>
        <v>-29404697.977703236</v>
      </c>
      <c r="AH129" s="8">
        <f t="shared" si="7"/>
        <v>-29113562.354161616</v>
      </c>
      <c r="AI129" s="8">
        <f t="shared" si="7"/>
        <v>-28825309.261546157</v>
      </c>
      <c r="AJ129" s="115">
        <f t="shared" si="7"/>
        <v>-28539910.159946684</v>
      </c>
    </row>
    <row r="130" spans="1:38" x14ac:dyDescent="0.2">
      <c r="A130" s="22" t="s">
        <v>557</v>
      </c>
      <c r="B130" t="s">
        <v>560</v>
      </c>
      <c r="G130" s="8">
        <f>$C$29</f>
        <v>2900000000000</v>
      </c>
      <c r="H130" s="8">
        <f>$C$29</f>
        <v>2900000000000</v>
      </c>
      <c r="I130" s="8">
        <f t="shared" ref="I130:L130" si="8">$C$29</f>
        <v>2900000000000</v>
      </c>
      <c r="J130" s="8">
        <f t="shared" si="8"/>
        <v>2900000000000</v>
      </c>
      <c r="K130" s="8">
        <f t="shared" si="8"/>
        <v>2900000000000</v>
      </c>
      <c r="L130" s="8">
        <f t="shared" si="8"/>
        <v>2900000000000</v>
      </c>
      <c r="M130" s="8">
        <f t="shared" ref="M130:AA130" si="9">$C$30</f>
        <v>3900000000000</v>
      </c>
      <c r="N130" s="8">
        <f t="shared" si="9"/>
        <v>3900000000000</v>
      </c>
      <c r="O130" s="8">
        <f t="shared" si="9"/>
        <v>3900000000000</v>
      </c>
      <c r="P130" s="8">
        <f t="shared" si="9"/>
        <v>3900000000000</v>
      </c>
      <c r="Q130" s="8">
        <f t="shared" si="9"/>
        <v>3900000000000</v>
      </c>
      <c r="R130" s="8">
        <f t="shared" si="9"/>
        <v>3900000000000</v>
      </c>
      <c r="S130" s="8">
        <f t="shared" si="9"/>
        <v>3900000000000</v>
      </c>
      <c r="T130" s="8">
        <f t="shared" si="9"/>
        <v>3900000000000</v>
      </c>
      <c r="U130" s="8">
        <f t="shared" si="9"/>
        <v>3900000000000</v>
      </c>
      <c r="V130" s="8">
        <f t="shared" si="9"/>
        <v>3900000000000</v>
      </c>
      <c r="W130" s="8">
        <f t="shared" si="9"/>
        <v>3900000000000</v>
      </c>
      <c r="X130" s="8">
        <f t="shared" si="9"/>
        <v>3900000000000</v>
      </c>
      <c r="Y130" s="8">
        <f t="shared" si="9"/>
        <v>3900000000000</v>
      </c>
      <c r="Z130" s="8">
        <f t="shared" si="9"/>
        <v>3900000000000</v>
      </c>
      <c r="AA130" s="8">
        <f t="shared" si="9"/>
        <v>3900000000000</v>
      </c>
      <c r="AB130" s="8">
        <f>$C$31</f>
        <v>8750000000000</v>
      </c>
      <c r="AC130" s="8">
        <f t="shared" ref="AC130:AJ130" si="10">$C$31</f>
        <v>8750000000000</v>
      </c>
      <c r="AD130" s="8">
        <f t="shared" si="10"/>
        <v>8750000000000</v>
      </c>
      <c r="AE130" s="8">
        <f t="shared" si="10"/>
        <v>8750000000000</v>
      </c>
      <c r="AF130" s="8">
        <f t="shared" si="10"/>
        <v>8750000000000</v>
      </c>
      <c r="AG130" s="8">
        <f t="shared" si="10"/>
        <v>8750000000000</v>
      </c>
      <c r="AH130" s="8">
        <f t="shared" si="10"/>
        <v>8750000000000</v>
      </c>
      <c r="AI130" s="8">
        <f t="shared" si="10"/>
        <v>8750000000000</v>
      </c>
      <c r="AJ130" s="115">
        <f t="shared" si="10"/>
        <v>8750000000000</v>
      </c>
    </row>
    <row r="131" spans="1:38" x14ac:dyDescent="0.2">
      <c r="A131" s="108" t="s">
        <v>558</v>
      </c>
      <c r="B131" t="s">
        <v>537</v>
      </c>
      <c r="C131" t="s">
        <v>312</v>
      </c>
      <c r="G131" s="36">
        <f t="shared" ref="G131:AJ131" si="11">G129/G130*G101</f>
        <v>-525.33269993557838</v>
      </c>
      <c r="H131" s="36">
        <f t="shared" si="11"/>
        <v>-1040.2627721496599</v>
      </c>
      <c r="I131" s="36">
        <f t="shared" si="11"/>
        <v>-1029.9631407422378</v>
      </c>
      <c r="J131" s="36">
        <f t="shared" si="11"/>
        <v>-1019.7654858834036</v>
      </c>
      <c r="K131" s="36">
        <f t="shared" si="11"/>
        <v>-1009.6687979043603</v>
      </c>
      <c r="L131" s="36">
        <f t="shared" si="11"/>
        <v>-999.67207713302969</v>
      </c>
      <c r="M131" s="36">
        <f t="shared" si="11"/>
        <v>-735.9860430783923</v>
      </c>
      <c r="N131" s="36">
        <f t="shared" si="11"/>
        <v>-728.69905255286335</v>
      </c>
      <c r="O131" s="36">
        <f t="shared" si="11"/>
        <v>-721.48421044837949</v>
      </c>
      <c r="P131" s="36">
        <f t="shared" si="11"/>
        <v>-714.34080242413825</v>
      </c>
      <c r="Q131" s="36">
        <f t="shared" si="11"/>
        <v>-707.26812121201817</v>
      </c>
      <c r="R131" s="36">
        <f t="shared" si="11"/>
        <v>-700.2654665465526</v>
      </c>
      <c r="S131" s="36">
        <f t="shared" si="11"/>
        <v>-693.33214509559662</v>
      </c>
      <c r="T131" s="36">
        <f t="shared" si="11"/>
        <v>-686.46747039167974</v>
      </c>
      <c r="U131" s="36">
        <f t="shared" si="11"/>
        <v>-679.67076276403952</v>
      </c>
      <c r="V131" s="36">
        <f t="shared" si="11"/>
        <v>-672.94134927132598</v>
      </c>
      <c r="W131" s="36">
        <f t="shared" si="11"/>
        <v>-666.27856363497619</v>
      </c>
      <c r="X131" s="36">
        <f t="shared" si="11"/>
        <v>-659.68174617324371</v>
      </c>
      <c r="Y131" s="36">
        <f t="shared" si="11"/>
        <v>-653.15024373588506</v>
      </c>
      <c r="Z131" s="36">
        <f t="shared" si="11"/>
        <v>-646.68340963949004</v>
      </c>
      <c r="AA131" s="36">
        <f t="shared" si="11"/>
        <v>-640.28060360345569</v>
      </c>
      <c r="AB131" s="36">
        <f t="shared" si="11"/>
        <v>-282.55664543745138</v>
      </c>
      <c r="AC131" s="36">
        <f t="shared" si="11"/>
        <v>-279.75905488856574</v>
      </c>
      <c r="AD131" s="36">
        <f t="shared" si="11"/>
        <v>-276.98916325600561</v>
      </c>
      <c r="AE131" s="36">
        <f t="shared" si="11"/>
        <v>-274.24669629307482</v>
      </c>
      <c r="AF131" s="36">
        <f t="shared" si="11"/>
        <v>-271.53138246839092</v>
      </c>
      <c r="AG131" s="36">
        <f t="shared" si="11"/>
        <v>-268.84295293900101</v>
      </c>
      <c r="AH131" s="36">
        <f t="shared" si="11"/>
        <v>-266.18114152376336</v>
      </c>
      <c r="AI131" s="36">
        <f t="shared" si="11"/>
        <v>-263.54568467699346</v>
      </c>
      <c r="AJ131" s="54">
        <f t="shared" si="11"/>
        <v>-260.93632146236968</v>
      </c>
    </row>
    <row r="132" spans="1:38" x14ac:dyDescent="0.2">
      <c r="A132" s="22"/>
      <c r="AJ132" s="29"/>
    </row>
    <row r="133" spans="1:38" x14ac:dyDescent="0.2">
      <c r="A133" s="171" t="s">
        <v>709</v>
      </c>
      <c r="B133" s="210"/>
      <c r="C133" s="210"/>
      <c r="D133" s="210"/>
      <c r="E133" s="210"/>
      <c r="F133" s="210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  <c r="AA133" s="211"/>
      <c r="AB133" s="211"/>
      <c r="AC133" s="211"/>
      <c r="AD133" s="211"/>
      <c r="AE133" s="211"/>
      <c r="AF133" s="211"/>
      <c r="AG133" s="211"/>
      <c r="AH133" s="211"/>
      <c r="AI133" s="211"/>
      <c r="AJ133" s="172"/>
    </row>
    <row r="134" spans="1:38" x14ac:dyDescent="0.2">
      <c r="A134" s="173" t="s">
        <v>712</v>
      </c>
      <c r="B134" t="s">
        <v>713</v>
      </c>
      <c r="G134" s="17">
        <f>$C$34*G$96*C18</f>
        <v>6.0499014726402942E-2</v>
      </c>
      <c r="H134" s="17">
        <f>$C$34*H$96</f>
        <v>0.11980002916119394</v>
      </c>
      <c r="I134" s="17">
        <f t="shared" ref="I134:AJ134" si="12">$C$34*I$96</f>
        <v>0.11861389025860787</v>
      </c>
      <c r="J134" s="17">
        <f t="shared" si="12"/>
        <v>0.11743949530555232</v>
      </c>
      <c r="K134" s="17">
        <f t="shared" si="12"/>
        <v>0.11627672802529936</v>
      </c>
      <c r="L134" s="17">
        <f t="shared" si="12"/>
        <v>0.11512547329237557</v>
      </c>
      <c r="M134" s="17">
        <f t="shared" si="12"/>
        <v>0.11398561712116397</v>
      </c>
      <c r="N134" s="17">
        <f t="shared" si="12"/>
        <v>0.11285704665461777</v>
      </c>
      <c r="O134" s="17">
        <f t="shared" si="12"/>
        <v>0.11173965015308687</v>
      </c>
      <c r="P134" s="17">
        <f t="shared" si="12"/>
        <v>0.11063331698325433</v>
      </c>
      <c r="Q134" s="17">
        <f t="shared" si="12"/>
        <v>0.10953793760718254</v>
      </c>
      <c r="R134" s="17">
        <f t="shared" si="12"/>
        <v>0.10845340357146785</v>
      </c>
      <c r="S134" s="17">
        <f t="shared" si="12"/>
        <v>0.10737960749650281</v>
      </c>
      <c r="T134" s="17">
        <f t="shared" si="12"/>
        <v>0.10631644306584437</v>
      </c>
      <c r="U134" s="17">
        <f t="shared" si="12"/>
        <v>0.10526380501568752</v>
      </c>
      <c r="V134" s="17">
        <f t="shared" si="12"/>
        <v>0.10422158912444304</v>
      </c>
      <c r="W134" s="17">
        <f t="shared" si="12"/>
        <v>0.10318969220241885</v>
      </c>
      <c r="X134" s="17">
        <f t="shared" si="12"/>
        <v>0.10216801208160282</v>
      </c>
      <c r="Y134" s="17">
        <f t="shared" si="12"/>
        <v>0.10115644760554737</v>
      </c>
      <c r="Z134" s="17">
        <f t="shared" si="12"/>
        <v>0.10015489861935382</v>
      </c>
      <c r="AA134" s="17">
        <f t="shared" si="12"/>
        <v>9.9163265959756275E-2</v>
      </c>
      <c r="AB134" s="17">
        <f t="shared" si="12"/>
        <v>9.8181451445303214E-2</v>
      </c>
      <c r="AC134" s="17">
        <f t="shared" si="12"/>
        <v>9.7209357866636856E-2</v>
      </c>
      <c r="AD134" s="17">
        <f t="shared" si="12"/>
        <v>9.6246888976868172E-2</v>
      </c>
      <c r="AE134" s="17">
        <f t="shared" si="12"/>
        <v>9.5293949482047668E-2</v>
      </c>
      <c r="AF134" s="17">
        <f t="shared" si="12"/>
        <v>9.4350445031730373E-2</v>
      </c>
      <c r="AG134" s="17">
        <f t="shared" si="12"/>
        <v>9.3416282209634063E-2</v>
      </c>
      <c r="AH134" s="17">
        <f t="shared" si="12"/>
        <v>9.2491368524390147E-2</v>
      </c>
      <c r="AI134" s="17">
        <f t="shared" si="12"/>
        <v>9.1575612400386294E-2</v>
      </c>
      <c r="AJ134" s="17">
        <f t="shared" si="12"/>
        <v>9.0668923168699275E-2</v>
      </c>
    </row>
    <row r="135" spans="1:38" x14ac:dyDescent="0.2">
      <c r="A135" s="173" t="s">
        <v>699</v>
      </c>
      <c r="B135" t="s">
        <v>713</v>
      </c>
      <c r="G135" s="8">
        <f>$C$38/30</f>
        <v>95333333333333.328</v>
      </c>
      <c r="H135" s="8">
        <f t="shared" ref="H135:AJ135" si="13">$C$38/30</f>
        <v>95333333333333.328</v>
      </c>
      <c r="I135" s="8">
        <f t="shared" si="13"/>
        <v>95333333333333.328</v>
      </c>
      <c r="J135" s="8">
        <f t="shared" si="13"/>
        <v>95333333333333.328</v>
      </c>
      <c r="K135" s="8">
        <f t="shared" si="13"/>
        <v>95333333333333.328</v>
      </c>
      <c r="L135" s="8">
        <f t="shared" si="13"/>
        <v>95333333333333.328</v>
      </c>
      <c r="M135" s="8">
        <f t="shared" si="13"/>
        <v>95333333333333.328</v>
      </c>
      <c r="N135" s="8">
        <f t="shared" si="13"/>
        <v>95333333333333.328</v>
      </c>
      <c r="O135" s="8">
        <f t="shared" si="13"/>
        <v>95333333333333.328</v>
      </c>
      <c r="P135" s="8">
        <f t="shared" si="13"/>
        <v>95333333333333.328</v>
      </c>
      <c r="Q135" s="8">
        <f t="shared" si="13"/>
        <v>95333333333333.328</v>
      </c>
      <c r="R135" s="8">
        <f t="shared" si="13"/>
        <v>95333333333333.328</v>
      </c>
      <c r="S135" s="8">
        <f t="shared" si="13"/>
        <v>95333333333333.328</v>
      </c>
      <c r="T135" s="8">
        <f t="shared" si="13"/>
        <v>95333333333333.328</v>
      </c>
      <c r="U135" s="8">
        <f t="shared" si="13"/>
        <v>95333333333333.328</v>
      </c>
      <c r="V135" s="8">
        <f t="shared" si="13"/>
        <v>95333333333333.328</v>
      </c>
      <c r="W135" s="8">
        <f t="shared" si="13"/>
        <v>95333333333333.328</v>
      </c>
      <c r="X135" s="8">
        <f t="shared" si="13"/>
        <v>95333333333333.328</v>
      </c>
      <c r="Y135" s="8">
        <f t="shared" si="13"/>
        <v>95333333333333.328</v>
      </c>
      <c r="Z135" s="8">
        <f t="shared" si="13"/>
        <v>95333333333333.328</v>
      </c>
      <c r="AA135" s="8">
        <f t="shared" si="13"/>
        <v>95333333333333.328</v>
      </c>
      <c r="AB135" s="8">
        <f t="shared" si="13"/>
        <v>95333333333333.328</v>
      </c>
      <c r="AC135" s="8">
        <f t="shared" si="13"/>
        <v>95333333333333.328</v>
      </c>
      <c r="AD135" s="8">
        <f t="shared" si="13"/>
        <v>95333333333333.328</v>
      </c>
      <c r="AE135" s="8">
        <f t="shared" si="13"/>
        <v>95333333333333.328</v>
      </c>
      <c r="AF135" s="8">
        <f t="shared" si="13"/>
        <v>95333333333333.328</v>
      </c>
      <c r="AG135" s="8">
        <f t="shared" si="13"/>
        <v>95333333333333.328</v>
      </c>
      <c r="AH135" s="8">
        <f t="shared" si="13"/>
        <v>95333333333333.328</v>
      </c>
      <c r="AI135" s="8">
        <f t="shared" si="13"/>
        <v>95333333333333.328</v>
      </c>
      <c r="AJ135" s="115">
        <f t="shared" si="13"/>
        <v>95333333333333.328</v>
      </c>
    </row>
    <row r="136" spans="1:38" x14ac:dyDescent="0.2">
      <c r="A136" s="108" t="s">
        <v>716</v>
      </c>
      <c r="B136" t="s">
        <v>537</v>
      </c>
      <c r="C136" t="s">
        <v>312</v>
      </c>
      <c r="G136" s="17">
        <f t="shared" ref="G136:AJ136" si="14">G134/G135*G101*-1</f>
        <v>-5.0768403966212264E-8</v>
      </c>
      <c r="H136" s="17">
        <f t="shared" si="14"/>
        <v>-1.0053149300240052E-7</v>
      </c>
      <c r="I136" s="17">
        <f t="shared" si="14"/>
        <v>-9.9536131685545081E-8</v>
      </c>
      <c r="J136" s="17">
        <f t="shared" si="14"/>
        <v>-9.8550625431232728E-8</v>
      </c>
      <c r="K136" s="17">
        <f t="shared" si="14"/>
        <v>-9.7574876664586867E-8</v>
      </c>
      <c r="L136" s="17">
        <f t="shared" si="14"/>
        <v>-9.6608788776818668E-8</v>
      </c>
      <c r="M136" s="17">
        <f t="shared" si="14"/>
        <v>-9.5652266115662072E-8</v>
      </c>
      <c r="N136" s="17">
        <f t="shared" si="14"/>
        <v>-9.470521397590302E-8</v>
      </c>
      <c r="O136" s="17">
        <f t="shared" si="14"/>
        <v>-9.3767538590002984E-8</v>
      </c>
      <c r="P136" s="17">
        <f t="shared" si="14"/>
        <v>-9.2839147118814839E-8</v>
      </c>
      <c r="Q136" s="17">
        <f t="shared" si="14"/>
        <v>-9.191994764239095E-8</v>
      </c>
      <c r="R136" s="17">
        <f t="shared" si="14"/>
        <v>-9.1009849150882112E-8</v>
      </c>
      <c r="S136" s="17">
        <f t="shared" si="14"/>
        <v>-9.010876153552685E-8</v>
      </c>
      <c r="T136" s="17">
        <f t="shared" si="14"/>
        <v>-8.9216595579729543E-8</v>
      </c>
      <c r="U136" s="17">
        <f t="shared" si="14"/>
        <v>-8.8333262950227301E-8</v>
      </c>
      <c r="V136" s="17">
        <f t="shared" si="14"/>
        <v>-8.7458676188343816E-8</v>
      </c>
      <c r="W136" s="17">
        <f t="shared" si="14"/>
        <v>-8.6592748701330494E-8</v>
      </c>
      <c r="X136" s="17">
        <f t="shared" si="14"/>
        <v>-8.5735394753792586E-8</v>
      </c>
      <c r="Y136" s="17">
        <f t="shared" si="14"/>
        <v>-8.4886529459200605E-8</v>
      </c>
      <c r="Z136" s="17">
        <f t="shared" si="14"/>
        <v>-8.404606877148574E-8</v>
      </c>
      <c r="AA136" s="17">
        <f t="shared" si="14"/>
        <v>-8.3213929476718561E-8</v>
      </c>
      <c r="AB136" s="17">
        <f t="shared" si="14"/>
        <v>-8.2390029184869836E-8</v>
      </c>
      <c r="AC136" s="17">
        <f t="shared" si="14"/>
        <v>-8.1574286321653302E-8</v>
      </c>
      <c r="AD136" s="17">
        <f t="shared" si="14"/>
        <v>-8.0766620120448822E-8</v>
      </c>
      <c r="AE136" s="17">
        <f t="shared" si="14"/>
        <v>-7.9966950614305729E-8</v>
      </c>
      <c r="AF136" s="17">
        <f t="shared" si="14"/>
        <v>-7.9175198628025494E-8</v>
      </c>
      <c r="AG136" s="17">
        <f t="shared" si="14"/>
        <v>-7.83912857703223E-8</v>
      </c>
      <c r="AH136" s="17">
        <f t="shared" si="14"/>
        <v>-7.7615134426061669E-8</v>
      </c>
      <c r="AI136" s="17">
        <f t="shared" si="14"/>
        <v>-7.6846667748575912E-8</v>
      </c>
      <c r="AJ136" s="122">
        <f t="shared" si="14"/>
        <v>-7.6085809652055339E-8</v>
      </c>
    </row>
    <row r="137" spans="1:38" x14ac:dyDescent="0.2">
      <c r="A137" s="22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22"/>
    </row>
    <row r="138" spans="1:38" x14ac:dyDescent="0.2">
      <c r="A138" s="173" t="s">
        <v>714</v>
      </c>
      <c r="B138" t="s">
        <v>726</v>
      </c>
      <c r="C138" s="47"/>
      <c r="D138" s="47"/>
      <c r="G138" s="17">
        <f>$C$35*$G$96*C18</f>
        <v>45706.634453865343</v>
      </c>
      <c r="H138" s="17">
        <f>$C$35*$G$96</f>
        <v>91413.268907730686</v>
      </c>
      <c r="I138" s="17">
        <f t="shared" ref="I138:AJ138" si="15">$C$35*$G$96</f>
        <v>91413.268907730686</v>
      </c>
      <c r="J138" s="17">
        <f t="shared" si="15"/>
        <v>91413.268907730686</v>
      </c>
      <c r="K138" s="17">
        <f t="shared" si="15"/>
        <v>91413.268907730686</v>
      </c>
      <c r="L138" s="17">
        <f t="shared" si="15"/>
        <v>91413.268907730686</v>
      </c>
      <c r="M138" s="17">
        <f t="shared" si="15"/>
        <v>91413.268907730686</v>
      </c>
      <c r="N138" s="17">
        <f t="shared" si="15"/>
        <v>91413.268907730686</v>
      </c>
      <c r="O138" s="17">
        <f t="shared" si="15"/>
        <v>91413.268907730686</v>
      </c>
      <c r="P138" s="17">
        <f t="shared" si="15"/>
        <v>91413.268907730686</v>
      </c>
      <c r="Q138" s="17">
        <f t="shared" si="15"/>
        <v>91413.268907730686</v>
      </c>
      <c r="R138" s="17">
        <f t="shared" si="15"/>
        <v>91413.268907730686</v>
      </c>
      <c r="S138" s="17">
        <f t="shared" si="15"/>
        <v>91413.268907730686</v>
      </c>
      <c r="T138" s="17">
        <f t="shared" si="15"/>
        <v>91413.268907730686</v>
      </c>
      <c r="U138" s="17">
        <f t="shared" si="15"/>
        <v>91413.268907730686</v>
      </c>
      <c r="V138" s="17">
        <f t="shared" si="15"/>
        <v>91413.268907730686</v>
      </c>
      <c r="W138" s="17">
        <f t="shared" si="15"/>
        <v>91413.268907730686</v>
      </c>
      <c r="X138" s="17">
        <f t="shared" si="15"/>
        <v>91413.268907730686</v>
      </c>
      <c r="Y138" s="17">
        <f t="shared" si="15"/>
        <v>91413.268907730686</v>
      </c>
      <c r="Z138" s="17">
        <f t="shared" si="15"/>
        <v>91413.268907730686</v>
      </c>
      <c r="AA138" s="17">
        <f t="shared" si="15"/>
        <v>91413.268907730686</v>
      </c>
      <c r="AB138" s="17">
        <f t="shared" si="15"/>
        <v>91413.268907730686</v>
      </c>
      <c r="AC138" s="17">
        <f t="shared" si="15"/>
        <v>91413.268907730686</v>
      </c>
      <c r="AD138" s="17">
        <f t="shared" si="15"/>
        <v>91413.268907730686</v>
      </c>
      <c r="AE138" s="17">
        <f t="shared" si="15"/>
        <v>91413.268907730686</v>
      </c>
      <c r="AF138" s="17">
        <f t="shared" si="15"/>
        <v>91413.268907730686</v>
      </c>
      <c r="AG138" s="17">
        <f t="shared" si="15"/>
        <v>91413.268907730686</v>
      </c>
      <c r="AH138" s="17">
        <f t="shared" si="15"/>
        <v>91413.268907730686</v>
      </c>
      <c r="AI138" s="17">
        <f t="shared" si="15"/>
        <v>91413.268907730686</v>
      </c>
      <c r="AJ138" s="17">
        <f t="shared" si="15"/>
        <v>91413.268907730686</v>
      </c>
    </row>
    <row r="139" spans="1:38" x14ac:dyDescent="0.2">
      <c r="A139" s="173" t="s">
        <v>715</v>
      </c>
      <c r="B139" t="s">
        <v>726</v>
      </c>
      <c r="C139" s="47"/>
      <c r="D139" s="47"/>
      <c r="G139" s="8">
        <f t="shared" ref="G139:AJ139" si="16">$C$39*($D$99/G99)*G99</f>
        <v>43574999999.999992</v>
      </c>
      <c r="H139" s="8">
        <f t="shared" si="16"/>
        <v>43575000000</v>
      </c>
      <c r="I139" s="8">
        <f t="shared" si="16"/>
        <v>43575000000</v>
      </c>
      <c r="J139" s="8">
        <f t="shared" si="16"/>
        <v>43575000000</v>
      </c>
      <c r="K139" s="8">
        <f t="shared" si="16"/>
        <v>43575000000</v>
      </c>
      <c r="L139" s="8">
        <f t="shared" si="16"/>
        <v>43575000000</v>
      </c>
      <c r="M139" s="8">
        <f t="shared" si="16"/>
        <v>43575000000</v>
      </c>
      <c r="N139" s="8">
        <f t="shared" si="16"/>
        <v>43575000000</v>
      </c>
      <c r="O139" s="8">
        <f t="shared" si="16"/>
        <v>43575000000</v>
      </c>
      <c r="P139" s="8">
        <f t="shared" si="16"/>
        <v>43574999999.999992</v>
      </c>
      <c r="Q139" s="8">
        <f t="shared" si="16"/>
        <v>43575000000</v>
      </c>
      <c r="R139" s="8">
        <f t="shared" si="16"/>
        <v>43574999999.999992</v>
      </c>
      <c r="S139" s="8">
        <f t="shared" si="16"/>
        <v>43575000000</v>
      </c>
      <c r="T139" s="8">
        <f t="shared" si="16"/>
        <v>43575000000</v>
      </c>
      <c r="U139" s="8">
        <f t="shared" si="16"/>
        <v>43575000000</v>
      </c>
      <c r="V139" s="8">
        <f t="shared" si="16"/>
        <v>43575000000</v>
      </c>
      <c r="W139" s="8">
        <f t="shared" si="16"/>
        <v>43575000000.000008</v>
      </c>
      <c r="X139" s="8">
        <f t="shared" si="16"/>
        <v>43575000000</v>
      </c>
      <c r="Y139" s="8">
        <f t="shared" si="16"/>
        <v>43575000000</v>
      </c>
      <c r="Z139" s="8">
        <f t="shared" si="16"/>
        <v>43575000000</v>
      </c>
      <c r="AA139" s="8">
        <f t="shared" si="16"/>
        <v>43575000000.000008</v>
      </c>
      <c r="AB139" s="8">
        <f t="shared" si="16"/>
        <v>43575000000</v>
      </c>
      <c r="AC139" s="8">
        <f t="shared" si="16"/>
        <v>43575000000</v>
      </c>
      <c r="AD139" s="8">
        <f t="shared" si="16"/>
        <v>43575000000</v>
      </c>
      <c r="AE139" s="8">
        <f t="shared" si="16"/>
        <v>43575000000</v>
      </c>
      <c r="AF139" s="8">
        <f t="shared" si="16"/>
        <v>43575000000</v>
      </c>
      <c r="AG139" s="8">
        <f t="shared" si="16"/>
        <v>43574999999.999992</v>
      </c>
      <c r="AH139" s="8">
        <f t="shared" si="16"/>
        <v>43575000000</v>
      </c>
      <c r="AI139" s="8">
        <f t="shared" si="16"/>
        <v>43575000000</v>
      </c>
      <c r="AJ139" s="115">
        <f t="shared" si="16"/>
        <v>43575000000</v>
      </c>
    </row>
    <row r="140" spans="1:38" x14ac:dyDescent="0.2">
      <c r="A140" s="108" t="s">
        <v>727</v>
      </c>
      <c r="B140" t="s">
        <v>537</v>
      </c>
      <c r="C140" t="s">
        <v>312</v>
      </c>
      <c r="G140" s="17">
        <f t="shared" ref="G140:AJ140" si="17">G138/G139*-1*G101</f>
        <v>-83.913499857928358</v>
      </c>
      <c r="H140" s="17">
        <f t="shared" si="17"/>
        <v>-167.82699971585669</v>
      </c>
      <c r="I140" s="17">
        <f t="shared" si="17"/>
        <v>-167.82699971585669</v>
      </c>
      <c r="J140" s="17">
        <f t="shared" si="17"/>
        <v>-167.82699971585669</v>
      </c>
      <c r="K140" s="17">
        <f t="shared" si="17"/>
        <v>-167.82699971585669</v>
      </c>
      <c r="L140" s="17">
        <f t="shared" si="17"/>
        <v>-167.82699971585669</v>
      </c>
      <c r="M140" s="17">
        <f t="shared" si="17"/>
        <v>-167.82699971585669</v>
      </c>
      <c r="N140" s="17">
        <f t="shared" si="17"/>
        <v>-167.82699971585669</v>
      </c>
      <c r="O140" s="17">
        <f t="shared" si="17"/>
        <v>-167.82699971585669</v>
      </c>
      <c r="P140" s="17">
        <f t="shared" si="17"/>
        <v>-167.82699971585672</v>
      </c>
      <c r="Q140" s="17">
        <f t="shared" si="17"/>
        <v>-167.82699971585669</v>
      </c>
      <c r="R140" s="17">
        <f t="shared" si="17"/>
        <v>-167.82699971585672</v>
      </c>
      <c r="S140" s="17">
        <f t="shared" si="17"/>
        <v>-167.82699971585669</v>
      </c>
      <c r="T140" s="17">
        <f t="shared" si="17"/>
        <v>-167.82699971585669</v>
      </c>
      <c r="U140" s="17">
        <f t="shared" si="17"/>
        <v>-167.82699971585669</v>
      </c>
      <c r="V140" s="17">
        <f t="shared" si="17"/>
        <v>-167.82699971585669</v>
      </c>
      <c r="W140" s="17">
        <f t="shared" si="17"/>
        <v>-167.82699971585663</v>
      </c>
      <c r="X140" s="17">
        <f t="shared" si="17"/>
        <v>-167.82699971585669</v>
      </c>
      <c r="Y140" s="17">
        <f t="shared" si="17"/>
        <v>-167.82699971585669</v>
      </c>
      <c r="Z140" s="17">
        <f t="shared" si="17"/>
        <v>-167.82699971585669</v>
      </c>
      <c r="AA140" s="17">
        <f t="shared" si="17"/>
        <v>-167.82699971585663</v>
      </c>
      <c r="AB140" s="17">
        <f t="shared" si="17"/>
        <v>-167.82699971585669</v>
      </c>
      <c r="AC140" s="17">
        <f t="shared" si="17"/>
        <v>-167.82699971585669</v>
      </c>
      <c r="AD140" s="17">
        <f t="shared" si="17"/>
        <v>-167.82699971585669</v>
      </c>
      <c r="AE140" s="17">
        <f t="shared" si="17"/>
        <v>-167.82699971585669</v>
      </c>
      <c r="AF140" s="17">
        <f t="shared" si="17"/>
        <v>-167.82699971585669</v>
      </c>
      <c r="AG140" s="17">
        <f t="shared" si="17"/>
        <v>-167.82699971585672</v>
      </c>
      <c r="AH140" s="17">
        <f t="shared" si="17"/>
        <v>-167.82699971585669</v>
      </c>
      <c r="AI140" s="17">
        <f t="shared" si="17"/>
        <v>-167.82699971585669</v>
      </c>
      <c r="AJ140" s="122">
        <f t="shared" si="17"/>
        <v>-167.82699971585669</v>
      </c>
    </row>
    <row r="141" spans="1:38" x14ac:dyDescent="0.2">
      <c r="A141" s="108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22"/>
    </row>
    <row r="142" spans="1:38" x14ac:dyDescent="0.2">
      <c r="A142" s="173" t="s">
        <v>728</v>
      </c>
      <c r="B142" t="s">
        <v>681</v>
      </c>
      <c r="G142" s="17">
        <f>$C$36*G96*C18</f>
        <v>8655495.4956922103</v>
      </c>
      <c r="H142" s="17">
        <f t="shared" ref="H142:AJ142" si="18">$C$36*H96</f>
        <v>17139595.040974673</v>
      </c>
      <c r="I142" s="17">
        <f t="shared" si="18"/>
        <v>16969896.080172949</v>
      </c>
      <c r="J142" s="17">
        <f t="shared" si="18"/>
        <v>16801877.307101924</v>
      </c>
      <c r="K142" s="17">
        <f t="shared" si="18"/>
        <v>16635522.086239532</v>
      </c>
      <c r="L142" s="17">
        <f t="shared" si="18"/>
        <v>16470813.94677181</v>
      </c>
      <c r="M142" s="17">
        <f t="shared" si="18"/>
        <v>16307736.580962194</v>
      </c>
      <c r="N142" s="17">
        <f t="shared" si="18"/>
        <v>16146273.842536822</v>
      </c>
      <c r="O142" s="17">
        <f t="shared" si="18"/>
        <v>15986409.745085958</v>
      </c>
      <c r="P142" s="17">
        <f t="shared" si="18"/>
        <v>15828128.460481148</v>
      </c>
      <c r="Q142" s="17">
        <f t="shared" si="18"/>
        <v>15671414.317308072</v>
      </c>
      <c r="R142" s="17">
        <f t="shared" si="18"/>
        <v>15516251.799314922</v>
      </c>
      <c r="S142" s="17">
        <f t="shared" si="18"/>
        <v>15362625.543876158</v>
      </c>
      <c r="T142" s="17">
        <f t="shared" si="18"/>
        <v>15210520.340471443</v>
      </c>
      <c r="U142" s="17">
        <f t="shared" si="18"/>
        <v>15059921.129179651</v>
      </c>
      <c r="V142" s="17">
        <f t="shared" si="18"/>
        <v>14910812.999187768</v>
      </c>
      <c r="W142" s="17">
        <f t="shared" si="18"/>
        <v>14763181.18731462</v>
      </c>
      <c r="X142" s="17">
        <f t="shared" si="18"/>
        <v>14617011.07654913</v>
      </c>
      <c r="Y142" s="17">
        <f t="shared" si="18"/>
        <v>14472288.194603102</v>
      </c>
      <c r="Z142" s="17">
        <f t="shared" si="18"/>
        <v>14328998.212478315</v>
      </c>
      <c r="AA142" s="17">
        <f t="shared" si="18"/>
        <v>14187126.94304784</v>
      </c>
      <c r="AB142" s="17">
        <f t="shared" si="18"/>
        <v>14046660.339651324</v>
      </c>
      <c r="AC142" s="17">
        <f t="shared" si="18"/>
        <v>13907584.494704282</v>
      </c>
      <c r="AD142" s="17">
        <f t="shared" si="18"/>
        <v>13769885.63832107</v>
      </c>
      <c r="AE142" s="17">
        <f t="shared" si="18"/>
        <v>13633550.136951551</v>
      </c>
      <c r="AF142" s="17">
        <f t="shared" si="18"/>
        <v>13498564.492031239</v>
      </c>
      <c r="AG142" s="17">
        <f t="shared" si="18"/>
        <v>13364915.338644797</v>
      </c>
      <c r="AH142" s="17">
        <f t="shared" si="18"/>
        <v>13232589.444202768</v>
      </c>
      <c r="AI142" s="17">
        <f t="shared" si="18"/>
        <v>13101573.707131453</v>
      </c>
      <c r="AJ142" s="17">
        <f t="shared" si="18"/>
        <v>12971855.155575693</v>
      </c>
    </row>
    <row r="143" spans="1:38" x14ac:dyDescent="0.2">
      <c r="A143" s="173" t="s">
        <v>701</v>
      </c>
      <c r="B143" t="s">
        <v>681</v>
      </c>
      <c r="G143" s="8">
        <f t="shared" ref="G143:AJ143" si="19">$C$40*($D$99/G99)*G99</f>
        <v>434256000000</v>
      </c>
      <c r="H143" s="8">
        <f t="shared" si="19"/>
        <v>434256000000</v>
      </c>
      <c r="I143" s="8">
        <f t="shared" si="19"/>
        <v>434256000000</v>
      </c>
      <c r="J143" s="8">
        <f t="shared" si="19"/>
        <v>434256000000</v>
      </c>
      <c r="K143" s="8">
        <f t="shared" si="19"/>
        <v>434256000000</v>
      </c>
      <c r="L143" s="8">
        <f t="shared" si="19"/>
        <v>434256000000</v>
      </c>
      <c r="M143" s="8">
        <f t="shared" si="19"/>
        <v>434256000000.00006</v>
      </c>
      <c r="N143" s="8">
        <f t="shared" si="19"/>
        <v>434256000000.00006</v>
      </c>
      <c r="O143" s="8">
        <f t="shared" si="19"/>
        <v>434256000000.00006</v>
      </c>
      <c r="P143" s="8">
        <f t="shared" si="19"/>
        <v>434256000000</v>
      </c>
      <c r="Q143" s="8">
        <f t="shared" si="19"/>
        <v>434255999999.99994</v>
      </c>
      <c r="R143" s="8">
        <f t="shared" si="19"/>
        <v>434256000000</v>
      </c>
      <c r="S143" s="8">
        <f t="shared" si="19"/>
        <v>434256000000</v>
      </c>
      <c r="T143" s="8">
        <f t="shared" si="19"/>
        <v>434256000000</v>
      </c>
      <c r="U143" s="8">
        <f t="shared" si="19"/>
        <v>434256000000</v>
      </c>
      <c r="V143" s="8">
        <f t="shared" si="19"/>
        <v>434256000000</v>
      </c>
      <c r="W143" s="8">
        <f t="shared" si="19"/>
        <v>434256000000</v>
      </c>
      <c r="X143" s="8">
        <f t="shared" si="19"/>
        <v>434256000000</v>
      </c>
      <c r="Y143" s="8">
        <f t="shared" si="19"/>
        <v>434256000000</v>
      </c>
      <c r="Z143" s="8">
        <f t="shared" si="19"/>
        <v>434256000000</v>
      </c>
      <c r="AA143" s="8">
        <f t="shared" si="19"/>
        <v>434256000000.00006</v>
      </c>
      <c r="AB143" s="8">
        <f t="shared" si="19"/>
        <v>434256000000.00006</v>
      </c>
      <c r="AC143" s="8">
        <f t="shared" si="19"/>
        <v>434256000000</v>
      </c>
      <c r="AD143" s="8">
        <f t="shared" si="19"/>
        <v>434255999999.99994</v>
      </c>
      <c r="AE143" s="8">
        <f t="shared" si="19"/>
        <v>434256000000</v>
      </c>
      <c r="AF143" s="8">
        <f t="shared" si="19"/>
        <v>434256000000</v>
      </c>
      <c r="AG143" s="8">
        <f t="shared" si="19"/>
        <v>434256000000</v>
      </c>
      <c r="AH143" s="8">
        <f t="shared" si="19"/>
        <v>434256000000</v>
      </c>
      <c r="AI143" s="8">
        <f t="shared" si="19"/>
        <v>434256000000</v>
      </c>
      <c r="AJ143" s="115">
        <f t="shared" si="19"/>
        <v>434256000000</v>
      </c>
      <c r="AK143" s="8"/>
      <c r="AL143" s="8"/>
    </row>
    <row r="144" spans="1:38" x14ac:dyDescent="0.2">
      <c r="A144" s="108" t="s">
        <v>729</v>
      </c>
      <c r="B144" t="s">
        <v>537</v>
      </c>
      <c r="C144" t="s">
        <v>312</v>
      </c>
      <c r="G144" s="17">
        <f t="shared" ref="G144:AJ144" si="20">G142/G143*-1*G101</f>
        <v>-1594.5424810604272</v>
      </c>
      <c r="H144" s="17">
        <f t="shared" si="20"/>
        <v>-3157.5098634859942</v>
      </c>
      <c r="I144" s="17">
        <f t="shared" si="20"/>
        <v>-3126.2473895900939</v>
      </c>
      <c r="J144" s="17">
        <f t="shared" si="20"/>
        <v>-3095.2944451387061</v>
      </c>
      <c r="K144" s="17">
        <f t="shared" si="20"/>
        <v>-3064.6479654838677</v>
      </c>
      <c r="L144" s="17">
        <f t="shared" si="20"/>
        <v>-3034.3049163206606</v>
      </c>
      <c r="M144" s="17">
        <f t="shared" si="20"/>
        <v>-3004.2622933867933</v>
      </c>
      <c r="N144" s="17">
        <f t="shared" si="20"/>
        <v>-2974.5171221651412</v>
      </c>
      <c r="O144" s="17">
        <f t="shared" si="20"/>
        <v>-2945.0664575892479</v>
      </c>
      <c r="P144" s="17">
        <f t="shared" si="20"/>
        <v>-2915.9073837517312</v>
      </c>
      <c r="Q144" s="17">
        <f t="shared" si="20"/>
        <v>-2887.0370136155766</v>
      </c>
      <c r="R144" s="17">
        <f t="shared" si="20"/>
        <v>-2858.4524887282932</v>
      </c>
      <c r="S144" s="17">
        <f t="shared" si="20"/>
        <v>-2830.1509789389038</v>
      </c>
      <c r="T144" s="17">
        <f t="shared" si="20"/>
        <v>-2802.1296821177266</v>
      </c>
      <c r="U144" s="17">
        <f t="shared" si="20"/>
        <v>-2774.385823878938</v>
      </c>
      <c r="V144" s="17">
        <f t="shared" si="20"/>
        <v>-2746.9166573058783</v>
      </c>
      <c r="W144" s="17">
        <f t="shared" si="20"/>
        <v>-2719.719462679087</v>
      </c>
      <c r="X144" s="17">
        <f t="shared" si="20"/>
        <v>-2692.7915472070167</v>
      </c>
      <c r="Y144" s="17">
        <f t="shared" si="20"/>
        <v>-2666.1302447594235</v>
      </c>
      <c r="Z144" s="17">
        <f t="shared" si="20"/>
        <v>-2639.7329156033888</v>
      </c>
      <c r="AA144" s="17">
        <f t="shared" si="20"/>
        <v>-2613.5969461419695</v>
      </c>
      <c r="AB144" s="17">
        <f t="shared" si="20"/>
        <v>-2587.7197486554146</v>
      </c>
      <c r="AC144" s="17">
        <f t="shared" si="20"/>
        <v>-2562.0987610449656</v>
      </c>
      <c r="AD144" s="17">
        <f t="shared" si="20"/>
        <v>-2536.7314465791737</v>
      </c>
      <c r="AE144" s="17">
        <f t="shared" si="20"/>
        <v>-2511.6152936427457</v>
      </c>
      <c r="AF144" s="17">
        <f t="shared" si="20"/>
        <v>-2486.7478154878668</v>
      </c>
      <c r="AG144" s="17">
        <f t="shared" si="20"/>
        <v>-2462.1265499879878</v>
      </c>
      <c r="AH144" s="17">
        <f t="shared" si="20"/>
        <v>-2437.7490593940474</v>
      </c>
      <c r="AI144" s="17">
        <f t="shared" si="20"/>
        <v>-2413.6129300931161</v>
      </c>
      <c r="AJ144" s="122">
        <f t="shared" si="20"/>
        <v>-2389.7157723694213</v>
      </c>
    </row>
    <row r="145" spans="1:36" x14ac:dyDescent="0.2">
      <c r="A145" s="108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22"/>
    </row>
    <row r="146" spans="1:36" x14ac:dyDescent="0.2">
      <c r="A146" s="118" t="s">
        <v>731</v>
      </c>
      <c r="B146" s="3"/>
      <c r="C146" s="3"/>
      <c r="D146" s="3"/>
      <c r="E146" s="3"/>
      <c r="F146" s="3"/>
      <c r="G146" s="212"/>
      <c r="H146" s="212"/>
      <c r="I146" s="212"/>
      <c r="J146" s="212"/>
      <c r="K146" s="212"/>
      <c r="L146" s="212"/>
      <c r="M146" s="212"/>
      <c r="N146" s="212"/>
      <c r="O146" s="212"/>
      <c r="P146" s="212"/>
      <c r="Q146" s="212"/>
      <c r="R146" s="212"/>
      <c r="S146" s="212"/>
      <c r="T146" s="212"/>
      <c r="U146" s="212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12"/>
      <c r="AF146" s="212"/>
      <c r="AG146" s="212"/>
      <c r="AH146" s="212"/>
      <c r="AI146" s="212"/>
      <c r="AJ146" s="162"/>
    </row>
    <row r="147" spans="1:36" x14ac:dyDescent="0.2">
      <c r="A147" s="173" t="s">
        <v>732</v>
      </c>
      <c r="B147" t="s">
        <v>689</v>
      </c>
      <c r="G147" s="17">
        <f>$C$43*G96*C18</f>
        <v>258180.71119422864</v>
      </c>
      <c r="H147" s="17">
        <f t="shared" ref="H147:AJ147" si="21">$C$43*H96</f>
        <v>511248.93305787852</v>
      </c>
      <c r="I147" s="17">
        <f t="shared" si="21"/>
        <v>506187.06243354315</v>
      </c>
      <c r="J147" s="17">
        <f t="shared" si="21"/>
        <v>501175.30934014166</v>
      </c>
      <c r="K147" s="17">
        <f t="shared" si="21"/>
        <v>496213.17756449676</v>
      </c>
      <c r="L147" s="17">
        <f t="shared" si="21"/>
        <v>491300.17580643232</v>
      </c>
      <c r="M147" s="17">
        <f t="shared" si="21"/>
        <v>486435.81763013115</v>
      </c>
      <c r="N147" s="17">
        <f t="shared" si="21"/>
        <v>481619.62141597131</v>
      </c>
      <c r="O147" s="17">
        <f t="shared" si="21"/>
        <v>476851.11031284282</v>
      </c>
      <c r="P147" s="17">
        <f t="shared" si="21"/>
        <v>472129.8121909335</v>
      </c>
      <c r="Q147" s="17">
        <f t="shared" si="21"/>
        <v>467455.25959498377</v>
      </c>
      <c r="R147" s="17">
        <f t="shared" si="21"/>
        <v>462826.98969800369</v>
      </c>
      <c r="S147" s="17">
        <f t="shared" si="21"/>
        <v>458244.54425544915</v>
      </c>
      <c r="T147" s="17">
        <f t="shared" si="21"/>
        <v>453707.46955985064</v>
      </c>
      <c r="U147" s="17">
        <f t="shared" si="21"/>
        <v>449215.31639589183</v>
      </c>
      <c r="V147" s="17">
        <f t="shared" si="21"/>
        <v>444767.63999593235</v>
      </c>
      <c r="W147" s="17">
        <f t="shared" si="21"/>
        <v>440363.99999597261</v>
      </c>
      <c r="X147" s="17">
        <f t="shared" si="21"/>
        <v>436003.96039205207</v>
      </c>
      <c r="Y147" s="17">
        <f t="shared" si="21"/>
        <v>431687.08949708135</v>
      </c>
      <c r="Z147" s="17">
        <f t="shared" si="21"/>
        <v>427412.95989810029</v>
      </c>
      <c r="AA147" s="17">
        <f t="shared" si="21"/>
        <v>423181.14841396076</v>
      </c>
      <c r="AB147" s="17">
        <f t="shared" si="21"/>
        <v>418991.2360534264</v>
      </c>
      <c r="AC147" s="17">
        <f t="shared" si="21"/>
        <v>414842.80797368957</v>
      </c>
      <c r="AD147" s="17">
        <f t="shared" si="21"/>
        <v>410735.45343929651</v>
      </c>
      <c r="AE147" s="17">
        <f t="shared" si="21"/>
        <v>406668.76578148163</v>
      </c>
      <c r="AF147" s="17">
        <f t="shared" si="21"/>
        <v>402642.34235790261</v>
      </c>
      <c r="AG147" s="17">
        <f t="shared" si="21"/>
        <v>398655.78451277502</v>
      </c>
      <c r="AH147" s="17">
        <f t="shared" si="21"/>
        <v>394708.69753740093</v>
      </c>
      <c r="AI147" s="17">
        <f t="shared" si="21"/>
        <v>390800.69063109008</v>
      </c>
      <c r="AJ147" s="122">
        <f t="shared" si="21"/>
        <v>386931.37686246535</v>
      </c>
    </row>
    <row r="148" spans="1:36" x14ac:dyDescent="0.2">
      <c r="A148" s="173" t="s">
        <v>702</v>
      </c>
      <c r="B148" t="s">
        <v>689</v>
      </c>
      <c r="G148" s="8">
        <f t="shared" ref="G148:AJ148" si="22">$C$48*($D$99/G99)*G99</f>
        <v>173718999999.99997</v>
      </c>
      <c r="H148" s="8">
        <f t="shared" si="22"/>
        <v>173719000000</v>
      </c>
      <c r="I148" s="8">
        <f t="shared" si="22"/>
        <v>173719000000</v>
      </c>
      <c r="J148" s="8">
        <f t="shared" si="22"/>
        <v>173719000000</v>
      </c>
      <c r="K148" s="8">
        <f t="shared" si="22"/>
        <v>173719000000</v>
      </c>
      <c r="L148" s="8">
        <f t="shared" si="22"/>
        <v>173719000000</v>
      </c>
      <c r="M148" s="8">
        <f t="shared" si="22"/>
        <v>173719000000</v>
      </c>
      <c r="N148" s="8">
        <f t="shared" si="22"/>
        <v>173719000000</v>
      </c>
      <c r="O148" s="8">
        <f t="shared" si="22"/>
        <v>173719000000</v>
      </c>
      <c r="P148" s="8">
        <f t="shared" si="22"/>
        <v>173719000000</v>
      </c>
      <c r="Q148" s="8">
        <f t="shared" si="22"/>
        <v>173719000000</v>
      </c>
      <c r="R148" s="8">
        <f t="shared" si="22"/>
        <v>173719000000</v>
      </c>
      <c r="S148" s="8">
        <f t="shared" si="22"/>
        <v>173719000000</v>
      </c>
      <c r="T148" s="8">
        <f t="shared" si="22"/>
        <v>173718999999.99997</v>
      </c>
      <c r="U148" s="8">
        <f t="shared" si="22"/>
        <v>173719000000</v>
      </c>
      <c r="V148" s="8">
        <f t="shared" si="22"/>
        <v>173719000000</v>
      </c>
      <c r="W148" s="8">
        <f t="shared" si="22"/>
        <v>173719000000</v>
      </c>
      <c r="X148" s="8">
        <f t="shared" si="22"/>
        <v>173719000000.00003</v>
      </c>
      <c r="Y148" s="8">
        <f t="shared" si="22"/>
        <v>173719000000</v>
      </c>
      <c r="Z148" s="8">
        <f t="shared" si="22"/>
        <v>173718999999.99997</v>
      </c>
      <c r="AA148" s="8">
        <f t="shared" si="22"/>
        <v>173719000000</v>
      </c>
      <c r="AB148" s="8">
        <f t="shared" si="22"/>
        <v>173719000000</v>
      </c>
      <c r="AC148" s="8">
        <f t="shared" si="22"/>
        <v>173719000000</v>
      </c>
      <c r="AD148" s="8">
        <f t="shared" si="22"/>
        <v>173719000000</v>
      </c>
      <c r="AE148" s="8">
        <f t="shared" si="22"/>
        <v>173719000000</v>
      </c>
      <c r="AF148" s="8">
        <f t="shared" si="22"/>
        <v>173719000000</v>
      </c>
      <c r="AG148" s="8">
        <f t="shared" si="22"/>
        <v>173719000000</v>
      </c>
      <c r="AH148" s="8">
        <f t="shared" si="22"/>
        <v>173719000000</v>
      </c>
      <c r="AI148" s="8">
        <f t="shared" si="22"/>
        <v>173719000000</v>
      </c>
      <c r="AJ148" s="115">
        <f t="shared" si="22"/>
        <v>173719000000</v>
      </c>
    </row>
    <row r="149" spans="1:36" x14ac:dyDescent="0.2">
      <c r="A149" s="108" t="s">
        <v>733</v>
      </c>
      <c r="B149" t="s">
        <v>537</v>
      </c>
      <c r="C149" t="s">
        <v>312</v>
      </c>
      <c r="G149" s="17">
        <f t="shared" ref="G149:AJ149" si="23">G147/G148*-1*G101</f>
        <v>-118.89578512159461</v>
      </c>
      <c r="H149" s="17">
        <f t="shared" si="23"/>
        <v>-235.43719826058336</v>
      </c>
      <c r="I149" s="17">
        <f t="shared" si="23"/>
        <v>-233.10613689166672</v>
      </c>
      <c r="J149" s="17">
        <f t="shared" si="23"/>
        <v>-230.79815533828386</v>
      </c>
      <c r="K149" s="17">
        <f t="shared" si="23"/>
        <v>-228.5130250874098</v>
      </c>
      <c r="L149" s="17">
        <f t="shared" si="23"/>
        <v>-226.25051988852451</v>
      </c>
      <c r="M149" s="17">
        <f t="shared" si="23"/>
        <v>-224.01041573121242</v>
      </c>
      <c r="N149" s="17">
        <f t="shared" si="23"/>
        <v>-221.79249082298253</v>
      </c>
      <c r="O149" s="17">
        <f t="shared" si="23"/>
        <v>-219.59652556730941</v>
      </c>
      <c r="P149" s="17">
        <f t="shared" si="23"/>
        <v>-217.42230254189053</v>
      </c>
      <c r="Q149" s="17">
        <f t="shared" si="23"/>
        <v>-215.2696064771194</v>
      </c>
      <c r="R149" s="17">
        <f t="shared" si="23"/>
        <v>-213.13822423477163</v>
      </c>
      <c r="S149" s="17">
        <f t="shared" si="23"/>
        <v>-211.02794478690259</v>
      </c>
      <c r="T149" s="17">
        <f t="shared" si="23"/>
        <v>-208.93855919495309</v>
      </c>
      <c r="U149" s="17">
        <f t="shared" si="23"/>
        <v>-206.86986058906248</v>
      </c>
      <c r="V149" s="17">
        <f t="shared" si="23"/>
        <v>-204.82164414758654</v>
      </c>
      <c r="W149" s="17">
        <f t="shared" si="23"/>
        <v>-202.79370707681838</v>
      </c>
      <c r="X149" s="17">
        <f t="shared" si="23"/>
        <v>-200.78584859090924</v>
      </c>
      <c r="Y149" s="17">
        <f t="shared" si="23"/>
        <v>-198.79786989198942</v>
      </c>
      <c r="Z149" s="17">
        <f t="shared" si="23"/>
        <v>-196.82957415048458</v>
      </c>
      <c r="AA149" s="17">
        <f t="shared" si="23"/>
        <v>-194.8807664856283</v>
      </c>
      <c r="AB149" s="17">
        <f t="shared" si="23"/>
        <v>-192.95125394616659</v>
      </c>
      <c r="AC149" s="17">
        <f t="shared" si="23"/>
        <v>-191.04084549125406</v>
      </c>
      <c r="AD149" s="17">
        <f t="shared" si="23"/>
        <v>-189.14935197153864</v>
      </c>
      <c r="AE149" s="17">
        <f t="shared" si="23"/>
        <v>-187.27658611043427</v>
      </c>
      <c r="AF149" s="17">
        <f t="shared" si="23"/>
        <v>-185.4223624855785</v>
      </c>
      <c r="AG149" s="17">
        <f t="shared" si="23"/>
        <v>-183.58649751047381</v>
      </c>
      <c r="AH149" s="17">
        <f t="shared" si="23"/>
        <v>-181.76880941631069</v>
      </c>
      <c r="AI149" s="17">
        <f t="shared" si="23"/>
        <v>-179.96911823397099</v>
      </c>
      <c r="AJ149" s="122">
        <f t="shared" si="23"/>
        <v>-178.18724577620887</v>
      </c>
    </row>
    <row r="150" spans="1:36" x14ac:dyDescent="0.2">
      <c r="A150" s="108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22"/>
    </row>
    <row r="151" spans="1:36" x14ac:dyDescent="0.2">
      <c r="A151" s="173" t="s">
        <v>734</v>
      </c>
      <c r="B151" t="s">
        <v>688</v>
      </c>
      <c r="G151" s="17">
        <f>$C$44*G96*C18</f>
        <v>11148285.458404677</v>
      </c>
      <c r="H151" s="17">
        <f t="shared" ref="H151:AJ151" si="24">$C$44*H96</f>
        <v>22075812.788920153</v>
      </c>
      <c r="I151" s="17">
        <f t="shared" si="24"/>
        <v>21857240.38506946</v>
      </c>
      <c r="J151" s="17">
        <f t="shared" si="24"/>
        <v>21640832.064425208</v>
      </c>
      <c r="K151" s="17">
        <f t="shared" si="24"/>
        <v>21426566.400421001</v>
      </c>
      <c r="L151" s="17">
        <f t="shared" si="24"/>
        <v>21214422.178634647</v>
      </c>
      <c r="M151" s="17">
        <f t="shared" si="24"/>
        <v>21004378.394687776</v>
      </c>
      <c r="N151" s="17">
        <f t="shared" si="24"/>
        <v>20796414.252166111</v>
      </c>
      <c r="O151" s="17">
        <f t="shared" si="24"/>
        <v>20590509.160560504</v>
      </c>
      <c r="P151" s="17">
        <f t="shared" si="24"/>
        <v>20386642.733228222</v>
      </c>
      <c r="Q151" s="17">
        <f t="shared" si="24"/>
        <v>20184794.785374481</v>
      </c>
      <c r="R151" s="17">
        <f t="shared" si="24"/>
        <v>19984945.332053941</v>
      </c>
      <c r="S151" s="17">
        <f t="shared" si="24"/>
        <v>19787074.586192019</v>
      </c>
      <c r="T151" s="17">
        <f t="shared" si="24"/>
        <v>19591162.95662576</v>
      </c>
      <c r="U151" s="17">
        <f t="shared" si="24"/>
        <v>19397191.046164125</v>
      </c>
      <c r="V151" s="17">
        <f t="shared" si="24"/>
        <v>19205139.649667442</v>
      </c>
      <c r="W151" s="17">
        <f t="shared" si="24"/>
        <v>19014989.75214598</v>
      </c>
      <c r="X151" s="17">
        <f t="shared" si="24"/>
        <v>18826722.52687721</v>
      </c>
      <c r="Y151" s="17">
        <f t="shared" si="24"/>
        <v>18640319.333541796</v>
      </c>
      <c r="Z151" s="17">
        <f t="shared" si="24"/>
        <v>18455761.716378011</v>
      </c>
      <c r="AA151" s="17">
        <f t="shared" si="24"/>
        <v>18273031.402354471</v>
      </c>
      <c r="AB151" s="17">
        <f t="shared" si="24"/>
        <v>18092110.299360856</v>
      </c>
      <c r="AC151" s="17">
        <f t="shared" si="24"/>
        <v>17912980.494416691</v>
      </c>
      <c r="AD151" s="17">
        <f t="shared" si="24"/>
        <v>17735624.251897711</v>
      </c>
      <c r="AE151" s="17">
        <f t="shared" si="24"/>
        <v>17560024.011779912</v>
      </c>
      <c r="AF151" s="17">
        <f t="shared" si="24"/>
        <v>17386162.3879009</v>
      </c>
      <c r="AG151" s="17">
        <f t="shared" si="24"/>
        <v>17214022.166238524</v>
      </c>
      <c r="AH151" s="17">
        <f t="shared" si="24"/>
        <v>17043586.303206455</v>
      </c>
      <c r="AI151" s="17">
        <f t="shared" si="24"/>
        <v>16874837.923966788</v>
      </c>
      <c r="AJ151" s="122">
        <f t="shared" si="24"/>
        <v>16707760.320759194</v>
      </c>
    </row>
    <row r="152" spans="1:36" x14ac:dyDescent="0.2">
      <c r="A152" s="173" t="s">
        <v>703</v>
      </c>
      <c r="B152" t="s">
        <v>688</v>
      </c>
      <c r="G152" s="8">
        <f t="shared" ref="G152:AJ152" si="25">$C$49*($D$99/G99)*G99</f>
        <v>106281500000000</v>
      </c>
      <c r="H152" s="8">
        <f t="shared" si="25"/>
        <v>106281500000000</v>
      </c>
      <c r="I152" s="8">
        <f t="shared" si="25"/>
        <v>106281500000000</v>
      </c>
      <c r="J152" s="8">
        <f t="shared" si="25"/>
        <v>106281500000000</v>
      </c>
      <c r="K152" s="8">
        <f t="shared" si="25"/>
        <v>106281500000000</v>
      </c>
      <c r="L152" s="8">
        <f t="shared" si="25"/>
        <v>106281500000000</v>
      </c>
      <c r="M152" s="8">
        <f t="shared" si="25"/>
        <v>106281500000000</v>
      </c>
      <c r="N152" s="8">
        <f t="shared" si="25"/>
        <v>106281500000000.02</v>
      </c>
      <c r="O152" s="8">
        <f t="shared" si="25"/>
        <v>106281500000000</v>
      </c>
      <c r="P152" s="8">
        <f t="shared" si="25"/>
        <v>106281500000000</v>
      </c>
      <c r="Q152" s="8">
        <f t="shared" si="25"/>
        <v>106281500000000</v>
      </c>
      <c r="R152" s="8">
        <f t="shared" si="25"/>
        <v>106281500000000</v>
      </c>
      <c r="S152" s="8">
        <f t="shared" si="25"/>
        <v>106281500000000</v>
      </c>
      <c r="T152" s="8">
        <f t="shared" si="25"/>
        <v>106281500000000</v>
      </c>
      <c r="U152" s="8">
        <f t="shared" si="25"/>
        <v>106281499999999.98</v>
      </c>
      <c r="V152" s="8">
        <f t="shared" si="25"/>
        <v>106281500000000.02</v>
      </c>
      <c r="W152" s="8">
        <f t="shared" si="25"/>
        <v>106281500000000</v>
      </c>
      <c r="X152" s="8">
        <f t="shared" si="25"/>
        <v>106281500000000</v>
      </c>
      <c r="Y152" s="8">
        <f t="shared" si="25"/>
        <v>106281500000000</v>
      </c>
      <c r="Z152" s="8">
        <f t="shared" si="25"/>
        <v>106281499999999.98</v>
      </c>
      <c r="AA152" s="8">
        <f t="shared" si="25"/>
        <v>106281500000000</v>
      </c>
      <c r="AB152" s="8">
        <f t="shared" si="25"/>
        <v>106281500000000</v>
      </c>
      <c r="AC152" s="8">
        <f t="shared" si="25"/>
        <v>106281500000000</v>
      </c>
      <c r="AD152" s="8">
        <f t="shared" si="25"/>
        <v>106281499999999.98</v>
      </c>
      <c r="AE152" s="8">
        <f t="shared" si="25"/>
        <v>106281500000000</v>
      </c>
      <c r="AF152" s="8">
        <f t="shared" si="25"/>
        <v>106281500000000</v>
      </c>
      <c r="AG152" s="8">
        <f t="shared" si="25"/>
        <v>106281500000000</v>
      </c>
      <c r="AH152" s="8">
        <f t="shared" si="25"/>
        <v>106281500000000</v>
      </c>
      <c r="AI152" s="8">
        <f t="shared" si="25"/>
        <v>106281500000000.02</v>
      </c>
      <c r="AJ152" s="115">
        <f t="shared" si="25"/>
        <v>106281500000000</v>
      </c>
    </row>
    <row r="153" spans="1:36" x14ac:dyDescent="0.2">
      <c r="A153" s="108" t="s">
        <v>735</v>
      </c>
      <c r="B153" t="s">
        <v>537</v>
      </c>
      <c r="C153" t="s">
        <v>312</v>
      </c>
      <c r="G153" s="17">
        <f>G151/G152*-1</f>
        <v>-1.048939416399343E-7</v>
      </c>
      <c r="H153" s="17">
        <f t="shared" ref="H153:AJ153" si="26">H151/H152*-1</f>
        <v>-2.0771077552462238E-7</v>
      </c>
      <c r="I153" s="17">
        <f t="shared" si="26"/>
        <v>-2.0565423319269544E-7</v>
      </c>
      <c r="J153" s="17">
        <f t="shared" si="26"/>
        <v>-2.0361805266603508E-7</v>
      </c>
      <c r="K153" s="17">
        <f t="shared" si="26"/>
        <v>-2.0160203234260902E-7</v>
      </c>
      <c r="L153" s="17">
        <f t="shared" si="26"/>
        <v>-1.996059726164445E-7</v>
      </c>
      <c r="M153" s="17">
        <f t="shared" si="26"/>
        <v>-1.9762967585786591E-7</v>
      </c>
      <c r="N153" s="17">
        <f t="shared" si="26"/>
        <v>-1.9567294639392659E-7</v>
      </c>
      <c r="O153" s="17">
        <f t="shared" si="26"/>
        <v>-1.9373559048903622E-7</v>
      </c>
      <c r="P153" s="17">
        <f t="shared" si="26"/>
        <v>-1.9181741632577843E-7</v>
      </c>
      <c r="Q153" s="17">
        <f t="shared" si="26"/>
        <v>-1.8991823398591929E-7</v>
      </c>
      <c r="R153" s="17">
        <f t="shared" si="26"/>
        <v>-1.8803785543160324E-7</v>
      </c>
      <c r="S153" s="17">
        <f t="shared" si="26"/>
        <v>-1.8617609448673587E-7</v>
      </c>
      <c r="T153" s="17">
        <f t="shared" si="26"/>
        <v>-1.8433276681855036E-7</v>
      </c>
      <c r="U153" s="17">
        <f t="shared" si="26"/>
        <v>-1.8250768991935687E-7</v>
      </c>
      <c r="V153" s="17">
        <f t="shared" si="26"/>
        <v>-1.8070068308847202E-7</v>
      </c>
      <c r="W153" s="17">
        <f t="shared" si="26"/>
        <v>-1.7891156741432873E-7</v>
      </c>
      <c r="X153" s="17">
        <f t="shared" si="26"/>
        <v>-1.7714016575676115E-7</v>
      </c>
      <c r="Y153" s="17">
        <f t="shared" si="26"/>
        <v>-1.7538630272946651E-7</v>
      </c>
      <c r="Z153" s="17">
        <f t="shared" si="26"/>
        <v>-1.736498046826401E-7</v>
      </c>
      <c r="AA153" s="17">
        <f t="shared" si="26"/>
        <v>-1.7193049968578229E-7</v>
      </c>
      <c r="AB153" s="17">
        <f t="shared" si="26"/>
        <v>-1.7022821751067548E-7</v>
      </c>
      <c r="AC153" s="17">
        <f t="shared" si="26"/>
        <v>-1.6854278961453019E-7</v>
      </c>
      <c r="AD153" s="17">
        <f t="shared" si="26"/>
        <v>-1.6687404912329722E-7</v>
      </c>
      <c r="AE153" s="17">
        <f t="shared" si="26"/>
        <v>-1.6522183081514574E-7</v>
      </c>
      <c r="AF153" s="17">
        <f t="shared" si="26"/>
        <v>-1.6358597110410466E-7</v>
      </c>
      <c r="AG153" s="17">
        <f t="shared" si="26"/>
        <v>-1.6196630802386609E-7</v>
      </c>
      <c r="AH153" s="17">
        <f t="shared" si="26"/>
        <v>-1.6036268121174857E-7</v>
      </c>
      <c r="AI153" s="17">
        <f t="shared" si="26"/>
        <v>-1.5877493189282035E-7</v>
      </c>
      <c r="AJ153" s="122">
        <f t="shared" si="26"/>
        <v>-1.5720290286417856E-7</v>
      </c>
    </row>
    <row r="154" spans="1:36" x14ac:dyDescent="0.2">
      <c r="A154" s="108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22"/>
    </row>
    <row r="155" spans="1:36" x14ac:dyDescent="0.2">
      <c r="A155" s="173" t="s">
        <v>736</v>
      </c>
      <c r="B155" t="s">
        <v>687</v>
      </c>
      <c r="G155" s="17">
        <f>$C$45*G96*C18</f>
        <v>55.298407961828389</v>
      </c>
      <c r="H155" s="17">
        <f t="shared" ref="H155:AJ155" si="27">$C$45*H96</f>
        <v>109.50179794421463</v>
      </c>
      <c r="I155" s="17">
        <f t="shared" si="27"/>
        <v>108.41762172694519</v>
      </c>
      <c r="J155" s="17">
        <f t="shared" si="27"/>
        <v>107.34417992766849</v>
      </c>
      <c r="K155" s="17">
        <f t="shared" si="27"/>
        <v>106.28136626501832</v>
      </c>
      <c r="L155" s="17">
        <f t="shared" si="27"/>
        <v>105.2290755099191</v>
      </c>
      <c r="M155" s="17">
        <f t="shared" si="27"/>
        <v>104.18720347516746</v>
      </c>
      <c r="N155" s="17">
        <f t="shared" si="27"/>
        <v>103.15564700511628</v>
      </c>
      <c r="O155" s="17">
        <f t="shared" si="27"/>
        <v>102.13430396546164</v>
      </c>
      <c r="P155" s="17">
        <f t="shared" si="27"/>
        <v>101.12307323313034</v>
      </c>
      <c r="Q155" s="17">
        <f t="shared" si="27"/>
        <v>100.12185468626768</v>
      </c>
      <c r="R155" s="17">
        <f t="shared" si="27"/>
        <v>99.130549194324445</v>
      </c>
      <c r="S155" s="17">
        <f t="shared" si="27"/>
        <v>98.149058608242015</v>
      </c>
      <c r="T155" s="17">
        <f t="shared" si="27"/>
        <v>97.177285750734654</v>
      </c>
      <c r="U155" s="17">
        <f t="shared" si="27"/>
        <v>96.215134406668</v>
      </c>
      <c r="V155" s="17">
        <f t="shared" si="27"/>
        <v>95.262509313532647</v>
      </c>
      <c r="W155" s="17">
        <f t="shared" si="27"/>
        <v>94.319316152012505</v>
      </c>
      <c r="X155" s="17">
        <f t="shared" si="27"/>
        <v>93.385461536646048</v>
      </c>
      <c r="Y155" s="17">
        <f t="shared" si="27"/>
        <v>92.460853006580265</v>
      </c>
      <c r="Z155" s="17">
        <f t="shared" si="27"/>
        <v>91.545399016416098</v>
      </c>
      <c r="AA155" s="17">
        <f t="shared" si="27"/>
        <v>90.639008927144673</v>
      </c>
      <c r="AB155" s="17">
        <f t="shared" si="27"/>
        <v>89.741592997172916</v>
      </c>
      <c r="AC155" s="17">
        <f t="shared" si="27"/>
        <v>88.853062373438533</v>
      </c>
      <c r="AD155" s="17">
        <f t="shared" si="27"/>
        <v>87.973329082612395</v>
      </c>
      <c r="AE155" s="17">
        <f t="shared" si="27"/>
        <v>87.10230602238849</v>
      </c>
      <c r="AF155" s="17">
        <f t="shared" si="27"/>
        <v>86.239906952859897</v>
      </c>
      <c r="AG155" s="17">
        <f t="shared" si="27"/>
        <v>85.386046487980138</v>
      </c>
      <c r="AH155" s="17">
        <f t="shared" si="27"/>
        <v>84.540640087109026</v>
      </c>
      <c r="AI155" s="17">
        <f t="shared" si="27"/>
        <v>83.70360404664261</v>
      </c>
      <c r="AJ155" s="122">
        <f t="shared" si="27"/>
        <v>82.874855491725341</v>
      </c>
    </row>
    <row r="156" spans="1:36" x14ac:dyDescent="0.2">
      <c r="A156" s="173" t="s">
        <v>704</v>
      </c>
      <c r="B156" t="s">
        <v>687</v>
      </c>
      <c r="G156" s="8">
        <f t="shared" ref="G156:AJ156" si="28">$C$50*($D$99/G99)*G99</f>
        <v>10624000000</v>
      </c>
      <c r="H156" s="8">
        <f t="shared" si="28"/>
        <v>10624000000</v>
      </c>
      <c r="I156" s="8">
        <f t="shared" si="28"/>
        <v>10624000000</v>
      </c>
      <c r="J156" s="8">
        <f t="shared" si="28"/>
        <v>10624000000</v>
      </c>
      <c r="K156" s="8">
        <f t="shared" si="28"/>
        <v>10624000000</v>
      </c>
      <c r="L156" s="8">
        <f t="shared" si="28"/>
        <v>10624000000</v>
      </c>
      <c r="M156" s="8">
        <f t="shared" si="28"/>
        <v>10624000000</v>
      </c>
      <c r="N156" s="8">
        <f t="shared" si="28"/>
        <v>10624000000</v>
      </c>
      <c r="O156" s="8">
        <f t="shared" si="28"/>
        <v>10624000000</v>
      </c>
      <c r="P156" s="8">
        <f t="shared" si="28"/>
        <v>10624000000</v>
      </c>
      <c r="Q156" s="8">
        <f t="shared" si="28"/>
        <v>10624000000</v>
      </c>
      <c r="R156" s="8">
        <f t="shared" si="28"/>
        <v>10624000000</v>
      </c>
      <c r="S156" s="8">
        <f t="shared" si="28"/>
        <v>10624000000</v>
      </c>
      <c r="T156" s="8">
        <f t="shared" si="28"/>
        <v>10624000000</v>
      </c>
      <c r="U156" s="8">
        <f t="shared" si="28"/>
        <v>10624000000</v>
      </c>
      <c r="V156" s="8">
        <f t="shared" si="28"/>
        <v>10624000000</v>
      </c>
      <c r="W156" s="8">
        <f t="shared" si="28"/>
        <v>10624000000</v>
      </c>
      <c r="X156" s="8">
        <f t="shared" si="28"/>
        <v>10624000000.000002</v>
      </c>
      <c r="Y156" s="8">
        <f t="shared" si="28"/>
        <v>10624000000</v>
      </c>
      <c r="Z156" s="8">
        <f t="shared" si="28"/>
        <v>10624000000</v>
      </c>
      <c r="AA156" s="8">
        <f t="shared" si="28"/>
        <v>10624000000</v>
      </c>
      <c r="AB156" s="8">
        <f t="shared" si="28"/>
        <v>10624000000</v>
      </c>
      <c r="AC156" s="8">
        <f t="shared" si="28"/>
        <v>10624000000</v>
      </c>
      <c r="AD156" s="8">
        <f t="shared" si="28"/>
        <v>10624000000</v>
      </c>
      <c r="AE156" s="8">
        <f t="shared" si="28"/>
        <v>10624000000</v>
      </c>
      <c r="AF156" s="8">
        <f t="shared" si="28"/>
        <v>10624000000</v>
      </c>
      <c r="AG156" s="8">
        <f t="shared" si="28"/>
        <v>10624000000</v>
      </c>
      <c r="AH156" s="8">
        <f t="shared" si="28"/>
        <v>10624000000</v>
      </c>
      <c r="AI156" s="8">
        <f t="shared" si="28"/>
        <v>10624000000.000002</v>
      </c>
      <c r="AJ156" s="115">
        <f t="shared" si="28"/>
        <v>10624000000</v>
      </c>
    </row>
    <row r="157" spans="1:36" x14ac:dyDescent="0.2">
      <c r="A157" s="108" t="s">
        <v>737</v>
      </c>
      <c r="B157" t="s">
        <v>537</v>
      </c>
      <c r="C157" t="s">
        <v>312</v>
      </c>
      <c r="G157" s="17">
        <f t="shared" ref="G157:AJ157" si="29">G155/G156*-1*G101</f>
        <v>-0.41640367441135834</v>
      </c>
      <c r="H157" s="17">
        <f t="shared" si="29"/>
        <v>-0.82456173150764034</v>
      </c>
      <c r="I157" s="17">
        <f t="shared" si="29"/>
        <v>-0.81639775396796077</v>
      </c>
      <c r="J157" s="17">
        <f t="shared" si="29"/>
        <v>-0.80831460788906995</v>
      </c>
      <c r="K157" s="17">
        <f t="shared" si="29"/>
        <v>-0.80031149295947535</v>
      </c>
      <c r="L157" s="17">
        <f t="shared" si="29"/>
        <v>-0.79238761679155945</v>
      </c>
      <c r="M157" s="17">
        <f t="shared" si="29"/>
        <v>-0.78454219484312859</v>
      </c>
      <c r="N157" s="17">
        <f t="shared" si="29"/>
        <v>-0.77677445033973103</v>
      </c>
      <c r="O157" s="17">
        <f t="shared" si="29"/>
        <v>-0.76908361419775328</v>
      </c>
      <c r="P157" s="17">
        <f t="shared" si="29"/>
        <v>-0.76146892494827056</v>
      </c>
      <c r="Q157" s="17">
        <f t="shared" si="29"/>
        <v>-0.75392962866165425</v>
      </c>
      <c r="R157" s="17">
        <f t="shared" si="29"/>
        <v>-0.74646497887292496</v>
      </c>
      <c r="S157" s="17">
        <f t="shared" si="29"/>
        <v>-0.73907423650784654</v>
      </c>
      <c r="T157" s="17">
        <f t="shared" si="29"/>
        <v>-0.73175666980974885</v>
      </c>
      <c r="U157" s="17">
        <f t="shared" si="29"/>
        <v>-0.72451155426707825</v>
      </c>
      <c r="V157" s="17">
        <f t="shared" si="29"/>
        <v>-0.71733817254166155</v>
      </c>
      <c r="W157" s="17">
        <f t="shared" si="29"/>
        <v>-0.71023581439768457</v>
      </c>
      <c r="X157" s="17">
        <f t="shared" si="29"/>
        <v>-0.70320377663137068</v>
      </c>
      <c r="Y157" s="17">
        <f t="shared" si="29"/>
        <v>-0.69624136300135742</v>
      </c>
      <c r="Z157" s="17">
        <f t="shared" si="29"/>
        <v>-0.68934788415975978</v>
      </c>
      <c r="AA157" s="17">
        <f t="shared" si="29"/>
        <v>-0.68252265758392072</v>
      </c>
      <c r="AB157" s="17">
        <f t="shared" si="29"/>
        <v>-0.67576500750883217</v>
      </c>
      <c r="AC157" s="17">
        <f t="shared" si="29"/>
        <v>-0.66907426486022992</v>
      </c>
      <c r="AD157" s="17">
        <f t="shared" si="29"/>
        <v>-0.66244976718834636</v>
      </c>
      <c r="AE157" s="17">
        <f t="shared" si="29"/>
        <v>-0.65589085860232299</v>
      </c>
      <c r="AF157" s="17">
        <f t="shared" si="29"/>
        <v>-0.64939688970527032</v>
      </c>
      <c r="AG157" s="17">
        <f t="shared" si="29"/>
        <v>-0.64296721752997088</v>
      </c>
      <c r="AH157" s="17">
        <f t="shared" si="29"/>
        <v>-0.63660120547521859</v>
      </c>
      <c r="AI157" s="17">
        <f t="shared" si="29"/>
        <v>-0.63029822324279061</v>
      </c>
      <c r="AJ157" s="122">
        <f t="shared" si="29"/>
        <v>-0.62405764677504028</v>
      </c>
    </row>
    <row r="158" spans="1:36" x14ac:dyDescent="0.2">
      <c r="A158" s="108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22"/>
    </row>
    <row r="159" spans="1:36" x14ac:dyDescent="0.2">
      <c r="A159" s="173" t="s">
        <v>738</v>
      </c>
      <c r="B159" t="s">
        <v>686</v>
      </c>
      <c r="G159" s="17">
        <f>$C$46*G96*C18</f>
        <v>352005.79714668402</v>
      </c>
      <c r="H159" s="17">
        <f t="shared" ref="H159:AJ159" si="30">$C$46*H96</f>
        <v>697041.18246868125</v>
      </c>
      <c r="I159" s="17">
        <f t="shared" si="30"/>
        <v>690139.78462245676</v>
      </c>
      <c r="J159" s="17">
        <f t="shared" si="30"/>
        <v>683306.71744797693</v>
      </c>
      <c r="K159" s="17">
        <f t="shared" si="30"/>
        <v>676541.30440393765</v>
      </c>
      <c r="L159" s="17">
        <f t="shared" si="30"/>
        <v>669842.87564746279</v>
      </c>
      <c r="M159" s="17">
        <f t="shared" si="30"/>
        <v>663210.76796778524</v>
      </c>
      <c r="N159" s="17">
        <f t="shared" si="30"/>
        <v>656644.3247205792</v>
      </c>
      <c r="O159" s="17">
        <f t="shared" si="30"/>
        <v>650142.8957629496</v>
      </c>
      <c r="P159" s="17">
        <f t="shared" si="30"/>
        <v>643705.83738905913</v>
      </c>
      <c r="Q159" s="17">
        <f t="shared" si="30"/>
        <v>637332.51226639526</v>
      </c>
      <c r="R159" s="17">
        <f t="shared" si="30"/>
        <v>631022.2893726686</v>
      </c>
      <c r="S159" s="17">
        <f t="shared" si="30"/>
        <v>624774.54393333511</v>
      </c>
      <c r="T159" s="17">
        <f t="shared" si="30"/>
        <v>618588.65735973767</v>
      </c>
      <c r="U159" s="17">
        <f t="shared" si="30"/>
        <v>612464.01718785928</v>
      </c>
      <c r="V159" s="17">
        <f t="shared" si="30"/>
        <v>606400.0170176822</v>
      </c>
      <c r="W159" s="17">
        <f t="shared" si="30"/>
        <v>600396.0564531507</v>
      </c>
      <c r="X159" s="17">
        <f t="shared" si="30"/>
        <v>594451.54104272346</v>
      </c>
      <c r="Y159" s="17">
        <f t="shared" si="30"/>
        <v>588565.88222051843</v>
      </c>
      <c r="Z159" s="17">
        <f t="shared" si="30"/>
        <v>582738.49724803795</v>
      </c>
      <c r="AA159" s="17">
        <f t="shared" si="30"/>
        <v>576968.80915647338</v>
      </c>
      <c r="AB159" s="17">
        <f t="shared" si="30"/>
        <v>571256.24668957735</v>
      </c>
      <c r="AC159" s="17">
        <f t="shared" si="30"/>
        <v>565600.24424710637</v>
      </c>
      <c r="AD159" s="17">
        <f t="shared" si="30"/>
        <v>560000.24182881811</v>
      </c>
      <c r="AE159" s="17">
        <f t="shared" si="30"/>
        <v>554455.68497902772</v>
      </c>
      <c r="AF159" s="17">
        <f t="shared" si="30"/>
        <v>548966.02473171067</v>
      </c>
      <c r="AG159" s="17">
        <f t="shared" si="30"/>
        <v>543530.71755614935</v>
      </c>
      <c r="AH159" s="17">
        <f t="shared" si="30"/>
        <v>538149.22530311812</v>
      </c>
      <c r="AI159" s="17">
        <f t="shared" si="30"/>
        <v>532821.0151516021</v>
      </c>
      <c r="AJ159" s="122">
        <f t="shared" si="30"/>
        <v>527545.55955604161</v>
      </c>
    </row>
    <row r="160" spans="1:36" x14ac:dyDescent="0.2">
      <c r="A160" s="173" t="s">
        <v>705</v>
      </c>
      <c r="B160" t="s">
        <v>686</v>
      </c>
      <c r="G160" s="8">
        <f t="shared" ref="G160:AJ160" si="31">$C$51*($D$99/G99)*G99</f>
        <v>36540251999999.992</v>
      </c>
      <c r="H160" s="8">
        <f t="shared" si="31"/>
        <v>36540252000000</v>
      </c>
      <c r="I160" s="8">
        <f t="shared" si="31"/>
        <v>36540252000000</v>
      </c>
      <c r="J160" s="8">
        <f t="shared" si="31"/>
        <v>36540251999999.992</v>
      </c>
      <c r="K160" s="8">
        <f t="shared" si="31"/>
        <v>36540252000000</v>
      </c>
      <c r="L160" s="8">
        <f t="shared" si="31"/>
        <v>36540251999999.992</v>
      </c>
      <c r="M160" s="8">
        <f t="shared" si="31"/>
        <v>36540252000000</v>
      </c>
      <c r="N160" s="8">
        <f t="shared" si="31"/>
        <v>36540252000000</v>
      </c>
      <c r="O160" s="8">
        <f t="shared" si="31"/>
        <v>36540252000000</v>
      </c>
      <c r="P160" s="8">
        <f t="shared" si="31"/>
        <v>36540252000000</v>
      </c>
      <c r="Q160" s="8">
        <f t="shared" si="31"/>
        <v>36540251999999.992</v>
      </c>
      <c r="R160" s="8">
        <f t="shared" si="31"/>
        <v>36540251999999.992</v>
      </c>
      <c r="S160" s="8">
        <f t="shared" si="31"/>
        <v>36540251999999.992</v>
      </c>
      <c r="T160" s="8">
        <f t="shared" si="31"/>
        <v>36540251999999.992</v>
      </c>
      <c r="U160" s="8">
        <f t="shared" si="31"/>
        <v>36540252000000</v>
      </c>
      <c r="V160" s="8">
        <f t="shared" si="31"/>
        <v>36540252000000</v>
      </c>
      <c r="W160" s="8">
        <f t="shared" si="31"/>
        <v>36540252000000</v>
      </c>
      <c r="X160" s="8">
        <f t="shared" si="31"/>
        <v>36540252000000</v>
      </c>
      <c r="Y160" s="8">
        <f t="shared" si="31"/>
        <v>36540252000000</v>
      </c>
      <c r="Z160" s="8">
        <f t="shared" si="31"/>
        <v>36540251999999.992</v>
      </c>
      <c r="AA160" s="8">
        <f t="shared" si="31"/>
        <v>36540252000000</v>
      </c>
      <c r="AB160" s="8">
        <f t="shared" si="31"/>
        <v>36540252000000</v>
      </c>
      <c r="AC160" s="8">
        <f t="shared" si="31"/>
        <v>36540251999999.992</v>
      </c>
      <c r="AD160" s="8">
        <f t="shared" si="31"/>
        <v>36540251999999.992</v>
      </c>
      <c r="AE160" s="8">
        <f t="shared" si="31"/>
        <v>36540251999999.992</v>
      </c>
      <c r="AF160" s="8">
        <f t="shared" si="31"/>
        <v>36540252000000</v>
      </c>
      <c r="AG160" s="8">
        <f t="shared" si="31"/>
        <v>36540252000000</v>
      </c>
      <c r="AH160" s="8">
        <f t="shared" si="31"/>
        <v>36540252000000</v>
      </c>
      <c r="AI160" s="8">
        <f t="shared" si="31"/>
        <v>36540252000000</v>
      </c>
      <c r="AJ160" s="115">
        <f t="shared" si="31"/>
        <v>36540252000000</v>
      </c>
    </row>
    <row r="161" spans="1:36" x14ac:dyDescent="0.2">
      <c r="A161" s="108" t="s">
        <v>739</v>
      </c>
      <c r="B161" t="s">
        <v>537</v>
      </c>
      <c r="C161" t="s">
        <v>312</v>
      </c>
      <c r="G161" s="17">
        <f t="shared" ref="G161:AJ161" si="32">G159/G160*-1*G101</f>
        <v>-0.77066966510616097</v>
      </c>
      <c r="H161" s="17">
        <f t="shared" si="32"/>
        <v>-1.5260785447646747</v>
      </c>
      <c r="I161" s="17">
        <f t="shared" si="32"/>
        <v>-1.5109688562026486</v>
      </c>
      <c r="J161" s="17">
        <f t="shared" si="32"/>
        <v>-1.4960087685174739</v>
      </c>
      <c r="K161" s="17">
        <f t="shared" si="32"/>
        <v>-1.4811968005123504</v>
      </c>
      <c r="L161" s="17">
        <f t="shared" si="32"/>
        <v>-1.4665314856557921</v>
      </c>
      <c r="M161" s="17">
        <f t="shared" si="32"/>
        <v>-1.4520113719364283</v>
      </c>
      <c r="N161" s="17">
        <f t="shared" si="32"/>
        <v>-1.4376350217192353</v>
      </c>
      <c r="O161" s="17">
        <f t="shared" si="32"/>
        <v>-1.4234010116032032</v>
      </c>
      <c r="P161" s="17">
        <f t="shared" si="32"/>
        <v>-1.4093079322803996</v>
      </c>
      <c r="Q161" s="17">
        <f t="shared" si="32"/>
        <v>-1.3953543883964354</v>
      </c>
      <c r="R161" s="17">
        <f t="shared" si="32"/>
        <v>-1.3815389984123125</v>
      </c>
      <c r="S161" s="17">
        <f t="shared" si="32"/>
        <v>-1.3678603944676357</v>
      </c>
      <c r="T161" s="17">
        <f t="shared" si="32"/>
        <v>-1.3543172222451838</v>
      </c>
      <c r="U161" s="17">
        <f t="shared" si="32"/>
        <v>-1.3409081408368158</v>
      </c>
      <c r="V161" s="17">
        <f t="shared" si="32"/>
        <v>-1.327631822610708</v>
      </c>
      <c r="W161" s="17">
        <f t="shared" si="32"/>
        <v>-1.314486953079909</v>
      </c>
      <c r="X161" s="17">
        <f t="shared" si="32"/>
        <v>-1.3014722307721873</v>
      </c>
      <c r="Y161" s="17">
        <f t="shared" si="32"/>
        <v>-1.2885863671011759</v>
      </c>
      <c r="Z161" s="17">
        <f t="shared" si="32"/>
        <v>-1.2758280862387881</v>
      </c>
      <c r="AA161" s="17">
        <f t="shared" si="32"/>
        <v>-1.2631961249888992</v>
      </c>
      <c r="AB161" s="17">
        <f t="shared" si="32"/>
        <v>-1.2506892326622756</v>
      </c>
      <c r="AC161" s="17">
        <f t="shared" si="32"/>
        <v>-1.2383061709527488</v>
      </c>
      <c r="AD161" s="17">
        <f t="shared" si="32"/>
        <v>-1.2260457138146026</v>
      </c>
      <c r="AE161" s="17">
        <f t="shared" si="32"/>
        <v>-1.2139066473411904</v>
      </c>
      <c r="AF161" s="17">
        <f t="shared" si="32"/>
        <v>-1.2018877696447428</v>
      </c>
      <c r="AG161" s="17">
        <f t="shared" si="32"/>
        <v>-1.1899878907373695</v>
      </c>
      <c r="AH161" s="17">
        <f t="shared" si="32"/>
        <v>-1.178205832413237</v>
      </c>
      <c r="AI161" s="17">
        <f t="shared" si="32"/>
        <v>-1.1665404281319178</v>
      </c>
      <c r="AJ161" s="122">
        <f t="shared" si="32"/>
        <v>-1.1549905229028887</v>
      </c>
    </row>
    <row r="162" spans="1:36" x14ac:dyDescent="0.2">
      <c r="A162" s="108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22"/>
    </row>
    <row r="163" spans="1:36" x14ac:dyDescent="0.2">
      <c r="A163" s="116" t="s">
        <v>741</v>
      </c>
      <c r="B163" s="30"/>
      <c r="C163" s="30"/>
      <c r="D163" s="30"/>
      <c r="E163" s="30"/>
      <c r="F163" s="30"/>
      <c r="G163" s="213"/>
      <c r="H163" s="213"/>
      <c r="I163" s="213"/>
      <c r="J163" s="213"/>
      <c r="K163" s="213"/>
      <c r="L163" s="213"/>
      <c r="M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13"/>
      <c r="AF163" s="213"/>
      <c r="AG163" s="213"/>
      <c r="AH163" s="213"/>
      <c r="AI163" s="213"/>
      <c r="AJ163" s="164"/>
    </row>
    <row r="164" spans="1:36" x14ac:dyDescent="0.2">
      <c r="A164" s="173" t="s">
        <v>742</v>
      </c>
      <c r="B164" t="s">
        <v>698</v>
      </c>
      <c r="G164" s="17">
        <f>$C$54*G96*C18</f>
        <v>4.8731458334930859E-2</v>
      </c>
      <c r="H164" s="17">
        <f t="shared" ref="H164:AJ164" si="33">$C$54*H96</f>
        <v>9.649793729689278E-2</v>
      </c>
      <c r="I164" s="17">
        <f t="shared" si="33"/>
        <v>9.5542512175141384E-2</v>
      </c>
      <c r="J164" s="17">
        <f t="shared" si="33"/>
        <v>9.4596546708060766E-2</v>
      </c>
      <c r="K164" s="17">
        <f t="shared" si="33"/>
        <v>9.3659947235703742E-2</v>
      </c>
      <c r="L164" s="17">
        <f t="shared" si="33"/>
        <v>9.2732621025449227E-2</v>
      </c>
      <c r="M164" s="17">
        <f t="shared" si="33"/>
        <v>9.1814476262821049E-2</v>
      </c>
      <c r="N164" s="17">
        <f t="shared" si="33"/>
        <v>9.0905422042397058E-2</v>
      </c>
      <c r="O164" s="17">
        <f t="shared" si="33"/>
        <v>9.0005368358808943E-2</v>
      </c>
      <c r="P164" s="17">
        <f t="shared" si="33"/>
        <v>8.9114226097830651E-2</v>
      </c>
      <c r="Q164" s="17">
        <f t="shared" si="33"/>
        <v>8.8231907027555109E-2</v>
      </c>
      <c r="R164" s="17">
        <f t="shared" si="33"/>
        <v>8.7358323789658521E-2</v>
      </c>
      <c r="S164" s="17">
        <f t="shared" si="33"/>
        <v>8.6493389890751005E-2</v>
      </c>
      <c r="T164" s="17">
        <f t="shared" si="33"/>
        <v>8.5637019693812877E-2</v>
      </c>
      <c r="U164" s="17">
        <f t="shared" si="33"/>
        <v>8.4789128409715739E-2</v>
      </c>
      <c r="V164" s="17">
        <f t="shared" si="33"/>
        <v>8.3949632088827428E-2</v>
      </c>
      <c r="W164" s="17">
        <f t="shared" si="33"/>
        <v>8.3118447612700416E-2</v>
      </c>
      <c r="X164" s="17">
        <f t="shared" si="33"/>
        <v>8.2295492685842006E-2</v>
      </c>
      <c r="Y164" s="17">
        <f t="shared" si="33"/>
        <v>8.148068582756636E-2</v>
      </c>
      <c r="Z164" s="17">
        <f t="shared" si="33"/>
        <v>8.0673946363927079E-2</v>
      </c>
      <c r="AA164" s="17">
        <f t="shared" si="33"/>
        <v>7.9875194419729789E-2</v>
      </c>
      <c r="AB164" s="17">
        <f t="shared" si="33"/>
        <v>7.9084350910623533E-2</v>
      </c>
      <c r="AC164" s="17">
        <f t="shared" si="33"/>
        <v>7.830133753527084E-2</v>
      </c>
      <c r="AD164" s="17">
        <f t="shared" si="33"/>
        <v>7.7526076767594876E-2</v>
      </c>
      <c r="AE164" s="17">
        <f t="shared" si="33"/>
        <v>7.6758491849103827E-2</v>
      </c>
      <c r="AF164" s="17">
        <f t="shared" si="33"/>
        <v>7.5998506781290914E-2</v>
      </c>
      <c r="AG164" s="17">
        <f t="shared" si="33"/>
        <v>7.5246046318109841E-2</v>
      </c>
      <c r="AH164" s="17">
        <f t="shared" si="33"/>
        <v>7.4501035958524586E-2</v>
      </c>
      <c r="AI164" s="17">
        <f t="shared" si="33"/>
        <v>7.3763401939133263E-2</v>
      </c>
      <c r="AJ164" s="122">
        <f t="shared" si="33"/>
        <v>7.3033071226864602E-2</v>
      </c>
    </row>
    <row r="165" spans="1:36" x14ac:dyDescent="0.2">
      <c r="A165" s="173" t="s">
        <v>706</v>
      </c>
      <c r="B165" t="s">
        <v>698</v>
      </c>
      <c r="G165" s="8">
        <f t="shared" ref="G165:AJ165" si="34">$C$57*($D$99/G99)*G99</f>
        <v>8300000000</v>
      </c>
      <c r="H165" s="8">
        <f t="shared" si="34"/>
        <v>8300000000</v>
      </c>
      <c r="I165" s="8">
        <f t="shared" si="34"/>
        <v>8300000000</v>
      </c>
      <c r="J165" s="8">
        <f t="shared" si="34"/>
        <v>8300000000</v>
      </c>
      <c r="K165" s="8">
        <f t="shared" si="34"/>
        <v>8300000000</v>
      </c>
      <c r="L165" s="8">
        <f t="shared" si="34"/>
        <v>8300000000</v>
      </c>
      <c r="M165" s="8">
        <f t="shared" si="34"/>
        <v>8300000000</v>
      </c>
      <c r="N165" s="8">
        <f t="shared" si="34"/>
        <v>8300000000</v>
      </c>
      <c r="O165" s="8">
        <f t="shared" si="34"/>
        <v>8300000000</v>
      </c>
      <c r="P165" s="8">
        <f t="shared" si="34"/>
        <v>8300000000</v>
      </c>
      <c r="Q165" s="8">
        <f t="shared" si="34"/>
        <v>8300000000</v>
      </c>
      <c r="R165" s="8">
        <f t="shared" si="34"/>
        <v>8300000000</v>
      </c>
      <c r="S165" s="8">
        <f t="shared" si="34"/>
        <v>8300000000</v>
      </c>
      <c r="T165" s="8">
        <f t="shared" si="34"/>
        <v>8300000000</v>
      </c>
      <c r="U165" s="8">
        <f t="shared" si="34"/>
        <v>8300000000</v>
      </c>
      <c r="V165" s="8">
        <f t="shared" si="34"/>
        <v>8300000000</v>
      </c>
      <c r="W165" s="8">
        <f t="shared" si="34"/>
        <v>8300000000</v>
      </c>
      <c r="X165" s="8">
        <f t="shared" si="34"/>
        <v>8300000000</v>
      </c>
      <c r="Y165" s="8">
        <f t="shared" si="34"/>
        <v>8300000000</v>
      </c>
      <c r="Z165" s="8">
        <f t="shared" si="34"/>
        <v>8300000000</v>
      </c>
      <c r="AA165" s="8">
        <f t="shared" si="34"/>
        <v>8300000000.000001</v>
      </c>
      <c r="AB165" s="8">
        <f t="shared" si="34"/>
        <v>8300000000</v>
      </c>
      <c r="AC165" s="8">
        <f t="shared" si="34"/>
        <v>8300000000</v>
      </c>
      <c r="AD165" s="8">
        <f t="shared" si="34"/>
        <v>8300000000</v>
      </c>
      <c r="AE165" s="8">
        <f t="shared" si="34"/>
        <v>8300000000</v>
      </c>
      <c r="AF165" s="8">
        <f t="shared" si="34"/>
        <v>8300000000</v>
      </c>
      <c r="AG165" s="8">
        <f t="shared" si="34"/>
        <v>8300000000</v>
      </c>
      <c r="AH165" s="8">
        <f t="shared" si="34"/>
        <v>8300000000</v>
      </c>
      <c r="AI165" s="8">
        <f t="shared" si="34"/>
        <v>8300000000</v>
      </c>
      <c r="AJ165" s="115">
        <f t="shared" si="34"/>
        <v>8300000000</v>
      </c>
    </row>
    <row r="166" spans="1:36" x14ac:dyDescent="0.2">
      <c r="A166" s="108" t="s">
        <v>743</v>
      </c>
      <c r="B166" t="s">
        <v>537</v>
      </c>
      <c r="C166" t="s">
        <v>312</v>
      </c>
      <c r="G166" s="17">
        <f t="shared" ref="G166:AJ166" si="35">G164/G165*-1*G101</f>
        <v>-4.6970080322824925E-4</v>
      </c>
      <c r="H166" s="17">
        <f t="shared" si="35"/>
        <v>-9.3010060045197861E-4</v>
      </c>
      <c r="I166" s="17">
        <f t="shared" si="35"/>
        <v>-9.208916836158206E-4</v>
      </c>
      <c r="J166" s="17">
        <f t="shared" si="35"/>
        <v>-9.1177394417407958E-4</v>
      </c>
      <c r="K166" s="17">
        <f t="shared" si="35"/>
        <v>-9.0274647938027707E-4</v>
      </c>
      <c r="L166" s="17">
        <f t="shared" si="35"/>
        <v>-8.9380839542601664E-4</v>
      </c>
      <c r="M166" s="17">
        <f t="shared" si="35"/>
        <v>-8.8495880735249197E-4</v>
      </c>
      <c r="N166" s="17">
        <f t="shared" si="35"/>
        <v>-8.7619683896286325E-4</v>
      </c>
      <c r="O166" s="17">
        <f t="shared" si="35"/>
        <v>-8.6752162273550791E-4</v>
      </c>
      <c r="P166" s="17">
        <f t="shared" si="35"/>
        <v>-8.5893229973812676E-4</v>
      </c>
      <c r="Q166" s="17">
        <f t="shared" si="35"/>
        <v>-8.5042801954269978E-4</v>
      </c>
      <c r="R166" s="17">
        <f t="shared" si="35"/>
        <v>-8.4200794014128695E-4</v>
      </c>
      <c r="S166" s="17">
        <f t="shared" si="35"/>
        <v>-8.3367122786266029E-4</v>
      </c>
      <c r="T166" s="17">
        <f t="shared" si="35"/>
        <v>-8.2541705728976273E-4</v>
      </c>
      <c r="U166" s="17">
        <f t="shared" si="35"/>
        <v>-8.1724461117798296E-4</v>
      </c>
      <c r="V166" s="17">
        <f t="shared" si="35"/>
        <v>-8.0915308037424021E-4</v>
      </c>
      <c r="W166" s="17">
        <f t="shared" si="35"/>
        <v>-8.0114166373687146E-4</v>
      </c>
      <c r="X166" s="17">
        <f t="shared" si="35"/>
        <v>-7.932095680563085E-4</v>
      </c>
      <c r="Y166" s="17">
        <f t="shared" si="35"/>
        <v>-7.8535600797654322E-4</v>
      </c>
      <c r="Z166" s="17">
        <f t="shared" si="35"/>
        <v>-7.7758020591736947E-4</v>
      </c>
      <c r="AA166" s="17">
        <f t="shared" si="35"/>
        <v>-7.6988139199739552E-4</v>
      </c>
      <c r="AB166" s="17">
        <f t="shared" si="35"/>
        <v>-7.6225880395781724E-4</v>
      </c>
      <c r="AC166" s="17">
        <f t="shared" si="35"/>
        <v>-7.5471168708694781E-4</v>
      </c>
      <c r="AD166" s="17">
        <f t="shared" si="35"/>
        <v>-7.4723929414549281E-4</v>
      </c>
      <c r="AE166" s="17">
        <f t="shared" si="35"/>
        <v>-7.3984088529256697E-4</v>
      </c>
      <c r="AF166" s="17">
        <f t="shared" si="35"/>
        <v>-7.3251572801244253E-4</v>
      </c>
      <c r="AG166" s="17">
        <f t="shared" si="35"/>
        <v>-7.252630970420225E-4</v>
      </c>
      <c r="AH166" s="17">
        <f t="shared" si="35"/>
        <v>-7.1808227429903215E-4</v>
      </c>
      <c r="AI166" s="17">
        <f t="shared" si="35"/>
        <v>-7.1097254881092296E-4</v>
      </c>
      <c r="AJ166" s="122">
        <f t="shared" si="35"/>
        <v>-7.0393321664447808E-4</v>
      </c>
    </row>
    <row r="167" spans="1:36" x14ac:dyDescent="0.2">
      <c r="A167" s="108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22"/>
    </row>
    <row r="168" spans="1:36" x14ac:dyDescent="0.2">
      <c r="A168" s="173" t="s">
        <v>744</v>
      </c>
      <c r="B168" t="s">
        <v>698</v>
      </c>
      <c r="G168" s="17">
        <f>$C$55*G96*C18</f>
        <v>0.309669020176985</v>
      </c>
      <c r="H168" s="17">
        <f t="shared" ref="H168:AJ168" si="36">$C$55*H96</f>
        <v>0.61320598054848507</v>
      </c>
      <c r="I168" s="17">
        <f t="shared" si="36"/>
        <v>0.607134634206421</v>
      </c>
      <c r="J168" s="17">
        <f t="shared" si="36"/>
        <v>0.60112340020437705</v>
      </c>
      <c r="K168" s="17">
        <f t="shared" si="36"/>
        <v>0.5951716833706705</v>
      </c>
      <c r="L168" s="17">
        <f t="shared" si="36"/>
        <v>0.58927889442640624</v>
      </c>
      <c r="M168" s="17">
        <f t="shared" si="36"/>
        <v>0.58344444992713507</v>
      </c>
      <c r="N168" s="17">
        <f t="shared" si="36"/>
        <v>0.57766777220508414</v>
      </c>
      <c r="O168" s="17">
        <f t="shared" si="36"/>
        <v>0.5719482893119644</v>
      </c>
      <c r="P168" s="17">
        <f t="shared" si="36"/>
        <v>0.56628543496234107</v>
      </c>
      <c r="Q168" s="17">
        <f t="shared" si="36"/>
        <v>0.56067864847756543</v>
      </c>
      <c r="R168" s="17">
        <f t="shared" si="36"/>
        <v>0.55512737473026286</v>
      </c>
      <c r="S168" s="17">
        <f t="shared" si="36"/>
        <v>0.54963106408936913</v>
      </c>
      <c r="T168" s="17">
        <f t="shared" si="36"/>
        <v>0.54418917236571196</v>
      </c>
      <c r="U168" s="17">
        <f t="shared" si="36"/>
        <v>0.53880116075813078</v>
      </c>
      <c r="V168" s="17">
        <f t="shared" si="36"/>
        <v>0.53346649580012928</v>
      </c>
      <c r="W168" s="17">
        <f t="shared" si="36"/>
        <v>0.52818464930705866</v>
      </c>
      <c r="X168" s="17">
        <f t="shared" si="36"/>
        <v>0.52295509832382048</v>
      </c>
      <c r="Y168" s="17">
        <f t="shared" si="36"/>
        <v>0.51777732507308971</v>
      </c>
      <c r="Z168" s="17">
        <f t="shared" si="36"/>
        <v>0.51265081690404912</v>
      </c>
      <c r="AA168" s="17">
        <f t="shared" si="36"/>
        <v>0.50757506624163284</v>
      </c>
      <c r="AB168" s="17">
        <f t="shared" si="36"/>
        <v>0.50254957053627003</v>
      </c>
      <c r="AC168" s="17">
        <f t="shared" si="36"/>
        <v>0.49757383221412882</v>
      </c>
      <c r="AD168" s="17">
        <f t="shared" si="36"/>
        <v>0.49264735862785025</v>
      </c>
      <c r="AE168" s="17">
        <f t="shared" si="36"/>
        <v>0.48776966200777239</v>
      </c>
      <c r="AF168" s="17">
        <f t="shared" si="36"/>
        <v>0.48294025941363605</v>
      </c>
      <c r="AG168" s="17">
        <f t="shared" si="36"/>
        <v>0.47815867268676859</v>
      </c>
      <c r="AH168" s="17">
        <f t="shared" si="36"/>
        <v>0.47342442840274113</v>
      </c>
      <c r="AI168" s="17">
        <f t="shared" si="36"/>
        <v>0.46873705782449615</v>
      </c>
      <c r="AJ168" s="122">
        <f t="shared" si="36"/>
        <v>0.46409609685593667</v>
      </c>
    </row>
    <row r="169" spans="1:36" x14ac:dyDescent="0.2">
      <c r="A169" s="173" t="s">
        <v>707</v>
      </c>
      <c r="B169" t="s">
        <v>698</v>
      </c>
      <c r="G169" s="8">
        <f t="shared" ref="G169:AJ169" si="37">$C$58*($D$99/G99)*G99</f>
        <v>8300000000</v>
      </c>
      <c r="H169" s="8">
        <f t="shared" si="37"/>
        <v>8300000000</v>
      </c>
      <c r="I169" s="8">
        <f t="shared" si="37"/>
        <v>8300000000</v>
      </c>
      <c r="J169" s="8">
        <f t="shared" si="37"/>
        <v>8300000000</v>
      </c>
      <c r="K169" s="8">
        <f t="shared" si="37"/>
        <v>8300000000</v>
      </c>
      <c r="L169" s="8">
        <f t="shared" si="37"/>
        <v>8300000000</v>
      </c>
      <c r="M169" s="8">
        <f t="shared" si="37"/>
        <v>8300000000</v>
      </c>
      <c r="N169" s="8">
        <f t="shared" si="37"/>
        <v>8300000000</v>
      </c>
      <c r="O169" s="8">
        <f t="shared" si="37"/>
        <v>8300000000</v>
      </c>
      <c r="P169" s="8">
        <f t="shared" si="37"/>
        <v>8300000000</v>
      </c>
      <c r="Q169" s="8">
        <f t="shared" si="37"/>
        <v>8300000000</v>
      </c>
      <c r="R169" s="8">
        <f t="shared" si="37"/>
        <v>8300000000</v>
      </c>
      <c r="S169" s="8">
        <f t="shared" si="37"/>
        <v>8300000000</v>
      </c>
      <c r="T169" s="8">
        <f t="shared" si="37"/>
        <v>8300000000</v>
      </c>
      <c r="U169" s="8">
        <f t="shared" si="37"/>
        <v>8300000000</v>
      </c>
      <c r="V169" s="8">
        <f t="shared" si="37"/>
        <v>8300000000</v>
      </c>
      <c r="W169" s="8">
        <f t="shared" si="37"/>
        <v>8300000000</v>
      </c>
      <c r="X169" s="8">
        <f t="shared" si="37"/>
        <v>8300000000</v>
      </c>
      <c r="Y169" s="8">
        <f t="shared" si="37"/>
        <v>8300000000</v>
      </c>
      <c r="Z169" s="8">
        <f t="shared" si="37"/>
        <v>8300000000</v>
      </c>
      <c r="AA169" s="8">
        <f t="shared" si="37"/>
        <v>8300000000.000001</v>
      </c>
      <c r="AB169" s="8">
        <f t="shared" si="37"/>
        <v>8300000000</v>
      </c>
      <c r="AC169" s="8">
        <f t="shared" si="37"/>
        <v>8300000000</v>
      </c>
      <c r="AD169" s="8">
        <f t="shared" si="37"/>
        <v>8300000000</v>
      </c>
      <c r="AE169" s="8">
        <f t="shared" si="37"/>
        <v>8300000000</v>
      </c>
      <c r="AF169" s="8">
        <f t="shared" si="37"/>
        <v>8300000000</v>
      </c>
      <c r="AG169" s="8">
        <f t="shared" si="37"/>
        <v>8300000000</v>
      </c>
      <c r="AH169" s="8">
        <f t="shared" si="37"/>
        <v>8300000000</v>
      </c>
      <c r="AI169" s="8">
        <f t="shared" si="37"/>
        <v>8300000000</v>
      </c>
      <c r="AJ169" s="115">
        <f t="shared" si="37"/>
        <v>8300000000</v>
      </c>
    </row>
    <row r="170" spans="1:36" x14ac:dyDescent="0.2">
      <c r="A170" s="108" t="s">
        <v>743</v>
      </c>
      <c r="B170" t="s">
        <v>537</v>
      </c>
      <c r="C170" t="s">
        <v>312</v>
      </c>
      <c r="G170" s="17">
        <f t="shared" ref="G170:AJ170" si="38">G168/G169*-1*G101</f>
        <v>-2.9847616402600965E-3</v>
      </c>
      <c r="H170" s="17">
        <f t="shared" si="38"/>
        <v>-5.9104190896239524E-3</v>
      </c>
      <c r="I170" s="17">
        <f t="shared" si="38"/>
        <v>-5.8519000887365885E-3</v>
      </c>
      <c r="J170" s="17">
        <f t="shared" si="38"/>
        <v>-5.7939604838976094E-3</v>
      </c>
      <c r="K170" s="17">
        <f t="shared" si="38"/>
        <v>-5.7365945385124866E-3</v>
      </c>
      <c r="L170" s="17">
        <f t="shared" si="38"/>
        <v>-5.6797965727846391E-3</v>
      </c>
      <c r="M170" s="17">
        <f t="shared" si="38"/>
        <v>-5.623560963153109E-3</v>
      </c>
      <c r="N170" s="17">
        <f t="shared" si="38"/>
        <v>-5.5678821417357504E-3</v>
      </c>
      <c r="O170" s="17">
        <f t="shared" si="38"/>
        <v>-5.5127545957779703E-3</v>
      </c>
      <c r="P170" s="17">
        <f t="shared" si="38"/>
        <v>-5.4581728671069018E-3</v>
      </c>
      <c r="Q170" s="17">
        <f t="shared" si="38"/>
        <v>-5.404131551590992E-3</v>
      </c>
      <c r="R170" s="17">
        <f t="shared" si="38"/>
        <v>-5.3506252986049432E-3</v>
      </c>
      <c r="S170" s="17">
        <f t="shared" si="38"/>
        <v>-5.2976488104999426E-3</v>
      </c>
      <c r="T170" s="17">
        <f t="shared" si="38"/>
        <v>-5.2451968420791509E-3</v>
      </c>
      <c r="U170" s="17">
        <f t="shared" si="38"/>
        <v>-5.1932642000783692E-3</v>
      </c>
      <c r="V170" s="17">
        <f t="shared" si="38"/>
        <v>-5.1418457426518488E-3</v>
      </c>
      <c r="W170" s="17">
        <f t="shared" si="38"/>
        <v>-5.0909363788632167E-3</v>
      </c>
      <c r="X170" s="17">
        <f t="shared" si="38"/>
        <v>-5.0405310681814024E-3</v>
      </c>
      <c r="Y170" s="17">
        <f t="shared" si="38"/>
        <v>-4.9906248199815878E-3</v>
      </c>
      <c r="Z170" s="17">
        <f t="shared" si="38"/>
        <v>-4.9412126930510761E-3</v>
      </c>
      <c r="AA170" s="17">
        <f t="shared" si="38"/>
        <v>-4.8922897951000754E-3</v>
      </c>
      <c r="AB170" s="17">
        <f t="shared" si="38"/>
        <v>-4.8438512822773011E-3</v>
      </c>
      <c r="AC170" s="17">
        <f t="shared" si="38"/>
        <v>-4.7958923586903981E-3</v>
      </c>
      <c r="AD170" s="17">
        <f t="shared" si="38"/>
        <v>-4.748408275931087E-3</v>
      </c>
      <c r="AE170" s="17">
        <f t="shared" si="38"/>
        <v>-4.7013943326050358E-3</v>
      </c>
      <c r="AF170" s="17">
        <f t="shared" si="38"/>
        <v>-4.654845873866372E-3</v>
      </c>
      <c r="AG170" s="17">
        <f t="shared" si="38"/>
        <v>-4.6087582909568056E-3</v>
      </c>
      <c r="AH170" s="17">
        <f t="shared" si="38"/>
        <v>-4.5631270207493121E-3</v>
      </c>
      <c r="AI170" s="17">
        <f t="shared" si="38"/>
        <v>-4.5179475452963485E-3</v>
      </c>
      <c r="AJ170" s="122">
        <f t="shared" si="38"/>
        <v>-4.4732153913825219E-3</v>
      </c>
    </row>
    <row r="171" spans="1:36" x14ac:dyDescent="0.2">
      <c r="A171" s="108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22"/>
    </row>
    <row r="172" spans="1:36" x14ac:dyDescent="0.2">
      <c r="A172" s="184" t="s">
        <v>766</v>
      </c>
      <c r="B172" s="179"/>
      <c r="C172" s="179"/>
      <c r="D172" s="179"/>
      <c r="E172" s="179"/>
      <c r="F172" s="179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183"/>
    </row>
    <row r="173" spans="1:36" x14ac:dyDescent="0.2">
      <c r="A173" s="173" t="s">
        <v>1103</v>
      </c>
      <c r="B173" t="s">
        <v>16</v>
      </c>
      <c r="G173" s="17">
        <f>$C$61/$C$65*G96*C18</f>
        <v>3346.3389325376152</v>
      </c>
      <c r="H173" s="17">
        <f t="shared" ref="H173:AJ173" si="39">$C$61/$C$65*H96</f>
        <v>6626.4137277972577</v>
      </c>
      <c r="I173" s="17">
        <f t="shared" si="39"/>
        <v>6560.8056710863948</v>
      </c>
      <c r="J173" s="17">
        <f t="shared" si="39"/>
        <v>6495.8471990954395</v>
      </c>
      <c r="K173" s="17">
        <f t="shared" si="39"/>
        <v>6431.5318802925149</v>
      </c>
      <c r="L173" s="17">
        <f t="shared" si="39"/>
        <v>6367.8533468242704</v>
      </c>
      <c r="M173" s="17">
        <f t="shared" si="39"/>
        <v>6304.8052938854189</v>
      </c>
      <c r="N173" s="17">
        <f t="shared" si="39"/>
        <v>6242.3814790944725</v>
      </c>
      <c r="O173" s="17">
        <f t="shared" si="39"/>
        <v>6180.5757218757144</v>
      </c>
      <c r="P173" s="17">
        <f t="shared" si="39"/>
        <v>6119.3819028472426</v>
      </c>
      <c r="Q173" s="17">
        <f t="shared" si="39"/>
        <v>6058.7939632150928</v>
      </c>
      <c r="R173" s="17">
        <f t="shared" si="39"/>
        <v>5998.8059041733586</v>
      </c>
      <c r="S173" s="17">
        <f t="shared" si="39"/>
        <v>5939.4117863102556</v>
      </c>
      <c r="T173" s="17">
        <f t="shared" si="39"/>
        <v>5880.6057290200552</v>
      </c>
      <c r="U173" s="17">
        <f t="shared" si="39"/>
        <v>5822.3819099208476</v>
      </c>
      <c r="V173" s="17">
        <f t="shared" si="39"/>
        <v>5764.7345642780647</v>
      </c>
      <c r="W173" s="17">
        <f t="shared" si="39"/>
        <v>5707.6579844337275</v>
      </c>
      <c r="X173" s="17">
        <f t="shared" si="39"/>
        <v>5651.1465192413143</v>
      </c>
      <c r="Y173" s="17">
        <f t="shared" si="39"/>
        <v>5595.1945735062527</v>
      </c>
      <c r="Z173" s="17">
        <f t="shared" si="39"/>
        <v>5539.7966074319329</v>
      </c>
      <c r="AA173" s="17">
        <f t="shared" si="39"/>
        <v>5484.9471360712214</v>
      </c>
      <c r="AB173" s="17">
        <f t="shared" si="39"/>
        <v>5430.6407287833863</v>
      </c>
      <c r="AC173" s="17">
        <f t="shared" si="39"/>
        <v>5376.8720086964231</v>
      </c>
      <c r="AD173" s="17">
        <f t="shared" si="39"/>
        <v>5323.6356521746748</v>
      </c>
      <c r="AE173" s="17">
        <f t="shared" si="39"/>
        <v>5270.9263882917567</v>
      </c>
      <c r="AF173" s="17">
        <f t="shared" si="39"/>
        <v>5218.7389983086696</v>
      </c>
      <c r="AG173" s="17">
        <f t="shared" si="39"/>
        <v>5167.0683151571011</v>
      </c>
      <c r="AH173" s="17">
        <f t="shared" si="39"/>
        <v>5115.9092229278222</v>
      </c>
      <c r="AI173" s="17">
        <f t="shared" si="39"/>
        <v>5065.2566563641803</v>
      </c>
      <c r="AJ173" s="122">
        <f t="shared" si="39"/>
        <v>5015.1056003605736</v>
      </c>
    </row>
    <row r="174" spans="1:36" x14ac:dyDescent="0.2">
      <c r="A174" s="173" t="s">
        <v>1104</v>
      </c>
      <c r="B174" t="s">
        <v>16</v>
      </c>
      <c r="G174" s="8">
        <f t="shared" ref="G174:AJ174" si="40">$C$66*$C$67*G99</f>
        <v>5879527199.4301434</v>
      </c>
      <c r="H174" s="8">
        <f t="shared" si="40"/>
        <v>5931267038.7851286</v>
      </c>
      <c r="I174" s="8">
        <f t="shared" si="40"/>
        <v>5983462188.7264366</v>
      </c>
      <c r="J174" s="8">
        <f t="shared" si="40"/>
        <v>6036116655.9872293</v>
      </c>
      <c r="K174" s="8">
        <f t="shared" si="40"/>
        <v>6089234482.5599165</v>
      </c>
      <c r="L174" s="8">
        <f t="shared" si="40"/>
        <v>6142819746.006444</v>
      </c>
      <c r="M174" s="8">
        <f t="shared" si="40"/>
        <v>6196876559.7713003</v>
      </c>
      <c r="N174" s="8">
        <f t="shared" si="40"/>
        <v>6251409073.4972868</v>
      </c>
      <c r="O174" s="8">
        <f t="shared" si="40"/>
        <v>6306421473.3440628</v>
      </c>
      <c r="P174" s="8">
        <f t="shared" si="40"/>
        <v>6361917982.3094912</v>
      </c>
      <c r="Q174" s="8">
        <f t="shared" si="40"/>
        <v>6417902860.553813</v>
      </c>
      <c r="R174" s="8">
        <f t="shared" si="40"/>
        <v>6474380405.7266865</v>
      </c>
      <c r="S174" s="8">
        <f t="shared" si="40"/>
        <v>6531354953.2970819</v>
      </c>
      <c r="T174" s="8">
        <f t="shared" si="40"/>
        <v>6588830876.886095</v>
      </c>
      <c r="U174" s="8">
        <f t="shared" si="40"/>
        <v>6646812588.6026926</v>
      </c>
      <c r="V174" s="8">
        <f t="shared" si="40"/>
        <v>6705304539.3823967</v>
      </c>
      <c r="W174" s="8">
        <f t="shared" si="40"/>
        <v>6764311219.3289604</v>
      </c>
      <c r="X174" s="8">
        <f t="shared" si="40"/>
        <v>6823837158.0590553</v>
      </c>
      <c r="Y174" s="8">
        <f t="shared" si="40"/>
        <v>6883886925.0499744</v>
      </c>
      <c r="Z174" s="8">
        <f t="shared" si="40"/>
        <v>6944465129.9904137</v>
      </c>
      <c r="AA174" s="8">
        <f t="shared" si="40"/>
        <v>7005576423.1343279</v>
      </c>
      <c r="AB174" s="8">
        <f t="shared" si="40"/>
        <v>7067225495.6579103</v>
      </c>
      <c r="AC174" s="8">
        <f t="shared" si="40"/>
        <v>7129417080.019701</v>
      </c>
      <c r="AD174" s="8">
        <f t="shared" si="40"/>
        <v>7192155950.3238726</v>
      </c>
      <c r="AE174" s="8">
        <f t="shared" si="40"/>
        <v>7255446922.6867218</v>
      </c>
      <c r="AF174" s="8">
        <f t="shared" si="40"/>
        <v>7319294855.6063662</v>
      </c>
      <c r="AG174" s="8">
        <f t="shared" si="40"/>
        <v>7383704650.335701</v>
      </c>
      <c r="AH174" s="8">
        <f t="shared" si="40"/>
        <v>7448681251.2586546</v>
      </c>
      <c r="AI174" s="8">
        <f t="shared" si="40"/>
        <v>7514229646.2697315</v>
      </c>
      <c r="AJ174" s="115">
        <f t="shared" si="40"/>
        <v>7580354867.1569042</v>
      </c>
    </row>
    <row r="175" spans="1:36" x14ac:dyDescent="0.2">
      <c r="A175" s="173" t="s">
        <v>1106</v>
      </c>
      <c r="B175" t="s">
        <v>16</v>
      </c>
      <c r="G175" s="8">
        <f>(G173/G123)*G125</f>
        <v>469066325.50937283</v>
      </c>
      <c r="H175" s="8">
        <f>(H173/H123)*H125</f>
        <v>473194109.17385536</v>
      </c>
      <c r="I175" s="8">
        <f t="shared" ref="I175:AJ175" si="41">(I173/I123)*I125</f>
        <v>477358217.33458525</v>
      </c>
      <c r="J175" s="8">
        <f t="shared" si="41"/>
        <v>481558969.6471296</v>
      </c>
      <c r="K175" s="8">
        <f t="shared" si="41"/>
        <v>485796688.58002424</v>
      </c>
      <c r="L175" s="8">
        <f t="shared" si="41"/>
        <v>490071699.43952847</v>
      </c>
      <c r="M175" s="8">
        <f t="shared" si="41"/>
        <v>494384330.39459634</v>
      </c>
      <c r="N175" s="8">
        <f t="shared" si="41"/>
        <v>498734912.5020687</v>
      </c>
      <c r="O175" s="8">
        <f t="shared" si="41"/>
        <v>503123779.73208684</v>
      </c>
      <c r="P175" s="8">
        <f t="shared" si="41"/>
        <v>507551268.99372929</v>
      </c>
      <c r="Q175" s="8">
        <f t="shared" si="41"/>
        <v>512017720.16087401</v>
      </c>
      <c r="R175" s="8">
        <f t="shared" si="41"/>
        <v>516523476.09828967</v>
      </c>
      <c r="S175" s="8">
        <f t="shared" si="41"/>
        <v>521068882.68795466</v>
      </c>
      <c r="T175" s="8">
        <f t="shared" si="41"/>
        <v>525654288.85560858</v>
      </c>
      <c r="U175" s="8">
        <f t="shared" si="41"/>
        <v>530280046.59753788</v>
      </c>
      <c r="V175" s="8">
        <f t="shared" si="41"/>
        <v>534946511.00759631</v>
      </c>
      <c r="W175" s="8">
        <f t="shared" si="41"/>
        <v>539654040.30446315</v>
      </c>
      <c r="X175" s="8">
        <f t="shared" si="41"/>
        <v>544402995.85914242</v>
      </c>
      <c r="Y175" s="8">
        <f t="shared" si="41"/>
        <v>549193742.22270274</v>
      </c>
      <c r="Z175" s="8">
        <f t="shared" si="41"/>
        <v>554026647.15426242</v>
      </c>
      <c r="AA175" s="8">
        <f t="shared" si="41"/>
        <v>558902081.64921987</v>
      </c>
      <c r="AB175" s="8">
        <f t="shared" si="41"/>
        <v>563820419.96773291</v>
      </c>
      <c r="AC175" s="8">
        <f t="shared" si="41"/>
        <v>568782039.66344917</v>
      </c>
      <c r="AD175" s="8">
        <f t="shared" si="41"/>
        <v>573787321.61248732</v>
      </c>
      <c r="AE175" s="8">
        <f t="shared" si="41"/>
        <v>578836650.04267716</v>
      </c>
      <c r="AF175" s="8">
        <f t="shared" si="41"/>
        <v>583930412.56305277</v>
      </c>
      <c r="AG175" s="8">
        <f t="shared" si="41"/>
        <v>589069000.19360757</v>
      </c>
      <c r="AH175" s="8">
        <f t="shared" si="41"/>
        <v>594252807.39531124</v>
      </c>
      <c r="AI175" s="8">
        <f t="shared" si="41"/>
        <v>599482232.10039008</v>
      </c>
      <c r="AJ175" s="8">
        <f t="shared" si="41"/>
        <v>604757675.74287343</v>
      </c>
    </row>
    <row r="176" spans="1:36" x14ac:dyDescent="0.2">
      <c r="A176" s="173" t="s">
        <v>968</v>
      </c>
      <c r="B176" t="s">
        <v>16</v>
      </c>
      <c r="G176" s="8">
        <f>G174-G175</f>
        <v>5410460873.9207706</v>
      </c>
      <c r="H176" s="8">
        <f t="shared" ref="H176:AJ176" si="42">H174-H175</f>
        <v>5458072929.6112728</v>
      </c>
      <c r="I176" s="8">
        <f t="shared" si="42"/>
        <v>5506103971.3918514</v>
      </c>
      <c r="J176" s="8">
        <f t="shared" si="42"/>
        <v>5554557686.3400993</v>
      </c>
      <c r="K176" s="8">
        <f t="shared" si="42"/>
        <v>5603437793.9798927</v>
      </c>
      <c r="L176" s="8">
        <f t="shared" si="42"/>
        <v>5652748046.5669155</v>
      </c>
      <c r="M176" s="8">
        <f t="shared" si="42"/>
        <v>5702492229.3767042</v>
      </c>
      <c r="N176" s="8">
        <f t="shared" si="42"/>
        <v>5752674160.9952183</v>
      </c>
      <c r="O176" s="8">
        <f t="shared" si="42"/>
        <v>5803297693.6119757</v>
      </c>
      <c r="P176" s="8">
        <f t="shared" si="42"/>
        <v>5854366713.3157616</v>
      </c>
      <c r="Q176" s="8">
        <f t="shared" si="42"/>
        <v>5905885140.3929386</v>
      </c>
      <c r="R176" s="8">
        <f t="shared" si="42"/>
        <v>5957856929.628397</v>
      </c>
      <c r="S176" s="8">
        <f t="shared" si="42"/>
        <v>6010286070.609127</v>
      </c>
      <c r="T176" s="8">
        <f t="shared" si="42"/>
        <v>6063176588.0304861</v>
      </c>
      <c r="U176" s="8">
        <f t="shared" si="42"/>
        <v>6116532542.0051546</v>
      </c>
      <c r="V176" s="8">
        <f t="shared" si="42"/>
        <v>6170358028.3748007</v>
      </c>
      <c r="W176" s="8">
        <f t="shared" si="42"/>
        <v>6224657179.024497</v>
      </c>
      <c r="X176" s="8">
        <f t="shared" si="42"/>
        <v>6279434162.199913</v>
      </c>
      <c r="Y176" s="8">
        <f t="shared" si="42"/>
        <v>6334693182.8272715</v>
      </c>
      <c r="Z176" s="8">
        <f t="shared" si="42"/>
        <v>6390438482.8361511</v>
      </c>
      <c r="AA176" s="8">
        <f t="shared" si="42"/>
        <v>6446674341.4851084</v>
      </c>
      <c r="AB176" s="8">
        <f t="shared" si="42"/>
        <v>6503405075.6901779</v>
      </c>
      <c r="AC176" s="8">
        <f t="shared" si="42"/>
        <v>6560635040.3562517</v>
      </c>
      <c r="AD176" s="8">
        <f t="shared" si="42"/>
        <v>6618368628.7113857</v>
      </c>
      <c r="AE176" s="8">
        <f t="shared" si="42"/>
        <v>6676610272.6440449</v>
      </c>
      <c r="AF176" s="8">
        <f t="shared" si="42"/>
        <v>6735364443.043313</v>
      </c>
      <c r="AG176" s="8">
        <f t="shared" si="42"/>
        <v>6794635650.1420937</v>
      </c>
      <c r="AH176" s="8">
        <f t="shared" si="42"/>
        <v>6854428443.8633432</v>
      </c>
      <c r="AI176" s="8">
        <f t="shared" si="42"/>
        <v>6914747414.1693411</v>
      </c>
      <c r="AJ176" s="8">
        <f t="shared" si="42"/>
        <v>6975597191.414031</v>
      </c>
    </row>
    <row r="177" spans="1:36" x14ac:dyDescent="0.2">
      <c r="A177" s="108" t="s">
        <v>1105</v>
      </c>
      <c r="B177" t="s">
        <v>537</v>
      </c>
      <c r="C177" t="s">
        <v>312</v>
      </c>
      <c r="G177" s="36">
        <f>IF(G176&lt;0,(G173/G174*(G174/G175)*G94),G173/G174*G94)</f>
        <v>1.1548074298860112E-3</v>
      </c>
      <c r="H177" s="36">
        <f t="shared" ref="H177:AJ177" si="43">IF(H176&lt;0,(H173/H174*(H174/H175)*H94),H173/H174*H94)</f>
        <v>2.2679167502435804E-3</v>
      </c>
      <c r="I177" s="36">
        <f t="shared" si="43"/>
        <v>2.2269709238043429E-3</v>
      </c>
      <c r="J177" s="36">
        <f t="shared" si="43"/>
        <v>2.186763818666307E-3</v>
      </c>
      <c r="K177" s="36">
        <f t="shared" si="43"/>
        <v>2.1472821173307518E-3</v>
      </c>
      <c r="L177" s="36">
        <f t="shared" si="43"/>
        <v>2.1085127421915694E-3</v>
      </c>
      <c r="M177" s="36">
        <f t="shared" si="43"/>
        <v>2.0704428512176684E-3</v>
      </c>
      <c r="N177" s="36">
        <f t="shared" si="43"/>
        <v>2.0330598337130021E-3</v>
      </c>
      <c r="O177" s="36">
        <f t="shared" si="43"/>
        <v>1.9963513061528547E-3</v>
      </c>
      <c r="P177" s="36">
        <f t="shared" si="43"/>
        <v>1.960305108094992E-3</v>
      </c>
      <c r="Q177" s="36">
        <f t="shared" si="43"/>
        <v>1.9249092981643437E-3</v>
      </c>
      <c r="R177" s="36">
        <f t="shared" si="43"/>
        <v>1.8901521501098919E-3</v>
      </c>
      <c r="S177" s="36">
        <f t="shared" si="43"/>
        <v>1.8560221489324776E-3</v>
      </c>
      <c r="T177" s="36">
        <f t="shared" si="43"/>
        <v>1.8225079870822349E-3</v>
      </c>
      <c r="U177" s="36">
        <f t="shared" si="43"/>
        <v>1.7895985607244136E-3</v>
      </c>
      <c r="V177" s="36">
        <f t="shared" si="43"/>
        <v>1.757282966072361E-3</v>
      </c>
      <c r="W177" s="36">
        <f t="shared" si="43"/>
        <v>1.7255504957864557E-3</v>
      </c>
      <c r="X177" s="36">
        <f t="shared" si="43"/>
        <v>1.6943906354377964E-3</v>
      </c>
      <c r="Y177" s="36">
        <f t="shared" si="43"/>
        <v>1.6637930600355048E-3</v>
      </c>
      <c r="Z177" s="36">
        <f t="shared" si="43"/>
        <v>1.6337476306164792E-3</v>
      </c>
      <c r="AA177" s="36">
        <f t="shared" si="43"/>
        <v>1.6042443908964889E-3</v>
      </c>
      <c r="AB177" s="36">
        <f t="shared" si="43"/>
        <v>1.5752735639814974E-3</v>
      </c>
      <c r="AC177" s="36">
        <f t="shared" si="43"/>
        <v>1.5468255491381477E-3</v>
      </c>
      <c r="AD177" s="36">
        <f t="shared" si="43"/>
        <v>1.5188909186223227E-3</v>
      </c>
      <c r="AE177" s="36">
        <f t="shared" si="43"/>
        <v>1.4914604145647636E-3</v>
      </c>
      <c r="AF177" s="36">
        <f t="shared" si="43"/>
        <v>1.4645249459126987E-3</v>
      </c>
      <c r="AG177" s="36">
        <f t="shared" si="43"/>
        <v>1.4380755854264944E-3</v>
      </c>
      <c r="AH177" s="36">
        <f t="shared" si="43"/>
        <v>1.412103566730319E-3</v>
      </c>
      <c r="AI177" s="36">
        <f t="shared" si="43"/>
        <v>1.3866002814158747E-3</v>
      </c>
      <c r="AJ177" s="36">
        <f t="shared" si="43"/>
        <v>1.3615572761982182E-3</v>
      </c>
    </row>
    <row r="178" spans="1:36" x14ac:dyDescent="0.2">
      <c r="A178" s="108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22"/>
    </row>
    <row r="179" spans="1:36" x14ac:dyDescent="0.2">
      <c r="A179" s="185" t="s">
        <v>773</v>
      </c>
      <c r="B179" s="176"/>
      <c r="C179" s="176"/>
      <c r="D179" s="176"/>
      <c r="E179" s="176"/>
      <c r="F179" s="176"/>
      <c r="G179" s="215"/>
      <c r="H179" s="215"/>
      <c r="I179" s="215"/>
      <c r="J179" s="215"/>
      <c r="K179" s="215"/>
      <c r="L179" s="215"/>
      <c r="M179" s="215"/>
      <c r="N179" s="215"/>
      <c r="O179" s="215"/>
      <c r="P179" s="215"/>
      <c r="Q179" s="215"/>
      <c r="R179" s="215"/>
      <c r="S179" s="215"/>
      <c r="T179" s="215"/>
      <c r="U179" s="215"/>
      <c r="V179" s="215"/>
      <c r="W179" s="215"/>
      <c r="X179" s="215"/>
      <c r="Y179" s="215"/>
      <c r="Z179" s="215"/>
      <c r="AA179" s="215"/>
      <c r="AB179" s="215"/>
      <c r="AC179" s="215"/>
      <c r="AD179" s="215"/>
      <c r="AE179" s="215"/>
      <c r="AF179" s="215"/>
      <c r="AG179" s="215"/>
      <c r="AH179" s="215"/>
      <c r="AI179" s="215"/>
      <c r="AJ179" s="190"/>
    </row>
    <row r="180" spans="1:36" x14ac:dyDescent="0.2">
      <c r="A180" s="185" t="s">
        <v>774</v>
      </c>
      <c r="B180" s="176"/>
      <c r="C180" s="176"/>
      <c r="D180" s="176"/>
      <c r="E180" s="176"/>
      <c r="F180" s="176"/>
      <c r="G180" s="215"/>
      <c r="H180" s="215"/>
      <c r="I180" s="215"/>
      <c r="J180" s="215"/>
      <c r="K180" s="215"/>
      <c r="L180" s="215"/>
      <c r="M180" s="215"/>
      <c r="N180" s="215"/>
      <c r="O180" s="215"/>
      <c r="P180" s="215"/>
      <c r="Q180" s="215"/>
      <c r="R180" s="215"/>
      <c r="S180" s="215"/>
      <c r="T180" s="215"/>
      <c r="U180" s="215"/>
      <c r="V180" s="215"/>
      <c r="W180" s="215"/>
      <c r="X180" s="215"/>
      <c r="Y180" s="215"/>
      <c r="Z180" s="215"/>
      <c r="AA180" s="215"/>
      <c r="AB180" s="215"/>
      <c r="AC180" s="215"/>
      <c r="AD180" s="215"/>
      <c r="AE180" s="215"/>
      <c r="AF180" s="215"/>
      <c r="AG180" s="215"/>
      <c r="AH180" s="215"/>
      <c r="AI180" s="215"/>
      <c r="AJ180" s="190"/>
    </row>
    <row r="181" spans="1:36" x14ac:dyDescent="0.2">
      <c r="A181" s="185" t="s">
        <v>782</v>
      </c>
      <c r="B181" s="176"/>
      <c r="C181" s="176"/>
      <c r="D181" s="176"/>
      <c r="E181" s="176"/>
      <c r="F181" s="176"/>
      <c r="G181" s="215"/>
      <c r="H181" s="215"/>
      <c r="I181" s="215"/>
      <c r="J181" s="215"/>
      <c r="K181" s="215"/>
      <c r="L181" s="215"/>
      <c r="M181" s="215"/>
      <c r="N181" s="215"/>
      <c r="O181" s="215"/>
      <c r="P181" s="215"/>
      <c r="Q181" s="215"/>
      <c r="R181" s="215"/>
      <c r="S181" s="215"/>
      <c r="T181" s="215"/>
      <c r="U181" s="215"/>
      <c r="V181" s="215"/>
      <c r="W181" s="215"/>
      <c r="X181" s="215"/>
      <c r="Y181" s="215"/>
      <c r="Z181" s="215"/>
      <c r="AA181" s="215"/>
      <c r="AB181" s="215"/>
      <c r="AC181" s="215"/>
      <c r="AD181" s="215"/>
      <c r="AE181" s="215"/>
      <c r="AF181" s="215"/>
      <c r="AG181" s="215"/>
      <c r="AH181" s="215"/>
      <c r="AI181" s="215"/>
      <c r="AJ181" s="190"/>
    </row>
    <row r="182" spans="1:36" x14ac:dyDescent="0.2">
      <c r="A182" s="185" t="s">
        <v>775</v>
      </c>
      <c r="B182" s="176"/>
      <c r="C182" s="176"/>
      <c r="D182" s="176"/>
      <c r="E182" s="176"/>
      <c r="F182" s="176"/>
      <c r="G182" s="215"/>
      <c r="H182" s="215"/>
      <c r="I182" s="215"/>
      <c r="J182" s="215"/>
      <c r="K182" s="215"/>
      <c r="L182" s="215"/>
      <c r="M182" s="215"/>
      <c r="N182" s="215"/>
      <c r="O182" s="215"/>
      <c r="P182" s="215"/>
      <c r="Q182" s="215"/>
      <c r="R182" s="215"/>
      <c r="S182" s="215"/>
      <c r="T182" s="215"/>
      <c r="U182" s="215"/>
      <c r="V182" s="215"/>
      <c r="W182" s="215"/>
      <c r="X182" s="215"/>
      <c r="Y182" s="215"/>
      <c r="Z182" s="215"/>
      <c r="AA182" s="215"/>
      <c r="AB182" s="215"/>
      <c r="AC182" s="215"/>
      <c r="AD182" s="215"/>
      <c r="AE182" s="215"/>
      <c r="AF182" s="215"/>
      <c r="AG182" s="215"/>
      <c r="AH182" s="215"/>
      <c r="AI182" s="215"/>
      <c r="AJ182" s="190"/>
    </row>
    <row r="183" spans="1:36" x14ac:dyDescent="0.2">
      <c r="A183" s="185" t="s">
        <v>568</v>
      </c>
      <c r="B183" s="176"/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176"/>
      <c r="AH183" s="176"/>
      <c r="AI183" s="176"/>
      <c r="AJ183" s="186"/>
    </row>
    <row r="184" spans="1:36" x14ac:dyDescent="0.2">
      <c r="A184" s="22" t="s">
        <v>569</v>
      </c>
      <c r="B184" t="s">
        <v>570</v>
      </c>
      <c r="G184" s="216">
        <f>$C$71*G96*C18</f>
        <v>208.41584158415841</v>
      </c>
      <c r="H184" s="216">
        <f t="shared" ref="H184:AJ184" si="44">$C$71*H96</f>
        <v>412.70463680031366</v>
      </c>
      <c r="I184" s="216">
        <f t="shared" si="44"/>
        <v>408.61845227753832</v>
      </c>
      <c r="J184" s="216">
        <f t="shared" si="44"/>
        <v>404.57272502726562</v>
      </c>
      <c r="K184" s="216">
        <f t="shared" si="44"/>
        <v>400.56705448244128</v>
      </c>
      <c r="L184" s="216">
        <f t="shared" si="44"/>
        <v>396.60104404202099</v>
      </c>
      <c r="M184" s="216">
        <f t="shared" si="44"/>
        <v>392.67430103170403</v>
      </c>
      <c r="N184" s="216">
        <f t="shared" si="44"/>
        <v>388.78643666505343</v>
      </c>
      <c r="O184" s="216">
        <f t="shared" si="44"/>
        <v>384.93706600500332</v>
      </c>
      <c r="P184" s="216">
        <f t="shared" si="44"/>
        <v>381.1258079257459</v>
      </c>
      <c r="Q184" s="216">
        <f t="shared" si="44"/>
        <v>377.35228507499602</v>
      </c>
      <c r="R184" s="216">
        <f t="shared" si="44"/>
        <v>373.6161238366297</v>
      </c>
      <c r="S184" s="216">
        <f t="shared" si="44"/>
        <v>369.91695429369275</v>
      </c>
      <c r="T184" s="216">
        <f t="shared" si="44"/>
        <v>366.25441019177498</v>
      </c>
      <c r="U184" s="216">
        <f t="shared" si="44"/>
        <v>362.62812890274762</v>
      </c>
      <c r="V184" s="216">
        <f t="shared" si="44"/>
        <v>359.03775138885885</v>
      </c>
      <c r="W184" s="216">
        <f t="shared" si="44"/>
        <v>355.48292216718698</v>
      </c>
      <c r="X184" s="216">
        <f t="shared" si="44"/>
        <v>351.96328927444256</v>
      </c>
      <c r="Y184" s="216">
        <f t="shared" si="44"/>
        <v>348.4785042321214</v>
      </c>
      <c r="Z184" s="216">
        <f t="shared" si="44"/>
        <v>345.02822201200138</v>
      </c>
      <c r="AA184" s="216">
        <f t="shared" si="44"/>
        <v>341.61210100198161</v>
      </c>
      <c r="AB184" s="216">
        <f t="shared" si="44"/>
        <v>338.22980297225894</v>
      </c>
      <c r="AC184" s="216">
        <f t="shared" si="44"/>
        <v>334.88099304184055</v>
      </c>
      <c r="AD184" s="216">
        <f t="shared" si="44"/>
        <v>331.56533964538664</v>
      </c>
      <c r="AE184" s="216">
        <f t="shared" si="44"/>
        <v>328.28251450038272</v>
      </c>
      <c r="AF184" s="216">
        <f t="shared" si="44"/>
        <v>325.03219257463638</v>
      </c>
      <c r="AG184" s="216">
        <f t="shared" si="44"/>
        <v>321.81405205409555</v>
      </c>
      <c r="AH184" s="216">
        <f t="shared" si="44"/>
        <v>318.62777431098567</v>
      </c>
      <c r="AI184" s="216">
        <f t="shared" si="44"/>
        <v>315.47304387226302</v>
      </c>
      <c r="AJ184" s="123">
        <f t="shared" si="44"/>
        <v>312.34954838837916</v>
      </c>
    </row>
    <row r="185" spans="1:36" x14ac:dyDescent="0.2">
      <c r="A185" s="22"/>
      <c r="AJ185" s="29"/>
    </row>
    <row r="186" spans="1:36" x14ac:dyDescent="0.2">
      <c r="A186" s="108" t="s">
        <v>776</v>
      </c>
      <c r="B186" t="s">
        <v>537</v>
      </c>
      <c r="C186" t="s">
        <v>313</v>
      </c>
      <c r="G186" s="17">
        <f>G184/G99*G102*C18</f>
        <v>9.7835710808180237E-2</v>
      </c>
      <c r="H186" s="17">
        <f t="shared" ref="H186:AJ186" si="45">H184/H99*H102</f>
        <v>0.38408818558342123</v>
      </c>
      <c r="I186" s="17">
        <f t="shared" si="45"/>
        <v>0.37696801373990202</v>
      </c>
      <c r="J186" s="17">
        <f t="shared" si="45"/>
        <v>0.36997983462353273</v>
      </c>
      <c r="K186" s="17">
        <f t="shared" si="45"/>
        <v>0.36312120137201814</v>
      </c>
      <c r="L186" s="17">
        <f t="shared" si="45"/>
        <v>0.35638971248264584</v>
      </c>
      <c r="M186" s="17">
        <f t="shared" si="45"/>
        <v>0.34978301097141778</v>
      </c>
      <c r="N186" s="17">
        <f t="shared" si="45"/>
        <v>0.34329878354776755</v>
      </c>
      <c r="O186" s="17">
        <f t="shared" si="45"/>
        <v>0.3369347598045786</v>
      </c>
      <c r="P186" s="17">
        <f t="shared" si="45"/>
        <v>0.33068871142321687</v>
      </c>
      <c r="Q186" s="17">
        <f t="shared" si="45"/>
        <v>0.32455845139330042</v>
      </c>
      <c r="R186" s="17">
        <f t="shared" si="45"/>
        <v>0.3185418332469323</v>
      </c>
      <c r="S186" s="17">
        <f t="shared" si="45"/>
        <v>0.31263675030713117</v>
      </c>
      <c r="T186" s="17">
        <f t="shared" si="45"/>
        <v>0.306841134950192</v>
      </c>
      <c r="U186" s="17">
        <f t="shared" si="45"/>
        <v>0.30115295788172214</v>
      </c>
      <c r="V186" s="17">
        <f t="shared" si="45"/>
        <v>0.29557022742609779</v>
      </c>
      <c r="W186" s="17">
        <f t="shared" si="45"/>
        <v>0.2900909888290939</v>
      </c>
      <c r="X186" s="17">
        <f t="shared" si="45"/>
        <v>0.28471332357343881</v>
      </c>
      <c r="Y186" s="17">
        <f t="shared" si="45"/>
        <v>0.27943534870705994</v>
      </c>
      <c r="Z186" s="17">
        <f t="shared" si="45"/>
        <v>0.27425521618378074</v>
      </c>
      <c r="AA186" s="17">
        <f t="shared" si="45"/>
        <v>0.26917111221624046</v>
      </c>
      <c r="AB186" s="17">
        <f t="shared" si="45"/>
        <v>0.26418125664080877</v>
      </c>
      <c r="AC186" s="17">
        <f t="shared" si="45"/>
        <v>0.25928390229427456</v>
      </c>
      <c r="AD186" s="17">
        <f t="shared" si="45"/>
        <v>0.25447733440208786</v>
      </c>
      <c r="AE186" s="17">
        <f t="shared" si="45"/>
        <v>0.24975986997794447</v>
      </c>
      <c r="AF186" s="17">
        <f t="shared" si="45"/>
        <v>0.2451298572344992</v>
      </c>
      <c r="AG186" s="17">
        <f t="shared" si="45"/>
        <v>0.2405856750050048</v>
      </c>
      <c r="AH186" s="17">
        <f t="shared" si="45"/>
        <v>0.23612573217567073</v>
      </c>
      <c r="AI186" s="17">
        <f t="shared" si="45"/>
        <v>0.23174846712854671</v>
      </c>
      <c r="AJ186" s="122">
        <f t="shared" si="45"/>
        <v>0.22745234719473259</v>
      </c>
    </row>
    <row r="187" spans="1:36" x14ac:dyDescent="0.2">
      <c r="A187" s="22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7"/>
      <c r="AA187" s="17"/>
      <c r="AB187" s="17"/>
      <c r="AC187" s="17"/>
      <c r="AD187" s="17"/>
      <c r="AE187" s="17"/>
      <c r="AF187" s="17"/>
      <c r="AG187" s="17"/>
      <c r="AH187" s="17"/>
      <c r="AI187" s="17"/>
      <c r="AJ187" s="122"/>
    </row>
    <row r="188" spans="1:36" x14ac:dyDescent="0.2">
      <c r="A188" s="173" t="s">
        <v>780</v>
      </c>
      <c r="B188" t="s">
        <v>779</v>
      </c>
      <c r="G188" s="17">
        <f>$C$75*$C$76*G96*C18</f>
        <v>14589.108910891089</v>
      </c>
      <c r="H188" s="17">
        <f t="shared" ref="H188:AJ188" si="46">$C$75*$C$76*H96</f>
        <v>28889.324576021958</v>
      </c>
      <c r="I188" s="17">
        <f t="shared" si="46"/>
        <v>28603.291659427683</v>
      </c>
      <c r="J188" s="17">
        <f t="shared" si="46"/>
        <v>28320.090751908592</v>
      </c>
      <c r="K188" s="17">
        <f t="shared" si="46"/>
        <v>28039.693813770889</v>
      </c>
      <c r="L188" s="17">
        <f t="shared" si="46"/>
        <v>27762.073082941468</v>
      </c>
      <c r="M188" s="17">
        <f t="shared" si="46"/>
        <v>27487.201072219283</v>
      </c>
      <c r="N188" s="17">
        <f t="shared" si="46"/>
        <v>27215.050566553738</v>
      </c>
      <c r="O188" s="17">
        <f t="shared" si="46"/>
        <v>26945.594620350232</v>
      </c>
      <c r="P188" s="17">
        <f t="shared" si="46"/>
        <v>26678.806554802213</v>
      </c>
      <c r="Q188" s="17">
        <f t="shared" si="46"/>
        <v>26414.659955249721</v>
      </c>
      <c r="R188" s="17">
        <f t="shared" si="46"/>
        <v>26153.128668564081</v>
      </c>
      <c r="S188" s="17">
        <f t="shared" si="46"/>
        <v>25894.186800558491</v>
      </c>
      <c r="T188" s="17">
        <f t="shared" si="46"/>
        <v>25637.808713424249</v>
      </c>
      <c r="U188" s="17">
        <f t="shared" si="46"/>
        <v>25383.96902319233</v>
      </c>
      <c r="V188" s="17">
        <f t="shared" si="46"/>
        <v>25132.642597220121</v>
      </c>
      <c r="W188" s="17">
        <f t="shared" si="46"/>
        <v>24883.804551703088</v>
      </c>
      <c r="X188" s="17">
        <f t="shared" si="46"/>
        <v>24637.430249210978</v>
      </c>
      <c r="Y188" s="17">
        <f t="shared" si="46"/>
        <v>24393.4952962485</v>
      </c>
      <c r="Z188" s="17">
        <f t="shared" si="46"/>
        <v>24151.975540840096</v>
      </c>
      <c r="AA188" s="17">
        <f t="shared" si="46"/>
        <v>23912.847070138712</v>
      </c>
      <c r="AB188" s="17">
        <f t="shared" si="46"/>
        <v>23676.086208058125</v>
      </c>
      <c r="AC188" s="17">
        <f t="shared" si="46"/>
        <v>23441.669512928838</v>
      </c>
      <c r="AD188" s="17">
        <f t="shared" si="46"/>
        <v>23209.573775177065</v>
      </c>
      <c r="AE188" s="17">
        <f t="shared" si="46"/>
        <v>22979.776015026793</v>
      </c>
      <c r="AF188" s="17">
        <f t="shared" si="46"/>
        <v>22752.253480224546</v>
      </c>
      <c r="AG188" s="17">
        <f t="shared" si="46"/>
        <v>22526.983643786691</v>
      </c>
      <c r="AH188" s="17">
        <f t="shared" si="46"/>
        <v>22303.944201768998</v>
      </c>
      <c r="AI188" s="17">
        <f t="shared" si="46"/>
        <v>22083.113071058411</v>
      </c>
      <c r="AJ188" s="122">
        <f t="shared" si="46"/>
        <v>21864.468387186542</v>
      </c>
    </row>
    <row r="189" spans="1:36" x14ac:dyDescent="0.2">
      <c r="A189" s="173" t="s">
        <v>777</v>
      </c>
      <c r="B189" t="s">
        <v>779</v>
      </c>
      <c r="G189">
        <f t="shared" ref="G189:AJ189" si="47">$C$80*$C$82*(1+$C$5)^G95</f>
        <v>196413359999.99997</v>
      </c>
      <c r="H189">
        <f t="shared" si="47"/>
        <v>198141797568</v>
      </c>
      <c r="I189">
        <f t="shared" si="47"/>
        <v>199885445386.59836</v>
      </c>
      <c r="J189">
        <f t="shared" si="47"/>
        <v>201644437306.00043</v>
      </c>
      <c r="K189">
        <f t="shared" si="47"/>
        <v>203418908354.29321</v>
      </c>
      <c r="L189">
        <f t="shared" si="47"/>
        <v>205208994747.81097</v>
      </c>
      <c r="M189">
        <f t="shared" si="47"/>
        <v>207014833901.59167</v>
      </c>
      <c r="N189">
        <f t="shared" si="47"/>
        <v>208836564439.92572</v>
      </c>
      <c r="O189">
        <f t="shared" si="47"/>
        <v>210674326206.99704</v>
      </c>
      <c r="P189">
        <f t="shared" si="47"/>
        <v>212528260277.61859</v>
      </c>
      <c r="Q189">
        <f t="shared" si="47"/>
        <v>214398508968.06165</v>
      </c>
      <c r="R189">
        <f t="shared" si="47"/>
        <v>216285215846.98059</v>
      </c>
      <c r="S189">
        <f t="shared" si="47"/>
        <v>218188525746.43396</v>
      </c>
      <c r="T189">
        <f t="shared" si="47"/>
        <v>220108584773.00259</v>
      </c>
      <c r="U189">
        <f t="shared" si="47"/>
        <v>222045540319.005</v>
      </c>
      <c r="V189">
        <f t="shared" si="47"/>
        <v>223999541073.81223</v>
      </c>
      <c r="W189">
        <f t="shared" si="47"/>
        <v>225970737035.26178</v>
      </c>
      <c r="X189">
        <f t="shared" si="47"/>
        <v>227959279521.17209</v>
      </c>
      <c r="Y189">
        <f t="shared" si="47"/>
        <v>229965321180.95837</v>
      </c>
      <c r="Z189">
        <f t="shared" si="47"/>
        <v>231989016007.3508</v>
      </c>
      <c r="AA189">
        <f t="shared" si="47"/>
        <v>234030519348.21545</v>
      </c>
      <c r="AB189">
        <f t="shared" si="47"/>
        <v>236089987918.47974</v>
      </c>
      <c r="AC189">
        <f t="shared" si="47"/>
        <v>238167579812.16232</v>
      </c>
      <c r="AD189">
        <f t="shared" si="47"/>
        <v>240263454514.50937</v>
      </c>
      <c r="AE189">
        <f t="shared" si="47"/>
        <v>242377772914.23706</v>
      </c>
      <c r="AF189">
        <f t="shared" si="47"/>
        <v>244510697315.88232</v>
      </c>
      <c r="AG189">
        <f t="shared" si="47"/>
        <v>246662391452.26205</v>
      </c>
      <c r="AH189">
        <f t="shared" si="47"/>
        <v>248833020497.04199</v>
      </c>
      <c r="AI189">
        <f t="shared" si="47"/>
        <v>251022751077.41589</v>
      </c>
      <c r="AJ189" s="29">
        <f t="shared" si="47"/>
        <v>253231751286.89716</v>
      </c>
    </row>
    <row r="190" spans="1:36" x14ac:dyDescent="0.2">
      <c r="A190" s="108" t="s">
        <v>778</v>
      </c>
      <c r="B190" t="s">
        <v>537</v>
      </c>
      <c r="C190" t="s">
        <v>313</v>
      </c>
      <c r="G190" s="17">
        <f t="shared" ref="G190:AJ190" si="48">G188/G189*G102</f>
        <v>0.59422063390763613</v>
      </c>
      <c r="H190" s="17">
        <f t="shared" si="48"/>
        <v>1.1664101135897882</v>
      </c>
      <c r="I190" s="17">
        <f t="shared" si="48"/>
        <v>1.1447873697499511</v>
      </c>
      <c r="J190" s="17">
        <f t="shared" si="48"/>
        <v>1.1235654652424516</v>
      </c>
      <c r="K190" s="17">
        <f t="shared" si="48"/>
        <v>1.1027369693650844</v>
      </c>
      <c r="L190" s="17">
        <f t="shared" si="48"/>
        <v>1.0822945891649367</v>
      </c>
      <c r="M190" s="17">
        <f t="shared" si="48"/>
        <v>1.062231166884817</v>
      </c>
      <c r="N190" s="17">
        <f t="shared" si="48"/>
        <v>1.0425396774570084</v>
      </c>
      <c r="O190" s="17">
        <f t="shared" si="48"/>
        <v>1.0232132260434987</v>
      </c>
      <c r="P190" s="17">
        <f t="shared" si="48"/>
        <v>1.0042450456217944</v>
      </c>
      <c r="Q190" s="17">
        <f t="shared" si="48"/>
        <v>0.98562849461549706</v>
      </c>
      <c r="R190" s="17">
        <f t="shared" si="48"/>
        <v>0.96735705456880161</v>
      </c>
      <c r="S190" s="17">
        <f t="shared" si="48"/>
        <v>0.94942432786410447</v>
      </c>
      <c r="T190" s="17">
        <f t="shared" si="48"/>
        <v>0.93182403548192194</v>
      </c>
      <c r="U190" s="17">
        <f t="shared" si="48"/>
        <v>0.91455001480233566</v>
      </c>
      <c r="V190" s="17">
        <f t="shared" si="48"/>
        <v>0.89759621744719287</v>
      </c>
      <c r="W190" s="17">
        <f t="shared" si="48"/>
        <v>0.880956707162311</v>
      </c>
      <c r="X190" s="17">
        <f t="shared" si="48"/>
        <v>0.86462565773893796</v>
      </c>
      <c r="Y190" s="17">
        <f t="shared" si="48"/>
        <v>0.84859735097374611</v>
      </c>
      <c r="Z190" s="17">
        <f t="shared" si="48"/>
        <v>0.83286617466664259</v>
      </c>
      <c r="AA190" s="17">
        <f t="shared" si="48"/>
        <v>0.81742662065569793</v>
      </c>
      <c r="AB190" s="17">
        <f t="shared" si="48"/>
        <v>0.80227328288849986</v>
      </c>
      <c r="AC190" s="17">
        <f t="shared" si="48"/>
        <v>0.7874008555292632</v>
      </c>
      <c r="AD190" s="17">
        <f t="shared" si="48"/>
        <v>0.77280413110102686</v>
      </c>
      <c r="AE190" s="17">
        <f t="shared" si="48"/>
        <v>0.75847799866229337</v>
      </c>
      <c r="AF190" s="17">
        <f t="shared" si="48"/>
        <v>0.74441744201746751</v>
      </c>
      <c r="AG190" s="17">
        <f t="shared" si="48"/>
        <v>0.73061753796047058</v>
      </c>
      <c r="AH190" s="17">
        <f t="shared" si="48"/>
        <v>0.71707345455091276</v>
      </c>
      <c r="AI190" s="17">
        <f t="shared" si="48"/>
        <v>0.70378044942222584</v>
      </c>
      <c r="AJ190" s="122">
        <f t="shared" si="48"/>
        <v>0.69073386812115334</v>
      </c>
    </row>
    <row r="191" spans="1:36" x14ac:dyDescent="0.2">
      <c r="A191" s="108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7"/>
      <c r="AA191" s="17"/>
      <c r="AB191" s="17"/>
      <c r="AC191" s="17"/>
      <c r="AD191" s="17"/>
      <c r="AE191" s="17"/>
      <c r="AF191" s="17"/>
      <c r="AG191" s="17"/>
      <c r="AH191" s="17"/>
      <c r="AI191" s="17"/>
      <c r="AJ191" s="122"/>
    </row>
    <row r="192" spans="1:36" x14ac:dyDescent="0.2">
      <c r="A192" s="108" t="s">
        <v>783</v>
      </c>
      <c r="B192" t="s">
        <v>537</v>
      </c>
      <c r="C192" t="s">
        <v>313</v>
      </c>
      <c r="G192" s="17">
        <f>G186</f>
        <v>9.7835710808180237E-2</v>
      </c>
      <c r="H192" s="17">
        <f t="shared" ref="H192:AJ192" si="49">H186</f>
        <v>0.38408818558342123</v>
      </c>
      <c r="I192" s="17">
        <f t="shared" si="49"/>
        <v>0.37696801373990202</v>
      </c>
      <c r="J192" s="17">
        <f t="shared" si="49"/>
        <v>0.36997983462353273</v>
      </c>
      <c r="K192" s="17">
        <f t="shared" si="49"/>
        <v>0.36312120137201814</v>
      </c>
      <c r="L192" s="17">
        <f t="shared" si="49"/>
        <v>0.35638971248264584</v>
      </c>
      <c r="M192" s="17">
        <f t="shared" si="49"/>
        <v>0.34978301097141778</v>
      </c>
      <c r="N192" s="17">
        <f t="shared" si="49"/>
        <v>0.34329878354776755</v>
      </c>
      <c r="O192" s="17">
        <f t="shared" si="49"/>
        <v>0.3369347598045786</v>
      </c>
      <c r="P192" s="17">
        <f t="shared" si="49"/>
        <v>0.33068871142321687</v>
      </c>
      <c r="Q192" s="17">
        <f t="shared" si="49"/>
        <v>0.32455845139330042</v>
      </c>
      <c r="R192" s="17">
        <f t="shared" si="49"/>
        <v>0.3185418332469323</v>
      </c>
      <c r="S192" s="17">
        <f t="shared" si="49"/>
        <v>0.31263675030713117</v>
      </c>
      <c r="T192" s="17">
        <f t="shared" si="49"/>
        <v>0.306841134950192</v>
      </c>
      <c r="U192" s="17">
        <f t="shared" si="49"/>
        <v>0.30115295788172214</v>
      </c>
      <c r="V192" s="17">
        <f t="shared" si="49"/>
        <v>0.29557022742609779</v>
      </c>
      <c r="W192" s="17">
        <f t="shared" si="49"/>
        <v>0.2900909888290939</v>
      </c>
      <c r="X192" s="17">
        <f t="shared" si="49"/>
        <v>0.28471332357343881</v>
      </c>
      <c r="Y192" s="17">
        <f t="shared" si="49"/>
        <v>0.27943534870705994</v>
      </c>
      <c r="Z192" s="17">
        <f t="shared" si="49"/>
        <v>0.27425521618378074</v>
      </c>
      <c r="AA192" s="17">
        <f t="shared" si="49"/>
        <v>0.26917111221624046</v>
      </c>
      <c r="AB192" s="17">
        <f t="shared" si="49"/>
        <v>0.26418125664080877</v>
      </c>
      <c r="AC192" s="17">
        <f t="shared" si="49"/>
        <v>0.25928390229427456</v>
      </c>
      <c r="AD192" s="17">
        <f t="shared" si="49"/>
        <v>0.25447733440208786</v>
      </c>
      <c r="AE192" s="17">
        <f t="shared" si="49"/>
        <v>0.24975986997794447</v>
      </c>
      <c r="AF192" s="17">
        <f t="shared" si="49"/>
        <v>0.2451298572344992</v>
      </c>
      <c r="AG192" s="17">
        <f t="shared" si="49"/>
        <v>0.2405856750050048</v>
      </c>
      <c r="AH192" s="17">
        <f t="shared" si="49"/>
        <v>0.23612573217567073</v>
      </c>
      <c r="AI192" s="17">
        <f t="shared" si="49"/>
        <v>0.23174846712854671</v>
      </c>
      <c r="AJ192" s="122">
        <f t="shared" si="49"/>
        <v>0.22745234719473259</v>
      </c>
    </row>
    <row r="193" spans="1:36" x14ac:dyDescent="0.2">
      <c r="A193" s="108" t="s">
        <v>784</v>
      </c>
      <c r="B193" t="s">
        <v>537</v>
      </c>
      <c r="C193" t="s">
        <v>313</v>
      </c>
      <c r="G193" s="17">
        <f>G186</f>
        <v>9.7835710808180237E-2</v>
      </c>
      <c r="H193" s="17">
        <f t="shared" ref="H193:AJ193" si="50">H186</f>
        <v>0.38408818558342123</v>
      </c>
      <c r="I193" s="17">
        <f t="shared" si="50"/>
        <v>0.37696801373990202</v>
      </c>
      <c r="J193" s="17">
        <f t="shared" si="50"/>
        <v>0.36997983462353273</v>
      </c>
      <c r="K193" s="17">
        <f t="shared" si="50"/>
        <v>0.36312120137201814</v>
      </c>
      <c r="L193" s="17">
        <f t="shared" si="50"/>
        <v>0.35638971248264584</v>
      </c>
      <c r="M193" s="17">
        <f t="shared" si="50"/>
        <v>0.34978301097141778</v>
      </c>
      <c r="N193" s="17">
        <f t="shared" si="50"/>
        <v>0.34329878354776755</v>
      </c>
      <c r="O193" s="17">
        <f t="shared" si="50"/>
        <v>0.3369347598045786</v>
      </c>
      <c r="P193" s="17">
        <f t="shared" si="50"/>
        <v>0.33068871142321687</v>
      </c>
      <c r="Q193" s="17">
        <f t="shared" si="50"/>
        <v>0.32455845139330042</v>
      </c>
      <c r="R193" s="17">
        <f t="shared" si="50"/>
        <v>0.3185418332469323</v>
      </c>
      <c r="S193" s="17">
        <f t="shared" si="50"/>
        <v>0.31263675030713117</v>
      </c>
      <c r="T193" s="17">
        <f t="shared" si="50"/>
        <v>0.306841134950192</v>
      </c>
      <c r="U193" s="17">
        <f t="shared" si="50"/>
        <v>0.30115295788172214</v>
      </c>
      <c r="V193" s="17">
        <f t="shared" si="50"/>
        <v>0.29557022742609779</v>
      </c>
      <c r="W193" s="17">
        <f t="shared" si="50"/>
        <v>0.2900909888290939</v>
      </c>
      <c r="X193" s="17">
        <f t="shared" si="50"/>
        <v>0.28471332357343881</v>
      </c>
      <c r="Y193" s="17">
        <f t="shared" si="50"/>
        <v>0.27943534870705994</v>
      </c>
      <c r="Z193" s="17">
        <f t="shared" si="50"/>
        <v>0.27425521618378074</v>
      </c>
      <c r="AA193" s="17">
        <f t="shared" si="50"/>
        <v>0.26917111221624046</v>
      </c>
      <c r="AB193" s="17">
        <f t="shared" si="50"/>
        <v>0.26418125664080877</v>
      </c>
      <c r="AC193" s="17">
        <f t="shared" si="50"/>
        <v>0.25928390229427456</v>
      </c>
      <c r="AD193" s="17">
        <f t="shared" si="50"/>
        <v>0.25447733440208786</v>
      </c>
      <c r="AE193" s="17">
        <f t="shared" si="50"/>
        <v>0.24975986997794447</v>
      </c>
      <c r="AF193" s="17">
        <f t="shared" si="50"/>
        <v>0.2451298572344992</v>
      </c>
      <c r="AG193" s="17">
        <f t="shared" si="50"/>
        <v>0.2405856750050048</v>
      </c>
      <c r="AH193" s="17">
        <f t="shared" si="50"/>
        <v>0.23612573217567073</v>
      </c>
      <c r="AI193" s="17">
        <f t="shared" si="50"/>
        <v>0.23174846712854671</v>
      </c>
      <c r="AJ193" s="122">
        <f t="shared" si="50"/>
        <v>0.22745234719473259</v>
      </c>
    </row>
    <row r="194" spans="1:36" x14ac:dyDescent="0.2">
      <c r="A194" s="108" t="s">
        <v>785</v>
      </c>
      <c r="B194" t="s">
        <v>537</v>
      </c>
      <c r="C194" t="s">
        <v>781</v>
      </c>
      <c r="G194" s="17">
        <f>G184/G99*G103*C18</f>
        <v>9.7835710808180237E-3</v>
      </c>
      <c r="H194" s="17">
        <f t="shared" ref="H194:AJ194" si="51">H184/H99*H103</f>
        <v>3.840881855834212E-2</v>
      </c>
      <c r="I194" s="17">
        <f t="shared" si="51"/>
        <v>3.7696801373990202E-2</v>
      </c>
      <c r="J194" s="17">
        <f t="shared" si="51"/>
        <v>3.6997983462353272E-2</v>
      </c>
      <c r="K194" s="17">
        <f t="shared" si="51"/>
        <v>3.6312120137201816E-2</v>
      </c>
      <c r="L194" s="17">
        <f t="shared" si="51"/>
        <v>3.5638971248264581E-2</v>
      </c>
      <c r="M194" s="17">
        <f t="shared" si="51"/>
        <v>3.4978301097141777E-2</v>
      </c>
      <c r="N194" s="17">
        <f t="shared" si="51"/>
        <v>3.4329878354776758E-2</v>
      </c>
      <c r="O194" s="17">
        <f t="shared" si="51"/>
        <v>3.3693475980457861E-2</v>
      </c>
      <c r="P194" s="17">
        <f t="shared" si="51"/>
        <v>3.3068871142321689E-2</v>
      </c>
      <c r="Q194" s="17">
        <f t="shared" si="51"/>
        <v>3.2455845139330038E-2</v>
      </c>
      <c r="R194" s="17">
        <f t="shared" si="51"/>
        <v>3.1854183324693232E-2</v>
      </c>
      <c r="S194" s="17">
        <f t="shared" si="51"/>
        <v>3.1263675030713117E-2</v>
      </c>
      <c r="T194" s="17">
        <f t="shared" si="51"/>
        <v>3.0684113495019198E-2</v>
      </c>
      <c r="U194" s="17">
        <f t="shared" si="51"/>
        <v>3.0115295788172212E-2</v>
      </c>
      <c r="V194" s="17">
        <f t="shared" si="51"/>
        <v>2.9557022742609778E-2</v>
      </c>
      <c r="W194" s="17">
        <f t="shared" si="51"/>
        <v>2.9009098882909392E-2</v>
      </c>
      <c r="X194" s="17">
        <f t="shared" si="51"/>
        <v>2.8471332357343882E-2</v>
      </c>
      <c r="Y194" s="17">
        <f t="shared" si="51"/>
        <v>2.7943534870705992E-2</v>
      </c>
      <c r="Z194" s="17">
        <f t="shared" si="51"/>
        <v>2.7425521618378072E-2</v>
      </c>
      <c r="AA194" s="17">
        <f t="shared" si="51"/>
        <v>2.6917111221624046E-2</v>
      </c>
      <c r="AB194" s="17">
        <f t="shared" si="51"/>
        <v>2.6418125664080878E-2</v>
      </c>
      <c r="AC194" s="17">
        <f t="shared" si="51"/>
        <v>2.5928390229427455E-2</v>
      </c>
      <c r="AD194" s="17">
        <f t="shared" si="51"/>
        <v>2.5447733440208786E-2</v>
      </c>
      <c r="AE194" s="17">
        <f t="shared" si="51"/>
        <v>2.4975986997794446E-2</v>
      </c>
      <c r="AF194" s="17">
        <f t="shared" si="51"/>
        <v>2.4512985723449919E-2</v>
      </c>
      <c r="AG194" s="17">
        <f t="shared" si="51"/>
        <v>2.4058567500500481E-2</v>
      </c>
      <c r="AH194" s="17">
        <f t="shared" si="51"/>
        <v>2.3612573217567073E-2</v>
      </c>
      <c r="AI194" s="17">
        <f t="shared" si="51"/>
        <v>2.317484671285467E-2</v>
      </c>
      <c r="AJ194" s="122">
        <f t="shared" si="51"/>
        <v>2.2745234719473258E-2</v>
      </c>
    </row>
    <row r="195" spans="1:36" ht="16" thickBot="1" x14ac:dyDescent="0.25">
      <c r="A195" s="34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37"/>
    </row>
    <row r="196" spans="1:36" x14ac:dyDescent="0.2">
      <c r="A196" s="10"/>
      <c r="B196" s="11"/>
      <c r="C196" s="19"/>
    </row>
    <row r="197" spans="1:36" x14ac:dyDescent="0.2">
      <c r="A197" s="108" t="s">
        <v>555</v>
      </c>
      <c r="B197" s="36">
        <f>SUM(D106:F106,G115:AJ115,G126:AJ126,G131:AJ131,G194:AJ194,G136:AJ136,G140:AJ140,G144:AJ144,G149:AJ149,G153:AJ153,G157:AJ157,G161:AJ161,G166:AJ166,G170:AJ170,G177:AJ177,G186:AJ186,G192:AJ193)</f>
        <v>-110604.81922074266</v>
      </c>
      <c r="C197" s="29" t="s">
        <v>537</v>
      </c>
    </row>
    <row r="198" spans="1:36" ht="16" thickBot="1" x14ac:dyDescent="0.25">
      <c r="A198" s="34"/>
      <c r="B198" s="12"/>
      <c r="C198" s="37"/>
    </row>
  </sheetData>
  <mergeCells count="13">
    <mergeCell ref="A70:C70"/>
    <mergeCell ref="A92:C92"/>
    <mergeCell ref="A20:C20"/>
    <mergeCell ref="A26:C26"/>
    <mergeCell ref="A33:C33"/>
    <mergeCell ref="A42:C42"/>
    <mergeCell ref="A53:C53"/>
    <mergeCell ref="A60:C60"/>
    <mergeCell ref="A1:C1"/>
    <mergeCell ref="F1:J1"/>
    <mergeCell ref="A8:C8"/>
    <mergeCell ref="A12:C12"/>
    <mergeCell ref="A3:C3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778C7-322F-A84B-B145-353BF2A0D312}">
  <sheetPr codeName="Sheet11"/>
  <dimension ref="A1:AL205"/>
  <sheetViews>
    <sheetView zoomScale="150" zoomScaleNormal="150" workbookViewId="0">
      <selection activeCell="F18" sqref="F18"/>
    </sheetView>
  </sheetViews>
  <sheetFormatPr baseColWidth="10" defaultRowHeight="15" x14ac:dyDescent="0.2"/>
  <cols>
    <col min="1" max="1" width="44.1640625" customWidth="1"/>
    <col min="2" max="2" width="13.6640625" customWidth="1"/>
    <col min="3" max="3" width="16.1640625" customWidth="1"/>
    <col min="4" max="4" width="18.1640625" customWidth="1"/>
    <col min="5" max="5" width="12.1640625" bestFit="1" customWidth="1"/>
    <col min="6" max="6" width="14.6640625" bestFit="1" customWidth="1"/>
    <col min="7" max="7" width="14.83203125" customWidth="1"/>
    <col min="8" max="36" width="14.6640625" bestFit="1" customWidth="1"/>
  </cols>
  <sheetData>
    <row r="1" spans="1:10" ht="23" thickBot="1" x14ac:dyDescent="0.35">
      <c r="A1" s="516" t="s">
        <v>545</v>
      </c>
      <c r="B1" s="517"/>
      <c r="C1" s="518"/>
      <c r="F1" s="519" t="s">
        <v>807</v>
      </c>
      <c r="G1" s="520"/>
      <c r="H1" s="520"/>
      <c r="I1" s="520"/>
      <c r="J1" s="521"/>
    </row>
    <row r="2" spans="1:10" x14ac:dyDescent="0.2">
      <c r="A2" s="10"/>
      <c r="B2" s="11"/>
      <c r="C2" s="19"/>
      <c r="F2" s="160" t="s">
        <v>29</v>
      </c>
      <c r="G2" s="151">
        <v>2.7100000000000001E-5</v>
      </c>
      <c r="H2" s="152" t="s">
        <v>216</v>
      </c>
      <c r="I2" s="153">
        <f>G2*C$21</f>
        <v>13846.734323853083</v>
      </c>
      <c r="J2" s="19" t="s">
        <v>673</v>
      </c>
    </row>
    <row r="3" spans="1:10" x14ac:dyDescent="0.2">
      <c r="A3" s="513" t="s">
        <v>540</v>
      </c>
      <c r="B3" s="514"/>
      <c r="C3" s="515"/>
      <c r="F3" s="165" t="s">
        <v>30</v>
      </c>
      <c r="G3" s="70">
        <v>9.1999999999999996E-12</v>
      </c>
      <c r="H3" s="25" t="s">
        <v>217</v>
      </c>
      <c r="I3" s="16">
        <f>G3*C$21</f>
        <v>4.7007363756254002E-3</v>
      </c>
      <c r="J3" s="29" t="s">
        <v>674</v>
      </c>
    </row>
    <row r="4" spans="1:10" x14ac:dyDescent="0.2">
      <c r="A4" s="26" t="s">
        <v>535</v>
      </c>
      <c r="B4" s="146"/>
      <c r="C4" s="106">
        <v>8300000000</v>
      </c>
      <c r="D4" s="8"/>
      <c r="F4" s="161" t="s">
        <v>31</v>
      </c>
      <c r="G4" s="70">
        <v>1.5699999999999999E-5</v>
      </c>
      <c r="H4" s="25" t="s">
        <v>218</v>
      </c>
      <c r="I4" s="16">
        <f>G4*C$21</f>
        <v>8021.9088149259551</v>
      </c>
      <c r="J4" s="29" t="s">
        <v>675</v>
      </c>
    </row>
    <row r="5" spans="1:10" x14ac:dyDescent="0.2">
      <c r="A5" s="26" t="s">
        <v>541</v>
      </c>
      <c r="B5" s="146" t="s">
        <v>542</v>
      </c>
      <c r="C5" s="124">
        <v>8.8000000000000005E-3</v>
      </c>
      <c r="D5" s="8"/>
      <c r="F5" s="161" t="s">
        <v>211</v>
      </c>
      <c r="G5" s="70">
        <v>0</v>
      </c>
      <c r="H5" s="25" t="s">
        <v>219</v>
      </c>
      <c r="I5" s="16">
        <f>G5*C$21</f>
        <v>0</v>
      </c>
      <c r="J5" s="29" t="s">
        <v>676</v>
      </c>
    </row>
    <row r="6" spans="1:10" x14ac:dyDescent="0.2">
      <c r="A6" s="252"/>
      <c r="B6" s="146"/>
      <c r="C6" s="253"/>
      <c r="F6" s="161" t="s">
        <v>212</v>
      </c>
      <c r="G6" s="70">
        <v>8.6000000000000002E-7</v>
      </c>
      <c r="H6" s="25" t="s">
        <v>220</v>
      </c>
      <c r="I6" s="16">
        <f>G6*C$21</f>
        <v>439.41666119976571</v>
      </c>
      <c r="J6" s="29" t="s">
        <v>677</v>
      </c>
    </row>
    <row r="7" spans="1:10" x14ac:dyDescent="0.2">
      <c r="A7" s="22"/>
      <c r="C7" s="23"/>
      <c r="F7" s="166" t="s">
        <v>32</v>
      </c>
      <c r="G7" s="70">
        <v>0.23400000000000001</v>
      </c>
      <c r="H7" s="25" t="s">
        <v>221</v>
      </c>
      <c r="I7" s="16">
        <f>C21*G7</f>
        <v>119562207.81481998</v>
      </c>
      <c r="J7" s="29" t="s">
        <v>678</v>
      </c>
    </row>
    <row r="8" spans="1:10" x14ac:dyDescent="0.2">
      <c r="A8" s="522" t="s">
        <v>536</v>
      </c>
      <c r="B8" s="523"/>
      <c r="C8" s="524"/>
      <c r="F8" s="165" t="s">
        <v>213</v>
      </c>
      <c r="G8" s="70">
        <v>1.09E-9</v>
      </c>
      <c r="H8" s="25" t="s">
        <v>217</v>
      </c>
      <c r="I8" s="181">
        <f>G8*C$21</f>
        <v>0.5569350705904007</v>
      </c>
      <c r="J8" s="29" t="s">
        <v>674</v>
      </c>
    </row>
    <row r="9" spans="1:10" x14ac:dyDescent="0.2">
      <c r="A9" s="32" t="s">
        <v>536</v>
      </c>
      <c r="B9" s="3"/>
      <c r="C9" s="33">
        <v>0.01</v>
      </c>
      <c r="F9" s="158" t="s">
        <v>33</v>
      </c>
      <c r="G9" s="70">
        <v>0</v>
      </c>
      <c r="H9" s="25" t="s">
        <v>222</v>
      </c>
      <c r="I9" s="16">
        <f>G9*C$21</f>
        <v>0</v>
      </c>
      <c r="J9" s="29" t="s">
        <v>679</v>
      </c>
    </row>
    <row r="10" spans="1:10" x14ac:dyDescent="0.2">
      <c r="A10" s="32" t="s">
        <v>1</v>
      </c>
      <c r="B10" s="3" t="s">
        <v>2</v>
      </c>
      <c r="C10" s="169">
        <v>8000</v>
      </c>
      <c r="F10" s="158" t="s">
        <v>214</v>
      </c>
      <c r="G10" s="70">
        <v>1.02E-6</v>
      </c>
      <c r="H10" s="25" t="s">
        <v>223</v>
      </c>
      <c r="I10" s="16">
        <f>G10*C$21</f>
        <v>521.16859816716396</v>
      </c>
      <c r="J10" s="29" t="s">
        <v>680</v>
      </c>
    </row>
    <row r="11" spans="1:10" ht="16" thickBot="1" x14ac:dyDescent="0.25">
      <c r="A11" s="22"/>
      <c r="C11" s="35"/>
      <c r="F11" s="159" t="s">
        <v>215</v>
      </c>
      <c r="G11" s="188">
        <v>5.2999999999999998E-4</v>
      </c>
      <c r="H11" s="155" t="s">
        <v>224</v>
      </c>
      <c r="I11" s="156">
        <f>G11*C$21</f>
        <v>270803.29120450676</v>
      </c>
      <c r="J11" s="37" t="s">
        <v>681</v>
      </c>
    </row>
    <row r="12" spans="1:10" x14ac:dyDescent="0.2">
      <c r="A12" s="525" t="s">
        <v>544</v>
      </c>
      <c r="B12" s="526"/>
      <c r="C12" s="527"/>
    </row>
    <row r="13" spans="1:10" x14ac:dyDescent="0.2">
      <c r="A13" s="41" t="s">
        <v>20</v>
      </c>
      <c r="B13" s="145"/>
      <c r="C13" s="42">
        <v>3</v>
      </c>
    </row>
    <row r="14" spans="1:10" x14ac:dyDescent="0.2">
      <c r="A14" s="41"/>
      <c r="B14" s="145" t="s">
        <v>21</v>
      </c>
      <c r="C14" s="43">
        <v>0.1</v>
      </c>
    </row>
    <row r="15" spans="1:10" x14ac:dyDescent="0.2">
      <c r="A15" s="41"/>
      <c r="B15" s="145" t="s">
        <v>22</v>
      </c>
      <c r="C15" s="43">
        <v>0.5</v>
      </c>
    </row>
    <row r="16" spans="1:10" x14ac:dyDescent="0.2">
      <c r="A16" s="41"/>
      <c r="B16" s="145" t="s">
        <v>23</v>
      </c>
      <c r="C16" s="43">
        <v>0.4</v>
      </c>
    </row>
    <row r="17" spans="1:8" x14ac:dyDescent="0.2">
      <c r="A17" s="41" t="s">
        <v>24</v>
      </c>
      <c r="B17" s="145" t="s">
        <v>19</v>
      </c>
      <c r="C17" s="42">
        <v>1</v>
      </c>
    </row>
    <row r="18" spans="1:8" x14ac:dyDescent="0.2">
      <c r="A18" s="41" t="s">
        <v>25</v>
      </c>
      <c r="B18" s="145" t="s">
        <v>26</v>
      </c>
      <c r="C18" s="43">
        <v>0.5</v>
      </c>
    </row>
    <row r="19" spans="1:8" x14ac:dyDescent="0.2">
      <c r="A19" s="22"/>
      <c r="C19" s="29"/>
    </row>
    <row r="20" spans="1:8" x14ac:dyDescent="0.2">
      <c r="A20" s="537" t="s">
        <v>571</v>
      </c>
      <c r="B20" s="538"/>
      <c r="C20" s="539"/>
    </row>
    <row r="21" spans="1:8" x14ac:dyDescent="0.2">
      <c r="A21" s="44" t="s">
        <v>787</v>
      </c>
      <c r="B21" s="147" t="s">
        <v>530</v>
      </c>
      <c r="C21" s="187">
        <f>PSI_OC!A9</f>
        <v>510949606.0462392</v>
      </c>
    </row>
    <row r="22" spans="1:8" x14ac:dyDescent="0.2">
      <c r="A22" s="44" t="s">
        <v>722</v>
      </c>
      <c r="B22" s="147" t="s">
        <v>546</v>
      </c>
      <c r="C22" s="105">
        <v>294000</v>
      </c>
    </row>
    <row r="23" spans="1:8" x14ac:dyDescent="0.2">
      <c r="A23" s="44" t="s">
        <v>965</v>
      </c>
      <c r="B23" s="147" t="s">
        <v>546</v>
      </c>
      <c r="C23" s="105">
        <f>Variables!F20</f>
        <v>95421.686746987951</v>
      </c>
    </row>
    <row r="24" spans="1:8" x14ac:dyDescent="0.2">
      <c r="A24" s="22"/>
      <c r="C24" s="31"/>
    </row>
    <row r="25" spans="1:8" x14ac:dyDescent="0.2">
      <c r="A25" s="540" t="s">
        <v>572</v>
      </c>
      <c r="B25" s="541"/>
      <c r="C25" s="542"/>
    </row>
    <row r="26" spans="1:8" x14ac:dyDescent="0.2">
      <c r="A26" s="53" t="s">
        <v>550</v>
      </c>
      <c r="B26" s="2" t="s">
        <v>531</v>
      </c>
      <c r="C26" s="107">
        <f>(I7*-1)</f>
        <v>-119562207.81481998</v>
      </c>
      <c r="H26" s="17"/>
    </row>
    <row r="27" spans="1:8" x14ac:dyDescent="0.2">
      <c r="A27" s="53"/>
      <c r="B27" s="2"/>
      <c r="C27" s="28"/>
    </row>
    <row r="28" spans="1:8" x14ac:dyDescent="0.2">
      <c r="A28" s="27" t="s">
        <v>547</v>
      </c>
      <c r="B28" s="2" t="s">
        <v>531</v>
      </c>
      <c r="C28" s="107">
        <f>Variables!F21</f>
        <v>2900000000000</v>
      </c>
    </row>
    <row r="29" spans="1:8" x14ac:dyDescent="0.2">
      <c r="A29" s="27" t="s">
        <v>548</v>
      </c>
      <c r="B29" s="2" t="s">
        <v>531</v>
      </c>
      <c r="C29" s="107">
        <f>Variables!F22</f>
        <v>3900000000000</v>
      </c>
      <c r="D29" s="17"/>
    </row>
    <row r="30" spans="1:8" x14ac:dyDescent="0.2">
      <c r="A30" s="27" t="s">
        <v>549</v>
      </c>
      <c r="B30" s="2" t="s">
        <v>531</v>
      </c>
      <c r="C30" s="107">
        <f>Variables!F23</f>
        <v>8750000000000</v>
      </c>
    </row>
    <row r="31" spans="1:8" x14ac:dyDescent="0.2">
      <c r="A31" s="22"/>
      <c r="C31" s="29"/>
    </row>
    <row r="32" spans="1:8" x14ac:dyDescent="0.2">
      <c r="A32" s="543" t="s">
        <v>672</v>
      </c>
      <c r="B32" s="544"/>
      <c r="C32" s="545"/>
    </row>
    <row r="33" spans="1:3" x14ac:dyDescent="0.2">
      <c r="A33" s="142" t="s">
        <v>33</v>
      </c>
      <c r="B33" s="144" t="s">
        <v>682</v>
      </c>
      <c r="C33" s="168">
        <f>I9</f>
        <v>0</v>
      </c>
    </row>
    <row r="34" spans="1:3" x14ac:dyDescent="0.2">
      <c r="A34" s="142" t="s">
        <v>214</v>
      </c>
      <c r="B34" s="144" t="s">
        <v>683</v>
      </c>
      <c r="C34" s="168">
        <f>I10</f>
        <v>521.16859816716396</v>
      </c>
    </row>
    <row r="35" spans="1:3" x14ac:dyDescent="0.2">
      <c r="A35" s="142" t="s">
        <v>215</v>
      </c>
      <c r="B35" s="144" t="s">
        <v>681</v>
      </c>
      <c r="C35" s="168">
        <f>I11</f>
        <v>270803.29120450676</v>
      </c>
    </row>
    <row r="36" spans="1:3" x14ac:dyDescent="0.2">
      <c r="A36" s="142"/>
      <c r="B36" s="144"/>
      <c r="C36" s="143"/>
    </row>
    <row r="37" spans="1:3" x14ac:dyDescent="0.2">
      <c r="A37" s="142" t="s">
        <v>699</v>
      </c>
      <c r="B37" s="144" t="s">
        <v>690</v>
      </c>
      <c r="C37" s="150">
        <f>Variables!F26</f>
        <v>2860000000000000</v>
      </c>
    </row>
    <row r="38" spans="1:3" x14ac:dyDescent="0.2">
      <c r="A38" s="142" t="s">
        <v>700</v>
      </c>
      <c r="B38" s="144" t="s">
        <v>691</v>
      </c>
      <c r="C38" s="150">
        <f>Variables!F27</f>
        <v>5.25</v>
      </c>
    </row>
    <row r="39" spans="1:3" x14ac:dyDescent="0.2">
      <c r="A39" s="142" t="s">
        <v>701</v>
      </c>
      <c r="B39" s="144" t="s">
        <v>692</v>
      </c>
      <c r="C39" s="150">
        <f>Variables!F28</f>
        <v>52.32</v>
      </c>
    </row>
    <row r="40" spans="1:3" x14ac:dyDescent="0.2">
      <c r="A40" s="22"/>
      <c r="C40" s="29"/>
    </row>
    <row r="41" spans="1:3" x14ac:dyDescent="0.2">
      <c r="A41" s="546" t="s">
        <v>730</v>
      </c>
      <c r="B41" s="547"/>
      <c r="C41" s="548"/>
    </row>
    <row r="42" spans="1:3" x14ac:dyDescent="0.2">
      <c r="A42" s="32" t="s">
        <v>29</v>
      </c>
      <c r="B42" s="3" t="s">
        <v>689</v>
      </c>
      <c r="C42" s="162">
        <f>I2</f>
        <v>13846.734323853083</v>
      </c>
    </row>
    <row r="43" spans="1:3" x14ac:dyDescent="0.2">
      <c r="A43" s="32" t="s">
        <v>31</v>
      </c>
      <c r="B43" s="3" t="s">
        <v>688</v>
      </c>
      <c r="C43" s="162">
        <f>I4</f>
        <v>8021.9088149259551</v>
      </c>
    </row>
    <row r="44" spans="1:3" x14ac:dyDescent="0.2">
      <c r="A44" s="32" t="s">
        <v>684</v>
      </c>
      <c r="B44" s="3" t="s">
        <v>687</v>
      </c>
      <c r="C44" s="162">
        <f>I5</f>
        <v>0</v>
      </c>
    </row>
    <row r="45" spans="1:3" x14ac:dyDescent="0.2">
      <c r="A45" s="32" t="s">
        <v>685</v>
      </c>
      <c r="B45" s="3" t="s">
        <v>686</v>
      </c>
      <c r="C45" s="162">
        <f>I6</f>
        <v>439.41666119976571</v>
      </c>
    </row>
    <row r="46" spans="1:3" x14ac:dyDescent="0.2">
      <c r="A46" s="32"/>
      <c r="B46" s="3"/>
      <c r="C46" s="119"/>
    </row>
    <row r="47" spans="1:3" x14ac:dyDescent="0.2">
      <c r="A47" s="32" t="s">
        <v>702</v>
      </c>
      <c r="B47" s="3" t="s">
        <v>693</v>
      </c>
      <c r="C47" s="256">
        <f>Variables!F29</f>
        <v>20.93</v>
      </c>
    </row>
    <row r="48" spans="1:3" x14ac:dyDescent="0.2">
      <c r="A48" s="32" t="s">
        <v>703</v>
      </c>
      <c r="B48" s="3" t="s">
        <v>694</v>
      </c>
      <c r="C48" s="256">
        <f>Variables!F30</f>
        <v>12805</v>
      </c>
    </row>
    <row r="49" spans="1:4" x14ac:dyDescent="0.2">
      <c r="A49" s="32" t="s">
        <v>704</v>
      </c>
      <c r="B49" s="3" t="s">
        <v>695</v>
      </c>
      <c r="C49" s="256">
        <f>Variables!F31</f>
        <v>1.28</v>
      </c>
    </row>
    <row r="50" spans="1:4" x14ac:dyDescent="0.2">
      <c r="A50" s="32" t="s">
        <v>705</v>
      </c>
      <c r="B50" s="3" t="s">
        <v>696</v>
      </c>
      <c r="C50" s="256">
        <f>Variables!F32</f>
        <v>4402.4399999999996</v>
      </c>
    </row>
    <row r="51" spans="1:4" x14ac:dyDescent="0.2">
      <c r="A51" s="22"/>
      <c r="C51" s="29"/>
    </row>
    <row r="52" spans="1:4" x14ac:dyDescent="0.2">
      <c r="A52" s="549" t="s">
        <v>740</v>
      </c>
      <c r="B52" s="550"/>
      <c r="C52" s="551"/>
    </row>
    <row r="53" spans="1:4" x14ac:dyDescent="0.2">
      <c r="A53" s="163" t="s">
        <v>30</v>
      </c>
      <c r="B53" s="30" t="s">
        <v>698</v>
      </c>
      <c r="C53" s="164">
        <f>I3</f>
        <v>4.7007363756254002E-3</v>
      </c>
    </row>
    <row r="54" spans="1:4" x14ac:dyDescent="0.2">
      <c r="A54" s="163" t="s">
        <v>697</v>
      </c>
      <c r="B54" s="30" t="s">
        <v>708</v>
      </c>
      <c r="C54" s="164">
        <f>I8</f>
        <v>0.5569350705904007</v>
      </c>
    </row>
    <row r="55" spans="1:4" x14ac:dyDescent="0.2">
      <c r="A55" s="163"/>
      <c r="B55" s="30"/>
      <c r="C55" s="117"/>
    </row>
    <row r="56" spans="1:4" x14ac:dyDescent="0.2">
      <c r="A56" s="163" t="s">
        <v>706</v>
      </c>
      <c r="B56" s="30" t="s">
        <v>725</v>
      </c>
      <c r="C56" s="258">
        <f>Variables!F33</f>
        <v>1</v>
      </c>
    </row>
    <row r="57" spans="1:4" x14ac:dyDescent="0.2">
      <c r="A57" s="163" t="s">
        <v>707</v>
      </c>
      <c r="B57" s="30" t="s">
        <v>725</v>
      </c>
      <c r="C57" s="258">
        <f>Variables!F34</f>
        <v>1</v>
      </c>
    </row>
    <row r="58" spans="1:4" x14ac:dyDescent="0.2">
      <c r="A58" s="22"/>
      <c r="C58" s="29"/>
    </row>
    <row r="59" spans="1:4" x14ac:dyDescent="0.2">
      <c r="A59" s="528" t="s">
        <v>788</v>
      </c>
      <c r="B59" s="529"/>
      <c r="C59" s="530"/>
    </row>
    <row r="60" spans="1:4" x14ac:dyDescent="0.2">
      <c r="A60" s="178" t="s">
        <v>954</v>
      </c>
      <c r="B60" s="179" t="s">
        <v>16</v>
      </c>
      <c r="C60" s="208">
        <f>22250*C10</f>
        <v>178000000</v>
      </c>
      <c r="D60" s="8"/>
    </row>
    <row r="61" spans="1:4" x14ac:dyDescent="0.2">
      <c r="A61" s="178" t="s">
        <v>955</v>
      </c>
      <c r="B61" s="179" t="s">
        <v>16</v>
      </c>
      <c r="C61" s="209">
        <f>4925*C10</f>
        <v>39400000</v>
      </c>
      <c r="D61" s="8"/>
    </row>
    <row r="62" spans="1:4" x14ac:dyDescent="0.2">
      <c r="A62" s="178"/>
      <c r="B62" s="179"/>
      <c r="C62" s="183"/>
    </row>
    <row r="63" spans="1:4" x14ac:dyDescent="0.2">
      <c r="A63" s="178" t="s">
        <v>929</v>
      </c>
      <c r="B63" s="179" t="s">
        <v>932</v>
      </c>
      <c r="C63" s="180">
        <v>89</v>
      </c>
    </row>
    <row r="64" spans="1:4" x14ac:dyDescent="0.2">
      <c r="A64" s="178" t="s">
        <v>928</v>
      </c>
      <c r="B64" s="179" t="s">
        <v>939</v>
      </c>
      <c r="C64" s="180">
        <v>965</v>
      </c>
    </row>
    <row r="65" spans="1:3" x14ac:dyDescent="0.2">
      <c r="A65" s="178" t="s">
        <v>930</v>
      </c>
      <c r="B65" s="179" t="s">
        <v>931</v>
      </c>
      <c r="C65" s="180">
        <v>1.79</v>
      </c>
    </row>
    <row r="66" spans="1:3" x14ac:dyDescent="0.2">
      <c r="A66" s="178"/>
      <c r="B66" s="179"/>
      <c r="C66" s="180"/>
    </row>
    <row r="67" spans="1:3" x14ac:dyDescent="0.2">
      <c r="A67" s="22"/>
      <c r="C67" s="29"/>
    </row>
    <row r="68" spans="1:3" x14ac:dyDescent="0.2">
      <c r="A68" s="531" t="s">
        <v>772</v>
      </c>
      <c r="B68" s="532"/>
      <c r="C68" s="533"/>
    </row>
    <row r="69" spans="1:3" x14ac:dyDescent="0.2">
      <c r="A69" s="175" t="s">
        <v>534</v>
      </c>
      <c r="B69" s="176" t="s">
        <v>210</v>
      </c>
      <c r="C69" s="177">
        <v>421</v>
      </c>
    </row>
    <row r="70" spans="1:3" x14ac:dyDescent="0.2">
      <c r="A70" s="175"/>
      <c r="B70" s="176"/>
      <c r="C70" s="177"/>
    </row>
    <row r="71" spans="1:3" x14ac:dyDescent="0.2">
      <c r="A71" s="175" t="s">
        <v>746</v>
      </c>
      <c r="B71" s="176" t="s">
        <v>761</v>
      </c>
      <c r="C71" s="177">
        <v>90</v>
      </c>
    </row>
    <row r="72" spans="1:3" x14ac:dyDescent="0.2">
      <c r="A72" s="175"/>
      <c r="B72" s="176" t="s">
        <v>210</v>
      </c>
      <c r="C72" s="177">
        <v>3</v>
      </c>
    </row>
    <row r="73" spans="1:3" x14ac:dyDescent="0.2">
      <c r="A73" s="175" t="s">
        <v>765</v>
      </c>
      <c r="B73" s="176" t="s">
        <v>761</v>
      </c>
      <c r="C73" s="177">
        <v>65</v>
      </c>
    </row>
    <row r="74" spans="1:3" x14ac:dyDescent="0.2">
      <c r="A74" s="175"/>
      <c r="B74" s="176" t="s">
        <v>210</v>
      </c>
      <c r="C74" s="177">
        <v>421</v>
      </c>
    </row>
    <row r="75" spans="1:3" x14ac:dyDescent="0.2">
      <c r="A75" s="175" t="s">
        <v>747</v>
      </c>
      <c r="B75" s="176" t="s">
        <v>761</v>
      </c>
      <c r="C75" s="177">
        <f>80000/(40*52)</f>
        <v>38.46153846153846</v>
      </c>
    </row>
    <row r="76" spans="1:3" x14ac:dyDescent="0.2">
      <c r="A76" s="175"/>
      <c r="B76" s="176" t="s">
        <v>210</v>
      </c>
      <c r="C76" s="177">
        <v>200</v>
      </c>
    </row>
    <row r="77" spans="1:3" x14ac:dyDescent="0.2">
      <c r="A77" s="175"/>
      <c r="B77" s="176"/>
      <c r="C77" s="177"/>
    </row>
    <row r="78" spans="1:3" x14ac:dyDescent="0.2">
      <c r="A78" s="175" t="s">
        <v>745</v>
      </c>
      <c r="B78" s="176" t="s">
        <v>761</v>
      </c>
      <c r="C78" s="177">
        <f>Variables!F35</f>
        <v>33</v>
      </c>
    </row>
    <row r="79" spans="1:3" x14ac:dyDescent="0.2">
      <c r="A79" s="175" t="s">
        <v>764</v>
      </c>
      <c r="B79" s="176" t="s">
        <v>761</v>
      </c>
      <c r="C79" s="177">
        <f>Variables!F36</f>
        <v>97</v>
      </c>
    </row>
    <row r="80" spans="1:3" x14ac:dyDescent="0.2">
      <c r="A80" s="175" t="s">
        <v>759</v>
      </c>
      <c r="B80" s="176" t="s">
        <v>210</v>
      </c>
      <c r="C80" s="177">
        <f>Variables!F37</f>
        <v>5900000000</v>
      </c>
    </row>
    <row r="81" spans="1:36" x14ac:dyDescent="0.2">
      <c r="A81" s="175"/>
      <c r="B81" s="176"/>
      <c r="C81" s="177"/>
    </row>
    <row r="82" spans="1:36" x14ac:dyDescent="0.2">
      <c r="A82" s="175" t="s">
        <v>762</v>
      </c>
      <c r="B82" s="176" t="s">
        <v>210</v>
      </c>
      <c r="C82" s="177">
        <f>C69</f>
        <v>421</v>
      </c>
    </row>
    <row r="83" spans="1:36" x14ac:dyDescent="0.2">
      <c r="A83" s="175" t="s">
        <v>763</v>
      </c>
      <c r="B83" s="176" t="s">
        <v>210</v>
      </c>
      <c r="C83" s="177">
        <v>421</v>
      </c>
    </row>
    <row r="84" spans="1:36" x14ac:dyDescent="0.2">
      <c r="A84" s="22"/>
      <c r="C84" s="29"/>
    </row>
    <row r="85" spans="1:36" ht="16" thickBot="1" x14ac:dyDescent="0.25">
      <c r="A85" s="34"/>
      <c r="B85" s="12"/>
      <c r="C85" s="37"/>
    </row>
    <row r="86" spans="1:36" x14ac:dyDescent="0.2">
      <c r="A86" s="113" t="s">
        <v>555</v>
      </c>
      <c r="B86" s="148">
        <f>B204</f>
        <v>-57505.323723070185</v>
      </c>
      <c r="C86" s="149" t="s">
        <v>537</v>
      </c>
    </row>
    <row r="87" spans="1:36" ht="16" thickBot="1" x14ac:dyDescent="0.25">
      <c r="A87" s="114"/>
      <c r="B87" s="126"/>
      <c r="C87" s="37"/>
    </row>
    <row r="89" spans="1:36" ht="16" thickBot="1" x14ac:dyDescent="0.25"/>
    <row r="90" spans="1:36" ht="23" thickBot="1" x14ac:dyDescent="0.35">
      <c r="A90" s="534" t="s">
        <v>532</v>
      </c>
      <c r="B90" s="535"/>
      <c r="C90" s="536"/>
    </row>
    <row r="91" spans="1:36" x14ac:dyDescent="0.2">
      <c r="A91" s="10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9"/>
    </row>
    <row r="92" spans="1:36" x14ac:dyDescent="0.2">
      <c r="A92" s="108" t="s">
        <v>539</v>
      </c>
      <c r="D92">
        <v>2026</v>
      </c>
      <c r="E92">
        <v>2027</v>
      </c>
      <c r="F92">
        <v>2028</v>
      </c>
      <c r="G92">
        <v>2029</v>
      </c>
      <c r="H92">
        <v>2030</v>
      </c>
      <c r="I92">
        <v>2031</v>
      </c>
      <c r="J92">
        <v>2032</v>
      </c>
      <c r="K92">
        <v>2033</v>
      </c>
      <c r="L92">
        <v>2034</v>
      </c>
      <c r="M92">
        <v>2035</v>
      </c>
      <c r="N92">
        <v>2036</v>
      </c>
      <c r="O92">
        <v>2037</v>
      </c>
      <c r="P92">
        <v>2038</v>
      </c>
      <c r="Q92">
        <v>2039</v>
      </c>
      <c r="R92">
        <v>2040</v>
      </c>
      <c r="S92">
        <v>2041</v>
      </c>
      <c r="T92">
        <v>2042</v>
      </c>
      <c r="U92">
        <v>2043</v>
      </c>
      <c r="V92">
        <v>2044</v>
      </c>
      <c r="W92">
        <v>2045</v>
      </c>
      <c r="X92">
        <v>2046</v>
      </c>
      <c r="Y92">
        <v>2047</v>
      </c>
      <c r="Z92">
        <v>2048</v>
      </c>
      <c r="AA92">
        <v>2049</v>
      </c>
      <c r="AB92">
        <v>2050</v>
      </c>
      <c r="AC92">
        <v>2051</v>
      </c>
      <c r="AD92">
        <v>2052</v>
      </c>
      <c r="AE92">
        <v>2053</v>
      </c>
      <c r="AF92">
        <v>2054</v>
      </c>
      <c r="AG92">
        <v>2055</v>
      </c>
      <c r="AH92">
        <v>2056</v>
      </c>
      <c r="AI92">
        <v>2057</v>
      </c>
      <c r="AJ92" s="29">
        <v>2058</v>
      </c>
    </row>
    <row r="93" spans="1:36" x14ac:dyDescent="0.2">
      <c r="A93" s="22" t="s">
        <v>563</v>
      </c>
      <c r="B93" t="s">
        <v>64</v>
      </c>
      <c r="D93">
        <v>-2</v>
      </c>
      <c r="E93">
        <v>-1</v>
      </c>
      <c r="F93">
        <v>0</v>
      </c>
      <c r="G93">
        <v>1</v>
      </c>
      <c r="H93">
        <v>2</v>
      </c>
      <c r="I93">
        <v>3</v>
      </c>
      <c r="J93">
        <v>4</v>
      </c>
      <c r="K93">
        <v>5</v>
      </c>
      <c r="L93">
        <v>6</v>
      </c>
      <c r="M93">
        <v>7</v>
      </c>
      <c r="N93">
        <v>8</v>
      </c>
      <c r="O93">
        <v>9</v>
      </c>
      <c r="P93">
        <v>10</v>
      </c>
      <c r="Q93">
        <v>11</v>
      </c>
      <c r="R93">
        <v>12</v>
      </c>
      <c r="S93">
        <v>13</v>
      </c>
      <c r="T93">
        <v>14</v>
      </c>
      <c r="U93">
        <v>15</v>
      </c>
      <c r="V93">
        <v>16</v>
      </c>
      <c r="W93">
        <v>17</v>
      </c>
      <c r="X93">
        <v>18</v>
      </c>
      <c r="Y93">
        <v>19</v>
      </c>
      <c r="Z93">
        <v>20</v>
      </c>
      <c r="AA93">
        <v>21</v>
      </c>
      <c r="AB93">
        <v>22</v>
      </c>
      <c r="AC93">
        <v>23</v>
      </c>
      <c r="AD93">
        <v>24</v>
      </c>
      <c r="AE93">
        <v>25</v>
      </c>
      <c r="AF93">
        <v>26</v>
      </c>
      <c r="AG93">
        <v>27</v>
      </c>
      <c r="AH93">
        <v>28</v>
      </c>
      <c r="AI93">
        <v>29</v>
      </c>
      <c r="AJ93" s="29">
        <v>30</v>
      </c>
    </row>
    <row r="94" spans="1:36" x14ac:dyDescent="0.2">
      <c r="A94" s="22" t="s">
        <v>207</v>
      </c>
      <c r="D94" s="36">
        <f>1/(1+$C$9)^D93</f>
        <v>1.0201</v>
      </c>
      <c r="E94" s="36">
        <f t="shared" ref="E94:AJ94" si="0">1/(1+$C$9)^E93</f>
        <v>1.01</v>
      </c>
      <c r="F94" s="36">
        <f t="shared" si="0"/>
        <v>1</v>
      </c>
      <c r="G94" s="36">
        <f t="shared" si="0"/>
        <v>0.99009900990099009</v>
      </c>
      <c r="H94" s="36">
        <f t="shared" si="0"/>
        <v>0.98029604940692083</v>
      </c>
      <c r="I94" s="36">
        <f t="shared" si="0"/>
        <v>0.97059014792764453</v>
      </c>
      <c r="J94" s="36">
        <f t="shared" si="0"/>
        <v>0.96098034448281622</v>
      </c>
      <c r="K94" s="36">
        <f t="shared" si="0"/>
        <v>0.95146568760674888</v>
      </c>
      <c r="L94" s="36">
        <f t="shared" si="0"/>
        <v>0.94204523525420658</v>
      </c>
      <c r="M94" s="36">
        <f t="shared" si="0"/>
        <v>0.93271805470713554</v>
      </c>
      <c r="N94" s="36">
        <f t="shared" si="0"/>
        <v>0.92348322248231218</v>
      </c>
      <c r="O94" s="36">
        <f t="shared" si="0"/>
        <v>0.91433982423991289</v>
      </c>
      <c r="P94" s="36">
        <f t="shared" si="0"/>
        <v>0.90528695469298315</v>
      </c>
      <c r="Q94" s="36">
        <f t="shared" si="0"/>
        <v>0.89632371751780526</v>
      </c>
      <c r="R94" s="36">
        <f t="shared" si="0"/>
        <v>0.88744922526515368</v>
      </c>
      <c r="S94" s="36">
        <f t="shared" si="0"/>
        <v>0.87866259927242929</v>
      </c>
      <c r="T94" s="36">
        <f t="shared" si="0"/>
        <v>0.86996296957666264</v>
      </c>
      <c r="U94" s="36">
        <f t="shared" si="0"/>
        <v>0.86134947482837909</v>
      </c>
      <c r="V94" s="36">
        <f t="shared" si="0"/>
        <v>0.8528212622063156</v>
      </c>
      <c r="W94" s="36">
        <f t="shared" si="0"/>
        <v>0.84437748733298568</v>
      </c>
      <c r="X94" s="36">
        <f t="shared" si="0"/>
        <v>0.83601731419107495</v>
      </c>
      <c r="Y94" s="36">
        <f t="shared" si="0"/>
        <v>0.82773991504066846</v>
      </c>
      <c r="Z94" s="36">
        <f t="shared" si="0"/>
        <v>0.81954447033729538</v>
      </c>
      <c r="AA94" s="36">
        <f t="shared" si="0"/>
        <v>0.81143016865078765</v>
      </c>
      <c r="AB94" s="36">
        <f t="shared" si="0"/>
        <v>0.80339620658493804</v>
      </c>
      <c r="AC94" s="36">
        <f t="shared" si="0"/>
        <v>0.79544178869795856</v>
      </c>
      <c r="AD94" s="36">
        <f t="shared" si="0"/>
        <v>0.78756612742372123</v>
      </c>
      <c r="AE94" s="36">
        <f t="shared" si="0"/>
        <v>0.77976844299378323</v>
      </c>
      <c r="AF94" s="36">
        <f t="shared" si="0"/>
        <v>0.77204796336018144</v>
      </c>
      <c r="AG94" s="36">
        <f t="shared" si="0"/>
        <v>0.76440392411899183</v>
      </c>
      <c r="AH94" s="36">
        <f t="shared" si="0"/>
        <v>0.75683556843464528</v>
      </c>
      <c r="AI94" s="36">
        <f t="shared" si="0"/>
        <v>0.74934214696499535</v>
      </c>
      <c r="AJ94" s="54">
        <f t="shared" si="0"/>
        <v>0.74192291778712394</v>
      </c>
    </row>
    <row r="95" spans="1:36" x14ac:dyDescent="0.2">
      <c r="A95" s="22"/>
      <c r="AJ95" s="29"/>
    </row>
    <row r="96" spans="1:36" x14ac:dyDescent="0.2">
      <c r="A96" s="22" t="s">
        <v>543</v>
      </c>
      <c r="B96" t="s">
        <v>64</v>
      </c>
      <c r="D96">
        <v>0</v>
      </c>
      <c r="E96">
        <v>1</v>
      </c>
      <c r="F96">
        <v>2</v>
      </c>
      <c r="G96">
        <v>3</v>
      </c>
      <c r="H96">
        <v>4</v>
      </c>
      <c r="I96">
        <v>5</v>
      </c>
      <c r="J96">
        <v>6</v>
      </c>
      <c r="K96">
        <v>7</v>
      </c>
      <c r="L96">
        <v>8</v>
      </c>
      <c r="M96">
        <v>9</v>
      </c>
      <c r="N96">
        <v>10</v>
      </c>
      <c r="O96">
        <v>11</v>
      </c>
      <c r="P96">
        <v>12</v>
      </c>
      <c r="Q96">
        <v>13</v>
      </c>
      <c r="R96">
        <v>14</v>
      </c>
      <c r="S96">
        <v>15</v>
      </c>
      <c r="T96">
        <v>16</v>
      </c>
      <c r="U96">
        <v>17</v>
      </c>
      <c r="V96">
        <v>18</v>
      </c>
      <c r="W96">
        <v>19</v>
      </c>
      <c r="X96">
        <v>20</v>
      </c>
      <c r="Y96">
        <v>21</v>
      </c>
      <c r="Z96">
        <v>22</v>
      </c>
      <c r="AA96">
        <v>23</v>
      </c>
      <c r="AB96">
        <v>24</v>
      </c>
      <c r="AC96">
        <v>25</v>
      </c>
      <c r="AD96">
        <v>26</v>
      </c>
      <c r="AE96">
        <v>27</v>
      </c>
      <c r="AF96">
        <v>28</v>
      </c>
      <c r="AG96">
        <v>29</v>
      </c>
      <c r="AH96">
        <v>30</v>
      </c>
      <c r="AI96">
        <v>31</v>
      </c>
      <c r="AJ96" s="29">
        <v>32</v>
      </c>
    </row>
    <row r="97" spans="1:36" x14ac:dyDescent="0.2">
      <c r="A97" s="22" t="s">
        <v>535</v>
      </c>
      <c r="B97" t="s">
        <v>210</v>
      </c>
      <c r="D97" s="8">
        <f t="shared" ref="D97:AJ97" si="1">$C$4*(1+$C$5)^D96</f>
        <v>8300000000</v>
      </c>
      <c r="E97" s="8">
        <f t="shared" si="1"/>
        <v>8373039999.999999</v>
      </c>
      <c r="F97" s="8">
        <f t="shared" si="1"/>
        <v>8446722751.999999</v>
      </c>
      <c r="G97" s="8">
        <f t="shared" si="1"/>
        <v>8521053912.217598</v>
      </c>
      <c r="H97" s="8">
        <f t="shared" si="1"/>
        <v>8596039186.645113</v>
      </c>
      <c r="I97" s="8">
        <f t="shared" si="1"/>
        <v>8671684331.4875889</v>
      </c>
      <c r="J97" s="8">
        <f t="shared" si="1"/>
        <v>8747995153.6046791</v>
      </c>
      <c r="K97" s="8">
        <f t="shared" si="1"/>
        <v>8824977510.9563999</v>
      </c>
      <c r="L97" s="8">
        <f t="shared" si="1"/>
        <v>8902637313.0528164</v>
      </c>
      <c r="M97" s="8">
        <f t="shared" si="1"/>
        <v>8980980521.4076805</v>
      </c>
      <c r="N97" s="8">
        <f t="shared" si="1"/>
        <v>9060013149.996067</v>
      </c>
      <c r="O97" s="8">
        <f t="shared" si="1"/>
        <v>9139741265.716032</v>
      </c>
      <c r="P97" s="8">
        <f t="shared" si="1"/>
        <v>9220170988.8543339</v>
      </c>
      <c r="Q97" s="8">
        <f t="shared" si="1"/>
        <v>9301308493.5562496</v>
      </c>
      <c r="R97" s="8">
        <f t="shared" si="1"/>
        <v>9383160008.2995453</v>
      </c>
      <c r="S97" s="8">
        <f t="shared" si="1"/>
        <v>9465731816.3725815</v>
      </c>
      <c r="T97" s="8">
        <f t="shared" si="1"/>
        <v>9549030256.3566589</v>
      </c>
      <c r="U97" s="8">
        <f t="shared" si="1"/>
        <v>9633061722.6125965</v>
      </c>
      <c r="V97" s="8">
        <f t="shared" si="1"/>
        <v>9717832665.7715893</v>
      </c>
      <c r="W97" s="8">
        <f t="shared" si="1"/>
        <v>9803349593.2303772</v>
      </c>
      <c r="X97" s="8">
        <f t="shared" si="1"/>
        <v>9889619069.6508045</v>
      </c>
      <c r="Y97" s="8">
        <f t="shared" si="1"/>
        <v>9976647717.4637299</v>
      </c>
      <c r="Z97" s="8">
        <f t="shared" si="1"/>
        <v>10064442217.377411</v>
      </c>
      <c r="AA97" s="8">
        <f t="shared" si="1"/>
        <v>10153009308.890329</v>
      </c>
      <c r="AB97" s="8">
        <f t="shared" si="1"/>
        <v>10242355790.808565</v>
      </c>
      <c r="AC97" s="8">
        <f t="shared" si="1"/>
        <v>10332488521.767681</v>
      </c>
      <c r="AD97" s="8">
        <f t="shared" si="1"/>
        <v>10423414420.759235</v>
      </c>
      <c r="AE97" s="8">
        <f t="shared" si="1"/>
        <v>10515140467.661915</v>
      </c>
      <c r="AF97" s="8">
        <f t="shared" si="1"/>
        <v>10607673703.777342</v>
      </c>
      <c r="AG97" s="8">
        <f t="shared" si="1"/>
        <v>10701021232.370581</v>
      </c>
      <c r="AH97" s="8">
        <f t="shared" si="1"/>
        <v>10795190219.215441</v>
      </c>
      <c r="AI97" s="8">
        <f t="shared" si="1"/>
        <v>10890187893.144537</v>
      </c>
      <c r="AJ97" s="115">
        <f t="shared" si="1"/>
        <v>10986021546.604208</v>
      </c>
    </row>
    <row r="98" spans="1:36" x14ac:dyDescent="0.2">
      <c r="A98" s="22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115"/>
    </row>
    <row r="99" spans="1:36" x14ac:dyDescent="0.2">
      <c r="A99" s="22" t="s">
        <v>565</v>
      </c>
      <c r="B99" s="17">
        <f>PSI_OC!A6</f>
        <v>100</v>
      </c>
      <c r="C99" t="s">
        <v>717</v>
      </c>
      <c r="D99" s="8"/>
      <c r="E99" s="8"/>
      <c r="F99" s="8"/>
      <c r="G99" s="8">
        <f>$B99*$C$10*100</f>
        <v>80000000</v>
      </c>
      <c r="H99" s="8">
        <f t="shared" ref="H99:AJ101" si="2">$B99*$C$10*100</f>
        <v>80000000</v>
      </c>
      <c r="I99" s="8">
        <f t="shared" si="2"/>
        <v>80000000</v>
      </c>
      <c r="J99" s="8">
        <f t="shared" si="2"/>
        <v>80000000</v>
      </c>
      <c r="K99" s="8">
        <f t="shared" si="2"/>
        <v>80000000</v>
      </c>
      <c r="L99" s="8">
        <f t="shared" si="2"/>
        <v>80000000</v>
      </c>
      <c r="M99" s="8">
        <f t="shared" si="2"/>
        <v>80000000</v>
      </c>
      <c r="N99" s="8">
        <f t="shared" si="2"/>
        <v>80000000</v>
      </c>
      <c r="O99" s="8">
        <f t="shared" si="2"/>
        <v>80000000</v>
      </c>
      <c r="P99" s="8">
        <f t="shared" si="2"/>
        <v>80000000</v>
      </c>
      <c r="Q99" s="8">
        <f t="shared" si="2"/>
        <v>80000000</v>
      </c>
      <c r="R99" s="8">
        <f t="shared" si="2"/>
        <v>80000000</v>
      </c>
      <c r="S99" s="8">
        <f t="shared" si="2"/>
        <v>80000000</v>
      </c>
      <c r="T99" s="8">
        <f t="shared" si="2"/>
        <v>80000000</v>
      </c>
      <c r="U99" s="8">
        <f t="shared" si="2"/>
        <v>80000000</v>
      </c>
      <c r="V99" s="8">
        <f t="shared" si="2"/>
        <v>80000000</v>
      </c>
      <c r="W99" s="8">
        <f t="shared" si="2"/>
        <v>80000000</v>
      </c>
      <c r="X99" s="8">
        <f t="shared" si="2"/>
        <v>80000000</v>
      </c>
      <c r="Y99" s="8">
        <f t="shared" si="2"/>
        <v>80000000</v>
      </c>
      <c r="Z99" s="8">
        <f t="shared" si="2"/>
        <v>80000000</v>
      </c>
      <c r="AA99" s="8">
        <f t="shared" si="2"/>
        <v>80000000</v>
      </c>
      <c r="AB99" s="8">
        <f t="shared" si="2"/>
        <v>80000000</v>
      </c>
      <c r="AC99" s="8">
        <f t="shared" si="2"/>
        <v>80000000</v>
      </c>
      <c r="AD99" s="8">
        <f t="shared" si="2"/>
        <v>80000000</v>
      </c>
      <c r="AE99" s="8">
        <f t="shared" si="2"/>
        <v>80000000</v>
      </c>
      <c r="AF99" s="8">
        <f t="shared" si="2"/>
        <v>80000000</v>
      </c>
      <c r="AG99" s="8">
        <f t="shared" si="2"/>
        <v>80000000</v>
      </c>
      <c r="AH99" s="8">
        <f t="shared" si="2"/>
        <v>80000000</v>
      </c>
      <c r="AI99" s="8">
        <f t="shared" si="2"/>
        <v>80000000</v>
      </c>
      <c r="AJ99" s="8">
        <f t="shared" si="2"/>
        <v>80000000</v>
      </c>
    </row>
    <row r="100" spans="1:36" x14ac:dyDescent="0.2">
      <c r="A100" s="22" t="s">
        <v>718</v>
      </c>
      <c r="B100" s="17">
        <f>PSI_OC!A7</f>
        <v>10</v>
      </c>
      <c r="C100" t="s">
        <v>717</v>
      </c>
      <c r="D100" s="8"/>
      <c r="E100" s="8"/>
      <c r="F100" s="8"/>
      <c r="G100" s="8">
        <f>$B100*$C$10*100</f>
        <v>8000000</v>
      </c>
      <c r="H100" s="8">
        <f t="shared" si="2"/>
        <v>8000000</v>
      </c>
      <c r="I100" s="8">
        <f t="shared" si="2"/>
        <v>8000000</v>
      </c>
      <c r="J100" s="8">
        <f t="shared" si="2"/>
        <v>8000000</v>
      </c>
      <c r="K100" s="8">
        <f t="shared" si="2"/>
        <v>8000000</v>
      </c>
      <c r="L100" s="8">
        <f t="shared" si="2"/>
        <v>8000000</v>
      </c>
      <c r="M100" s="8">
        <f t="shared" si="2"/>
        <v>8000000</v>
      </c>
      <c r="N100" s="8">
        <f t="shared" si="2"/>
        <v>8000000</v>
      </c>
      <c r="O100" s="8">
        <f t="shared" si="2"/>
        <v>8000000</v>
      </c>
      <c r="P100" s="8">
        <f t="shared" si="2"/>
        <v>8000000</v>
      </c>
      <c r="Q100" s="8">
        <f t="shared" si="2"/>
        <v>8000000</v>
      </c>
      <c r="R100" s="8">
        <f t="shared" si="2"/>
        <v>8000000</v>
      </c>
      <c r="S100" s="8">
        <f t="shared" si="2"/>
        <v>8000000</v>
      </c>
      <c r="T100" s="8">
        <f t="shared" si="2"/>
        <v>8000000</v>
      </c>
      <c r="U100" s="8">
        <f t="shared" si="2"/>
        <v>8000000</v>
      </c>
      <c r="V100" s="8">
        <f t="shared" si="2"/>
        <v>8000000</v>
      </c>
      <c r="W100" s="8">
        <f t="shared" si="2"/>
        <v>8000000</v>
      </c>
      <c r="X100" s="8">
        <f t="shared" si="2"/>
        <v>8000000</v>
      </c>
      <c r="Y100" s="8">
        <f t="shared" si="2"/>
        <v>8000000</v>
      </c>
      <c r="Z100" s="8">
        <f t="shared" si="2"/>
        <v>8000000</v>
      </c>
      <c r="AA100" s="8">
        <f t="shared" si="2"/>
        <v>8000000</v>
      </c>
      <c r="AB100" s="8">
        <f t="shared" si="2"/>
        <v>8000000</v>
      </c>
      <c r="AC100" s="8">
        <f t="shared" si="2"/>
        <v>8000000</v>
      </c>
      <c r="AD100" s="8">
        <f t="shared" si="2"/>
        <v>8000000</v>
      </c>
      <c r="AE100" s="8">
        <f t="shared" si="2"/>
        <v>8000000</v>
      </c>
      <c r="AF100" s="8">
        <f t="shared" si="2"/>
        <v>8000000</v>
      </c>
      <c r="AG100" s="8">
        <f t="shared" si="2"/>
        <v>8000000</v>
      </c>
      <c r="AH100" s="8">
        <f t="shared" si="2"/>
        <v>8000000</v>
      </c>
      <c r="AI100" s="8">
        <f t="shared" si="2"/>
        <v>8000000</v>
      </c>
      <c r="AJ100" s="8">
        <f t="shared" si="2"/>
        <v>8000000</v>
      </c>
    </row>
    <row r="101" spans="1:36" x14ac:dyDescent="0.2">
      <c r="A101" s="22" t="s">
        <v>719</v>
      </c>
      <c r="B101" s="17">
        <f>PSI_OC!A8</f>
        <v>1</v>
      </c>
      <c r="C101" t="s">
        <v>717</v>
      </c>
      <c r="D101" s="8"/>
      <c r="E101" s="8"/>
      <c r="F101" s="8"/>
      <c r="G101" s="8">
        <f>$B101*$C$10*100</f>
        <v>800000</v>
      </c>
      <c r="H101" s="8">
        <f t="shared" si="2"/>
        <v>800000</v>
      </c>
      <c r="I101" s="8">
        <f t="shared" si="2"/>
        <v>800000</v>
      </c>
      <c r="J101" s="8">
        <f t="shared" si="2"/>
        <v>800000</v>
      </c>
      <c r="K101" s="8">
        <f t="shared" si="2"/>
        <v>800000</v>
      </c>
      <c r="L101" s="8">
        <f t="shared" si="2"/>
        <v>800000</v>
      </c>
      <c r="M101" s="8">
        <f t="shared" si="2"/>
        <v>800000</v>
      </c>
      <c r="N101" s="8">
        <f t="shared" si="2"/>
        <v>800000</v>
      </c>
      <c r="O101" s="8">
        <f t="shared" si="2"/>
        <v>800000</v>
      </c>
      <c r="P101" s="8">
        <f t="shared" si="2"/>
        <v>800000</v>
      </c>
      <c r="Q101" s="8">
        <f t="shared" si="2"/>
        <v>800000</v>
      </c>
      <c r="R101" s="8">
        <f t="shared" si="2"/>
        <v>800000</v>
      </c>
      <c r="S101" s="8">
        <f t="shared" si="2"/>
        <v>800000</v>
      </c>
      <c r="T101" s="8">
        <f t="shared" si="2"/>
        <v>800000</v>
      </c>
      <c r="U101" s="8">
        <f t="shared" si="2"/>
        <v>800000</v>
      </c>
      <c r="V101" s="8">
        <f t="shared" si="2"/>
        <v>800000</v>
      </c>
      <c r="W101" s="8">
        <f t="shared" si="2"/>
        <v>800000</v>
      </c>
      <c r="X101" s="8">
        <f t="shared" si="2"/>
        <v>800000</v>
      </c>
      <c r="Y101" s="8">
        <f t="shared" si="2"/>
        <v>800000</v>
      </c>
      <c r="Z101" s="8">
        <f t="shared" si="2"/>
        <v>800000</v>
      </c>
      <c r="AA101" s="8">
        <f t="shared" si="2"/>
        <v>800000</v>
      </c>
      <c r="AB101" s="8">
        <f t="shared" si="2"/>
        <v>800000</v>
      </c>
      <c r="AC101" s="8">
        <f t="shared" si="2"/>
        <v>800000</v>
      </c>
      <c r="AD101" s="8">
        <f t="shared" si="2"/>
        <v>800000</v>
      </c>
      <c r="AE101" s="8">
        <f t="shared" si="2"/>
        <v>800000</v>
      </c>
      <c r="AF101" s="8">
        <f t="shared" si="2"/>
        <v>800000</v>
      </c>
      <c r="AG101" s="8">
        <f t="shared" si="2"/>
        <v>800000</v>
      </c>
      <c r="AH101" s="8">
        <f t="shared" si="2"/>
        <v>800000</v>
      </c>
      <c r="AI101" s="8">
        <f t="shared" si="2"/>
        <v>800000</v>
      </c>
      <c r="AJ101" s="8">
        <f t="shared" si="2"/>
        <v>800000</v>
      </c>
    </row>
    <row r="102" spans="1:36" x14ac:dyDescent="0.2">
      <c r="A102" s="22"/>
      <c r="AJ102" s="29"/>
    </row>
    <row r="103" spans="1:36" x14ac:dyDescent="0.2">
      <c r="A103" s="116" t="s">
        <v>553</v>
      </c>
      <c r="B103" s="30"/>
      <c r="C103" s="30"/>
      <c r="D103" s="30"/>
      <c r="E103" s="30"/>
      <c r="F103" s="30"/>
      <c r="G103" s="30"/>
      <c r="H103" s="30"/>
      <c r="I103" s="30"/>
      <c r="J103" s="30"/>
      <c r="K103" s="30"/>
      <c r="L103" s="30"/>
      <c r="M103" s="30"/>
      <c r="N103" s="30"/>
      <c r="O103" s="30"/>
      <c r="P103" s="30"/>
      <c r="Q103" s="30"/>
      <c r="R103" s="30"/>
      <c r="S103" s="30"/>
      <c r="T103" s="30"/>
      <c r="U103" s="30"/>
      <c r="V103" s="30"/>
      <c r="W103" s="30"/>
      <c r="X103" s="30"/>
      <c r="Y103" s="30"/>
      <c r="Z103" s="30"/>
      <c r="AA103" s="30"/>
      <c r="AB103" s="30"/>
      <c r="AC103" s="30"/>
      <c r="AD103" s="30"/>
      <c r="AE103" s="30"/>
      <c r="AF103" s="30"/>
      <c r="AG103" s="30"/>
      <c r="AH103" s="30"/>
      <c r="AI103" s="30"/>
      <c r="AJ103" s="117"/>
    </row>
    <row r="104" spans="1:36" x14ac:dyDescent="0.2">
      <c r="A104" s="108" t="s">
        <v>710</v>
      </c>
      <c r="B104" t="s">
        <v>537</v>
      </c>
      <c r="D104" s="8"/>
      <c r="E104" s="8"/>
      <c r="F104" s="8"/>
      <c r="AJ104" s="29"/>
    </row>
    <row r="105" spans="1:36" x14ac:dyDescent="0.2">
      <c r="A105" s="75" t="s">
        <v>987</v>
      </c>
      <c r="D105" s="8">
        <f>(SUM(PSI_Coal!$X$6:$X$116)/88)*(PSI_Coal!$AF$6/(PSI_Coal!$AI$6*D97))*D94</f>
        <v>-1.1004076419286689E-3</v>
      </c>
      <c r="E105" s="8">
        <f>(SUM(PSI_Coal!$X$6:$X$116)/88)*(PSI_Coal!$AF$6/(PSI_Coal!$AI$6*E97))*E94</f>
        <v>-1.0800084424673457E-3</v>
      </c>
      <c r="F105" s="8">
        <f>(SUM(PSI_Coal!$X$6:$X$116)/88)*(PSI_Coal!$AF$6/(PSI_Coal!$AI$6*F97))*F94</f>
        <v>-1.0599874004476896E-3</v>
      </c>
      <c r="K105" s="8"/>
      <c r="AJ105" s="29"/>
    </row>
    <row r="106" spans="1:36" x14ac:dyDescent="0.2">
      <c r="A106" s="75" t="s">
        <v>507</v>
      </c>
      <c r="D106" s="8">
        <f>(SUM(PSI_Coal!$Y$6:$Y$116)/88)*(PSI_Coal!$AF$7/(PSI_Coal!$AI$7*D97))*D94</f>
        <v>-0.11976814822914811</v>
      </c>
      <c r="E106" s="8">
        <f>(SUM(PSI_Coal!$Y$6:$Y$116)/88)*(PSI_Coal!$AF$7/(PSI_Coal!$AI$7*E97))*E94</f>
        <v>-0.1175479034291778</v>
      </c>
      <c r="F106" s="8">
        <f>(SUM(PSI_Coal!$Y$6:$Y$116)/88)*(PSI_Coal!$AF$7/(PSI_Coal!$AI$7*F97))*F94</f>
        <v>-0.11536881720972059</v>
      </c>
      <c r="AJ106" s="29"/>
    </row>
    <row r="107" spans="1:36" x14ac:dyDescent="0.2">
      <c r="A107" s="75" t="s">
        <v>663</v>
      </c>
      <c r="D107" s="8">
        <f>(SUM(PSI_Coal!$Z$6:$Z$116)/88)*(PSI_Coal!$AF$8/(PSI_Coal!$AI$8*D97))*D94</f>
        <v>-3.1389714285813618E-3</v>
      </c>
      <c r="E107" s="8">
        <f>(SUM(PSI_Coal!$Z$6:$Z$116)/88)*(PSI_Coal!$AF$8/(PSI_Coal!$AI$8*E97))*E94</f>
        <v>-3.0807816252437577E-3</v>
      </c>
      <c r="F107" s="8">
        <f>(SUM(PSI_Coal!$Z$6:$Z$116)/88)*(PSI_Coal!$AF$8/(PSI_Coal!$AI$8*F97))*F94</f>
        <v>-3.0236705361568281E-3</v>
      </c>
      <c r="AJ107" s="29"/>
    </row>
    <row r="108" spans="1:36" x14ac:dyDescent="0.2">
      <c r="A108" s="75" t="s">
        <v>981</v>
      </c>
      <c r="D108" s="8">
        <f>(SUM(PSI_Coal!$AA$6:$AA$116)/88)*(PSI_Coal!$AF$9/(PSI_Coal!$AI$9*D97))*D94</f>
        <v>-7.1052243396298592E-3</v>
      </c>
      <c r="E108" s="8">
        <f>(SUM(PSI_Coal!$AA$6:$AA$116)/88)*(PSI_Coal!$AF$9/(PSI_Coal!$AI$9*E97))*E94</f>
        <v>-6.9735087071688554E-3</v>
      </c>
      <c r="F108" s="8">
        <f>(SUM(PSI_Coal!$AA$6:$AA$116)/88)*(PSI_Coal!$AF$9/(PSI_Coal!$AI$9*F97))*F94</f>
        <v>-6.8442348002615144E-3</v>
      </c>
      <c r="AJ108" s="29"/>
    </row>
    <row r="109" spans="1:36" x14ac:dyDescent="0.2">
      <c r="A109" s="75" t="s">
        <v>980</v>
      </c>
      <c r="D109" s="8">
        <f>(SUM(PSI_Coal!$AB$6:$AB$116)/88)*(PSI_Coal!$AF$10/(PSI_Coal!$AI$10*D97))*D94</f>
        <v>-4.0703964794089317E-2</v>
      </c>
      <c r="E109" s="8">
        <f>(SUM(PSI_Coal!$AB$6:$AB$116)/88)*(PSI_Coal!$AF$10/(PSI_Coal!$AI$10*E97))*E94</f>
        <v>-3.9949400517121932E-2</v>
      </c>
      <c r="F109" s="8">
        <f>(SUM(PSI_Coal!$AB$6:$AB$116)/88)*(PSI_Coal!$AF$10/(PSI_Coal!$AI$10*F97))*F94</f>
        <v>-3.9208824244786403E-2</v>
      </c>
      <c r="AJ109" s="29"/>
    </row>
    <row r="110" spans="1:36" x14ac:dyDescent="0.2">
      <c r="A110" s="75" t="s">
        <v>915</v>
      </c>
      <c r="D110" s="8">
        <f>(SUM(PSI_Coal!$AC$6:$AC$116)/88)*(PSI_Coal!$AF$11/(PSI_Coal!$AI$11*D97))*D94</f>
        <v>-6.3603335866939674E-4</v>
      </c>
      <c r="E110" s="8">
        <f>(SUM(PSI_Coal!$AC$6:$AC$116)/88)*(PSI_Coal!$AF$11/(PSI_Coal!$AI$11*E97))*E94</f>
        <v>-6.242426632460063E-4</v>
      </c>
      <c r="F110" s="8">
        <f>(SUM(PSI_Coal!$AC$6:$AC$116)/88)*(PSI_Coal!$AF$11/(PSI_Coal!$AI$11*F97))*F94</f>
        <v>-6.126705420478073E-4</v>
      </c>
      <c r="AJ110" s="29"/>
    </row>
    <row r="111" spans="1:36" x14ac:dyDescent="0.2">
      <c r="A111" s="75" t="s">
        <v>664</v>
      </c>
      <c r="D111" s="8">
        <f>(SUM(PSI_Coal!$AD$6:$AD$116)/88)*(PSI_Coal!$AF$12/(PSI_Coal!$AI$12*D97))*D94</f>
        <v>-2.1461390162324867</v>
      </c>
      <c r="E111" s="8">
        <f>(SUM(PSI_Coal!$AD$6:$AD$116)/88)*(PSI_Coal!$AF$12/(PSI_Coal!$AI$12*E97))*E94</f>
        <v>-2.1063541981380558</v>
      </c>
      <c r="F111" s="8">
        <f>(SUM(PSI_Coal!$AD$6:$AD$116)/88)*(PSI_Coal!$AF$12/(PSI_Coal!$AI$12*F97))*F94</f>
        <v>-2.0673069053105499</v>
      </c>
      <c r="AJ111" s="29"/>
    </row>
    <row r="112" spans="1:36" x14ac:dyDescent="0.2">
      <c r="A112" s="108"/>
      <c r="D112" s="8"/>
      <c r="E112" s="8"/>
      <c r="F112" s="8"/>
      <c r="AJ112" s="29"/>
    </row>
    <row r="113" spans="1:36" x14ac:dyDescent="0.2">
      <c r="A113" s="108" t="s">
        <v>711</v>
      </c>
      <c r="B113" t="s">
        <v>537</v>
      </c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115"/>
    </row>
    <row r="114" spans="1:36" x14ac:dyDescent="0.2">
      <c r="A114" s="75" t="s">
        <v>903</v>
      </c>
      <c r="G114" s="8">
        <f>(SUM(PSI_Coal!$AK$6:$AK$111)/88)*(PSI_Coal!$AS$6/(PSI_Coal!$AU$6*G97))*G94</f>
        <v>-76.905877714066605</v>
      </c>
      <c r="H114" s="8">
        <f>(SUM(PSI_Coal!$AK$6:$AK$111)/88)*(PSI_Coal!$AS$6/(PSI_Coal!$AU$6*H97))*H94</f>
        <v>-75.480207553790606</v>
      </c>
      <c r="I114" s="8">
        <f>(SUM(PSI_Coal!$AK$6:$AK$111)/88)*(PSI_Coal!$AS$6/(PSI_Coal!$AU$6*I97))*I94</f>
        <v>-74.08096626301483</v>
      </c>
      <c r="J114" s="8">
        <f>(SUM(PSI_Coal!$AK$6:$AK$111)/88)*(PSI_Coal!$AS$6/(PSI_Coal!$AU$6*J97))*J94</f>
        <v>-72.707663907136805</v>
      </c>
      <c r="K114" s="8">
        <f>(SUM(PSI_Coal!$AK$6:$AK$111)/88)*(PSI_Coal!$AS$6/(PSI_Coal!$AU$6*K97))*K94</f>
        <v>-71.35981963389186</v>
      </c>
      <c r="L114" s="8">
        <f>(SUM(PSI_Coal!$AK$6:$AK$111)/88)*(PSI_Coal!$AS$6/(PSI_Coal!$AU$6*L97))*L94</f>
        <v>-70.036961504985669</v>
      </c>
      <c r="M114" s="8">
        <f>(SUM(PSI_Coal!$AK$6:$AK$111)/88)*(PSI_Coal!$AS$6/(PSI_Coal!$AU$6*M97))*M94</f>
        <v>-68.738626330848646</v>
      </c>
      <c r="N114" s="8">
        <f>(SUM(PSI_Coal!$AK$6:$AK$111)/88)*(PSI_Coal!$AS$6/(PSI_Coal!$AU$6*N97))*N94</f>
        <v>-67.464359508452972</v>
      </c>
      <c r="O114" s="8">
        <f>(SUM(PSI_Coal!$AK$6:$AK$111)/88)*(PSI_Coal!$AS$6/(PSI_Coal!$AU$6*O97))*O94</f>
        <v>-66.213714862136925</v>
      </c>
      <c r="P114" s="8">
        <f>(SUM(PSI_Coal!$AK$6:$AK$111)/88)*(PSI_Coal!$AS$6/(PSI_Coal!$AU$6*P97))*P94</f>
        <v>-64.986254487379298</v>
      </c>
      <c r="Q114" s="8">
        <f>(SUM(PSI_Coal!$AK$6:$AK$111)/88)*(PSI_Coal!$AS$6/(PSI_Coal!$AU$6*Q97))*Q94</f>
        <v>-63.781548597470312</v>
      </c>
      <c r="R114" s="8">
        <f>(SUM(PSI_Coal!$AK$6:$AK$111)/88)*(PSI_Coal!$AS$6/(PSI_Coal!$AU$6*R97))*R94</f>
        <v>-62.599175373024622</v>
      </c>
      <c r="S114" s="8">
        <f>(SUM(PSI_Coal!$AK$6:$AK$111)/88)*(PSI_Coal!$AS$6/(PSI_Coal!$AU$6*S97))*S94</f>
        <v>-61.438720814284402</v>
      </c>
      <c r="T114" s="8">
        <f>(SUM(PSI_Coal!$AK$6:$AK$111)/88)*(PSI_Coal!$AS$6/(PSI_Coal!$AU$6*T97))*T94</f>
        <v>-60.299778596160145</v>
      </c>
      <c r="U114" s="8">
        <f>(SUM(PSI_Coal!$AK$6:$AK$111)/88)*(PSI_Coal!$AS$6/(PSI_Coal!$AU$6*U97))*U94</f>
        <v>-59.181949925958655</v>
      </c>
      <c r="V114" s="8">
        <f>(SUM(PSI_Coal!$AK$6:$AK$111)/88)*(PSI_Coal!$AS$6/(PSI_Coal!$AU$6*V97))*V94</f>
        <v>-58.084843403748607</v>
      </c>
      <c r="W114" s="8">
        <f>(SUM(PSI_Coal!$AK$6:$AK$111)/88)*(PSI_Coal!$AS$6/(PSI_Coal!$AU$6*W97))*W94</f>
        <v>-57.008074885314805</v>
      </c>
      <c r="X114" s="8">
        <f>(SUM(PSI_Coal!$AK$6:$AK$111)/88)*(PSI_Coal!$AS$6/(PSI_Coal!$AU$6*X97))*X94</f>
        <v>-55.95126734765234</v>
      </c>
      <c r="Y114" s="8">
        <f>(SUM(PSI_Coal!$AK$6:$AK$111)/88)*(PSI_Coal!$AS$6/(PSI_Coal!$AU$6*Y97))*Y94</f>
        <v>-54.914050756955</v>
      </c>
      <c r="Z114" s="8">
        <f>(SUM(PSI_Coal!$AK$6:$AK$111)/88)*(PSI_Coal!$AS$6/(PSI_Coal!$AU$6*Z97))*Z94</f>
        <v>-53.896061939050206</v>
      </c>
      <c r="AA114" s="8">
        <f>(SUM(PSI_Coal!$AK$6:$AK$111)/88)*(PSI_Coal!$AS$6/(PSI_Coal!$AU$6*AA97))*AA94</f>
        <v>-52.89694445223639</v>
      </c>
      <c r="AB114" s="8">
        <f>(SUM(PSI_Coal!$AK$6:$AK$111)/88)*(PSI_Coal!$AS$6/(PSI_Coal!$AU$6*AB97))*AB94</f>
        <v>-51.91634846247711</v>
      </c>
      <c r="AC114" s="8">
        <f>(SUM(PSI_Coal!$AK$6:$AK$111)/88)*(PSI_Coal!$AS$6/(PSI_Coal!$AU$6*AC97))*AC94</f>
        <v>-50.953930620909368</v>
      </c>
      <c r="AD114" s="8">
        <f>(SUM(PSI_Coal!$AK$6:$AK$111)/88)*(PSI_Coal!$AS$6/(PSI_Coal!$AU$6*AD97))*AD94</f>
        <v>-50.00935394362223</v>
      </c>
      <c r="AE114" s="8">
        <f>(SUM(PSI_Coal!$AK$6:$AK$111)/88)*(PSI_Coal!$AS$6/(PSI_Coal!$AU$6*AE97))*AE94</f>
        <v>-49.082287693664291</v>
      </c>
      <c r="AF114" s="8">
        <f>(SUM(PSI_Coal!$AK$6:$AK$111)/88)*(PSI_Coal!$AS$6/(PSI_Coal!$AU$6*AF97))*AF94</f>
        <v>-48.172407265238469</v>
      </c>
      <c r="AG114" s="8">
        <f>(SUM(PSI_Coal!$AK$6:$AK$111)/88)*(PSI_Coal!$AS$6/(PSI_Coal!$AU$6*AG97))*AG94</f>
        <v>-47.279394070043516</v>
      </c>
      <c r="AH114" s="8">
        <f>(SUM(PSI_Coal!$AK$6:$AK$111)/88)*(PSI_Coal!$AS$6/(PSI_Coal!$AU$6*AH97))*AH94</f>
        <v>-46.402935425722461</v>
      </c>
      <c r="AI114" s="8">
        <f>(SUM(PSI_Coal!$AK$6:$AK$111)/88)*(PSI_Coal!$AS$6/(PSI_Coal!$AU$6*AI97))*AI94</f>
        <v>-45.542724446379253</v>
      </c>
      <c r="AJ114" s="8">
        <f>(SUM(PSI_Coal!$AK$6:$AK$111)/88)*(PSI_Coal!$AS$6/(PSI_Coal!$AU$6*AJ97))*AJ94</f>
        <v>-44.69845993512461</v>
      </c>
    </row>
    <row r="115" spans="1:36" x14ac:dyDescent="0.2">
      <c r="A115" s="75" t="s">
        <v>137</v>
      </c>
      <c r="G115" s="8">
        <f>(SUM(PSI_Coal!$AL$6:$AL$111)/88)*(PSI_Coal!$AS$7/(PSI_Coal!$AU$7*G97))*G94</f>
        <v>-14.543890777605176</v>
      </c>
      <c r="H115" s="8">
        <f>(SUM(PSI_Coal!$AL$6:$AL$111)/88)*(PSI_Coal!$AS$7/(PSI_Coal!$AU$7*H97))*H94</f>
        <v>-14.274278210760334</v>
      </c>
      <c r="I115" s="8">
        <f>(SUM(PSI_Coal!$AL$6:$AL$111)/88)*(PSI_Coal!$AS$7/(PSI_Coal!$AU$7*I97))*I94</f>
        <v>-14.009663683113686</v>
      </c>
      <c r="J115" s="8">
        <f>(SUM(PSI_Coal!$AL$6:$AL$111)/88)*(PSI_Coal!$AS$7/(PSI_Coal!$AU$7*J97))*J94</f>
        <v>-13.749954541729499</v>
      </c>
      <c r="K115" s="8">
        <f>(SUM(PSI_Coal!$AL$6:$AL$111)/88)*(PSI_Coal!$AS$7/(PSI_Coal!$AU$7*K97))*K94</f>
        <v>-13.495059851258922</v>
      </c>
      <c r="L115" s="8">
        <f>(SUM(PSI_Coal!$AL$6:$AL$111)/88)*(PSI_Coal!$AS$7/(PSI_Coal!$AU$7*L97))*L94</f>
        <v>-13.244890362099584</v>
      </c>
      <c r="M115" s="8">
        <f>(SUM(PSI_Coal!$AL$6:$AL$111)/88)*(PSI_Coal!$AS$7/(PSI_Coal!$AU$7*M97))*M94</f>
        <v>-12.999358479145489</v>
      </c>
      <c r="N115" s="8">
        <f>(SUM(PSI_Coal!$AL$6:$AL$111)/88)*(PSI_Coal!$AS$7/(PSI_Coal!$AU$7*N97))*N94</f>
        <v>-12.758378231116165</v>
      </c>
      <c r="O115" s="8">
        <f>(SUM(PSI_Coal!$AL$6:$AL$111)/88)*(PSI_Coal!$AS$7/(PSI_Coal!$AU$7*O97))*O94</f>
        <v>-12.521865240454458</v>
      </c>
      <c r="P115" s="8">
        <f>(SUM(PSI_Coal!$AL$6:$AL$111)/88)*(PSI_Coal!$AS$7/(PSI_Coal!$AU$7*P97))*P94</f>
        <v>-12.2897366937823</v>
      </c>
      <c r="Q115" s="8">
        <f>(SUM(PSI_Coal!$AL$6:$AL$111)/88)*(PSI_Coal!$AS$7/(PSI_Coal!$AU$7*Q97))*Q94</f>
        <v>-12.06191131290417</v>
      </c>
      <c r="R115" s="8">
        <f>(SUM(PSI_Coal!$AL$6:$AL$111)/88)*(PSI_Coal!$AS$7/(PSI_Coal!$AU$7*R97))*R94</f>
        <v>-11.838309326348105</v>
      </c>
      <c r="S115" s="8">
        <f>(SUM(PSI_Coal!$AL$6:$AL$111)/88)*(PSI_Coal!$AS$7/(PSI_Coal!$AU$7*S97))*S94</f>
        <v>-11.618852441434294</v>
      </c>
      <c r="T115" s="8">
        <f>(SUM(PSI_Coal!$AL$6:$AL$111)/88)*(PSI_Coal!$AS$7/(PSI_Coal!$AU$7*T97))*T94</f>
        <v>-11.403463816861416</v>
      </c>
      <c r="U115" s="8">
        <f>(SUM(PSI_Coal!$AL$6:$AL$111)/88)*(PSI_Coal!$AS$7/(PSI_Coal!$AU$7*U97))*U94</f>
        <v>-11.19206803580121</v>
      </c>
      <c r="V115" s="8">
        <f>(SUM(PSI_Coal!$AL$6:$AL$111)/88)*(PSI_Coal!$AS$7/(PSI_Coal!$AU$7*V97))*V94</f>
        <v>-10.984591079491761</v>
      </c>
      <c r="W115" s="8">
        <f>(SUM(PSI_Coal!$AL$6:$AL$111)/88)*(PSI_Coal!$AS$7/(PSI_Coal!$AU$7*W97))*W94</f>
        <v>-10.780960301320421</v>
      </c>
      <c r="X115" s="8">
        <f>(SUM(PSI_Coal!$AL$6:$AL$111)/88)*(PSI_Coal!$AS$7/(PSI_Coal!$AU$7*X97))*X94</f>
        <v>-10.581104401387025</v>
      </c>
      <c r="Y115" s="8">
        <f>(SUM(PSI_Coal!$AL$6:$AL$111)/88)*(PSI_Coal!$AS$7/(PSI_Coal!$AU$7*Y97))*Y94</f>
        <v>-10.384953401538764</v>
      </c>
      <c r="Z115" s="8">
        <f>(SUM(PSI_Coal!$AL$6:$AL$111)/88)*(PSI_Coal!$AS$7/(PSI_Coal!$AU$7*Z97))*Z94</f>
        <v>-10.192438620867811</v>
      </c>
      <c r="AA115" s="8">
        <f>(SUM(PSI_Coal!$AL$6:$AL$111)/88)*(PSI_Coal!$AS$7/(PSI_Coal!$AU$7*AA97))*AA94</f>
        <v>-10.003492651663201</v>
      </c>
      <c r="AB115" s="8">
        <f>(SUM(PSI_Coal!$AL$6:$AL$111)/88)*(PSI_Coal!$AS$7/(PSI_Coal!$AU$7*AB97))*AB94</f>
        <v>-9.818049335808448</v>
      </c>
      <c r="AC115" s="8">
        <f>(SUM(PSI_Coal!$AL$6:$AL$111)/88)*(PSI_Coal!$AS$7/(PSI_Coal!$AU$7*AC97))*AC94</f>
        <v>-9.6360437416167901</v>
      </c>
      <c r="AD115" s="8">
        <f>(SUM(PSI_Coal!$AL$6:$AL$111)/88)*(PSI_Coal!$AS$7/(PSI_Coal!$AU$7*AD97))*AD94</f>
        <v>-9.4574121410957748</v>
      </c>
      <c r="AE115" s="8">
        <f>(SUM(PSI_Coal!$AL$6:$AL$111)/88)*(PSI_Coal!$AS$7/(PSI_Coal!$AU$7*AE97))*AE94</f>
        <v>-9.2820919876333541</v>
      </c>
      <c r="AF115" s="8">
        <f>(SUM(PSI_Coal!$AL$6:$AL$111)/88)*(PSI_Coal!$AS$7/(PSI_Coal!$AU$7*AF97))*AF94</f>
        <v>-9.1100218940976365</v>
      </c>
      <c r="AG115" s="8">
        <f>(SUM(PSI_Coal!$AL$6:$AL$111)/88)*(PSI_Coal!$AS$7/(PSI_Coal!$AU$7*AG97))*AG94</f>
        <v>-8.9411416113426032</v>
      </c>
      <c r="AH115" s="8">
        <f>(SUM(PSI_Coal!$AL$6:$AL$111)/88)*(PSI_Coal!$AS$7/(PSI_Coal!$AU$7*AH97))*AH94</f>
        <v>-8.7753920071122646</v>
      </c>
      <c r="AI115" s="8">
        <f>(SUM(PSI_Coal!$AL$6:$AL$111)/88)*(PSI_Coal!$AS$7/(PSI_Coal!$AU$7*AI97))*AI94</f>
        <v>-8.6127150453359604</v>
      </c>
      <c r="AJ115" s="8">
        <f>(SUM(PSI_Coal!$AL$6:$AL$111)/88)*(PSI_Coal!$AS$7/(PSI_Coal!$AU$7*AJ97))*AJ94</f>
        <v>-8.4530537658073897</v>
      </c>
    </row>
    <row r="116" spans="1:36" x14ac:dyDescent="0.2">
      <c r="A116" s="75" t="s">
        <v>997</v>
      </c>
      <c r="G116" s="8">
        <f>(SUM(PSI_Coal!$AM$6:$AM$111)/88)*(PSI_Coal!$AS$8/(PSI_Coal!$AU$8*G97))*G94</f>
        <v>-17.379083254953073</v>
      </c>
      <c r="H116" s="8">
        <f>(SUM(PSI_Coal!$AM$6:$AM$111)/88)*(PSI_Coal!$AS$8/(PSI_Coal!$AU$8*H97))*H94</f>
        <v>-17.056912295515374</v>
      </c>
      <c r="I116" s="8">
        <f>(SUM(PSI_Coal!$AM$6:$AM$111)/88)*(PSI_Coal!$AS$8/(PSI_Coal!$AU$8*I97))*I94</f>
        <v>-16.740713695239695</v>
      </c>
      <c r="J116" s="8">
        <f>(SUM(PSI_Coal!$AM$6:$AM$111)/88)*(PSI_Coal!$AS$8/(PSI_Coal!$AU$8*J97))*J94</f>
        <v>-16.430376739386169</v>
      </c>
      <c r="K116" s="8">
        <f>(SUM(PSI_Coal!$AM$6:$AM$111)/88)*(PSI_Coal!$AS$8/(PSI_Coal!$AU$8*K97))*K94</f>
        <v>-16.125792765628972</v>
      </c>
      <c r="L116" s="8">
        <f>(SUM(PSI_Coal!$AM$6:$AM$111)/88)*(PSI_Coal!$AS$8/(PSI_Coal!$AU$8*L97))*L94</f>
        <v>-15.826855126008908</v>
      </c>
      <c r="M116" s="8">
        <f>(SUM(PSI_Coal!$AM$6:$AM$111)/88)*(PSI_Coal!$AS$8/(PSI_Coal!$AU$8*M97))*M94</f>
        <v>-15.533459149591435</v>
      </c>
      <c r="N116" s="8">
        <f>(SUM(PSI_Coal!$AM$6:$AM$111)/88)*(PSI_Coal!$AS$8/(PSI_Coal!$AU$8*N97))*N94</f>
        <v>-15.245502105816763</v>
      </c>
      <c r="O116" s="8">
        <f>(SUM(PSI_Coal!$AM$6:$AM$111)/88)*(PSI_Coal!$AS$8/(PSI_Coal!$AU$8*O97))*O94</f>
        <v>-14.962883168529576</v>
      </c>
      <c r="P116" s="8">
        <f>(SUM(PSI_Coal!$AM$6:$AM$111)/88)*(PSI_Coal!$AS$8/(PSI_Coal!$AU$8*P97))*P94</f>
        <v>-14.68550338067538</v>
      </c>
      <c r="Q116" s="8">
        <f>(SUM(PSI_Coal!$AM$6:$AM$111)/88)*(PSI_Coal!$AS$8/(PSI_Coal!$AU$8*Q97))*Q94</f>
        <v>-14.41326561965141</v>
      </c>
      <c r="R116" s="8">
        <f>(SUM(PSI_Coal!$AM$6:$AM$111)/88)*(PSI_Coal!$AS$8/(PSI_Coal!$AU$8*R97))*R94</f>
        <v>-14.146074563299804</v>
      </c>
      <c r="S116" s="8">
        <f>(SUM(PSI_Coal!$AM$6:$AM$111)/88)*(PSI_Coal!$AS$8/(PSI_Coal!$AU$8*S97))*S94</f>
        <v>-13.883836656531237</v>
      </c>
      <c r="T116" s="8">
        <f>(SUM(PSI_Coal!$AM$6:$AM$111)/88)*(PSI_Coal!$AS$8/(PSI_Coal!$AU$8*T97))*T94</f>
        <v>-13.626460078567261</v>
      </c>
      <c r="U116" s="8">
        <f>(SUM(PSI_Coal!$AM$6:$AM$111)/88)*(PSI_Coal!$AS$8/(PSI_Coal!$AU$8*U97))*U94</f>
        <v>-13.373854710789866</v>
      </c>
      <c r="V116" s="8">
        <f>(SUM(PSI_Coal!$AM$6:$AM$111)/88)*(PSI_Coal!$AS$8/(PSI_Coal!$AU$8*V97))*V94</f>
        <v>-13.125932105187085</v>
      </c>
      <c r="W116" s="8">
        <f>(SUM(PSI_Coal!$AM$6:$AM$111)/88)*(PSI_Coal!$AS$8/(PSI_Coal!$AU$8*W97))*W94</f>
        <v>-12.882605453383578</v>
      </c>
      <c r="X116" s="8">
        <f>(SUM(PSI_Coal!$AM$6:$AM$111)/88)*(PSI_Coal!$AS$8/(PSI_Coal!$AU$8*X97))*X94</f>
        <v>-12.643789556245217</v>
      </c>
      <c r="Y116" s="8">
        <f>(SUM(PSI_Coal!$AM$6:$AM$111)/88)*(PSI_Coal!$AS$8/(PSI_Coal!$AU$8*Y97))*Y94</f>
        <v>-12.409400794047261</v>
      </c>
      <c r="Z116" s="8">
        <f>(SUM(PSI_Coal!$AM$6:$AM$111)/88)*(PSI_Coal!$AS$8/(PSI_Coal!$AU$8*Z97))*Z94</f>
        <v>-12.179357097195432</v>
      </c>
      <c r="AA116" s="8">
        <f>(SUM(PSI_Coal!$AM$6:$AM$111)/88)*(PSI_Coal!$AS$8/(PSI_Coal!$AU$8*AA97))*AA94</f>
        <v>-11.953577917489886</v>
      </c>
      <c r="AB116" s="8">
        <f>(SUM(PSI_Coal!$AM$6:$AM$111)/88)*(PSI_Coal!$AS$8/(PSI_Coal!$AU$8*AB97))*AB94</f>
        <v>-11.731984199921758</v>
      </c>
      <c r="AC116" s="8">
        <f>(SUM(PSI_Coal!$AM$6:$AM$111)/88)*(PSI_Coal!$AS$8/(PSI_Coal!$AU$8*AC97))*AC94</f>
        <v>-11.514498354992659</v>
      </c>
      <c r="AD116" s="8">
        <f>(SUM(PSI_Coal!$AM$6:$AM$111)/88)*(PSI_Coal!$AS$8/(PSI_Coal!$AU$8*AD97))*AD94</f>
        <v>-11.301044231547195</v>
      </c>
      <c r="AE116" s="8">
        <f>(SUM(PSI_Coal!$AM$6:$AM$111)/88)*(PSI_Coal!$AS$8/(PSI_Coal!$AU$8*AE97))*AE94</f>
        <v>-11.091547090109211</v>
      </c>
      <c r="AF116" s="8">
        <f>(SUM(PSI_Coal!$AM$6:$AM$111)/88)*(PSI_Coal!$AS$8/(PSI_Coal!$AU$8*AF97))*AF94</f>
        <v>-10.885933576712269</v>
      </c>
      <c r="AG116" s="8">
        <f>(SUM(PSI_Coal!$AM$6:$AM$111)/88)*(PSI_Coal!$AS$8/(PSI_Coal!$AU$8*AG97))*AG94</f>
        <v>-10.684131697215275</v>
      </c>
      <c r="AH116" s="8">
        <f>(SUM(PSI_Coal!$AM$6:$AM$111)/88)*(PSI_Coal!$AS$8/(PSI_Coal!$AU$8*AH97))*AH94</f>
        <v>-10.4860707920942</v>
      </c>
      <c r="AI116" s="8">
        <f>(SUM(PSI_Coal!$AM$6:$AM$111)/88)*(PSI_Coal!$AS$8/(PSI_Coal!$AU$8*AI97))*AI94</f>
        <v>-10.291681511701187</v>
      </c>
      <c r="AJ116" s="8">
        <f>(SUM(PSI_Coal!$AM$6:$AM$111)/88)*(PSI_Coal!$AS$8/(PSI_Coal!$AU$8*AJ97))*AJ94</f>
        <v>-10.100895791982225</v>
      </c>
    </row>
    <row r="117" spans="1:36" x14ac:dyDescent="0.2">
      <c r="A117" s="75" t="s">
        <v>585</v>
      </c>
      <c r="G117" s="8" cm="1">
        <f t="array" ref="G117">SUM((PSI_Coal!$AN$6:$AN$111)/88)*(PSI_Coal!$AS$9/(PSI_Coal!$AU$9*G97))*G94</f>
        <v>-144.47263355154143</v>
      </c>
      <c r="H117" s="8" cm="1">
        <f t="array" ref="H117">SUM((PSI_Coal!$AN$6:$AN$111)/88)*(PSI_Coal!$AS$9/(PSI_Coal!$AU$9*H97))*H94</f>
        <v>-141.79442053644897</v>
      </c>
      <c r="I117" s="8" cm="1">
        <f t="array" ref="I117">SUM((PSI_Coal!$AN$6:$AN$111)/88)*(PSI_Coal!$AS$9/(PSI_Coal!$AU$9*I97))*I94</f>
        <v>-139.16585585113279</v>
      </c>
      <c r="J117" s="8" cm="1">
        <f t="array" ref="J117">SUM((PSI_Coal!$AN$6:$AN$111)/88)*(PSI_Coal!$AS$9/(PSI_Coal!$AU$9*J97))*J94</f>
        <v>-136.58601912195726</v>
      </c>
      <c r="K117" s="8" cm="1">
        <f t="array" ref="K117">SUM((PSI_Coal!$AN$6:$AN$111)/88)*(PSI_Coal!$AS$9/(PSI_Coal!$AU$9*K97))*K94</f>
        <v>-134.05400703704166</v>
      </c>
      <c r="L117" s="8" cm="1">
        <f t="array" ref="L117">SUM((PSI_Coal!$AN$6:$AN$111)/88)*(PSI_Coal!$AS$9/(PSI_Coal!$AU$9*L97))*L94</f>
        <v>-131.56893302997153</v>
      </c>
      <c r="M117" s="8" cm="1">
        <f t="array" ref="M117">SUM((PSI_Coal!$AN$6:$AN$111)/88)*(PSI_Coal!$AS$9/(PSI_Coal!$AU$9*M97))*M94</f>
        <v>-129.12992696937403</v>
      </c>
      <c r="N117" s="8" cm="1">
        <f t="array" ref="N117">SUM((PSI_Coal!$AN$6:$AN$111)/88)*(PSI_Coal!$AS$9/(PSI_Coal!$AU$9*N97))*N94</f>
        <v>-126.736134854247</v>
      </c>
      <c r="O117" s="8" cm="1">
        <f t="array" ref="O117">SUM((PSI_Coal!$AN$6:$AN$111)/88)*(PSI_Coal!$AS$9/(PSI_Coal!$AU$9*O97))*O94</f>
        <v>-124.38671851493686</v>
      </c>
      <c r="P117" s="8" cm="1">
        <f t="array" ref="P117">SUM((PSI_Coal!$AN$6:$AN$111)/88)*(PSI_Coal!$AS$9/(PSI_Coal!$AU$9*P97))*P94</f>
        <v>-122.08085531965912</v>
      </c>
      <c r="Q117" s="8" cm="1">
        <f t="array" ref="Q117">SUM((PSI_Coal!$AN$6:$AN$111)/88)*(PSI_Coal!$AS$9/(PSI_Coal!$AU$9*Q97))*Q94</f>
        <v>-119.81773788645975</v>
      </c>
      <c r="R117" s="8" cm="1">
        <f t="array" ref="R117">SUM((PSI_Coal!$AN$6:$AN$111)/88)*(PSI_Coal!$AS$9/(PSI_Coal!$AU$9*R97))*R94</f>
        <v>-117.59657380051557</v>
      </c>
      <c r="S117" s="8" cm="1">
        <f t="array" ref="S117">SUM((PSI_Coal!$AN$6:$AN$111)/88)*(PSI_Coal!$AS$9/(PSI_Coal!$AU$9*S97))*S94</f>
        <v>-115.41658533667643</v>
      </c>
      <c r="T117" s="8" cm="1">
        <f t="array" ref="T117">SUM((PSI_Coal!$AN$6:$AN$111)/88)*(PSI_Coal!$AS$9/(PSI_Coal!$AU$9*T97))*T94</f>
        <v>-113.27700918714957</v>
      </c>
      <c r="U117" s="8" cm="1">
        <f t="array" ref="U117">SUM((PSI_Coal!$AN$6:$AN$111)/88)*(PSI_Coal!$AS$9/(PSI_Coal!$AU$9*U97))*U94</f>
        <v>-111.17709619423293</v>
      </c>
      <c r="V117" s="8" cm="1">
        <f t="array" ref="V117">SUM((PSI_Coal!$AN$6:$AN$111)/88)*(PSI_Coal!$AS$9/(PSI_Coal!$AU$9*V97))*V94</f>
        <v>-109.11611108800265</v>
      </c>
      <c r="W117" s="8" cm="1">
        <f t="array" ref="W117">SUM((PSI_Coal!$AN$6:$AN$111)/88)*(PSI_Coal!$AS$9/(PSI_Coal!$AU$9*W97))*W94</f>
        <v>-107.0933322288639</v>
      </c>
      <c r="X117" s="8" cm="1">
        <f t="array" ref="X117">SUM((PSI_Coal!$AN$6:$AN$111)/88)*(PSI_Coal!$AS$9/(PSI_Coal!$AU$9*X97))*X94</f>
        <v>-105.10805135487307</v>
      </c>
      <c r="Y117" s="8" cm="1">
        <f t="array" ref="Y117">SUM((PSI_Coal!$AN$6:$AN$111)/88)*(PSI_Coal!$AS$9/(PSI_Coal!$AU$9*Y97))*Y94</f>
        <v>-103.15957333374533</v>
      </c>
      <c r="Z117" s="8" cm="1">
        <f t="array" ref="Z117">SUM((PSI_Coal!$AN$6:$AN$111)/88)*(PSI_Coal!$AS$9/(PSI_Coal!$AU$9*Z97))*Z94</f>
        <v>-101.24721591945857</v>
      </c>
      <c r="AA117" s="8" cm="1">
        <f t="array" ref="AA117">SUM((PSI_Coal!$AN$6:$AN$111)/88)*(PSI_Coal!$AS$9/(PSI_Coal!$AU$9*AA97))*AA94</f>
        <v>-99.370309513370088</v>
      </c>
      <c r="AB117" s="8" cm="1">
        <f t="array" ref="AB117">SUM((PSI_Coal!$AN$6:$AN$111)/88)*(PSI_Coal!$AS$9/(PSI_Coal!$AU$9*AB97))*AB94</f>
        <v>-97.528196929760711</v>
      </c>
      <c r="AC117" s="8" cm="1">
        <f t="array" ref="AC117">SUM((PSI_Coal!$AN$6:$AN$111)/88)*(PSI_Coal!$AS$9/(PSI_Coal!$AU$9*AC97))*AC94</f>
        <v>-95.720233165726484</v>
      </c>
      <c r="AD117" s="8" cm="1">
        <f t="array" ref="AD117">SUM((PSI_Coal!$AN$6:$AN$111)/88)*(PSI_Coal!$AS$9/(PSI_Coal!$AU$9*AD97))*AD94</f>
        <v>-93.945785175334777</v>
      </c>
      <c r="AE117" s="8" cm="1">
        <f t="array" ref="AE117">SUM((PSI_Coal!$AN$6:$AN$111)/88)*(PSI_Coal!$AS$9/(PSI_Coal!$AU$9*AE97))*AE94</f>
        <v>-92.20423164796793</v>
      </c>
      <c r="AF117" s="8" cm="1">
        <f t="array" ref="AF117">SUM((PSI_Coal!$AN$6:$AN$111)/88)*(PSI_Coal!$AS$9/(PSI_Coal!$AU$9*AF97))*AF94</f>
        <v>-90.494962790775745</v>
      </c>
      <c r="AG117" s="8" cm="1">
        <f t="array" ref="AG117">SUM((PSI_Coal!$AN$6:$AN$111)/88)*(PSI_Coal!$AS$9/(PSI_Coal!$AU$9*AG97))*AG94</f>
        <v>-88.81738011516066</v>
      </c>
      <c r="AH117" s="8" cm="1">
        <f t="array" ref="AH117">SUM((PSI_Coal!$AN$6:$AN$111)/88)*(PSI_Coal!$AS$9/(PSI_Coal!$AU$9*AH97))*AH94</f>
        <v>-87.170896227220894</v>
      </c>
      <c r="AI117" s="8" cm="1">
        <f t="array" ref="AI117">SUM((PSI_Coal!$AN$6:$AN$111)/88)*(PSI_Coal!$AS$9/(PSI_Coal!$AU$9*AI97))*AI94</f>
        <v>-85.55493462207906</v>
      </c>
      <c r="AJ117" s="8" cm="1">
        <f t="array" ref="AJ117">SUM((PSI_Coal!$AN$6:$AN$111)/88)*(PSI_Coal!$AS$9/(PSI_Coal!$AU$9*AJ97))*AJ94</f>
        <v>-83.968929482022617</v>
      </c>
    </row>
    <row r="118" spans="1:36" x14ac:dyDescent="0.2">
      <c r="A118" s="75" t="s">
        <v>995</v>
      </c>
      <c r="G118" s="8" cm="1">
        <f t="array" ref="G118">SUM((PSI_Coal!$AO$6:$AO$111)/88)*(PSI_Coal!$AS$10/(PSI_Coal!$AU$10*G97))*G94</f>
        <v>-5.9308220046527582</v>
      </c>
      <c r="H118" s="8" cm="1">
        <f t="array" ref="H118">SUM((PSI_Coal!$AO$6:$AO$111)/88)*(PSI_Coal!$AS$10/(PSI_Coal!$AU$10*H97))*H94</f>
        <v>-5.8208772746884421</v>
      </c>
      <c r="I118" s="8" cm="1">
        <f t="array" ref="I118">SUM((PSI_Coal!$AO$6:$AO$111)/88)*(PSI_Coal!$AS$10/(PSI_Coal!$AU$10*I97))*I94</f>
        <v>-5.7129706844014692</v>
      </c>
      <c r="J118" s="8" cm="1">
        <f t="array" ref="J118">SUM((PSI_Coal!$AO$6:$AO$111)/88)*(PSI_Coal!$AS$10/(PSI_Coal!$AU$10*J97))*J94</f>
        <v>-5.6070644510500349</v>
      </c>
      <c r="K118" s="8" cm="1">
        <f t="array" ref="K118">SUM((PSI_Coal!$AO$6:$AO$111)/88)*(PSI_Coal!$AS$10/(PSI_Coal!$AU$10*K97))*K94</f>
        <v>-5.5031214923034097</v>
      </c>
      <c r="L118" s="8" cm="1">
        <f t="array" ref="L118">SUM((PSI_Coal!$AO$6:$AO$111)/88)*(PSI_Coal!$AS$10/(PSI_Coal!$AU$10*L97))*L94</f>
        <v>-5.4011054132577954</v>
      </c>
      <c r="M118" s="8" cm="1">
        <f t="array" ref="M118">SUM((PSI_Coal!$AO$6:$AO$111)/88)*(PSI_Coal!$AS$10/(PSI_Coal!$AU$10*M97))*M94</f>
        <v>-5.3009804936929248</v>
      </c>
      <c r="N118" s="8" cm="1">
        <f t="array" ref="N118">SUM((PSI_Coal!$AO$6:$AO$111)/88)*(PSI_Coal!$AS$10/(PSI_Coal!$AU$10*N97))*N94</f>
        <v>-5.2027116755648564</v>
      </c>
      <c r="O118" s="8" cm="1">
        <f t="array" ref="O118">SUM((PSI_Coal!$AO$6:$AO$111)/88)*(PSI_Coal!$AS$10/(PSI_Coal!$AU$10*O97))*O94</f>
        <v>-5.1062645507306543</v>
      </c>
      <c r="P118" s="8" cm="1">
        <f t="array" ref="P118">SUM((PSI_Coal!$AO$6:$AO$111)/88)*(PSI_Coal!$AS$10/(PSI_Coal!$AU$10*P97))*P94</f>
        <v>-5.0116053489006198</v>
      </c>
      <c r="Q118" s="8" cm="1">
        <f t="array" ref="Q118">SUM((PSI_Coal!$AO$6:$AO$111)/88)*(PSI_Coal!$AS$10/(PSI_Coal!$AU$10*Q97))*Q94</f>
        <v>-4.918700925813849</v>
      </c>
      <c r="R118" s="8" cm="1">
        <f t="array" ref="R118">SUM((PSI_Coal!$AO$6:$AO$111)/88)*(PSI_Coal!$AS$10/(PSI_Coal!$AU$10*R97))*R94</f>
        <v>-4.8275187516330051</v>
      </c>
      <c r="S118" s="8" cm="1">
        <f t="array" ref="S118">SUM((PSI_Coal!$AO$6:$AO$111)/88)*(PSI_Coal!$AS$10/(PSI_Coal!$AU$10*S97))*S94</f>
        <v>-4.7380268995542245</v>
      </c>
      <c r="T118" s="8" cm="1">
        <f t="array" ref="T118">SUM((PSI_Coal!$AO$6:$AO$111)/88)*(PSI_Coal!$AS$10/(PSI_Coal!$AU$10*T97))*T94</f>
        <v>-4.6501940346281678</v>
      </c>
      <c r="U118" s="8" cm="1">
        <f t="array" ref="U118">SUM((PSI_Coal!$AO$6:$AO$111)/88)*(PSI_Coal!$AS$10/(PSI_Coal!$AU$10*U97))*U94</f>
        <v>-4.5639894027883026</v>
      </c>
      <c r="V118" s="8" cm="1">
        <f t="array" ref="V118">SUM((PSI_Coal!$AO$6:$AO$111)/88)*(PSI_Coal!$AS$10/(PSI_Coal!$AU$10*V97))*V94</f>
        <v>-4.4793828200825816</v>
      </c>
      <c r="W118" s="8" cm="1">
        <f t="array" ref="W118">SUM((PSI_Coal!$AO$6:$AO$111)/88)*(PSI_Coal!$AS$10/(PSI_Coal!$AU$10*W97))*W94</f>
        <v>-4.3963446621047479</v>
      </c>
      <c r="X118" s="8" cm="1">
        <f t="array" ref="X118">SUM((PSI_Coal!$AO$6:$AO$111)/88)*(PSI_Coal!$AS$10/(PSI_Coal!$AU$10*X97))*X94</f>
        <v>-4.314845853621545</v>
      </c>
      <c r="Y118" s="8" cm="1">
        <f t="array" ref="Y118">SUM((PSI_Coal!$AO$6:$AO$111)/88)*(PSI_Coal!$AS$10/(PSI_Coal!$AU$10*Y97))*Y94</f>
        <v>-4.2348578583922336</v>
      </c>
      <c r="Z118" s="8" cm="1">
        <f t="array" ref="Z118">SUM((PSI_Coal!$AO$6:$AO$111)/88)*(PSI_Coal!$AS$10/(PSI_Coal!$AU$10*Z97))*Z94</f>
        <v>-4.1563526691768207</v>
      </c>
      <c r="AA118" s="8" cm="1">
        <f t="array" ref="AA118">SUM((PSI_Coal!$AO$6:$AO$111)/88)*(PSI_Coal!$AS$10/(PSI_Coal!$AU$10*AA97))*AA94</f>
        <v>-4.0793027979295289</v>
      </c>
      <c r="AB118" s="8" cm="1">
        <f t="array" ref="AB118">SUM((PSI_Coal!$AO$6:$AO$111)/88)*(PSI_Coal!$AS$10/(PSI_Coal!$AU$10*AB97))*AB94</f>
        <v>-4.0036812661740324</v>
      </c>
      <c r="AC118" s="8" cm="1">
        <f t="array" ref="AC118">SUM((PSI_Coal!$AO$6:$AO$111)/88)*(PSI_Coal!$AS$10/(PSI_Coal!$AU$10*AC97))*AC94</f>
        <v>-3.9294615955571501</v>
      </c>
      <c r="AD118" s="8" cm="1">
        <f t="array" ref="AD118">SUM((PSI_Coal!$AO$6:$AO$111)/88)*(PSI_Coal!$AS$10/(PSI_Coal!$AU$10*AD97))*AD94</f>
        <v>-3.856617798577616</v>
      </c>
      <c r="AE118" s="8" cm="1">
        <f t="array" ref="AE118">SUM((PSI_Coal!$AO$6:$AO$111)/88)*(PSI_Coal!$AS$10/(PSI_Coal!$AU$10*AE97))*AE94</f>
        <v>-3.7851243694867498</v>
      </c>
      <c r="AF118" s="8" cm="1">
        <f t="array" ref="AF118">SUM((PSI_Coal!$AO$6:$AO$111)/88)*(PSI_Coal!$AS$10/(PSI_Coal!$AU$10*AF97))*AF94</f>
        <v>-3.7149562753577912</v>
      </c>
      <c r="AG118" s="8" cm="1">
        <f t="array" ref="AG118">SUM((PSI_Coal!$AO$6:$AO$111)/88)*(PSI_Coal!$AS$10/(PSI_Coal!$AU$10*AG97))*AG94</f>
        <v>-3.6460889473207985</v>
      </c>
      <c r="AH118" s="8" cm="1">
        <f t="array" ref="AH118">SUM((PSI_Coal!$AO$6:$AO$111)/88)*(PSI_Coal!$AS$10/(PSI_Coal!$AU$10*AH97))*AH94</f>
        <v>-3.5784982719600174</v>
      </c>
      <c r="AI118" s="8" cm="1">
        <f t="array" ref="AI118">SUM((PSI_Coal!$AO$6:$AO$111)/88)*(PSI_Coal!$AS$10/(PSI_Coal!$AU$10*AI97))*AI94</f>
        <v>-3.5121605828707545</v>
      </c>
      <c r="AJ118" s="8" cm="1">
        <f t="array" ref="AJ118">SUM((PSI_Coal!$AO$6:$AO$111)/88)*(PSI_Coal!$AS$10/(PSI_Coal!$AU$10*AJ97))*AJ94</f>
        <v>-3.4470526523727369</v>
      </c>
    </row>
    <row r="119" spans="1:36" x14ac:dyDescent="0.2">
      <c r="A119" s="75" t="s">
        <v>998</v>
      </c>
      <c r="G119" s="8">
        <f>(SUM(PSI_Coal!$AP$6:$AP$111)/88)*(PSI_Coal!$AS$11/(PSI_Coal!$AU$11*G97))*G94</f>
        <v>-26.486349551704514</v>
      </c>
      <c r="H119" s="8">
        <f>(SUM(PSI_Coal!$AP$6:$AP$111)/88)*(PSI_Coal!$AS$11/(PSI_Coal!$AU$11*H97))*H94</f>
        <v>-25.995349392381211</v>
      </c>
      <c r="I119" s="8">
        <f>(SUM(PSI_Coal!$AP$6:$AP$111)/88)*(PSI_Coal!$AS$11/(PSI_Coal!$AU$11*I97))*I94</f>
        <v>-25.513451323777705</v>
      </c>
      <c r="J119" s="8">
        <f>(SUM(PSI_Coal!$AP$6:$AP$111)/88)*(PSI_Coal!$AS$11/(PSI_Coal!$AU$11*J97))*J94</f>
        <v>-25.040486612638194</v>
      </c>
      <c r="K119" s="8">
        <f>(SUM(PSI_Coal!$AP$6:$AP$111)/88)*(PSI_Coal!$AS$11/(PSI_Coal!$AU$11*K97))*K94</f>
        <v>-24.57628965365987</v>
      </c>
      <c r="L119" s="8">
        <f>(SUM(PSI_Coal!$AP$6:$AP$111)/88)*(PSI_Coal!$AS$11/(PSI_Coal!$AU$11*L97))*L94</f>
        <v>-24.120697911507314</v>
      </c>
      <c r="M119" s="8">
        <f>(SUM(PSI_Coal!$AP$6:$AP$111)/88)*(PSI_Coal!$AS$11/(PSI_Coal!$AU$11*M97))*M94</f>
        <v>-23.673551863901945</v>
      </c>
      <c r="N119" s="8">
        <f>(SUM(PSI_Coal!$AP$6:$AP$111)/88)*(PSI_Coal!$AS$11/(PSI_Coal!$AU$11*N97))*N94</f>
        <v>-23.234694945766307</v>
      </c>
      <c r="O119" s="8">
        <f>(SUM(PSI_Coal!$AP$6:$AP$111)/88)*(PSI_Coal!$AS$11/(PSI_Coal!$AU$11*O97))*O94</f>
        <v>-22.803973494404001</v>
      </c>
      <c r="P119" s="8">
        <f>(SUM(PSI_Coal!$AP$6:$AP$111)/88)*(PSI_Coal!$AS$11/(PSI_Coal!$AU$11*P97))*P94</f>
        <v>-22.381236695695701</v>
      </c>
      <c r="Q119" s="8">
        <f>(SUM(PSI_Coal!$AP$6:$AP$111)/88)*(PSI_Coal!$AS$11/(PSI_Coal!$AU$11*Q97))*Q94</f>
        <v>-21.966336531292658</v>
      </c>
      <c r="R119" s="8">
        <f>(SUM(PSI_Coal!$AP$6:$AP$111)/88)*(PSI_Coal!$AS$11/(PSI_Coal!$AU$11*R97))*R94</f>
        <v>-21.559127726789061</v>
      </c>
      <c r="S119" s="8">
        <f>(SUM(PSI_Coal!$AP$6:$AP$111)/88)*(PSI_Coal!$AS$11/(PSI_Coal!$AU$11*S97))*S94</f>
        <v>-21.159467700855306</v>
      </c>
      <c r="T119" s="8">
        <f>(SUM(PSI_Coal!$AP$6:$AP$111)/88)*(PSI_Coal!$AS$11/(PSI_Coal!$AU$11*T97))*T94</f>
        <v>-20.76721651531405</v>
      </c>
      <c r="U119" s="8">
        <f>(SUM(PSI_Coal!$AP$6:$AP$111)/88)*(PSI_Coal!$AS$11/(PSI_Coal!$AU$11*U97))*U94</f>
        <v>-20.382236826141895</v>
      </c>
      <c r="V119" s="8">
        <f>(SUM(PSI_Coal!$AP$6:$AP$111)/88)*(PSI_Coal!$AS$11/(PSI_Coal!$AU$11*V97))*V94</f>
        <v>-20.004393835379236</v>
      </c>
      <c r="W119" s="8">
        <f>(SUM(PSI_Coal!$AP$6:$AP$111)/88)*(PSI_Coal!$AS$11/(PSI_Coal!$AU$11*W97))*W94</f>
        <v>-19.633555243931855</v>
      </c>
      <c r="X119" s="8">
        <f>(SUM(PSI_Coal!$AP$6:$AP$111)/88)*(PSI_Coal!$AS$11/(PSI_Coal!$AU$11*X97))*X94</f>
        <v>-19.269591205247146</v>
      </c>
      <c r="Y119" s="8">
        <f>(SUM(PSI_Coal!$AP$6:$AP$111)/88)*(PSI_Coal!$AS$11/(PSI_Coal!$AU$11*Y97))*Y94</f>
        <v>-18.912374279849363</v>
      </c>
      <c r="Z119" s="8">
        <f>(SUM(PSI_Coal!$AP$6:$AP$111)/88)*(PSI_Coal!$AS$11/(PSI_Coal!$AU$11*Z97))*Z94</f>
        <v>-18.561779390717486</v>
      </c>
      <c r="AA119" s="8">
        <f>(SUM(PSI_Coal!$AP$6:$AP$111)/88)*(PSI_Coal!$AS$11/(PSI_Coal!$AU$11*AA97))*AA94</f>
        <v>-18.217683779490478</v>
      </c>
      <c r="AB119" s="8">
        <f>(SUM(PSI_Coal!$AP$6:$AP$111)/88)*(PSI_Coal!$AS$11/(PSI_Coal!$AU$11*AB97))*AB94</f>
        <v>-17.879966963484183</v>
      </c>
      <c r="AC119" s="8">
        <f>(SUM(PSI_Coal!$AP$6:$AP$111)/88)*(PSI_Coal!$AS$11/(PSI_Coal!$AU$11*AC97))*AC94</f>
        <v>-17.548510693505261</v>
      </c>
      <c r="AD119" s="8">
        <f>(SUM(PSI_Coal!$AP$6:$AP$111)/88)*(PSI_Coal!$AS$11/(PSI_Coal!$AU$11*AD97))*AD94</f>
        <v>-17.223198912446961</v>
      </c>
      <c r="AE119" s="8">
        <f>(SUM(PSI_Coal!$AP$6:$AP$111)/88)*(PSI_Coal!$AS$11/(PSI_Coal!$AU$11*AE97))*AE94</f>
        <v>-16.9039177146526</v>
      </c>
      <c r="AF119" s="8">
        <f>(SUM(PSI_Coal!$AP$6:$AP$111)/88)*(PSI_Coal!$AS$11/(PSI_Coal!$AU$11*AF97))*AF94</f>
        <v>-16.590555306032261</v>
      </c>
      <c r="AG119" s="8">
        <f>(SUM(PSI_Coal!$AP$6:$AP$111)/88)*(PSI_Coal!$AS$11/(PSI_Coal!$AU$11*AG97))*AG94</f>
        <v>-16.283001964918881</v>
      </c>
      <c r="AH119" s="8">
        <f>(SUM(PSI_Coal!$AP$6:$AP$111)/88)*(PSI_Coal!$AS$11/(PSI_Coal!$AU$11*AH97))*AH94</f>
        <v>-15.981150003649942</v>
      </c>
      <c r="AI119" s="8">
        <f>(SUM(PSI_Coal!$AP$6:$AP$111)/88)*(PSI_Coal!$AS$11/(PSI_Coal!$AU$11*AI97))*AI94</f>
        <v>-15.684893730861431</v>
      </c>
      <c r="AJ119" s="8">
        <f>(SUM(PSI_Coal!$AP$6:$AP$111)/88)*(PSI_Coal!$AS$11/(PSI_Coal!$AU$11*AJ97))*AJ94</f>
        <v>-15.394129414480716</v>
      </c>
    </row>
    <row r="120" spans="1:36" x14ac:dyDescent="0.2">
      <c r="A120" s="75" t="s">
        <v>996</v>
      </c>
      <c r="G120" s="8">
        <f>(SUM(PSI_Coal!$AQ$6:$AQ$111)/88)*(PSI_Coal!$AS$12/(PSI_Coal!$AU$12*G97))*G94</f>
        <v>-13120.344389166263</v>
      </c>
      <c r="H120" s="8">
        <f>(SUM(PSI_Coal!$AQ$6:$AQ$111)/88)*(PSI_Coal!$AS$12/(PSI_Coal!$AU$12*H97))*H94</f>
        <v>-12877.121321643066</v>
      </c>
      <c r="I120" s="8">
        <f>(SUM(PSI_Coal!$AQ$6:$AQ$111)/88)*(PSI_Coal!$AS$12/(PSI_Coal!$AU$12*I97))*I94</f>
        <v>-12638.407088554455</v>
      </c>
      <c r="J120" s="8">
        <f>(SUM(PSI_Coal!$AQ$6:$AQ$111)/88)*(PSI_Coal!$AS$12/(PSI_Coal!$AU$12*J97))*J94</f>
        <v>-12404.118105772621</v>
      </c>
      <c r="K120" s="8">
        <f>(SUM(PSI_Coal!$AQ$6:$AQ$111)/88)*(PSI_Coal!$AS$12/(PSI_Coal!$AU$12*K97))*K94</f>
        <v>-12174.172338640383</v>
      </c>
      <c r="L120" s="8">
        <f>(SUM(PSI_Coal!$AQ$6:$AQ$111)/88)*(PSI_Coal!$AS$12/(PSI_Coal!$AU$12*L97))*L94</f>
        <v>-11948.489273247285</v>
      </c>
      <c r="M120" s="8">
        <f>(SUM(PSI_Coal!$AQ$6:$AQ$111)/88)*(PSI_Coal!$AS$12/(PSI_Coal!$AU$12*M97))*M94</f>
        <v>-11726.989888238246</v>
      </c>
      <c r="N120" s="8">
        <f>(SUM(PSI_Coal!$AQ$6:$AQ$111)/88)*(PSI_Coal!$AS$12/(PSI_Coal!$AU$12*N97))*N94</f>
        <v>-11509.596627144734</v>
      </c>
      <c r="O120" s="8">
        <f>(SUM(PSI_Coal!$AQ$6:$AQ$111)/88)*(PSI_Coal!$AS$12/(PSI_Coal!$AU$12*O97))*O94</f>
        <v>-11296.233371228962</v>
      </c>
      <c r="P120" s="8">
        <f>(SUM(PSI_Coal!$AQ$6:$AQ$111)/88)*(PSI_Coal!$AS$12/(PSI_Coal!$AU$12*P97))*P94</f>
        <v>-11086.8254128314</v>
      </c>
      <c r="Q120" s="8">
        <f>(SUM(PSI_Coal!$AQ$6:$AQ$111)/88)*(PSI_Coal!$AS$12/(PSI_Coal!$AU$12*Q97))*Q94</f>
        <v>-10881.299429212442</v>
      </c>
      <c r="R120" s="8">
        <f>(SUM(PSI_Coal!$AQ$6:$AQ$111)/88)*(PSI_Coal!$AS$12/(PSI_Coal!$AU$12*R97))*R94</f>
        <v>-10679.583456878912</v>
      </c>
      <c r="S120" s="8">
        <f>(SUM(PSI_Coal!$AQ$6:$AQ$111)/88)*(PSI_Coal!$AS$12/(PSI_Coal!$AU$12*S97))*S94</f>
        <v>-10481.606866386599</v>
      </c>
      <c r="T120" s="8">
        <f>(SUM(PSI_Coal!$AQ$6:$AQ$111)/88)*(PSI_Coal!$AS$12/(PSI_Coal!$AU$12*T97))*T94</f>
        <v>-10287.300337609828</v>
      </c>
      <c r="U120" s="8">
        <f>(SUM(PSI_Coal!$AQ$6:$AQ$111)/88)*(PSI_Coal!$AS$12/(PSI_Coal!$AU$12*U97))*U94</f>
        <v>-10096.595835469483</v>
      </c>
      <c r="V120" s="8">
        <f>(SUM(PSI_Coal!$AQ$6:$AQ$111)/88)*(PSI_Coal!$AS$12/(PSI_Coal!$AU$12*V97))*V94</f>
        <v>-9909.4265861110125</v>
      </c>
      <c r="W120" s="8">
        <f>(SUM(PSI_Coal!$AQ$6:$AQ$111)/88)*(PSI_Coal!$AS$12/(PSI_Coal!$AU$12*W97))*W94</f>
        <v>-9725.7270535240514</v>
      </c>
      <c r="X120" s="8">
        <f>(SUM(PSI_Coal!$AQ$6:$AQ$111)/88)*(PSI_Coal!$AS$12/(PSI_Coal!$AU$12*X97))*X94</f>
        <v>-9545.4329165953968</v>
      </c>
      <c r="Y120" s="8">
        <f>(SUM(PSI_Coal!$AQ$6:$AQ$111)/88)*(PSI_Coal!$AS$12/(PSI_Coal!$AU$12*Y97))*Y94</f>
        <v>-9368.481046587458</v>
      </c>
      <c r="Z120" s="8">
        <f>(SUM(PSI_Coal!$AQ$6:$AQ$111)/88)*(PSI_Coal!$AS$12/(PSI_Coal!$AU$12*Z97))*Z94</f>
        <v>-9194.8094850341313</v>
      </c>
      <c r="AA120" s="8">
        <f>(SUM(PSI_Coal!$AQ$6:$AQ$111)/88)*(PSI_Coal!$AS$12/(PSI_Coal!$AU$12*AA97))*AA94</f>
        <v>-9024.3574220465198</v>
      </c>
      <c r="AB120" s="8">
        <f>(SUM(PSI_Coal!$AQ$6:$AQ$111)/88)*(PSI_Coal!$AS$12/(PSI_Coal!$AU$12*AB97))*AB94</f>
        <v>-8857.0651750207253</v>
      </c>
      <c r="AC120" s="8">
        <f>(SUM(PSI_Coal!$AQ$6:$AQ$111)/88)*(PSI_Coal!$AS$12/(PSI_Coal!$AU$12*AC97))*AC94</f>
        <v>-8692.874167740445</v>
      </c>
      <c r="AD120" s="8">
        <f>(SUM(PSI_Coal!$AQ$6:$AQ$111)/88)*(PSI_Coal!$AS$12/(PSI_Coal!$AU$12*AD97))*AD94</f>
        <v>-8531.7269098668785</v>
      </c>
      <c r="AE120" s="8">
        <f>(SUM(PSI_Coal!$AQ$6:$AQ$111)/88)*(PSI_Coal!$AS$12/(PSI_Coal!$AU$12*AE97))*AE94</f>
        <v>-8373.5669768089138</v>
      </c>
      <c r="AF120" s="8">
        <f>(SUM(PSI_Coal!$AQ$6:$AQ$111)/88)*(PSI_Coal!$AS$12/(PSI_Coal!$AU$12*AF97))*AF94</f>
        <v>-8218.3389899664253</v>
      </c>
      <c r="AG120" s="8">
        <f>(SUM(PSI_Coal!$AQ$6:$AQ$111)/88)*(PSI_Coal!$AS$12/(PSI_Coal!$AU$12*AG97))*AG94</f>
        <v>-8065.9885973398741</v>
      </c>
      <c r="AH120" s="8">
        <f>(SUM(PSI_Coal!$AQ$6:$AQ$111)/88)*(PSI_Coal!$AS$12/(PSI_Coal!$AU$12*AH97))*AH94</f>
        <v>-7916.4624544992912</v>
      </c>
      <c r="AI120" s="8">
        <f>(SUM(PSI_Coal!$AQ$6:$AQ$111)/88)*(PSI_Coal!$AS$12/(PSI_Coal!$AU$12*AI97))*AI94</f>
        <v>-7769.7082059061368</v>
      </c>
      <c r="AJ120" s="8">
        <f>(SUM(PSI_Coal!$AQ$6:$AQ$111)/88)*(PSI_Coal!$AS$12/(PSI_Coal!$AU$12*AJ97))*AJ94</f>
        <v>-7625.6744665813458</v>
      </c>
    </row>
    <row r="121" spans="1:36" x14ac:dyDescent="0.2">
      <c r="A121" s="22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115"/>
    </row>
    <row r="122" spans="1:36" x14ac:dyDescent="0.2">
      <c r="A122" s="118" t="s">
        <v>959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119"/>
    </row>
    <row r="123" spans="1:36" x14ac:dyDescent="0.2">
      <c r="A123" s="22" t="s">
        <v>562</v>
      </c>
      <c r="B123" t="s">
        <v>530</v>
      </c>
      <c r="G123" s="8">
        <f>C21*C18*G94</f>
        <v>252945349.52784118</v>
      </c>
      <c r="H123" s="8">
        <f t="shared" ref="H123:AJ123" si="3">$C$21*H94</f>
        <v>500881880.25315082</v>
      </c>
      <c r="I123" s="8">
        <f t="shared" si="3"/>
        <v>495922653.71599102</v>
      </c>
      <c r="J123" s="8">
        <f t="shared" si="3"/>
        <v>491012528.43167418</v>
      </c>
      <c r="K123" s="8">
        <f t="shared" si="3"/>
        <v>486151018.2491824</v>
      </c>
      <c r="L123" s="8">
        <f t="shared" si="3"/>
        <v>481337641.83087355</v>
      </c>
      <c r="M123" s="8">
        <f t="shared" si="3"/>
        <v>476571922.6048255</v>
      </c>
      <c r="N123" s="8">
        <f t="shared" si="3"/>
        <v>471853388.71764886</v>
      </c>
      <c r="O123" s="8">
        <f t="shared" si="3"/>
        <v>467181572.98777109</v>
      </c>
      <c r="P123" s="8">
        <f t="shared" si="3"/>
        <v>462556012.85917932</v>
      </c>
      <c r="Q123" s="8">
        <f t="shared" si="3"/>
        <v>457976250.35562319</v>
      </c>
      <c r="R123" s="8">
        <f t="shared" si="3"/>
        <v>453441832.03527045</v>
      </c>
      <c r="S123" s="8">
        <f t="shared" si="3"/>
        <v>448952308.94581228</v>
      </c>
      <c r="T123" s="8">
        <f t="shared" si="3"/>
        <v>444507236.58001214</v>
      </c>
      <c r="U123" s="8">
        <f t="shared" si="3"/>
        <v>440106174.83169532</v>
      </c>
      <c r="V123" s="8">
        <f t="shared" si="3"/>
        <v>435748687.95217341</v>
      </c>
      <c r="W123" s="8">
        <f t="shared" si="3"/>
        <v>431434344.50710237</v>
      </c>
      <c r="X123" s="8">
        <f t="shared" si="3"/>
        <v>427162717.33376473</v>
      </c>
      <c r="Y123" s="8">
        <f t="shared" si="3"/>
        <v>422933383.49877703</v>
      </c>
      <c r="Z123" s="8">
        <f t="shared" si="3"/>
        <v>418745924.25621486</v>
      </c>
      <c r="AA123" s="8">
        <f t="shared" si="3"/>
        <v>414599925.0061534</v>
      </c>
      <c r="AB123" s="8">
        <f t="shared" si="3"/>
        <v>410494975.25361711</v>
      </c>
      <c r="AC123" s="8">
        <f t="shared" si="3"/>
        <v>406430668.56793779</v>
      </c>
      <c r="AD123" s="8">
        <f t="shared" si="3"/>
        <v>402406602.5425126</v>
      </c>
      <c r="AE123" s="8">
        <f t="shared" si="3"/>
        <v>398422378.75496286</v>
      </c>
      <c r="AF123" s="8">
        <f t="shared" si="3"/>
        <v>394477602.72768605</v>
      </c>
      <c r="AG123" s="8">
        <f t="shared" si="3"/>
        <v>390571883.88879818</v>
      </c>
      <c r="AH123" s="8">
        <f t="shared" si="3"/>
        <v>386704835.53346354</v>
      </c>
      <c r="AI123" s="8">
        <f t="shared" si="3"/>
        <v>382876074.78560746</v>
      </c>
      <c r="AJ123" s="115">
        <f t="shared" si="3"/>
        <v>379085222.56000727</v>
      </c>
    </row>
    <row r="124" spans="1:36" x14ac:dyDescent="0.2">
      <c r="A124" s="22" t="s">
        <v>561</v>
      </c>
      <c r="B124" t="s">
        <v>530</v>
      </c>
      <c r="G124" s="8">
        <f t="shared" ref="G124:AJ124" si="4">$C$22*G97</f>
        <v>2505189850191974</v>
      </c>
      <c r="H124" s="8">
        <f t="shared" si="4"/>
        <v>2527235520873663</v>
      </c>
      <c r="I124" s="8">
        <f t="shared" si="4"/>
        <v>2549475193457351</v>
      </c>
      <c r="J124" s="8">
        <f t="shared" si="4"/>
        <v>2571910575159775.5</v>
      </c>
      <c r="K124" s="8">
        <f t="shared" si="4"/>
        <v>2594543388221181.5</v>
      </c>
      <c r="L124" s="8">
        <f t="shared" si="4"/>
        <v>2617375370037528</v>
      </c>
      <c r="M124" s="8">
        <f t="shared" si="4"/>
        <v>2640408273293858</v>
      </c>
      <c r="N124" s="8">
        <f t="shared" si="4"/>
        <v>2663643866098843.5</v>
      </c>
      <c r="O124" s="8">
        <f t="shared" si="4"/>
        <v>2687083932120513.5</v>
      </c>
      <c r="P124" s="8">
        <f t="shared" si="4"/>
        <v>2710730270723174</v>
      </c>
      <c r="Q124" s="8">
        <f t="shared" si="4"/>
        <v>2734584697105537.5</v>
      </c>
      <c r="R124" s="8">
        <f t="shared" si="4"/>
        <v>2758649042440066.5</v>
      </c>
      <c r="S124" s="8">
        <f t="shared" si="4"/>
        <v>2782925154013539</v>
      </c>
      <c r="T124" s="8">
        <f t="shared" si="4"/>
        <v>2807414895368857.5</v>
      </c>
      <c r="U124" s="8">
        <f t="shared" si="4"/>
        <v>2832120146448103.5</v>
      </c>
      <c r="V124" s="8">
        <f t="shared" si="4"/>
        <v>2857042803736847</v>
      </c>
      <c r="W124" s="8">
        <f t="shared" si="4"/>
        <v>2882184780409731</v>
      </c>
      <c r="X124" s="8">
        <f t="shared" si="4"/>
        <v>2907548006477336.5</v>
      </c>
      <c r="Y124" s="8">
        <f t="shared" si="4"/>
        <v>2933134428934336.5</v>
      </c>
      <c r="Z124" s="8">
        <f t="shared" si="4"/>
        <v>2958946011908959</v>
      </c>
      <c r="AA124" s="8">
        <f t="shared" si="4"/>
        <v>2984984736813757</v>
      </c>
      <c r="AB124" s="8">
        <f t="shared" si="4"/>
        <v>3011252602497718</v>
      </c>
      <c r="AC124" s="8">
        <f t="shared" si="4"/>
        <v>3037751625399698</v>
      </c>
      <c r="AD124" s="8">
        <f t="shared" si="4"/>
        <v>3064483839703215</v>
      </c>
      <c r="AE124" s="8">
        <f t="shared" si="4"/>
        <v>3091451297492603</v>
      </c>
      <c r="AF124" s="8">
        <f t="shared" si="4"/>
        <v>3118656068910538.5</v>
      </c>
      <c r="AG124" s="8">
        <f t="shared" si="4"/>
        <v>3146100242316950.5</v>
      </c>
      <c r="AH124" s="8">
        <f t="shared" si="4"/>
        <v>3173785924449339.5</v>
      </c>
      <c r="AI124" s="8">
        <f t="shared" si="4"/>
        <v>3201715240584494</v>
      </c>
      <c r="AJ124" s="115">
        <f t="shared" si="4"/>
        <v>3229890334701637</v>
      </c>
    </row>
    <row r="125" spans="1:36" x14ac:dyDescent="0.2">
      <c r="A125" s="22" t="s">
        <v>966</v>
      </c>
      <c r="B125" t="s">
        <v>530</v>
      </c>
      <c r="G125" s="8">
        <f t="shared" ref="G125:AJ125" si="5">$C$23*G97</f>
        <v>813093337165823.75</v>
      </c>
      <c r="H125" s="8">
        <f t="shared" si="5"/>
        <v>820248558532883</v>
      </c>
      <c r="I125" s="8">
        <f t="shared" si="5"/>
        <v>827466745847972.38</v>
      </c>
      <c r="J125" s="8">
        <f t="shared" si="5"/>
        <v>834748453211434.38</v>
      </c>
      <c r="K125" s="8">
        <f t="shared" si="5"/>
        <v>842094239599695</v>
      </c>
      <c r="L125" s="8">
        <f t="shared" si="5"/>
        <v>849504668908172.38</v>
      </c>
      <c r="M125" s="8">
        <f t="shared" si="5"/>
        <v>856980309994564.25</v>
      </c>
      <c r="N125" s="8">
        <f t="shared" si="5"/>
        <v>864521736722516.25</v>
      </c>
      <c r="O125" s="8">
        <f t="shared" si="5"/>
        <v>872129528005674.38</v>
      </c>
      <c r="P125" s="8">
        <f t="shared" si="5"/>
        <v>879804267852124.38</v>
      </c>
      <c r="Q125" s="8">
        <f t="shared" si="5"/>
        <v>887546545409222.88</v>
      </c>
      <c r="R125" s="8">
        <f t="shared" si="5"/>
        <v>895356955008824.12</v>
      </c>
      <c r="S125" s="8">
        <f t="shared" si="5"/>
        <v>903236096212901.75</v>
      </c>
      <c r="T125" s="8">
        <f t="shared" si="5"/>
        <v>911184573859575.12</v>
      </c>
      <c r="U125" s="8">
        <f t="shared" si="5"/>
        <v>919202998109539.38</v>
      </c>
      <c r="V125" s="8">
        <f t="shared" si="5"/>
        <v>927291984492903.5</v>
      </c>
      <c r="W125" s="8">
        <f t="shared" si="5"/>
        <v>935452153956440.75</v>
      </c>
      <c r="X125" s="8">
        <f t="shared" si="5"/>
        <v>943684132911257.5</v>
      </c>
      <c r="Y125" s="8">
        <f t="shared" si="5"/>
        <v>951988553280876.38</v>
      </c>
      <c r="Z125" s="8">
        <f t="shared" si="5"/>
        <v>960366052549748.12</v>
      </c>
      <c r="AA125" s="8">
        <f t="shared" si="5"/>
        <v>968817273812185.62</v>
      </c>
      <c r="AB125" s="8">
        <f t="shared" si="5"/>
        <v>977342865821733</v>
      </c>
      <c r="AC125" s="8">
        <f t="shared" si="5"/>
        <v>985943483040964.25</v>
      </c>
      <c r="AD125" s="8">
        <f t="shared" si="5"/>
        <v>994619785691724.62</v>
      </c>
      <c r="AE125" s="8">
        <f t="shared" si="5"/>
        <v>1003372439805811.6</v>
      </c>
      <c r="AF125" s="8">
        <f t="shared" si="5"/>
        <v>1012202117276103</v>
      </c>
      <c r="AG125" s="8">
        <f t="shared" si="5"/>
        <v>1021109495908132.5</v>
      </c>
      <c r="AH125" s="8">
        <f t="shared" si="5"/>
        <v>1030095259472124</v>
      </c>
      <c r="AI125" s="8">
        <f t="shared" si="5"/>
        <v>1039160097755478.8</v>
      </c>
      <c r="AJ125" s="8">
        <f t="shared" si="5"/>
        <v>1048304706615726.9</v>
      </c>
    </row>
    <row r="126" spans="1:36" x14ac:dyDescent="0.2">
      <c r="A126" s="108" t="s">
        <v>552</v>
      </c>
      <c r="B126" t="s">
        <v>537</v>
      </c>
      <c r="C126" t="s">
        <v>312</v>
      </c>
      <c r="G126" s="36">
        <f>(G123/G124)*G99*(G124/G124)</f>
        <v>8.0774828145965181</v>
      </c>
      <c r="H126" s="36">
        <f t="shared" ref="H126:AJ126" si="6">(H123/H124)*H99</f>
        <v>15.855487187201179</v>
      </c>
      <c r="I126" s="36">
        <f t="shared" si="6"/>
        <v>15.561560433728914</v>
      </c>
      <c r="J126" s="36">
        <f t="shared" si="6"/>
        <v>15.273082452368575</v>
      </c>
      <c r="K126" s="36">
        <f t="shared" si="6"/>
        <v>14.989952234562164</v>
      </c>
      <c r="L126" s="36">
        <f t="shared" si="6"/>
        <v>14.712070644233872</v>
      </c>
      <c r="M126" s="36">
        <f t="shared" si="6"/>
        <v>14.439340383078296</v>
      </c>
      <c r="N126" s="36">
        <f t="shared" si="6"/>
        <v>14.171665956492074</v>
      </c>
      <c r="O126" s="36">
        <f t="shared" si="6"/>
        <v>13.90895364013716</v>
      </c>
      <c r="P126" s="36">
        <f t="shared" si="6"/>
        <v>13.651111447123885</v>
      </c>
      <c r="Q126" s="36">
        <f t="shared" si="6"/>
        <v>13.398049095802374</v>
      </c>
      <c r="R126" s="36">
        <f t="shared" si="6"/>
        <v>13.149677978151054</v>
      </c>
      <c r="S126" s="36">
        <f t="shared" si="6"/>
        <v>12.905911128751201</v>
      </c>
      <c r="T126" s="36">
        <f t="shared" si="6"/>
        <v>12.666663194336573</v>
      </c>
      <c r="U126" s="36">
        <f t="shared" si="6"/>
        <v>12.431850403907573</v>
      </c>
      <c r="V126" s="36">
        <f t="shared" si="6"/>
        <v>12.201390539399389</v>
      </c>
      <c r="W126" s="36">
        <f t="shared" si="6"/>
        <v>11.975202906893976</v>
      </c>
      <c r="X126" s="36">
        <f t="shared" si="6"/>
        <v>11.753208308365569</v>
      </c>
      <c r="Y126" s="36">
        <f t="shared" si="6"/>
        <v>11.535329013950085</v>
      </c>
      <c r="Z126" s="36">
        <f t="shared" si="6"/>
        <v>11.321488734728531</v>
      </c>
      <c r="AA126" s="36">
        <f t="shared" si="6"/>
        <v>11.111612596015004</v>
      </c>
      <c r="AB126" s="36">
        <f t="shared" si="6"/>
        <v>10.905627111139792</v>
      </c>
      <c r="AC126" s="36">
        <f t="shared" si="6"/>
        <v>10.703460155718581</v>
      </c>
      <c r="AD126" s="36">
        <f t="shared" si="6"/>
        <v>10.505040942398555</v>
      </c>
      <c r="AE126" s="36">
        <f t="shared" si="6"/>
        <v>10.310299996072732</v>
      </c>
      <c r="AF126" s="36">
        <f t="shared" si="6"/>
        <v>10.119169129553722</v>
      </c>
      <c r="AG126" s="36">
        <f t="shared" si="6"/>
        <v>9.9315814196984604</v>
      </c>
      <c r="AH126" s="36">
        <f t="shared" si="6"/>
        <v>9.7474711839755326</v>
      </c>
      <c r="AI126" s="36">
        <f t="shared" si="6"/>
        <v>9.5667739574668982</v>
      </c>
      <c r="AJ126" s="54">
        <f t="shared" si="6"/>
        <v>9.3894264702959447</v>
      </c>
    </row>
    <row r="127" spans="1:36" x14ac:dyDescent="0.2">
      <c r="A127" s="22"/>
      <c r="AJ127" s="29"/>
    </row>
    <row r="128" spans="1:36" x14ac:dyDescent="0.2">
      <c r="A128" s="120" t="s">
        <v>554</v>
      </c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8"/>
    </row>
    <row r="129" spans="1:38" x14ac:dyDescent="0.2">
      <c r="A129" s="22" t="s">
        <v>556</v>
      </c>
      <c r="B129" t="s">
        <v>560</v>
      </c>
      <c r="G129" s="8">
        <f>$C$26*G94*C18</f>
        <v>-59189211.78951484</v>
      </c>
      <c r="H129" s="8">
        <f t="shared" ref="H129:AJ129" si="7">$C$26*H94</f>
        <v>-117206359.9792373</v>
      </c>
      <c r="I129" s="8">
        <f t="shared" si="7"/>
        <v>-116045900.96954189</v>
      </c>
      <c r="J129" s="8">
        <f t="shared" si="7"/>
        <v>-114896931.65301177</v>
      </c>
      <c r="K129" s="8">
        <f t="shared" si="7"/>
        <v>-113759338.27030869</v>
      </c>
      <c r="L129" s="8">
        <f t="shared" si="7"/>
        <v>-112633008.18842442</v>
      </c>
      <c r="M129" s="8">
        <f t="shared" si="7"/>
        <v>-111517829.88952917</v>
      </c>
      <c r="N129" s="8">
        <f t="shared" si="7"/>
        <v>-110413692.95992984</v>
      </c>
      <c r="O129" s="8">
        <f t="shared" si="7"/>
        <v>-109320488.07913844</v>
      </c>
      <c r="P129" s="8">
        <f t="shared" si="7"/>
        <v>-108238107.00904797</v>
      </c>
      <c r="Q129" s="8">
        <f t="shared" si="7"/>
        <v>-107166442.58321583</v>
      </c>
      <c r="R129" s="8">
        <f t="shared" si="7"/>
        <v>-106105388.69625328</v>
      </c>
      <c r="S129" s="8">
        <f t="shared" si="7"/>
        <v>-105054840.29332007</v>
      </c>
      <c r="T129" s="8">
        <f t="shared" si="7"/>
        <v>-104014693.35972285</v>
      </c>
      <c r="U129" s="8">
        <f t="shared" si="7"/>
        <v>-102984844.91061671</v>
      </c>
      <c r="V129" s="8">
        <f t="shared" si="7"/>
        <v>-101965192.98080859</v>
      </c>
      <c r="W129" s="8">
        <f t="shared" si="7"/>
        <v>-100955636.61466196</v>
      </c>
      <c r="X129" s="8">
        <f t="shared" si="7"/>
        <v>-99956075.856100947</v>
      </c>
      <c r="Y129" s="8">
        <f t="shared" si="7"/>
        <v>-98966411.738713831</v>
      </c>
      <c r="Z129" s="8">
        <f t="shared" si="7"/>
        <v>-97986546.275954276</v>
      </c>
      <c r="AA129" s="8">
        <f t="shared" si="7"/>
        <v>-97016382.451439902</v>
      </c>
      <c r="AB129" s="8">
        <f t="shared" si="7"/>
        <v>-96055824.209346399</v>
      </c>
      <c r="AC129" s="8">
        <f t="shared" si="7"/>
        <v>-95104776.444897443</v>
      </c>
      <c r="AD129" s="8">
        <f t="shared" si="7"/>
        <v>-94163144.994947955</v>
      </c>
      <c r="AE129" s="8">
        <f t="shared" si="7"/>
        <v>-93230836.62866132</v>
      </c>
      <c r="AF129" s="8">
        <f t="shared" si="7"/>
        <v>-92307759.038278535</v>
      </c>
      <c r="AG129" s="8">
        <f t="shared" si="7"/>
        <v>-91393820.829978779</v>
      </c>
      <c r="AH129" s="8">
        <f t="shared" si="7"/>
        <v>-90488931.51483047</v>
      </c>
      <c r="AI129" s="8">
        <f t="shared" si="7"/>
        <v>-89593001.499832153</v>
      </c>
      <c r="AJ129" s="115">
        <f t="shared" si="7"/>
        <v>-88705942.079041705</v>
      </c>
    </row>
    <row r="130" spans="1:38" x14ac:dyDescent="0.2">
      <c r="A130" s="22" t="s">
        <v>557</v>
      </c>
      <c r="B130" t="s">
        <v>560</v>
      </c>
      <c r="G130" s="8">
        <f>$C$28</f>
        <v>2900000000000</v>
      </c>
      <c r="H130" s="8">
        <f>$C$28</f>
        <v>2900000000000</v>
      </c>
      <c r="I130" s="8">
        <f t="shared" ref="I130:L130" si="8">$C$28</f>
        <v>2900000000000</v>
      </c>
      <c r="J130" s="8">
        <f t="shared" si="8"/>
        <v>2900000000000</v>
      </c>
      <c r="K130" s="8">
        <f t="shared" si="8"/>
        <v>2900000000000</v>
      </c>
      <c r="L130" s="8">
        <f t="shared" si="8"/>
        <v>2900000000000</v>
      </c>
      <c r="M130" s="8">
        <f t="shared" ref="M130:AA130" si="9">$C$29</f>
        <v>3900000000000</v>
      </c>
      <c r="N130" s="8">
        <f t="shared" si="9"/>
        <v>3900000000000</v>
      </c>
      <c r="O130" s="8">
        <f t="shared" si="9"/>
        <v>3900000000000</v>
      </c>
      <c r="P130" s="8">
        <f t="shared" si="9"/>
        <v>3900000000000</v>
      </c>
      <c r="Q130" s="8">
        <f t="shared" si="9"/>
        <v>3900000000000</v>
      </c>
      <c r="R130" s="8">
        <f t="shared" si="9"/>
        <v>3900000000000</v>
      </c>
      <c r="S130" s="8">
        <f t="shared" si="9"/>
        <v>3900000000000</v>
      </c>
      <c r="T130" s="8">
        <f t="shared" si="9"/>
        <v>3900000000000</v>
      </c>
      <c r="U130" s="8">
        <f t="shared" si="9"/>
        <v>3900000000000</v>
      </c>
      <c r="V130" s="8">
        <f t="shared" si="9"/>
        <v>3900000000000</v>
      </c>
      <c r="W130" s="8">
        <f t="shared" si="9"/>
        <v>3900000000000</v>
      </c>
      <c r="X130" s="8">
        <f t="shared" si="9"/>
        <v>3900000000000</v>
      </c>
      <c r="Y130" s="8">
        <f t="shared" si="9"/>
        <v>3900000000000</v>
      </c>
      <c r="Z130" s="8">
        <f t="shared" si="9"/>
        <v>3900000000000</v>
      </c>
      <c r="AA130" s="8">
        <f t="shared" si="9"/>
        <v>3900000000000</v>
      </c>
      <c r="AB130" s="8">
        <f>$C$30</f>
        <v>8750000000000</v>
      </c>
      <c r="AC130" s="8">
        <f t="shared" ref="AC130:AJ130" si="10">$C$30</f>
        <v>8750000000000</v>
      </c>
      <c r="AD130" s="8">
        <f t="shared" si="10"/>
        <v>8750000000000</v>
      </c>
      <c r="AE130" s="8">
        <f t="shared" si="10"/>
        <v>8750000000000</v>
      </c>
      <c r="AF130" s="8">
        <f t="shared" si="10"/>
        <v>8750000000000</v>
      </c>
      <c r="AG130" s="8">
        <f t="shared" si="10"/>
        <v>8750000000000</v>
      </c>
      <c r="AH130" s="8">
        <f t="shared" si="10"/>
        <v>8750000000000</v>
      </c>
      <c r="AI130" s="8">
        <f t="shared" si="10"/>
        <v>8750000000000</v>
      </c>
      <c r="AJ130" s="115">
        <f t="shared" si="10"/>
        <v>8750000000000</v>
      </c>
    </row>
    <row r="131" spans="1:38" x14ac:dyDescent="0.2">
      <c r="A131" s="108" t="s">
        <v>558</v>
      </c>
      <c r="B131" t="s">
        <v>537</v>
      </c>
      <c r="C131" t="s">
        <v>312</v>
      </c>
      <c r="G131" s="36">
        <f t="shared" ref="G131:AJ131" si="11">G129/G130*G99</f>
        <v>-1632.805842469375</v>
      </c>
      <c r="H131" s="36">
        <f t="shared" si="11"/>
        <v>-3233.27889597896</v>
      </c>
      <c r="I131" s="36">
        <f t="shared" si="11"/>
        <v>-3201.2662336425351</v>
      </c>
      <c r="J131" s="36">
        <f t="shared" si="11"/>
        <v>-3169.5705283589455</v>
      </c>
      <c r="K131" s="36">
        <f t="shared" si="11"/>
        <v>-3138.1886419395501</v>
      </c>
      <c r="L131" s="36">
        <f t="shared" si="11"/>
        <v>-3107.1174672668803</v>
      </c>
      <c r="M131" s="36">
        <f t="shared" si="11"/>
        <v>-2287.5452285031624</v>
      </c>
      <c r="N131" s="36">
        <f t="shared" si="11"/>
        <v>-2264.8962658447149</v>
      </c>
      <c r="O131" s="36">
        <f t="shared" si="11"/>
        <v>-2242.4715503413013</v>
      </c>
      <c r="P131" s="36">
        <f t="shared" si="11"/>
        <v>-2220.268861724061</v>
      </c>
      <c r="Q131" s="36">
        <f t="shared" si="11"/>
        <v>-2198.2860017069916</v>
      </c>
      <c r="R131" s="36">
        <f t="shared" si="11"/>
        <v>-2176.5207937692981</v>
      </c>
      <c r="S131" s="36">
        <f t="shared" si="11"/>
        <v>-2154.9710829398991</v>
      </c>
      <c r="T131" s="36">
        <f t="shared" si="11"/>
        <v>-2133.6347355840585</v>
      </c>
      <c r="U131" s="36">
        <f t="shared" si="11"/>
        <v>-2112.5096391921379</v>
      </c>
      <c r="V131" s="36">
        <f t="shared" si="11"/>
        <v>-2091.5937021704326</v>
      </c>
      <c r="W131" s="36">
        <f t="shared" si="11"/>
        <v>-2070.8848536340915</v>
      </c>
      <c r="X131" s="36">
        <f t="shared" si="11"/>
        <v>-2050.3810432020705</v>
      </c>
      <c r="Y131" s="36">
        <f t="shared" si="11"/>
        <v>-2030.0802407941298</v>
      </c>
      <c r="Z131" s="36">
        <f t="shared" si="11"/>
        <v>-2009.9804364298313</v>
      </c>
      <c r="AA131" s="36">
        <f t="shared" si="11"/>
        <v>-1990.0796400295364</v>
      </c>
      <c r="AB131" s="36">
        <f t="shared" si="11"/>
        <v>-878.22467848545273</v>
      </c>
      <c r="AC131" s="36">
        <f t="shared" si="11"/>
        <v>-869.52938463906241</v>
      </c>
      <c r="AD131" s="36">
        <f t="shared" si="11"/>
        <v>-860.92018281095272</v>
      </c>
      <c r="AE131" s="36">
        <f t="shared" si="11"/>
        <v>-852.39622060490342</v>
      </c>
      <c r="AF131" s="36">
        <f t="shared" si="11"/>
        <v>-843.95665406426087</v>
      </c>
      <c r="AG131" s="36">
        <f t="shared" si="11"/>
        <v>-835.60064758837746</v>
      </c>
      <c r="AH131" s="36">
        <f t="shared" si="11"/>
        <v>-827.32737384987865</v>
      </c>
      <c r="AI131" s="36">
        <f t="shared" si="11"/>
        <v>-819.13601371275115</v>
      </c>
      <c r="AJ131" s="54">
        <f t="shared" si="11"/>
        <v>-811.0257561512384</v>
      </c>
    </row>
    <row r="132" spans="1:38" x14ac:dyDescent="0.2">
      <c r="A132" s="22"/>
      <c r="AJ132" s="29"/>
    </row>
    <row r="133" spans="1:38" x14ac:dyDescent="0.2">
      <c r="A133" s="171" t="s">
        <v>709</v>
      </c>
      <c r="B133" s="210"/>
      <c r="C133" s="210"/>
      <c r="D133" s="210"/>
      <c r="E133" s="210"/>
      <c r="F133" s="210"/>
      <c r="G133" s="211"/>
      <c r="H133" s="211"/>
      <c r="I133" s="211"/>
      <c r="J133" s="211"/>
      <c r="K133" s="211"/>
      <c r="L133" s="211"/>
      <c r="M133" s="211"/>
      <c r="N133" s="211"/>
      <c r="O133" s="211"/>
      <c r="P133" s="211"/>
      <c r="Q133" s="211"/>
      <c r="R133" s="211"/>
      <c r="S133" s="211"/>
      <c r="T133" s="211"/>
      <c r="U133" s="211"/>
      <c r="V133" s="211"/>
      <c r="W133" s="211"/>
      <c r="X133" s="211"/>
      <c r="Y133" s="211"/>
      <c r="Z133" s="211"/>
      <c r="AA133" s="211"/>
      <c r="AB133" s="211"/>
      <c r="AC133" s="211"/>
      <c r="AD133" s="211"/>
      <c r="AE133" s="211"/>
      <c r="AF133" s="211"/>
      <c r="AG133" s="211"/>
      <c r="AH133" s="211"/>
      <c r="AI133" s="211"/>
      <c r="AJ133" s="172"/>
    </row>
    <row r="134" spans="1:38" x14ac:dyDescent="0.2">
      <c r="A134" s="173" t="s">
        <v>712</v>
      </c>
      <c r="B134" t="s">
        <v>713</v>
      </c>
      <c r="G134" s="17">
        <f t="shared" ref="G134:AJ134" si="12">$C$33*G$94*C18</f>
        <v>0</v>
      </c>
      <c r="H134" s="17">
        <f t="shared" si="12"/>
        <v>0</v>
      </c>
      <c r="I134" s="17">
        <f t="shared" si="12"/>
        <v>0</v>
      </c>
      <c r="J134" s="17">
        <f t="shared" si="12"/>
        <v>0</v>
      </c>
      <c r="K134" s="17">
        <f t="shared" si="12"/>
        <v>0</v>
      </c>
      <c r="L134" s="17">
        <f t="shared" si="12"/>
        <v>0</v>
      </c>
      <c r="M134" s="17">
        <f t="shared" si="12"/>
        <v>0</v>
      </c>
      <c r="N134" s="17">
        <f t="shared" si="12"/>
        <v>0</v>
      </c>
      <c r="O134" s="17">
        <f t="shared" si="12"/>
        <v>0</v>
      </c>
      <c r="P134" s="17">
        <f t="shared" si="12"/>
        <v>0</v>
      </c>
      <c r="Q134" s="17">
        <f t="shared" si="12"/>
        <v>0</v>
      </c>
      <c r="R134" s="17">
        <f t="shared" si="12"/>
        <v>0</v>
      </c>
      <c r="S134" s="17">
        <f t="shared" si="12"/>
        <v>0</v>
      </c>
      <c r="T134" s="17">
        <f t="shared" si="12"/>
        <v>0</v>
      </c>
      <c r="U134" s="17">
        <f t="shared" si="12"/>
        <v>0</v>
      </c>
      <c r="V134" s="17">
        <f t="shared" si="12"/>
        <v>0</v>
      </c>
      <c r="W134" s="17">
        <f t="shared" si="12"/>
        <v>0</v>
      </c>
      <c r="X134" s="17">
        <f t="shared" si="12"/>
        <v>0</v>
      </c>
      <c r="Y134" s="17">
        <f t="shared" si="12"/>
        <v>0</v>
      </c>
      <c r="Z134" s="17">
        <f t="shared" si="12"/>
        <v>0</v>
      </c>
      <c r="AA134" s="17">
        <f t="shared" si="12"/>
        <v>0</v>
      </c>
      <c r="AB134" s="17">
        <f t="shared" si="12"/>
        <v>0</v>
      </c>
      <c r="AC134" s="17">
        <f t="shared" si="12"/>
        <v>0</v>
      </c>
      <c r="AD134" s="17">
        <f t="shared" si="12"/>
        <v>0</v>
      </c>
      <c r="AE134" s="17">
        <f t="shared" si="12"/>
        <v>0</v>
      </c>
      <c r="AF134" s="17">
        <f t="shared" si="12"/>
        <v>0</v>
      </c>
      <c r="AG134" s="17">
        <f t="shared" si="12"/>
        <v>0</v>
      </c>
      <c r="AH134" s="17">
        <f t="shared" si="12"/>
        <v>0</v>
      </c>
      <c r="AI134" s="17">
        <f t="shared" si="12"/>
        <v>0</v>
      </c>
      <c r="AJ134" s="122">
        <f t="shared" si="12"/>
        <v>0</v>
      </c>
    </row>
    <row r="135" spans="1:38" x14ac:dyDescent="0.2">
      <c r="A135" s="173" t="s">
        <v>699</v>
      </c>
      <c r="B135" t="s">
        <v>713</v>
      </c>
      <c r="G135" s="8">
        <f>$C$37/30</f>
        <v>95333333333333.328</v>
      </c>
      <c r="H135" s="8">
        <f t="shared" ref="H135:AJ135" si="13">$C$37/30</f>
        <v>95333333333333.328</v>
      </c>
      <c r="I135" s="8">
        <f t="shared" si="13"/>
        <v>95333333333333.328</v>
      </c>
      <c r="J135" s="8">
        <f t="shared" si="13"/>
        <v>95333333333333.328</v>
      </c>
      <c r="K135" s="8">
        <f t="shared" si="13"/>
        <v>95333333333333.328</v>
      </c>
      <c r="L135" s="8">
        <f t="shared" si="13"/>
        <v>95333333333333.328</v>
      </c>
      <c r="M135" s="8">
        <f t="shared" si="13"/>
        <v>95333333333333.328</v>
      </c>
      <c r="N135" s="8">
        <f t="shared" si="13"/>
        <v>95333333333333.328</v>
      </c>
      <c r="O135" s="8">
        <f t="shared" si="13"/>
        <v>95333333333333.328</v>
      </c>
      <c r="P135" s="8">
        <f t="shared" si="13"/>
        <v>95333333333333.328</v>
      </c>
      <c r="Q135" s="8">
        <f t="shared" si="13"/>
        <v>95333333333333.328</v>
      </c>
      <c r="R135" s="8">
        <f t="shared" si="13"/>
        <v>95333333333333.328</v>
      </c>
      <c r="S135" s="8">
        <f t="shared" si="13"/>
        <v>95333333333333.328</v>
      </c>
      <c r="T135" s="8">
        <f t="shared" si="13"/>
        <v>95333333333333.328</v>
      </c>
      <c r="U135" s="8">
        <f t="shared" si="13"/>
        <v>95333333333333.328</v>
      </c>
      <c r="V135" s="8">
        <f t="shared" si="13"/>
        <v>95333333333333.328</v>
      </c>
      <c r="W135" s="8">
        <f t="shared" si="13"/>
        <v>95333333333333.328</v>
      </c>
      <c r="X135" s="8">
        <f t="shared" si="13"/>
        <v>95333333333333.328</v>
      </c>
      <c r="Y135" s="8">
        <f t="shared" si="13"/>
        <v>95333333333333.328</v>
      </c>
      <c r="Z135" s="8">
        <f t="shared" si="13"/>
        <v>95333333333333.328</v>
      </c>
      <c r="AA135" s="8">
        <f t="shared" si="13"/>
        <v>95333333333333.328</v>
      </c>
      <c r="AB135" s="8">
        <f t="shared" si="13"/>
        <v>95333333333333.328</v>
      </c>
      <c r="AC135" s="8">
        <f t="shared" si="13"/>
        <v>95333333333333.328</v>
      </c>
      <c r="AD135" s="8">
        <f t="shared" si="13"/>
        <v>95333333333333.328</v>
      </c>
      <c r="AE135" s="8">
        <f t="shared" si="13"/>
        <v>95333333333333.328</v>
      </c>
      <c r="AF135" s="8">
        <f t="shared" si="13"/>
        <v>95333333333333.328</v>
      </c>
      <c r="AG135" s="8">
        <f t="shared" si="13"/>
        <v>95333333333333.328</v>
      </c>
      <c r="AH135" s="8">
        <f t="shared" si="13"/>
        <v>95333333333333.328</v>
      </c>
      <c r="AI135" s="8">
        <f t="shared" si="13"/>
        <v>95333333333333.328</v>
      </c>
      <c r="AJ135" s="115">
        <f t="shared" si="13"/>
        <v>95333333333333.328</v>
      </c>
    </row>
    <row r="136" spans="1:38" x14ac:dyDescent="0.2">
      <c r="A136" s="108" t="s">
        <v>716</v>
      </c>
      <c r="B136" t="s">
        <v>537</v>
      </c>
      <c r="C136" t="s">
        <v>312</v>
      </c>
      <c r="G136" s="17">
        <f t="shared" ref="G136:AJ136" si="14">G134/G135*G99*-1</f>
        <v>0</v>
      </c>
      <c r="H136" s="17">
        <f t="shared" si="14"/>
        <v>0</v>
      </c>
      <c r="I136" s="17">
        <f t="shared" si="14"/>
        <v>0</v>
      </c>
      <c r="J136" s="17">
        <f t="shared" si="14"/>
        <v>0</v>
      </c>
      <c r="K136" s="17">
        <f t="shared" si="14"/>
        <v>0</v>
      </c>
      <c r="L136" s="17">
        <f t="shared" si="14"/>
        <v>0</v>
      </c>
      <c r="M136" s="17">
        <f t="shared" si="14"/>
        <v>0</v>
      </c>
      <c r="N136" s="17">
        <f t="shared" si="14"/>
        <v>0</v>
      </c>
      <c r="O136" s="17">
        <f t="shared" si="14"/>
        <v>0</v>
      </c>
      <c r="P136" s="17">
        <f t="shared" si="14"/>
        <v>0</v>
      </c>
      <c r="Q136" s="17">
        <f t="shared" si="14"/>
        <v>0</v>
      </c>
      <c r="R136" s="17">
        <f t="shared" si="14"/>
        <v>0</v>
      </c>
      <c r="S136" s="17">
        <f t="shared" si="14"/>
        <v>0</v>
      </c>
      <c r="T136" s="17">
        <f t="shared" si="14"/>
        <v>0</v>
      </c>
      <c r="U136" s="17">
        <f t="shared" si="14"/>
        <v>0</v>
      </c>
      <c r="V136" s="17">
        <f t="shared" si="14"/>
        <v>0</v>
      </c>
      <c r="W136" s="17">
        <f t="shared" si="14"/>
        <v>0</v>
      </c>
      <c r="X136" s="17">
        <f t="shared" si="14"/>
        <v>0</v>
      </c>
      <c r="Y136" s="17">
        <f t="shared" si="14"/>
        <v>0</v>
      </c>
      <c r="Z136" s="17">
        <f t="shared" si="14"/>
        <v>0</v>
      </c>
      <c r="AA136" s="17">
        <f t="shared" si="14"/>
        <v>0</v>
      </c>
      <c r="AB136" s="17">
        <f t="shared" si="14"/>
        <v>0</v>
      </c>
      <c r="AC136" s="17">
        <f t="shared" si="14"/>
        <v>0</v>
      </c>
      <c r="AD136" s="17">
        <f t="shared" si="14"/>
        <v>0</v>
      </c>
      <c r="AE136" s="17">
        <f t="shared" si="14"/>
        <v>0</v>
      </c>
      <c r="AF136" s="17">
        <f t="shared" si="14"/>
        <v>0</v>
      </c>
      <c r="AG136" s="17">
        <f t="shared" si="14"/>
        <v>0</v>
      </c>
      <c r="AH136" s="17">
        <f t="shared" si="14"/>
        <v>0</v>
      </c>
      <c r="AI136" s="17">
        <f t="shared" si="14"/>
        <v>0</v>
      </c>
      <c r="AJ136" s="122">
        <f t="shared" si="14"/>
        <v>0</v>
      </c>
    </row>
    <row r="137" spans="1:38" x14ac:dyDescent="0.2">
      <c r="A137" s="22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7"/>
      <c r="AA137" s="17"/>
      <c r="AB137" s="17"/>
      <c r="AC137" s="17"/>
      <c r="AD137" s="17"/>
      <c r="AE137" s="17"/>
      <c r="AF137" s="17"/>
      <c r="AG137" s="17"/>
      <c r="AH137" s="17"/>
      <c r="AI137" s="17"/>
      <c r="AJ137" s="122"/>
    </row>
    <row r="138" spans="1:38" x14ac:dyDescent="0.2">
      <c r="A138" s="173" t="s">
        <v>714</v>
      </c>
      <c r="B138" t="s">
        <v>726</v>
      </c>
      <c r="C138" s="47"/>
      <c r="D138" s="47"/>
      <c r="G138" s="17">
        <f>$C$34*$G$94*C18</f>
        <v>258.00425651839799</v>
      </c>
      <c r="H138" s="17">
        <f t="shared" ref="H138:AJ138" si="15">$C$34*$G$94</f>
        <v>516.00851303679599</v>
      </c>
      <c r="I138" s="17">
        <f t="shared" si="15"/>
        <v>516.00851303679599</v>
      </c>
      <c r="J138" s="17">
        <f t="shared" si="15"/>
        <v>516.00851303679599</v>
      </c>
      <c r="K138" s="17">
        <f t="shared" si="15"/>
        <v>516.00851303679599</v>
      </c>
      <c r="L138" s="17">
        <f t="shared" si="15"/>
        <v>516.00851303679599</v>
      </c>
      <c r="M138" s="17">
        <f t="shared" si="15"/>
        <v>516.00851303679599</v>
      </c>
      <c r="N138" s="17">
        <f t="shared" si="15"/>
        <v>516.00851303679599</v>
      </c>
      <c r="O138" s="17">
        <f t="shared" si="15"/>
        <v>516.00851303679599</v>
      </c>
      <c r="P138" s="17">
        <f t="shared" si="15"/>
        <v>516.00851303679599</v>
      </c>
      <c r="Q138" s="17">
        <f t="shared" si="15"/>
        <v>516.00851303679599</v>
      </c>
      <c r="R138" s="17">
        <f t="shared" si="15"/>
        <v>516.00851303679599</v>
      </c>
      <c r="S138" s="17">
        <f t="shared" si="15"/>
        <v>516.00851303679599</v>
      </c>
      <c r="T138" s="17">
        <f t="shared" si="15"/>
        <v>516.00851303679599</v>
      </c>
      <c r="U138" s="17">
        <f t="shared" si="15"/>
        <v>516.00851303679599</v>
      </c>
      <c r="V138" s="17">
        <f t="shared" si="15"/>
        <v>516.00851303679599</v>
      </c>
      <c r="W138" s="17">
        <f t="shared" si="15"/>
        <v>516.00851303679599</v>
      </c>
      <c r="X138" s="17">
        <f t="shared" si="15"/>
        <v>516.00851303679599</v>
      </c>
      <c r="Y138" s="17">
        <f t="shared" si="15"/>
        <v>516.00851303679599</v>
      </c>
      <c r="Z138" s="17">
        <f t="shared" si="15"/>
        <v>516.00851303679599</v>
      </c>
      <c r="AA138" s="17">
        <f t="shared" si="15"/>
        <v>516.00851303679599</v>
      </c>
      <c r="AB138" s="17">
        <f t="shared" si="15"/>
        <v>516.00851303679599</v>
      </c>
      <c r="AC138" s="17">
        <f t="shared" si="15"/>
        <v>516.00851303679599</v>
      </c>
      <c r="AD138" s="17">
        <f t="shared" si="15"/>
        <v>516.00851303679599</v>
      </c>
      <c r="AE138" s="17">
        <f t="shared" si="15"/>
        <v>516.00851303679599</v>
      </c>
      <c r="AF138" s="17">
        <f t="shared" si="15"/>
        <v>516.00851303679599</v>
      </c>
      <c r="AG138" s="17">
        <f t="shared" si="15"/>
        <v>516.00851303679599</v>
      </c>
      <c r="AH138" s="17">
        <f t="shared" si="15"/>
        <v>516.00851303679599</v>
      </c>
      <c r="AI138" s="17">
        <f t="shared" si="15"/>
        <v>516.00851303679599</v>
      </c>
      <c r="AJ138" s="122">
        <f t="shared" si="15"/>
        <v>516.00851303679599</v>
      </c>
    </row>
    <row r="139" spans="1:38" x14ac:dyDescent="0.2">
      <c r="A139" s="173" t="s">
        <v>715</v>
      </c>
      <c r="B139" t="s">
        <v>726</v>
      </c>
      <c r="C139" s="47"/>
      <c r="D139" s="47"/>
      <c r="G139" s="8">
        <f t="shared" ref="G139:AJ139" si="16">$C$38*($D$97/G97)*G97</f>
        <v>43574999999.999992</v>
      </c>
      <c r="H139" s="8">
        <f t="shared" si="16"/>
        <v>43575000000</v>
      </c>
      <c r="I139" s="8">
        <f t="shared" si="16"/>
        <v>43575000000</v>
      </c>
      <c r="J139" s="8">
        <f t="shared" si="16"/>
        <v>43575000000</v>
      </c>
      <c r="K139" s="8">
        <f t="shared" si="16"/>
        <v>43575000000</v>
      </c>
      <c r="L139" s="8">
        <f t="shared" si="16"/>
        <v>43575000000</v>
      </c>
      <c r="M139" s="8">
        <f t="shared" si="16"/>
        <v>43575000000</v>
      </c>
      <c r="N139" s="8">
        <f t="shared" si="16"/>
        <v>43575000000</v>
      </c>
      <c r="O139" s="8">
        <f t="shared" si="16"/>
        <v>43575000000</v>
      </c>
      <c r="P139" s="8">
        <f t="shared" si="16"/>
        <v>43574999999.999992</v>
      </c>
      <c r="Q139" s="8">
        <f t="shared" si="16"/>
        <v>43575000000</v>
      </c>
      <c r="R139" s="8">
        <f t="shared" si="16"/>
        <v>43574999999.999992</v>
      </c>
      <c r="S139" s="8">
        <f t="shared" si="16"/>
        <v>43575000000</v>
      </c>
      <c r="T139" s="8">
        <f t="shared" si="16"/>
        <v>43575000000</v>
      </c>
      <c r="U139" s="8">
        <f t="shared" si="16"/>
        <v>43575000000</v>
      </c>
      <c r="V139" s="8">
        <f t="shared" si="16"/>
        <v>43575000000</v>
      </c>
      <c r="W139" s="8">
        <f t="shared" si="16"/>
        <v>43575000000.000008</v>
      </c>
      <c r="X139" s="8">
        <f t="shared" si="16"/>
        <v>43575000000</v>
      </c>
      <c r="Y139" s="8">
        <f t="shared" si="16"/>
        <v>43575000000</v>
      </c>
      <c r="Z139" s="8">
        <f t="shared" si="16"/>
        <v>43575000000</v>
      </c>
      <c r="AA139" s="8">
        <f t="shared" si="16"/>
        <v>43575000000.000008</v>
      </c>
      <c r="AB139" s="8">
        <f t="shared" si="16"/>
        <v>43575000000</v>
      </c>
      <c r="AC139" s="8">
        <f t="shared" si="16"/>
        <v>43575000000</v>
      </c>
      <c r="AD139" s="8">
        <f t="shared" si="16"/>
        <v>43575000000</v>
      </c>
      <c r="AE139" s="8">
        <f t="shared" si="16"/>
        <v>43575000000</v>
      </c>
      <c r="AF139" s="8">
        <f t="shared" si="16"/>
        <v>43575000000</v>
      </c>
      <c r="AG139" s="8">
        <f t="shared" si="16"/>
        <v>43574999999.999992</v>
      </c>
      <c r="AH139" s="8">
        <f t="shared" si="16"/>
        <v>43575000000</v>
      </c>
      <c r="AI139" s="8">
        <f t="shared" si="16"/>
        <v>43575000000</v>
      </c>
      <c r="AJ139" s="115">
        <f t="shared" si="16"/>
        <v>43575000000</v>
      </c>
    </row>
    <row r="140" spans="1:38" x14ac:dyDescent="0.2">
      <c r="A140" s="108" t="s">
        <v>727</v>
      </c>
      <c r="B140" t="s">
        <v>537</v>
      </c>
      <c r="C140" t="s">
        <v>312</v>
      </c>
      <c r="G140" s="17">
        <f t="shared" ref="G140:AJ140" si="17">G138/G139*-1*G99</f>
        <v>-0.47367390754955463</v>
      </c>
      <c r="H140" s="17">
        <f t="shared" si="17"/>
        <v>-0.94734781509910915</v>
      </c>
      <c r="I140" s="17">
        <f t="shared" si="17"/>
        <v>-0.94734781509910915</v>
      </c>
      <c r="J140" s="17">
        <f t="shared" si="17"/>
        <v>-0.94734781509910915</v>
      </c>
      <c r="K140" s="17">
        <f t="shared" si="17"/>
        <v>-0.94734781509910915</v>
      </c>
      <c r="L140" s="17">
        <f t="shared" si="17"/>
        <v>-0.94734781509910915</v>
      </c>
      <c r="M140" s="17">
        <f t="shared" si="17"/>
        <v>-0.94734781509910915</v>
      </c>
      <c r="N140" s="17">
        <f t="shared" si="17"/>
        <v>-0.94734781509910915</v>
      </c>
      <c r="O140" s="17">
        <f t="shared" si="17"/>
        <v>-0.94734781509910915</v>
      </c>
      <c r="P140" s="17">
        <f t="shared" si="17"/>
        <v>-0.94734781509910926</v>
      </c>
      <c r="Q140" s="17">
        <f t="shared" si="17"/>
        <v>-0.94734781509910915</v>
      </c>
      <c r="R140" s="17">
        <f t="shared" si="17"/>
        <v>-0.94734781509910926</v>
      </c>
      <c r="S140" s="17">
        <f t="shared" si="17"/>
        <v>-0.94734781509910915</v>
      </c>
      <c r="T140" s="17">
        <f t="shared" si="17"/>
        <v>-0.94734781509910915</v>
      </c>
      <c r="U140" s="17">
        <f t="shared" si="17"/>
        <v>-0.94734781509910915</v>
      </c>
      <c r="V140" s="17">
        <f t="shared" si="17"/>
        <v>-0.94734781509910915</v>
      </c>
      <c r="W140" s="17">
        <f t="shared" si="17"/>
        <v>-0.94734781509910893</v>
      </c>
      <c r="X140" s="17">
        <f t="shared" si="17"/>
        <v>-0.94734781509910915</v>
      </c>
      <c r="Y140" s="17">
        <f t="shared" si="17"/>
        <v>-0.94734781509910915</v>
      </c>
      <c r="Z140" s="17">
        <f t="shared" si="17"/>
        <v>-0.94734781509910915</v>
      </c>
      <c r="AA140" s="17">
        <f t="shared" si="17"/>
        <v>-0.94734781509910893</v>
      </c>
      <c r="AB140" s="17">
        <f t="shared" si="17"/>
        <v>-0.94734781509910915</v>
      </c>
      <c r="AC140" s="17">
        <f t="shared" si="17"/>
        <v>-0.94734781509910915</v>
      </c>
      <c r="AD140" s="17">
        <f t="shared" si="17"/>
        <v>-0.94734781509910915</v>
      </c>
      <c r="AE140" s="17">
        <f t="shared" si="17"/>
        <v>-0.94734781509910915</v>
      </c>
      <c r="AF140" s="17">
        <f t="shared" si="17"/>
        <v>-0.94734781509910915</v>
      </c>
      <c r="AG140" s="17">
        <f t="shared" si="17"/>
        <v>-0.94734781509910926</v>
      </c>
      <c r="AH140" s="17">
        <f t="shared" si="17"/>
        <v>-0.94734781509910915</v>
      </c>
      <c r="AI140" s="17">
        <f t="shared" si="17"/>
        <v>-0.94734781509910915</v>
      </c>
      <c r="AJ140" s="122">
        <f t="shared" si="17"/>
        <v>-0.94734781509910915</v>
      </c>
    </row>
    <row r="141" spans="1:38" x14ac:dyDescent="0.2">
      <c r="A141" s="108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7"/>
      <c r="AA141" s="17"/>
      <c r="AB141" s="17"/>
      <c r="AC141" s="17"/>
      <c r="AD141" s="17"/>
      <c r="AE141" s="17"/>
      <c r="AF141" s="17"/>
      <c r="AG141" s="17"/>
      <c r="AH141" s="17"/>
      <c r="AI141" s="17"/>
      <c r="AJ141" s="122"/>
    </row>
    <row r="142" spans="1:38" x14ac:dyDescent="0.2">
      <c r="A142" s="173" t="s">
        <v>728</v>
      </c>
      <c r="B142" t="s">
        <v>681</v>
      </c>
      <c r="G142" s="17">
        <f>$C$35*G94*C18</f>
        <v>134061.03524975583</v>
      </c>
      <c r="H142" s="17">
        <f t="shared" ref="H142:AJ142" si="18">$C$35*H94</f>
        <v>265467.39653416991</v>
      </c>
      <c r="I142" s="17">
        <f t="shared" si="18"/>
        <v>262839.00646947522</v>
      </c>
      <c r="J142" s="17">
        <f t="shared" si="18"/>
        <v>260236.6400687873</v>
      </c>
      <c r="K142" s="17">
        <f t="shared" si="18"/>
        <v>257660.03967206669</v>
      </c>
      <c r="L142" s="17">
        <f t="shared" si="18"/>
        <v>255108.95017036298</v>
      </c>
      <c r="M142" s="17">
        <f t="shared" si="18"/>
        <v>252583.11898055748</v>
      </c>
      <c r="N142" s="17">
        <f t="shared" si="18"/>
        <v>250082.29602035388</v>
      </c>
      <c r="O142" s="17">
        <f t="shared" si="18"/>
        <v>247606.23368351866</v>
      </c>
      <c r="P142" s="17">
        <f t="shared" si="18"/>
        <v>245154.68681536504</v>
      </c>
      <c r="Q142" s="17">
        <f t="shared" si="18"/>
        <v>242727.41268848028</v>
      </c>
      <c r="R142" s="17">
        <f t="shared" si="18"/>
        <v>240324.17097869332</v>
      </c>
      <c r="S142" s="17">
        <f t="shared" si="18"/>
        <v>237944.7237412805</v>
      </c>
      <c r="T142" s="17">
        <f t="shared" si="18"/>
        <v>235588.83538740643</v>
      </c>
      <c r="U142" s="17">
        <f t="shared" si="18"/>
        <v>233256.27266079851</v>
      </c>
      <c r="V142" s="17">
        <f t="shared" si="18"/>
        <v>230946.80461465189</v>
      </c>
      <c r="W142" s="17">
        <f t="shared" si="18"/>
        <v>228660.20258876425</v>
      </c>
      <c r="X142" s="17">
        <f t="shared" si="18"/>
        <v>226396.2401868953</v>
      </c>
      <c r="Y142" s="17">
        <f t="shared" si="18"/>
        <v>224154.69325435182</v>
      </c>
      <c r="Z142" s="17">
        <f t="shared" si="18"/>
        <v>221935.33985579386</v>
      </c>
      <c r="AA142" s="17">
        <f t="shared" si="18"/>
        <v>219737.96025326129</v>
      </c>
      <c r="AB142" s="17">
        <f t="shared" si="18"/>
        <v>217562.33688441705</v>
      </c>
      <c r="AC142" s="17">
        <f t="shared" si="18"/>
        <v>215408.25434100701</v>
      </c>
      <c r="AD142" s="17">
        <f t="shared" si="18"/>
        <v>213275.49934753167</v>
      </c>
      <c r="AE142" s="17">
        <f t="shared" si="18"/>
        <v>211163.8607401303</v>
      </c>
      <c r="AF142" s="17">
        <f t="shared" si="18"/>
        <v>209073.12944567358</v>
      </c>
      <c r="AG142" s="17">
        <f t="shared" si="18"/>
        <v>207003.09846106303</v>
      </c>
      <c r="AH142" s="17">
        <f t="shared" si="18"/>
        <v>204953.56283273565</v>
      </c>
      <c r="AI142" s="17">
        <f t="shared" si="18"/>
        <v>202924.31963637195</v>
      </c>
      <c r="AJ142" s="122">
        <f t="shared" si="18"/>
        <v>200915.16795680387</v>
      </c>
    </row>
    <row r="143" spans="1:38" x14ac:dyDescent="0.2">
      <c r="A143" s="173" t="s">
        <v>701</v>
      </c>
      <c r="B143" t="s">
        <v>681</v>
      </c>
      <c r="G143" s="8">
        <f t="shared" ref="G143:AJ143" si="19">$C$39*($D$97/G97)*G97</f>
        <v>434256000000</v>
      </c>
      <c r="H143" s="8">
        <f t="shared" si="19"/>
        <v>434256000000</v>
      </c>
      <c r="I143" s="8">
        <f t="shared" si="19"/>
        <v>434256000000</v>
      </c>
      <c r="J143" s="8">
        <f t="shared" si="19"/>
        <v>434256000000</v>
      </c>
      <c r="K143" s="8">
        <f t="shared" si="19"/>
        <v>434256000000</v>
      </c>
      <c r="L143" s="8">
        <f t="shared" si="19"/>
        <v>434256000000</v>
      </c>
      <c r="M143" s="8">
        <f t="shared" si="19"/>
        <v>434256000000.00006</v>
      </c>
      <c r="N143" s="8">
        <f t="shared" si="19"/>
        <v>434256000000.00006</v>
      </c>
      <c r="O143" s="8">
        <f t="shared" si="19"/>
        <v>434256000000.00006</v>
      </c>
      <c r="P143" s="8">
        <f t="shared" si="19"/>
        <v>434256000000</v>
      </c>
      <c r="Q143" s="8">
        <f t="shared" si="19"/>
        <v>434255999999.99994</v>
      </c>
      <c r="R143" s="8">
        <f t="shared" si="19"/>
        <v>434256000000</v>
      </c>
      <c r="S143" s="8">
        <f t="shared" si="19"/>
        <v>434256000000</v>
      </c>
      <c r="T143" s="8">
        <f t="shared" si="19"/>
        <v>434256000000</v>
      </c>
      <c r="U143" s="8">
        <f t="shared" si="19"/>
        <v>434256000000</v>
      </c>
      <c r="V143" s="8">
        <f t="shared" si="19"/>
        <v>434256000000</v>
      </c>
      <c r="W143" s="8">
        <f t="shared" si="19"/>
        <v>434256000000</v>
      </c>
      <c r="X143" s="8">
        <f t="shared" si="19"/>
        <v>434256000000</v>
      </c>
      <c r="Y143" s="8">
        <f t="shared" si="19"/>
        <v>434256000000</v>
      </c>
      <c r="Z143" s="8">
        <f t="shared" si="19"/>
        <v>434256000000</v>
      </c>
      <c r="AA143" s="8">
        <f t="shared" si="19"/>
        <v>434256000000.00006</v>
      </c>
      <c r="AB143" s="8">
        <f t="shared" si="19"/>
        <v>434256000000.00006</v>
      </c>
      <c r="AC143" s="8">
        <f t="shared" si="19"/>
        <v>434256000000</v>
      </c>
      <c r="AD143" s="8">
        <f t="shared" si="19"/>
        <v>434255999999.99994</v>
      </c>
      <c r="AE143" s="8">
        <f t="shared" si="19"/>
        <v>434256000000</v>
      </c>
      <c r="AF143" s="8">
        <f t="shared" si="19"/>
        <v>434256000000</v>
      </c>
      <c r="AG143" s="8">
        <f t="shared" si="19"/>
        <v>434256000000</v>
      </c>
      <c r="AH143" s="8">
        <f t="shared" si="19"/>
        <v>434256000000</v>
      </c>
      <c r="AI143" s="8">
        <f t="shared" si="19"/>
        <v>434256000000</v>
      </c>
      <c r="AJ143" s="115">
        <f t="shared" si="19"/>
        <v>434256000000</v>
      </c>
      <c r="AK143" s="8"/>
      <c r="AL143" s="8"/>
    </row>
    <row r="144" spans="1:38" x14ac:dyDescent="0.2">
      <c r="A144" s="108" t="s">
        <v>729</v>
      </c>
      <c r="B144" t="s">
        <v>537</v>
      </c>
      <c r="C144" t="s">
        <v>312</v>
      </c>
      <c r="G144" s="17">
        <f t="shared" ref="G144:AJ144" si="20">G142/G143*-1*G99</f>
        <v>-24.697143666363772</v>
      </c>
      <c r="H144" s="17">
        <f t="shared" si="20"/>
        <v>-48.905234982898548</v>
      </c>
      <c r="I144" s="17">
        <f t="shared" si="20"/>
        <v>-48.421024735543135</v>
      </c>
      <c r="J144" s="17">
        <f t="shared" si="20"/>
        <v>-47.941608649052597</v>
      </c>
      <c r="K144" s="17">
        <f t="shared" si="20"/>
        <v>-47.466939256487727</v>
      </c>
      <c r="L144" s="17">
        <f t="shared" si="20"/>
        <v>-46.996969560878931</v>
      </c>
      <c r="M144" s="17">
        <f t="shared" si="20"/>
        <v>-46.531653030573203</v>
      </c>
      <c r="N144" s="17">
        <f t="shared" si="20"/>
        <v>-46.070943594626918</v>
      </c>
      <c r="O144" s="17">
        <f t="shared" si="20"/>
        <v>-45.614795638244466</v>
      </c>
      <c r="P144" s="17">
        <f t="shared" si="20"/>
        <v>-45.163163998261858</v>
      </c>
      <c r="Q144" s="17">
        <f t="shared" si="20"/>
        <v>-44.716003958675131</v>
      </c>
      <c r="R144" s="17">
        <f t="shared" si="20"/>
        <v>-44.273271246212985</v>
      </c>
      <c r="S144" s="17">
        <f t="shared" si="20"/>
        <v>-43.834922025953446</v>
      </c>
      <c r="T144" s="17">
        <f t="shared" si="20"/>
        <v>-43.400912896983613</v>
      </c>
      <c r="U144" s="17">
        <f t="shared" si="20"/>
        <v>-42.971200888102601</v>
      </c>
      <c r="V144" s="17">
        <f t="shared" si="20"/>
        <v>-42.545743453566907</v>
      </c>
      <c r="W144" s="17">
        <f t="shared" si="20"/>
        <v>-42.12449846887813</v>
      </c>
      <c r="X144" s="17">
        <f t="shared" si="20"/>
        <v>-41.707424226612012</v>
      </c>
      <c r="Y144" s="17">
        <f t="shared" si="20"/>
        <v>-41.294479432289123</v>
      </c>
      <c r="Z144" s="17">
        <f t="shared" si="20"/>
        <v>-40.885623200286261</v>
      </c>
      <c r="AA144" s="17">
        <f t="shared" si="20"/>
        <v>-40.480815049788376</v>
      </c>
      <c r="AB144" s="17">
        <f t="shared" si="20"/>
        <v>-40.080014900780554</v>
      </c>
      <c r="AC144" s="17">
        <f t="shared" si="20"/>
        <v>-39.683183070079764</v>
      </c>
      <c r="AD144" s="17">
        <f t="shared" si="20"/>
        <v>-39.29028026740572</v>
      </c>
      <c r="AE144" s="17">
        <f t="shared" si="20"/>
        <v>-38.901267591490793</v>
      </c>
      <c r="AF144" s="17">
        <f t="shared" si="20"/>
        <v>-38.516106526228505</v>
      </c>
      <c r="AG144" s="17">
        <f t="shared" si="20"/>
        <v>-38.134758936859924</v>
      </c>
      <c r="AH144" s="17">
        <f t="shared" si="20"/>
        <v>-37.757187066197936</v>
      </c>
      <c r="AI144" s="17">
        <f t="shared" si="20"/>
        <v>-37.383353530889053</v>
      </c>
      <c r="AJ144" s="122">
        <f t="shared" si="20"/>
        <v>-37.013221317711924</v>
      </c>
    </row>
    <row r="145" spans="1:36" x14ac:dyDescent="0.2">
      <c r="A145" s="108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7"/>
      <c r="AA145" s="17"/>
      <c r="AB145" s="17"/>
      <c r="AC145" s="17"/>
      <c r="AD145" s="17"/>
      <c r="AE145" s="17"/>
      <c r="AF145" s="17"/>
      <c r="AG145" s="17"/>
      <c r="AH145" s="17"/>
      <c r="AI145" s="17"/>
      <c r="AJ145" s="122"/>
    </row>
    <row r="146" spans="1:36" x14ac:dyDescent="0.2">
      <c r="A146" s="118" t="s">
        <v>731</v>
      </c>
      <c r="B146" s="3"/>
      <c r="C146" s="3"/>
      <c r="D146" s="3"/>
      <c r="E146" s="3"/>
      <c r="F146" s="3"/>
      <c r="G146" s="212"/>
      <c r="H146" s="212"/>
      <c r="I146" s="212"/>
      <c r="J146" s="212"/>
      <c r="K146" s="212"/>
      <c r="L146" s="212"/>
      <c r="M146" s="212"/>
      <c r="N146" s="212"/>
      <c r="O146" s="212"/>
      <c r="P146" s="212"/>
      <c r="Q146" s="212"/>
      <c r="R146" s="212"/>
      <c r="S146" s="212"/>
      <c r="T146" s="212"/>
      <c r="U146" s="212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12"/>
      <c r="AF146" s="212"/>
      <c r="AG146" s="212"/>
      <c r="AH146" s="212"/>
      <c r="AI146" s="212"/>
      <c r="AJ146" s="162"/>
    </row>
    <row r="147" spans="1:36" x14ac:dyDescent="0.2">
      <c r="A147" s="173" t="s">
        <v>732</v>
      </c>
      <c r="B147" t="s">
        <v>689</v>
      </c>
      <c r="G147" s="17">
        <f>$C$42*G94*C18</f>
        <v>6854.8189722044963</v>
      </c>
      <c r="H147" s="17">
        <f t="shared" ref="H147:AJ147" si="21">$C$42*H94</f>
        <v>13573.898954860388</v>
      </c>
      <c r="I147" s="17">
        <f t="shared" si="21"/>
        <v>13439.503915703357</v>
      </c>
      <c r="J147" s="17">
        <f t="shared" si="21"/>
        <v>13306.43952049837</v>
      </c>
      <c r="K147" s="17">
        <f t="shared" si="21"/>
        <v>13174.692594552844</v>
      </c>
      <c r="L147" s="17">
        <f t="shared" si="21"/>
        <v>13044.250093616674</v>
      </c>
      <c r="M147" s="17">
        <f t="shared" si="21"/>
        <v>12915.099102590772</v>
      </c>
      <c r="N147" s="17">
        <f t="shared" si="21"/>
        <v>12787.226834248286</v>
      </c>
      <c r="O147" s="17">
        <f t="shared" si="21"/>
        <v>12660.620627968598</v>
      </c>
      <c r="P147" s="17">
        <f t="shared" si="21"/>
        <v>12535.267948483761</v>
      </c>
      <c r="Q147" s="17">
        <f t="shared" si="21"/>
        <v>12411.156384637388</v>
      </c>
      <c r="R147" s="17">
        <f t="shared" si="21"/>
        <v>12288.27364815583</v>
      </c>
      <c r="S147" s="17">
        <f t="shared" si="21"/>
        <v>12166.607572431514</v>
      </c>
      <c r="T147" s="17">
        <f t="shared" si="21"/>
        <v>12046.14611131833</v>
      </c>
      <c r="U147" s="17">
        <f t="shared" si="21"/>
        <v>11926.877337938944</v>
      </c>
      <c r="V147" s="17">
        <f t="shared" si="21"/>
        <v>11808.7894435039</v>
      </c>
      <c r="W147" s="17">
        <f t="shared" si="21"/>
        <v>11691.870736142475</v>
      </c>
      <c r="X147" s="17">
        <f t="shared" si="21"/>
        <v>11576.109639745024</v>
      </c>
      <c r="Y147" s="17">
        <f t="shared" si="21"/>
        <v>11461.494692816859</v>
      </c>
      <c r="Z147" s="17">
        <f t="shared" si="21"/>
        <v>11348.014547343422</v>
      </c>
      <c r="AA147" s="17">
        <f t="shared" si="21"/>
        <v>11235.657967666757</v>
      </c>
      <c r="AB147" s="17">
        <f t="shared" si="21"/>
        <v>11124.413829373023</v>
      </c>
      <c r="AC147" s="17">
        <f t="shared" si="21"/>
        <v>11014.271118191115</v>
      </c>
      <c r="AD147" s="17">
        <f t="shared" si="21"/>
        <v>10905.218928902092</v>
      </c>
      <c r="AE147" s="17">
        <f t="shared" si="21"/>
        <v>10797.246464259495</v>
      </c>
      <c r="AF147" s="17">
        <f t="shared" si="21"/>
        <v>10690.343033920291</v>
      </c>
      <c r="AG147" s="17">
        <f t="shared" si="21"/>
        <v>10584.498053386431</v>
      </c>
      <c r="AH147" s="17">
        <f t="shared" si="21"/>
        <v>10479.701042956862</v>
      </c>
      <c r="AI147" s="17">
        <f t="shared" si="21"/>
        <v>10375.941626689963</v>
      </c>
      <c r="AJ147" s="122">
        <f t="shared" si="21"/>
        <v>10273.209531376198</v>
      </c>
    </row>
    <row r="148" spans="1:36" x14ac:dyDescent="0.2">
      <c r="A148" s="173" t="s">
        <v>702</v>
      </c>
      <c r="B148" t="s">
        <v>689</v>
      </c>
      <c r="G148" s="8">
        <f t="shared" ref="G148:AJ148" si="22">$C$47*($D$97/G97)*G97</f>
        <v>173718999999.99997</v>
      </c>
      <c r="H148" s="8">
        <f t="shared" si="22"/>
        <v>173719000000</v>
      </c>
      <c r="I148" s="8">
        <f t="shared" si="22"/>
        <v>173719000000</v>
      </c>
      <c r="J148" s="8">
        <f t="shared" si="22"/>
        <v>173719000000</v>
      </c>
      <c r="K148" s="8">
        <f t="shared" si="22"/>
        <v>173719000000</v>
      </c>
      <c r="L148" s="8">
        <f t="shared" si="22"/>
        <v>173719000000</v>
      </c>
      <c r="M148" s="8">
        <f t="shared" si="22"/>
        <v>173719000000</v>
      </c>
      <c r="N148" s="8">
        <f t="shared" si="22"/>
        <v>173719000000</v>
      </c>
      <c r="O148" s="8">
        <f t="shared" si="22"/>
        <v>173719000000</v>
      </c>
      <c r="P148" s="8">
        <f t="shared" si="22"/>
        <v>173719000000</v>
      </c>
      <c r="Q148" s="8">
        <f t="shared" si="22"/>
        <v>173719000000</v>
      </c>
      <c r="R148" s="8">
        <f t="shared" si="22"/>
        <v>173719000000</v>
      </c>
      <c r="S148" s="8">
        <f t="shared" si="22"/>
        <v>173719000000</v>
      </c>
      <c r="T148" s="8">
        <f t="shared" si="22"/>
        <v>173718999999.99997</v>
      </c>
      <c r="U148" s="8">
        <f t="shared" si="22"/>
        <v>173719000000</v>
      </c>
      <c r="V148" s="8">
        <f t="shared" si="22"/>
        <v>173719000000</v>
      </c>
      <c r="W148" s="8">
        <f t="shared" si="22"/>
        <v>173719000000</v>
      </c>
      <c r="X148" s="8">
        <f t="shared" si="22"/>
        <v>173719000000.00003</v>
      </c>
      <c r="Y148" s="8">
        <f t="shared" si="22"/>
        <v>173719000000</v>
      </c>
      <c r="Z148" s="8">
        <f t="shared" si="22"/>
        <v>173718999999.99997</v>
      </c>
      <c r="AA148" s="8">
        <f t="shared" si="22"/>
        <v>173719000000</v>
      </c>
      <c r="AB148" s="8">
        <f t="shared" si="22"/>
        <v>173719000000</v>
      </c>
      <c r="AC148" s="8">
        <f t="shared" si="22"/>
        <v>173719000000</v>
      </c>
      <c r="AD148" s="8">
        <f t="shared" si="22"/>
        <v>173719000000</v>
      </c>
      <c r="AE148" s="8">
        <f t="shared" si="22"/>
        <v>173719000000</v>
      </c>
      <c r="AF148" s="8">
        <f t="shared" si="22"/>
        <v>173719000000</v>
      </c>
      <c r="AG148" s="8">
        <f t="shared" si="22"/>
        <v>173719000000</v>
      </c>
      <c r="AH148" s="8">
        <f t="shared" si="22"/>
        <v>173719000000</v>
      </c>
      <c r="AI148" s="8">
        <f t="shared" si="22"/>
        <v>173719000000</v>
      </c>
      <c r="AJ148" s="115">
        <f t="shared" si="22"/>
        <v>173719000000</v>
      </c>
    </row>
    <row r="149" spans="1:36" x14ac:dyDescent="0.2">
      <c r="A149" s="108" t="s">
        <v>733</v>
      </c>
      <c r="B149" t="s">
        <v>537</v>
      </c>
      <c r="C149" t="s">
        <v>312</v>
      </c>
      <c r="G149" s="17">
        <f t="shared" ref="G149:AJ149" si="23">G147/G148*-1*G99</f>
        <v>-3.1567388585955465</v>
      </c>
      <c r="H149" s="17">
        <f t="shared" si="23"/>
        <v>-6.2509680368228633</v>
      </c>
      <c r="I149" s="17">
        <f t="shared" si="23"/>
        <v>-6.1890772641810541</v>
      </c>
      <c r="J149" s="17">
        <f t="shared" si="23"/>
        <v>-6.1277992714663885</v>
      </c>
      <c r="K149" s="17">
        <f t="shared" si="23"/>
        <v>-6.0671279915508816</v>
      </c>
      <c r="L149" s="17">
        <f t="shared" si="23"/>
        <v>-6.0070574173771085</v>
      </c>
      <c r="M149" s="17">
        <f t="shared" si="23"/>
        <v>-5.9475816013634759</v>
      </c>
      <c r="N149" s="17">
        <f t="shared" si="23"/>
        <v>-5.8886946548153221</v>
      </c>
      <c r="O149" s="17">
        <f t="shared" si="23"/>
        <v>-5.8303907473419017</v>
      </c>
      <c r="P149" s="17">
        <f t="shared" si="23"/>
        <v>-5.7726641062791115</v>
      </c>
      <c r="Q149" s="17">
        <f t="shared" si="23"/>
        <v>-5.7155090161179318</v>
      </c>
      <c r="R149" s="17">
        <f t="shared" si="23"/>
        <v>-5.6589198179385463</v>
      </c>
      <c r="S149" s="17">
        <f t="shared" si="23"/>
        <v>-5.6028909088500454</v>
      </c>
      <c r="T149" s="17">
        <f t="shared" si="23"/>
        <v>-5.5474167414356899</v>
      </c>
      <c r="U149" s="17">
        <f t="shared" si="23"/>
        <v>-5.4924918232036539</v>
      </c>
      <c r="V149" s="17">
        <f t="shared" si="23"/>
        <v>-5.4381107160432194</v>
      </c>
      <c r="W149" s="17">
        <f t="shared" si="23"/>
        <v>-5.3842680356863557</v>
      </c>
      <c r="X149" s="17">
        <f t="shared" si="23"/>
        <v>-5.3309584511746078</v>
      </c>
      <c r="Y149" s="17">
        <f t="shared" si="23"/>
        <v>-5.2781766843312976</v>
      </c>
      <c r="Z149" s="17">
        <f t="shared" si="23"/>
        <v>-5.2259175092389079</v>
      </c>
      <c r="AA149" s="17">
        <f t="shared" si="23"/>
        <v>-5.174175751721692</v>
      </c>
      <c r="AB149" s="17">
        <f t="shared" si="23"/>
        <v>-5.122946288833357</v>
      </c>
      <c r="AC149" s="17">
        <f t="shared" si="23"/>
        <v>-5.0722240483498586</v>
      </c>
      <c r="AD149" s="17">
        <f t="shared" si="23"/>
        <v>-5.0220040082671868</v>
      </c>
      <c r="AE149" s="17">
        <f t="shared" si="23"/>
        <v>-4.9722811963041442</v>
      </c>
      <c r="AF149" s="17">
        <f t="shared" si="23"/>
        <v>-4.9230506894100436</v>
      </c>
      <c r="AG149" s="17">
        <f t="shared" si="23"/>
        <v>-4.8743076132772716</v>
      </c>
      <c r="AH149" s="17">
        <f t="shared" si="23"/>
        <v>-4.8260471418586857</v>
      </c>
      <c r="AI149" s="17">
        <f t="shared" si="23"/>
        <v>-4.7782644968897872</v>
      </c>
      <c r="AJ149" s="122">
        <f t="shared" si="23"/>
        <v>-4.7309549474156301</v>
      </c>
    </row>
    <row r="150" spans="1:36" x14ac:dyDescent="0.2">
      <c r="A150" s="108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7"/>
      <c r="AA150" s="17"/>
      <c r="AB150" s="17"/>
      <c r="AC150" s="17"/>
      <c r="AD150" s="17"/>
      <c r="AE150" s="17"/>
      <c r="AF150" s="17"/>
      <c r="AG150" s="17"/>
      <c r="AH150" s="17"/>
      <c r="AI150" s="17"/>
      <c r="AJ150" s="122"/>
    </row>
    <row r="151" spans="1:36" x14ac:dyDescent="0.2">
      <c r="A151" s="173" t="s">
        <v>734</v>
      </c>
      <c r="B151" t="s">
        <v>688</v>
      </c>
      <c r="G151" s="17">
        <f>$C$43*G94*C18</f>
        <v>3971.2419875871065</v>
      </c>
      <c r="H151" s="17">
        <f t="shared" ref="H151:AJ151" si="24">$C$43*H94</f>
        <v>7863.8455199744676</v>
      </c>
      <c r="I151" s="17">
        <f t="shared" si="24"/>
        <v>7785.9856633410582</v>
      </c>
      <c r="J151" s="17">
        <f t="shared" si="24"/>
        <v>7708.8966963772846</v>
      </c>
      <c r="K151" s="17">
        <f t="shared" si="24"/>
        <v>7632.5709865121635</v>
      </c>
      <c r="L151" s="17">
        <f t="shared" si="24"/>
        <v>7557.0009767447145</v>
      </c>
      <c r="M151" s="17">
        <f t="shared" si="24"/>
        <v>7482.17918489576</v>
      </c>
      <c r="N151" s="17">
        <f t="shared" si="24"/>
        <v>7408.0982028670869</v>
      </c>
      <c r="O151" s="17">
        <f t="shared" si="24"/>
        <v>7334.7506959080056</v>
      </c>
      <c r="P151" s="17">
        <f t="shared" si="24"/>
        <v>7262.1294018891149</v>
      </c>
      <c r="Q151" s="17">
        <f t="shared" si="24"/>
        <v>7190.2271305832837</v>
      </c>
      <c r="R151" s="17">
        <f t="shared" si="24"/>
        <v>7119.0367629537459</v>
      </c>
      <c r="S151" s="17">
        <f t="shared" si="24"/>
        <v>7048.5512504492526</v>
      </c>
      <c r="T151" s="17">
        <f t="shared" si="24"/>
        <v>6978.7636143061909</v>
      </c>
      <c r="U151" s="17">
        <f t="shared" si="24"/>
        <v>6909.6669448576167</v>
      </c>
      <c r="V151" s="17">
        <f t="shared" si="24"/>
        <v>6841.2544008491222</v>
      </c>
      <c r="W151" s="17">
        <f t="shared" si="24"/>
        <v>6773.5192087615069</v>
      </c>
      <c r="X151" s="17">
        <f t="shared" si="24"/>
        <v>6706.4546621401059</v>
      </c>
      <c r="Y151" s="17">
        <f t="shared" si="24"/>
        <v>6640.0541209307994</v>
      </c>
      <c r="Z151" s="17">
        <f t="shared" si="24"/>
        <v>6574.3110108225728</v>
      </c>
      <c r="AA151" s="17">
        <f t="shared" si="24"/>
        <v>6509.2188225966074</v>
      </c>
      <c r="AB151" s="17">
        <f t="shared" si="24"/>
        <v>6444.7711114817885</v>
      </c>
      <c r="AC151" s="17">
        <f t="shared" si="24"/>
        <v>6380.9614965166229</v>
      </c>
      <c r="AD151" s="17">
        <f t="shared" si="24"/>
        <v>6317.783659917447</v>
      </c>
      <c r="AE151" s="17">
        <f t="shared" si="24"/>
        <v>6255.231346452917</v>
      </c>
      <c r="AF151" s="17">
        <f t="shared" si="24"/>
        <v>6193.2983628246702</v>
      </c>
      <c r="AG151" s="17">
        <f t="shared" si="24"/>
        <v>6131.9785770541312</v>
      </c>
      <c r="AH151" s="17">
        <f t="shared" si="24"/>
        <v>6071.2659178753765</v>
      </c>
      <c r="AI151" s="17">
        <f t="shared" si="24"/>
        <v>6011.1543741340365</v>
      </c>
      <c r="AJ151" s="122">
        <f t="shared" si="24"/>
        <v>5951.6379941921141</v>
      </c>
    </row>
    <row r="152" spans="1:36" x14ac:dyDescent="0.2">
      <c r="A152" s="173" t="s">
        <v>703</v>
      </c>
      <c r="B152" t="s">
        <v>688</v>
      </c>
      <c r="G152" s="8">
        <f t="shared" ref="G152:AJ152" si="25">$C$48*($D$97/G97)*G97</f>
        <v>106281500000000</v>
      </c>
      <c r="H152" s="8">
        <f t="shared" si="25"/>
        <v>106281500000000</v>
      </c>
      <c r="I152" s="8">
        <f t="shared" si="25"/>
        <v>106281500000000</v>
      </c>
      <c r="J152" s="8">
        <f t="shared" si="25"/>
        <v>106281500000000</v>
      </c>
      <c r="K152" s="8">
        <f t="shared" si="25"/>
        <v>106281500000000</v>
      </c>
      <c r="L152" s="8">
        <f t="shared" si="25"/>
        <v>106281500000000</v>
      </c>
      <c r="M152" s="8">
        <f t="shared" si="25"/>
        <v>106281500000000</v>
      </c>
      <c r="N152" s="8">
        <f t="shared" si="25"/>
        <v>106281500000000.02</v>
      </c>
      <c r="O152" s="8">
        <f t="shared" si="25"/>
        <v>106281500000000</v>
      </c>
      <c r="P152" s="8">
        <f t="shared" si="25"/>
        <v>106281500000000</v>
      </c>
      <c r="Q152" s="8">
        <f t="shared" si="25"/>
        <v>106281500000000</v>
      </c>
      <c r="R152" s="8">
        <f t="shared" si="25"/>
        <v>106281500000000</v>
      </c>
      <c r="S152" s="8">
        <f t="shared" si="25"/>
        <v>106281500000000</v>
      </c>
      <c r="T152" s="8">
        <f t="shared" si="25"/>
        <v>106281500000000</v>
      </c>
      <c r="U152" s="8">
        <f t="shared" si="25"/>
        <v>106281499999999.98</v>
      </c>
      <c r="V152" s="8">
        <f t="shared" si="25"/>
        <v>106281500000000.02</v>
      </c>
      <c r="W152" s="8">
        <f t="shared" si="25"/>
        <v>106281500000000</v>
      </c>
      <c r="X152" s="8">
        <f t="shared" si="25"/>
        <v>106281500000000</v>
      </c>
      <c r="Y152" s="8">
        <f t="shared" si="25"/>
        <v>106281500000000</v>
      </c>
      <c r="Z152" s="8">
        <f t="shared" si="25"/>
        <v>106281499999999.98</v>
      </c>
      <c r="AA152" s="8">
        <f t="shared" si="25"/>
        <v>106281500000000</v>
      </c>
      <c r="AB152" s="8">
        <f t="shared" si="25"/>
        <v>106281500000000</v>
      </c>
      <c r="AC152" s="8">
        <f t="shared" si="25"/>
        <v>106281500000000</v>
      </c>
      <c r="AD152" s="8">
        <f t="shared" si="25"/>
        <v>106281499999999.98</v>
      </c>
      <c r="AE152" s="8">
        <f t="shared" si="25"/>
        <v>106281500000000</v>
      </c>
      <c r="AF152" s="8">
        <f t="shared" si="25"/>
        <v>106281500000000</v>
      </c>
      <c r="AG152" s="8">
        <f t="shared" si="25"/>
        <v>106281500000000</v>
      </c>
      <c r="AH152" s="8">
        <f t="shared" si="25"/>
        <v>106281500000000</v>
      </c>
      <c r="AI152" s="8">
        <f t="shared" si="25"/>
        <v>106281500000000.02</v>
      </c>
      <c r="AJ152" s="115">
        <f t="shared" si="25"/>
        <v>106281500000000</v>
      </c>
    </row>
    <row r="153" spans="1:36" x14ac:dyDescent="0.2">
      <c r="A153" s="108" t="s">
        <v>735</v>
      </c>
      <c r="B153" t="s">
        <v>537</v>
      </c>
      <c r="C153" t="s">
        <v>312</v>
      </c>
      <c r="G153" s="17">
        <f>G151/G152*-1</f>
        <v>-3.7365317459643555E-11</v>
      </c>
      <c r="H153" s="17">
        <f t="shared" ref="H153:AJ153" si="26">H151/H152*-1</f>
        <v>-7.3990727642858516E-11</v>
      </c>
      <c r="I153" s="17">
        <f t="shared" si="26"/>
        <v>-7.3258146181048048E-11</v>
      </c>
      <c r="J153" s="17">
        <f t="shared" si="26"/>
        <v>-7.2532818001037665E-11</v>
      </c>
      <c r="K153" s="17">
        <f t="shared" si="26"/>
        <v>-7.1814671288156105E-11</v>
      </c>
      <c r="L153" s="17">
        <f t="shared" si="26"/>
        <v>-7.1103634938768411E-11</v>
      </c>
      <c r="M153" s="17">
        <f t="shared" si="26"/>
        <v>-7.0399638553236083E-11</v>
      </c>
      <c r="N153" s="17">
        <f t="shared" si="26"/>
        <v>-6.9702612428946576E-11</v>
      </c>
      <c r="O153" s="17">
        <f t="shared" si="26"/>
        <v>-6.9012487553412455E-11</v>
      </c>
      <c r="P153" s="17">
        <f t="shared" si="26"/>
        <v>-6.8329195597438079E-11</v>
      </c>
      <c r="Q153" s="17">
        <f t="shared" si="26"/>
        <v>-6.7652668908354543E-11</v>
      </c>
      <c r="R153" s="17">
        <f t="shared" si="26"/>
        <v>-6.698284050332133E-11</v>
      </c>
      <c r="S153" s="17">
        <f t="shared" si="26"/>
        <v>-6.6319644062694382E-11</v>
      </c>
      <c r="T153" s="17">
        <f t="shared" si="26"/>
        <v>-6.566301392345978E-11</v>
      </c>
      <c r="U153" s="17">
        <f t="shared" si="26"/>
        <v>-6.5012885072732487E-11</v>
      </c>
      <c r="V153" s="17">
        <f t="shared" si="26"/>
        <v>-6.4369193141319244E-11</v>
      </c>
      <c r="W153" s="17">
        <f t="shared" si="26"/>
        <v>-6.373187439734579E-11</v>
      </c>
      <c r="X153" s="17">
        <f t="shared" si="26"/>
        <v>-6.3100865739946335E-11</v>
      </c>
      <c r="Y153" s="17">
        <f t="shared" si="26"/>
        <v>-6.2476104693016183E-11</v>
      </c>
      <c r="Z153" s="17">
        <f t="shared" si="26"/>
        <v>-6.1857529399025926E-11</v>
      </c>
      <c r="AA153" s="17">
        <f t="shared" si="26"/>
        <v>-6.1245078612896952E-11</v>
      </c>
      <c r="AB153" s="17">
        <f t="shared" si="26"/>
        <v>-6.0638691695937562E-11</v>
      </c>
      <c r="AC153" s="17">
        <f t="shared" si="26"/>
        <v>-6.0038308609839177E-11</v>
      </c>
      <c r="AD153" s="17">
        <f t="shared" si="26"/>
        <v>-5.9443869910731859E-11</v>
      </c>
      <c r="AE153" s="17">
        <f t="shared" si="26"/>
        <v>-5.8855316743298852E-11</v>
      </c>
      <c r="AF153" s="17">
        <f t="shared" si="26"/>
        <v>-5.8272590834949356E-11</v>
      </c>
      <c r="AG153" s="17">
        <f t="shared" si="26"/>
        <v>-5.769563449004889E-11</v>
      </c>
      <c r="AH153" s="17">
        <f t="shared" si="26"/>
        <v>-5.7124390584206815E-11</v>
      </c>
      <c r="AI153" s="17">
        <f t="shared" si="26"/>
        <v>-5.6558802558620603E-11</v>
      </c>
      <c r="AJ153" s="122">
        <f t="shared" si="26"/>
        <v>-5.5998814414475843E-11</v>
      </c>
    </row>
    <row r="154" spans="1:36" x14ac:dyDescent="0.2">
      <c r="A154" s="108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7"/>
      <c r="AA154" s="17"/>
      <c r="AB154" s="17"/>
      <c r="AC154" s="17"/>
      <c r="AD154" s="17"/>
      <c r="AE154" s="17"/>
      <c r="AF154" s="17"/>
      <c r="AG154" s="17"/>
      <c r="AH154" s="17"/>
      <c r="AI154" s="17"/>
      <c r="AJ154" s="122"/>
    </row>
    <row r="155" spans="1:36" x14ac:dyDescent="0.2">
      <c r="A155" s="173" t="s">
        <v>736</v>
      </c>
      <c r="B155" t="s">
        <v>687</v>
      </c>
      <c r="G155" s="17">
        <f>$C$44*G94*C18</f>
        <v>0</v>
      </c>
      <c r="H155" s="17">
        <f t="shared" ref="H155:AJ155" si="27">$C$44*H94</f>
        <v>0</v>
      </c>
      <c r="I155" s="17">
        <f t="shared" si="27"/>
        <v>0</v>
      </c>
      <c r="J155" s="17">
        <f t="shared" si="27"/>
        <v>0</v>
      </c>
      <c r="K155" s="17">
        <f t="shared" si="27"/>
        <v>0</v>
      </c>
      <c r="L155" s="17">
        <f t="shared" si="27"/>
        <v>0</v>
      </c>
      <c r="M155" s="17">
        <f t="shared" si="27"/>
        <v>0</v>
      </c>
      <c r="N155" s="17">
        <f t="shared" si="27"/>
        <v>0</v>
      </c>
      <c r="O155" s="17">
        <f t="shared" si="27"/>
        <v>0</v>
      </c>
      <c r="P155" s="17">
        <f t="shared" si="27"/>
        <v>0</v>
      </c>
      <c r="Q155" s="17">
        <f t="shared" si="27"/>
        <v>0</v>
      </c>
      <c r="R155" s="17">
        <f t="shared" si="27"/>
        <v>0</v>
      </c>
      <c r="S155" s="17">
        <f t="shared" si="27"/>
        <v>0</v>
      </c>
      <c r="T155" s="17">
        <f t="shared" si="27"/>
        <v>0</v>
      </c>
      <c r="U155" s="17">
        <f t="shared" si="27"/>
        <v>0</v>
      </c>
      <c r="V155" s="17">
        <f t="shared" si="27"/>
        <v>0</v>
      </c>
      <c r="W155" s="17">
        <f t="shared" si="27"/>
        <v>0</v>
      </c>
      <c r="X155" s="17">
        <f t="shared" si="27"/>
        <v>0</v>
      </c>
      <c r="Y155" s="17">
        <f t="shared" si="27"/>
        <v>0</v>
      </c>
      <c r="Z155" s="17">
        <f t="shared" si="27"/>
        <v>0</v>
      </c>
      <c r="AA155" s="17">
        <f t="shared" si="27"/>
        <v>0</v>
      </c>
      <c r="AB155" s="17">
        <f t="shared" si="27"/>
        <v>0</v>
      </c>
      <c r="AC155" s="17">
        <f t="shared" si="27"/>
        <v>0</v>
      </c>
      <c r="AD155" s="17">
        <f t="shared" si="27"/>
        <v>0</v>
      </c>
      <c r="AE155" s="17">
        <f t="shared" si="27"/>
        <v>0</v>
      </c>
      <c r="AF155" s="17">
        <f t="shared" si="27"/>
        <v>0</v>
      </c>
      <c r="AG155" s="17">
        <f t="shared" si="27"/>
        <v>0</v>
      </c>
      <c r="AH155" s="17">
        <f t="shared" si="27"/>
        <v>0</v>
      </c>
      <c r="AI155" s="17">
        <f t="shared" si="27"/>
        <v>0</v>
      </c>
      <c r="AJ155" s="122">
        <f t="shared" si="27"/>
        <v>0</v>
      </c>
    </row>
    <row r="156" spans="1:36" x14ac:dyDescent="0.2">
      <c r="A156" s="173" t="s">
        <v>704</v>
      </c>
      <c r="B156" t="s">
        <v>687</v>
      </c>
      <c r="G156" s="8">
        <f t="shared" ref="G156:AJ156" si="28">$C$49*($D$97/G97)*G97</f>
        <v>10624000000</v>
      </c>
      <c r="H156" s="8">
        <f t="shared" si="28"/>
        <v>10624000000</v>
      </c>
      <c r="I156" s="8">
        <f t="shared" si="28"/>
        <v>10624000000</v>
      </c>
      <c r="J156" s="8">
        <f t="shared" si="28"/>
        <v>10624000000</v>
      </c>
      <c r="K156" s="8">
        <f t="shared" si="28"/>
        <v>10624000000</v>
      </c>
      <c r="L156" s="8">
        <f t="shared" si="28"/>
        <v>10624000000</v>
      </c>
      <c r="M156" s="8">
        <f t="shared" si="28"/>
        <v>10624000000</v>
      </c>
      <c r="N156" s="8">
        <f t="shared" si="28"/>
        <v>10624000000</v>
      </c>
      <c r="O156" s="8">
        <f t="shared" si="28"/>
        <v>10624000000</v>
      </c>
      <c r="P156" s="8">
        <f t="shared" si="28"/>
        <v>10624000000</v>
      </c>
      <c r="Q156" s="8">
        <f t="shared" si="28"/>
        <v>10624000000</v>
      </c>
      <c r="R156" s="8">
        <f t="shared" si="28"/>
        <v>10624000000</v>
      </c>
      <c r="S156" s="8">
        <f t="shared" si="28"/>
        <v>10624000000</v>
      </c>
      <c r="T156" s="8">
        <f t="shared" si="28"/>
        <v>10624000000</v>
      </c>
      <c r="U156" s="8">
        <f t="shared" si="28"/>
        <v>10624000000</v>
      </c>
      <c r="V156" s="8">
        <f t="shared" si="28"/>
        <v>10624000000</v>
      </c>
      <c r="W156" s="8">
        <f t="shared" si="28"/>
        <v>10624000000</v>
      </c>
      <c r="X156" s="8">
        <f t="shared" si="28"/>
        <v>10624000000.000002</v>
      </c>
      <c r="Y156" s="8">
        <f t="shared" si="28"/>
        <v>10624000000</v>
      </c>
      <c r="Z156" s="8">
        <f t="shared" si="28"/>
        <v>10624000000</v>
      </c>
      <c r="AA156" s="8">
        <f t="shared" si="28"/>
        <v>10624000000</v>
      </c>
      <c r="AB156" s="8">
        <f t="shared" si="28"/>
        <v>10624000000</v>
      </c>
      <c r="AC156" s="8">
        <f t="shared" si="28"/>
        <v>10624000000</v>
      </c>
      <c r="AD156" s="8">
        <f t="shared" si="28"/>
        <v>10624000000</v>
      </c>
      <c r="AE156" s="8">
        <f t="shared" si="28"/>
        <v>10624000000</v>
      </c>
      <c r="AF156" s="8">
        <f t="shared" si="28"/>
        <v>10624000000</v>
      </c>
      <c r="AG156" s="8">
        <f t="shared" si="28"/>
        <v>10624000000</v>
      </c>
      <c r="AH156" s="8">
        <f t="shared" si="28"/>
        <v>10624000000</v>
      </c>
      <c r="AI156" s="8">
        <f t="shared" si="28"/>
        <v>10624000000.000002</v>
      </c>
      <c r="AJ156" s="115">
        <f t="shared" si="28"/>
        <v>10624000000</v>
      </c>
    </row>
    <row r="157" spans="1:36" x14ac:dyDescent="0.2">
      <c r="A157" s="108" t="s">
        <v>737</v>
      </c>
      <c r="B157" t="s">
        <v>537</v>
      </c>
      <c r="C157" t="s">
        <v>312</v>
      </c>
      <c r="G157" s="17">
        <f t="shared" ref="G157:AJ157" si="29">G155/G156*-1*G99</f>
        <v>0</v>
      </c>
      <c r="H157" s="17">
        <f t="shared" si="29"/>
        <v>0</v>
      </c>
      <c r="I157" s="17">
        <f t="shared" si="29"/>
        <v>0</v>
      </c>
      <c r="J157" s="17">
        <f t="shared" si="29"/>
        <v>0</v>
      </c>
      <c r="K157" s="17">
        <f t="shared" si="29"/>
        <v>0</v>
      </c>
      <c r="L157" s="17">
        <f t="shared" si="29"/>
        <v>0</v>
      </c>
      <c r="M157" s="17">
        <f t="shared" si="29"/>
        <v>0</v>
      </c>
      <c r="N157" s="17">
        <f t="shared" si="29"/>
        <v>0</v>
      </c>
      <c r="O157" s="17">
        <f t="shared" si="29"/>
        <v>0</v>
      </c>
      <c r="P157" s="17">
        <f t="shared" si="29"/>
        <v>0</v>
      </c>
      <c r="Q157" s="17">
        <f t="shared" si="29"/>
        <v>0</v>
      </c>
      <c r="R157" s="17">
        <f t="shared" si="29"/>
        <v>0</v>
      </c>
      <c r="S157" s="17">
        <f t="shared" si="29"/>
        <v>0</v>
      </c>
      <c r="T157" s="17">
        <f t="shared" si="29"/>
        <v>0</v>
      </c>
      <c r="U157" s="17">
        <f t="shared" si="29"/>
        <v>0</v>
      </c>
      <c r="V157" s="17">
        <f t="shared" si="29"/>
        <v>0</v>
      </c>
      <c r="W157" s="17">
        <f t="shared" si="29"/>
        <v>0</v>
      </c>
      <c r="X157" s="17">
        <f t="shared" si="29"/>
        <v>0</v>
      </c>
      <c r="Y157" s="17">
        <f t="shared" si="29"/>
        <v>0</v>
      </c>
      <c r="Z157" s="17">
        <f t="shared" si="29"/>
        <v>0</v>
      </c>
      <c r="AA157" s="17">
        <f t="shared" si="29"/>
        <v>0</v>
      </c>
      <c r="AB157" s="17">
        <f t="shared" si="29"/>
        <v>0</v>
      </c>
      <c r="AC157" s="17">
        <f t="shared" si="29"/>
        <v>0</v>
      </c>
      <c r="AD157" s="17">
        <f t="shared" si="29"/>
        <v>0</v>
      </c>
      <c r="AE157" s="17">
        <f t="shared" si="29"/>
        <v>0</v>
      </c>
      <c r="AF157" s="17">
        <f t="shared" si="29"/>
        <v>0</v>
      </c>
      <c r="AG157" s="17">
        <f t="shared" si="29"/>
        <v>0</v>
      </c>
      <c r="AH157" s="17">
        <f t="shared" si="29"/>
        <v>0</v>
      </c>
      <c r="AI157" s="17">
        <f t="shared" si="29"/>
        <v>0</v>
      </c>
      <c r="AJ157" s="122">
        <f t="shared" si="29"/>
        <v>0</v>
      </c>
    </row>
    <row r="158" spans="1:36" x14ac:dyDescent="0.2">
      <c r="A158" s="108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7"/>
      <c r="AA158" s="17"/>
      <c r="AB158" s="17"/>
      <c r="AC158" s="17"/>
      <c r="AD158" s="17"/>
      <c r="AE158" s="17"/>
      <c r="AF158" s="17"/>
      <c r="AG158" s="17"/>
      <c r="AH158" s="17"/>
      <c r="AI158" s="17"/>
      <c r="AJ158" s="122"/>
    </row>
    <row r="159" spans="1:36" x14ac:dyDescent="0.2">
      <c r="A159" s="173" t="s">
        <v>738</v>
      </c>
      <c r="B159" t="s">
        <v>686</v>
      </c>
      <c r="G159" s="17">
        <f>$C$45*G94*C18</f>
        <v>217.53300059394343</v>
      </c>
      <c r="H159" s="17">
        <f t="shared" ref="H159:AJ159" si="30">$C$45*H94</f>
        <v>430.75841701770975</v>
      </c>
      <c r="I159" s="17">
        <f t="shared" si="30"/>
        <v>426.49348219575228</v>
      </c>
      <c r="J159" s="17">
        <f t="shared" si="30"/>
        <v>422.27077445123979</v>
      </c>
      <c r="K159" s="17">
        <f t="shared" si="30"/>
        <v>418.08987569429689</v>
      </c>
      <c r="L159" s="17">
        <f t="shared" si="30"/>
        <v>413.95037197455127</v>
      </c>
      <c r="M159" s="17">
        <f t="shared" si="30"/>
        <v>409.85185344014991</v>
      </c>
      <c r="N159" s="17">
        <f t="shared" si="30"/>
        <v>405.79391429717805</v>
      </c>
      <c r="O159" s="17">
        <f t="shared" si="30"/>
        <v>401.77615276948313</v>
      </c>
      <c r="P159" s="17">
        <f t="shared" si="30"/>
        <v>397.79817105889424</v>
      </c>
      <c r="Q159" s="17">
        <f t="shared" si="30"/>
        <v>393.85957530583596</v>
      </c>
      <c r="R159" s="17">
        <f t="shared" si="30"/>
        <v>389.95997555033262</v>
      </c>
      <c r="S159" s="17">
        <f t="shared" si="30"/>
        <v>386.09898569339856</v>
      </c>
      <c r="T159" s="17">
        <f t="shared" si="30"/>
        <v>382.27622345881048</v>
      </c>
      <c r="U159" s="17">
        <f t="shared" si="30"/>
        <v>378.49131035525801</v>
      </c>
      <c r="V159" s="17">
        <f t="shared" si="30"/>
        <v>374.74387163886917</v>
      </c>
      <c r="W159" s="17">
        <f t="shared" si="30"/>
        <v>371.03353627610801</v>
      </c>
      <c r="X159" s="17">
        <f t="shared" si="30"/>
        <v>367.35993690703765</v>
      </c>
      <c r="Y159" s="17">
        <f t="shared" si="30"/>
        <v>363.72270980894825</v>
      </c>
      <c r="Z159" s="17">
        <f t="shared" si="30"/>
        <v>360.12149486034474</v>
      </c>
      <c r="AA159" s="17">
        <f t="shared" si="30"/>
        <v>356.55593550529193</v>
      </c>
      <c r="AB159" s="17">
        <f t="shared" si="30"/>
        <v>353.02567871811073</v>
      </c>
      <c r="AC159" s="17">
        <f t="shared" si="30"/>
        <v>349.53037496842649</v>
      </c>
      <c r="AD159" s="17">
        <f t="shared" si="30"/>
        <v>346.06967818656085</v>
      </c>
      <c r="AE159" s="17">
        <f t="shared" si="30"/>
        <v>342.64324572926807</v>
      </c>
      <c r="AF159" s="17">
        <f t="shared" si="30"/>
        <v>339.25073834580996</v>
      </c>
      <c r="AG159" s="17">
        <f t="shared" si="30"/>
        <v>335.89182014436648</v>
      </c>
      <c r="AH159" s="17">
        <f t="shared" si="30"/>
        <v>332.56615855877862</v>
      </c>
      <c r="AI159" s="17">
        <f t="shared" si="30"/>
        <v>329.27342431562244</v>
      </c>
      <c r="AJ159" s="122">
        <f t="shared" si="30"/>
        <v>326.0132914016063</v>
      </c>
    </row>
    <row r="160" spans="1:36" x14ac:dyDescent="0.2">
      <c r="A160" s="173" t="s">
        <v>705</v>
      </c>
      <c r="B160" t="s">
        <v>686</v>
      </c>
      <c r="G160" s="8">
        <f t="shared" ref="G160:AJ160" si="31">$C$50*($D$97/G97)*G97</f>
        <v>36540251999999.992</v>
      </c>
      <c r="H160" s="8">
        <f t="shared" si="31"/>
        <v>36540252000000</v>
      </c>
      <c r="I160" s="8">
        <f t="shared" si="31"/>
        <v>36540252000000</v>
      </c>
      <c r="J160" s="8">
        <f t="shared" si="31"/>
        <v>36540251999999.992</v>
      </c>
      <c r="K160" s="8">
        <f t="shared" si="31"/>
        <v>36540252000000</v>
      </c>
      <c r="L160" s="8">
        <f t="shared" si="31"/>
        <v>36540251999999.992</v>
      </c>
      <c r="M160" s="8">
        <f t="shared" si="31"/>
        <v>36540252000000</v>
      </c>
      <c r="N160" s="8">
        <f t="shared" si="31"/>
        <v>36540252000000</v>
      </c>
      <c r="O160" s="8">
        <f t="shared" si="31"/>
        <v>36540252000000</v>
      </c>
      <c r="P160" s="8">
        <f t="shared" si="31"/>
        <v>36540252000000</v>
      </c>
      <c r="Q160" s="8">
        <f t="shared" si="31"/>
        <v>36540251999999.992</v>
      </c>
      <c r="R160" s="8">
        <f t="shared" si="31"/>
        <v>36540251999999.992</v>
      </c>
      <c r="S160" s="8">
        <f t="shared" si="31"/>
        <v>36540251999999.992</v>
      </c>
      <c r="T160" s="8">
        <f t="shared" si="31"/>
        <v>36540251999999.992</v>
      </c>
      <c r="U160" s="8">
        <f t="shared" si="31"/>
        <v>36540252000000</v>
      </c>
      <c r="V160" s="8">
        <f t="shared" si="31"/>
        <v>36540252000000</v>
      </c>
      <c r="W160" s="8">
        <f t="shared" si="31"/>
        <v>36540252000000</v>
      </c>
      <c r="X160" s="8">
        <f t="shared" si="31"/>
        <v>36540252000000</v>
      </c>
      <c r="Y160" s="8">
        <f t="shared" si="31"/>
        <v>36540252000000</v>
      </c>
      <c r="Z160" s="8">
        <f t="shared" si="31"/>
        <v>36540251999999.992</v>
      </c>
      <c r="AA160" s="8">
        <f t="shared" si="31"/>
        <v>36540252000000</v>
      </c>
      <c r="AB160" s="8">
        <f t="shared" si="31"/>
        <v>36540252000000</v>
      </c>
      <c r="AC160" s="8">
        <f t="shared" si="31"/>
        <v>36540251999999.992</v>
      </c>
      <c r="AD160" s="8">
        <f t="shared" si="31"/>
        <v>36540251999999.992</v>
      </c>
      <c r="AE160" s="8">
        <f t="shared" si="31"/>
        <v>36540251999999.992</v>
      </c>
      <c r="AF160" s="8">
        <f t="shared" si="31"/>
        <v>36540252000000</v>
      </c>
      <c r="AG160" s="8">
        <f t="shared" si="31"/>
        <v>36540252000000</v>
      </c>
      <c r="AH160" s="8">
        <f t="shared" si="31"/>
        <v>36540252000000</v>
      </c>
      <c r="AI160" s="8">
        <f t="shared" si="31"/>
        <v>36540252000000</v>
      </c>
      <c r="AJ160" s="115">
        <f t="shared" si="31"/>
        <v>36540252000000</v>
      </c>
    </row>
    <row r="161" spans="1:36" x14ac:dyDescent="0.2">
      <c r="A161" s="108" t="s">
        <v>739</v>
      </c>
      <c r="B161" t="s">
        <v>537</v>
      </c>
      <c r="C161" t="s">
        <v>312</v>
      </c>
      <c r="G161" s="17">
        <f t="shared" ref="G161:AJ161" si="32">G159/G160*-1*G99</f>
        <v>-4.7625944253245646E-4</v>
      </c>
      <c r="H161" s="17">
        <f t="shared" si="32"/>
        <v>-9.4308800501476499E-4</v>
      </c>
      <c r="I161" s="17">
        <f t="shared" si="32"/>
        <v>-9.3375050001461902E-4</v>
      </c>
      <c r="J161" s="17">
        <f t="shared" si="32"/>
        <v>-9.2450544555902874E-4</v>
      </c>
      <c r="K161" s="17">
        <f t="shared" si="32"/>
        <v>-9.1535192629606796E-4</v>
      </c>
      <c r="L161" s="17">
        <f t="shared" si="32"/>
        <v>-9.0628903593670089E-4</v>
      </c>
      <c r="M161" s="17">
        <f t="shared" si="32"/>
        <v>-8.9731587716505054E-4</v>
      </c>
      <c r="N161" s="17">
        <f t="shared" si="32"/>
        <v>-8.8843156154955487E-4</v>
      </c>
      <c r="O161" s="17">
        <f t="shared" si="32"/>
        <v>-8.7963520945500469E-4</v>
      </c>
      <c r="P161" s="17">
        <f t="shared" si="32"/>
        <v>-8.7092594995545028E-4</v>
      </c>
      <c r="Q161" s="17">
        <f t="shared" si="32"/>
        <v>-8.6230292074797083E-4</v>
      </c>
      <c r="R161" s="17">
        <f t="shared" si="32"/>
        <v>-8.5376526806729778E-4</v>
      </c>
      <c r="S161" s="17">
        <f t="shared" si="32"/>
        <v>-8.453121466012848E-4</v>
      </c>
      <c r="T161" s="17">
        <f t="shared" si="32"/>
        <v>-8.3694271940721275E-4</v>
      </c>
      <c r="U161" s="17">
        <f t="shared" si="32"/>
        <v>-8.2865615782892353E-4</v>
      </c>
      <c r="V161" s="17">
        <f t="shared" si="32"/>
        <v>-8.204516414147755E-4</v>
      </c>
      <c r="W161" s="17">
        <f t="shared" si="32"/>
        <v>-8.1232835783641118E-4</v>
      </c>
      <c r="X161" s="17">
        <f t="shared" si="32"/>
        <v>-8.0428550280832792E-4</v>
      </c>
      <c r="Y161" s="17">
        <f t="shared" si="32"/>
        <v>-7.9632228000824578E-4</v>
      </c>
      <c r="Z161" s="17">
        <f t="shared" si="32"/>
        <v>-7.884379009982631E-4</v>
      </c>
      <c r="AA161" s="17">
        <f t="shared" si="32"/>
        <v>-7.8063158514679522E-4</v>
      </c>
      <c r="AB161" s="17">
        <f t="shared" si="32"/>
        <v>-7.7290255955128227E-4</v>
      </c>
      <c r="AC161" s="17">
        <f t="shared" si="32"/>
        <v>-7.6525005896166572E-4</v>
      </c>
      <c r="AD161" s="17">
        <f t="shared" si="32"/>
        <v>-7.5767332570461957E-4</v>
      </c>
      <c r="AE161" s="17">
        <f t="shared" si="32"/>
        <v>-7.501716096085339E-4</v>
      </c>
      <c r="AF161" s="17">
        <f t="shared" si="32"/>
        <v>-7.4274416792924141E-4</v>
      </c>
      <c r="AG161" s="17">
        <f t="shared" si="32"/>
        <v>-7.3539026527647705E-4</v>
      </c>
      <c r="AH161" s="17">
        <f t="shared" si="32"/>
        <v>-7.2810917354106618E-4</v>
      </c>
      <c r="AI161" s="17">
        <f t="shared" si="32"/>
        <v>-7.2090017182283787E-4</v>
      </c>
      <c r="AJ161" s="122">
        <f t="shared" si="32"/>
        <v>-7.1376254635924523E-4</v>
      </c>
    </row>
    <row r="162" spans="1:36" x14ac:dyDescent="0.2">
      <c r="A162" s="108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7"/>
      <c r="AA162" s="17"/>
      <c r="AB162" s="17"/>
      <c r="AC162" s="17"/>
      <c r="AD162" s="17"/>
      <c r="AE162" s="17"/>
      <c r="AF162" s="17"/>
      <c r="AG162" s="17"/>
      <c r="AH162" s="17"/>
      <c r="AI162" s="17"/>
      <c r="AJ162" s="122"/>
    </row>
    <row r="163" spans="1:36" x14ac:dyDescent="0.2">
      <c r="A163" s="116" t="s">
        <v>741</v>
      </c>
      <c r="B163" s="30"/>
      <c r="C163" s="30"/>
      <c r="D163" s="30"/>
      <c r="E163" s="30"/>
      <c r="F163" s="30"/>
      <c r="G163" s="213"/>
      <c r="H163" s="213"/>
      <c r="I163" s="213"/>
      <c r="J163" s="213"/>
      <c r="K163" s="213"/>
      <c r="L163" s="213"/>
      <c r="M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13"/>
      <c r="AF163" s="213"/>
      <c r="AG163" s="213"/>
      <c r="AH163" s="213"/>
      <c r="AI163" s="213"/>
      <c r="AJ163" s="164"/>
    </row>
    <row r="164" spans="1:36" x14ac:dyDescent="0.2">
      <c r="A164" s="173" t="s">
        <v>742</v>
      </c>
      <c r="B164" t="s">
        <v>698</v>
      </c>
      <c r="G164" s="17">
        <f>$C$53*G94*C18</f>
        <v>2.3270972156561385E-3</v>
      </c>
      <c r="H164" s="17">
        <f t="shared" ref="H164:AJ164" si="33">$C$53*H94</f>
        <v>4.608113298328987E-3</v>
      </c>
      <c r="I164" s="17">
        <f t="shared" si="33"/>
        <v>4.5624884141871169E-3</v>
      </c>
      <c r="J164" s="17">
        <f t="shared" si="33"/>
        <v>4.5173152615714017E-3</v>
      </c>
      <c r="K164" s="17">
        <f t="shared" si="33"/>
        <v>4.4725893678924777E-3</v>
      </c>
      <c r="L164" s="17">
        <f t="shared" si="33"/>
        <v>4.4283063048440362E-3</v>
      </c>
      <c r="M164" s="17">
        <f t="shared" si="33"/>
        <v>4.3844616879643939E-3</v>
      </c>
      <c r="N164" s="17">
        <f t="shared" si="33"/>
        <v>4.341051176202369E-3</v>
      </c>
      <c r="O164" s="17">
        <f t="shared" si="33"/>
        <v>4.2980704714874933E-3</v>
      </c>
      <c r="P164" s="17">
        <f t="shared" si="33"/>
        <v>4.2555153183044493E-3</v>
      </c>
      <c r="Q164" s="17">
        <f t="shared" si="33"/>
        <v>4.2133815032717329E-3</v>
      </c>
      <c r="R164" s="17">
        <f t="shared" si="33"/>
        <v>4.1716648547244876E-3</v>
      </c>
      <c r="S164" s="17">
        <f t="shared" si="33"/>
        <v>4.1303612423014731E-3</v>
      </c>
      <c r="T164" s="17">
        <f t="shared" si="33"/>
        <v>4.0894665765361113E-3</v>
      </c>
      <c r="U164" s="17">
        <f t="shared" si="33"/>
        <v>4.0489768084515966E-3</v>
      </c>
      <c r="V164" s="17">
        <f t="shared" si="33"/>
        <v>4.0088879291599955E-3</v>
      </c>
      <c r="W164" s="17">
        <f t="shared" si="33"/>
        <v>3.9691959694653414E-3</v>
      </c>
      <c r="X164" s="17">
        <f t="shared" si="33"/>
        <v>3.9298969994706352E-3</v>
      </c>
      <c r="Y164" s="17">
        <f t="shared" si="33"/>
        <v>3.8909871281887485E-3</v>
      </c>
      <c r="Z164" s="17">
        <f t="shared" si="33"/>
        <v>3.8524625031571762E-3</v>
      </c>
      <c r="AA164" s="17">
        <f t="shared" si="33"/>
        <v>3.8143193100566106E-3</v>
      </c>
      <c r="AB164" s="17">
        <f t="shared" si="33"/>
        <v>3.776553772333277E-3</v>
      </c>
      <c r="AC164" s="17">
        <f t="shared" si="33"/>
        <v>3.7391621508250272E-3</v>
      </c>
      <c r="AD164" s="17">
        <f t="shared" si="33"/>
        <v>3.7021407433911156E-3</v>
      </c>
      <c r="AE164" s="17">
        <f t="shared" si="33"/>
        <v>3.6654858845456581E-3</v>
      </c>
      <c r="AF164" s="17">
        <f t="shared" si="33"/>
        <v>3.629193945094711E-3</v>
      </c>
      <c r="AG164" s="17">
        <f t="shared" si="33"/>
        <v>3.5932613317769431E-3</v>
      </c>
      <c r="AH164" s="17">
        <f t="shared" si="33"/>
        <v>3.557684486907864E-3</v>
      </c>
      <c r="AI164" s="17">
        <f t="shared" si="33"/>
        <v>3.522459888027588E-3</v>
      </c>
      <c r="AJ164" s="122">
        <f t="shared" si="33"/>
        <v>3.4875840475520666E-3</v>
      </c>
    </row>
    <row r="165" spans="1:36" x14ac:dyDescent="0.2">
      <c r="A165" s="173" t="s">
        <v>706</v>
      </c>
      <c r="B165" t="s">
        <v>698</v>
      </c>
      <c r="G165" s="8">
        <f t="shared" ref="G165:AJ165" si="34">$C$56*($D$97/G97)*G97</f>
        <v>8300000000</v>
      </c>
      <c r="H165" s="8">
        <f t="shared" si="34"/>
        <v>8300000000</v>
      </c>
      <c r="I165" s="8">
        <f t="shared" si="34"/>
        <v>8300000000</v>
      </c>
      <c r="J165" s="8">
        <f t="shared" si="34"/>
        <v>8300000000</v>
      </c>
      <c r="K165" s="8">
        <f t="shared" si="34"/>
        <v>8300000000</v>
      </c>
      <c r="L165" s="8">
        <f t="shared" si="34"/>
        <v>8300000000</v>
      </c>
      <c r="M165" s="8">
        <f t="shared" si="34"/>
        <v>8300000000</v>
      </c>
      <c r="N165" s="8">
        <f t="shared" si="34"/>
        <v>8300000000</v>
      </c>
      <c r="O165" s="8">
        <f t="shared" si="34"/>
        <v>8300000000</v>
      </c>
      <c r="P165" s="8">
        <f t="shared" si="34"/>
        <v>8300000000</v>
      </c>
      <c r="Q165" s="8">
        <f t="shared" si="34"/>
        <v>8300000000</v>
      </c>
      <c r="R165" s="8">
        <f t="shared" si="34"/>
        <v>8300000000</v>
      </c>
      <c r="S165" s="8">
        <f t="shared" si="34"/>
        <v>8300000000</v>
      </c>
      <c r="T165" s="8">
        <f t="shared" si="34"/>
        <v>8300000000</v>
      </c>
      <c r="U165" s="8">
        <f t="shared" si="34"/>
        <v>8300000000</v>
      </c>
      <c r="V165" s="8">
        <f t="shared" si="34"/>
        <v>8300000000</v>
      </c>
      <c r="W165" s="8">
        <f t="shared" si="34"/>
        <v>8300000000</v>
      </c>
      <c r="X165" s="8">
        <f t="shared" si="34"/>
        <v>8300000000</v>
      </c>
      <c r="Y165" s="8">
        <f t="shared" si="34"/>
        <v>8300000000</v>
      </c>
      <c r="Z165" s="8">
        <f t="shared" si="34"/>
        <v>8300000000</v>
      </c>
      <c r="AA165" s="8">
        <f t="shared" si="34"/>
        <v>8300000000.000001</v>
      </c>
      <c r="AB165" s="8">
        <f t="shared" si="34"/>
        <v>8300000000</v>
      </c>
      <c r="AC165" s="8">
        <f t="shared" si="34"/>
        <v>8300000000</v>
      </c>
      <c r="AD165" s="8">
        <f t="shared" si="34"/>
        <v>8300000000</v>
      </c>
      <c r="AE165" s="8">
        <f t="shared" si="34"/>
        <v>8300000000</v>
      </c>
      <c r="AF165" s="8">
        <f t="shared" si="34"/>
        <v>8300000000</v>
      </c>
      <c r="AG165" s="8">
        <f t="shared" si="34"/>
        <v>8300000000</v>
      </c>
      <c r="AH165" s="8">
        <f t="shared" si="34"/>
        <v>8300000000</v>
      </c>
      <c r="AI165" s="8">
        <f t="shared" si="34"/>
        <v>8300000000</v>
      </c>
      <c r="AJ165" s="115">
        <f t="shared" si="34"/>
        <v>8300000000</v>
      </c>
    </row>
    <row r="166" spans="1:36" x14ac:dyDescent="0.2">
      <c r="A166" s="108" t="s">
        <v>743</v>
      </c>
      <c r="B166" t="s">
        <v>537</v>
      </c>
      <c r="C166" t="s">
        <v>312</v>
      </c>
      <c r="G166" s="17">
        <f t="shared" ref="G166:AJ166" si="35">G164/G165*-1*G99</f>
        <v>-2.242985268102302E-5</v>
      </c>
      <c r="H166" s="17">
        <f t="shared" si="35"/>
        <v>-4.4415549863411924E-5</v>
      </c>
      <c r="I166" s="17">
        <f t="shared" si="35"/>
        <v>-4.3975791943972211E-5</v>
      </c>
      <c r="J166" s="17">
        <f t="shared" si="35"/>
        <v>-4.3540388063338808E-5</v>
      </c>
      <c r="K166" s="17">
        <f t="shared" si="35"/>
        <v>-4.310929511221665E-5</v>
      </c>
      <c r="L166" s="17">
        <f t="shared" si="35"/>
        <v>-4.2682470408135292E-5</v>
      </c>
      <c r="M166" s="17">
        <f t="shared" si="35"/>
        <v>-4.2259871691223072E-5</v>
      </c>
      <c r="N166" s="17">
        <f t="shared" si="35"/>
        <v>-4.1841457120022832E-5</v>
      </c>
      <c r="O166" s="17">
        <f t="shared" si="35"/>
        <v>-4.1427185267349335E-5</v>
      </c>
      <c r="P166" s="17">
        <f t="shared" si="35"/>
        <v>-4.101701511618746E-5</v>
      </c>
      <c r="Q166" s="17">
        <f t="shared" si="35"/>
        <v>-4.0610906055631163E-5</v>
      </c>
      <c r="R166" s="17">
        <f t="shared" si="35"/>
        <v>-4.0208817876862527E-5</v>
      </c>
      <c r="S166" s="17">
        <f t="shared" si="35"/>
        <v>-3.9810710769170821E-5</v>
      </c>
      <c r="T166" s="17">
        <f t="shared" si="35"/>
        <v>-3.9416545316010707E-5</v>
      </c>
      <c r="U166" s="17">
        <f t="shared" si="35"/>
        <v>-3.9026282491099722E-5</v>
      </c>
      <c r="V166" s="17">
        <f t="shared" si="35"/>
        <v>-3.8639883654554179E-5</v>
      </c>
      <c r="W166" s="17">
        <f t="shared" si="35"/>
        <v>-3.8257310549063532E-5</v>
      </c>
      <c r="X166" s="17">
        <f t="shared" si="35"/>
        <v>-3.7878525296102506E-5</v>
      </c>
      <c r="Y166" s="17">
        <f t="shared" si="35"/>
        <v>-3.750349039218071E-5</v>
      </c>
      <c r="Z166" s="17">
        <f t="shared" si="35"/>
        <v>-3.7132168705129412E-5</v>
      </c>
      <c r="AA166" s="17">
        <f t="shared" si="35"/>
        <v>-3.6764523470425165E-5</v>
      </c>
      <c r="AB166" s="17">
        <f t="shared" si="35"/>
        <v>-3.6400518287549662E-5</v>
      </c>
      <c r="AC166" s="17">
        <f t="shared" si="35"/>
        <v>-3.6040117116385804E-5</v>
      </c>
      <c r="AD166" s="17">
        <f t="shared" si="35"/>
        <v>-3.5683284273649309E-5</v>
      </c>
      <c r="AE166" s="17">
        <f t="shared" si="35"/>
        <v>-3.5329984429355741E-5</v>
      </c>
      <c r="AF166" s="17">
        <f t="shared" si="35"/>
        <v>-3.4980182603322512E-5</v>
      </c>
      <c r="AG166" s="17">
        <f t="shared" si="35"/>
        <v>-3.4633844161705475E-5</v>
      </c>
      <c r="AH166" s="17">
        <f t="shared" si="35"/>
        <v>-3.4290934813569773E-5</v>
      </c>
      <c r="AI166" s="17">
        <f t="shared" si="35"/>
        <v>-3.3951420607494825E-5</v>
      </c>
      <c r="AJ166" s="122">
        <f t="shared" si="35"/>
        <v>-3.3615267928212686E-5</v>
      </c>
    </row>
    <row r="167" spans="1:36" x14ac:dyDescent="0.2">
      <c r="A167" s="108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7"/>
      <c r="AA167" s="17"/>
      <c r="AB167" s="17"/>
      <c r="AC167" s="17"/>
      <c r="AD167" s="17"/>
      <c r="AE167" s="17"/>
      <c r="AF167" s="17"/>
      <c r="AG167" s="17"/>
      <c r="AH167" s="17"/>
      <c r="AI167" s="17"/>
      <c r="AJ167" s="122"/>
    </row>
    <row r="168" spans="1:36" x14ac:dyDescent="0.2">
      <c r="A168" s="173" t="s">
        <v>744</v>
      </c>
      <c r="B168" t="s">
        <v>698</v>
      </c>
      <c r="G168" s="17">
        <f>$C$54*G94*C18</f>
        <v>0.27571043098534687</v>
      </c>
      <c r="H168" s="17">
        <f t="shared" ref="H168:AJ168" si="36">$C$54*H94</f>
        <v>0.54596124947593438</v>
      </c>
      <c r="I168" s="17">
        <f t="shared" si="36"/>
        <v>0.54055569255043012</v>
      </c>
      <c r="J168" s="17">
        <f t="shared" si="36"/>
        <v>0.53520365599052488</v>
      </c>
      <c r="K168" s="17">
        <f t="shared" si="36"/>
        <v>0.52990460989160881</v>
      </c>
      <c r="L168" s="17">
        <f t="shared" si="36"/>
        <v>0.52465802959565222</v>
      </c>
      <c r="M168" s="17">
        <f t="shared" si="36"/>
        <v>0.51946339563925981</v>
      </c>
      <c r="N168" s="17">
        <f t="shared" si="36"/>
        <v>0.51432019370223725</v>
      </c>
      <c r="O168" s="17">
        <f t="shared" si="36"/>
        <v>0.50922791455667049</v>
      </c>
      <c r="P168" s="17">
        <f t="shared" si="36"/>
        <v>0.5041860540165054</v>
      </c>
      <c r="Q168" s="17">
        <f t="shared" si="36"/>
        <v>0.49919411288762927</v>
      </c>
      <c r="R168" s="17">
        <f t="shared" si="36"/>
        <v>0.49425159691844478</v>
      </c>
      <c r="S168" s="17">
        <f t="shared" si="36"/>
        <v>0.48935801675093538</v>
      </c>
      <c r="T168" s="17">
        <f t="shared" si="36"/>
        <v>0.48451288787221325</v>
      </c>
      <c r="U168" s="17">
        <f t="shared" si="36"/>
        <v>0.47971573056654787</v>
      </c>
      <c r="V168" s="17">
        <f t="shared" si="36"/>
        <v>0.47496606986786899</v>
      </c>
      <c r="W168" s="17">
        <f t="shared" si="36"/>
        <v>0.47026343551274158</v>
      </c>
      <c r="X168" s="17">
        <f t="shared" si="36"/>
        <v>0.46560736189380353</v>
      </c>
      <c r="Y168" s="17">
        <f t="shared" si="36"/>
        <v>0.46099738801366696</v>
      </c>
      <c r="Z168" s="17">
        <f t="shared" si="36"/>
        <v>0.45643305743927415</v>
      </c>
      <c r="AA168" s="17">
        <f t="shared" si="36"/>
        <v>0.45191391825670718</v>
      </c>
      <c r="AB168" s="17">
        <f t="shared" si="36"/>
        <v>0.44743952302644263</v>
      </c>
      <c r="AC168" s="17">
        <f t="shared" si="36"/>
        <v>0.44300942873905214</v>
      </c>
      <c r="AD168" s="17">
        <f t="shared" si="36"/>
        <v>0.43862319677133871</v>
      </c>
      <c r="AE168" s="17">
        <f t="shared" si="36"/>
        <v>0.43428039284290954</v>
      </c>
      <c r="AF168" s="17">
        <f t="shared" si="36"/>
        <v>0.42998058697317776</v>
      </c>
      <c r="AG168" s="17">
        <f t="shared" si="36"/>
        <v>0.42572335343879003</v>
      </c>
      <c r="AH168" s="17">
        <f t="shared" si="36"/>
        <v>0.42150827073147523</v>
      </c>
      <c r="AI168" s="17">
        <f t="shared" si="36"/>
        <v>0.41733492151631213</v>
      </c>
      <c r="AJ168" s="122">
        <f t="shared" si="36"/>
        <v>0.41320289259040793</v>
      </c>
    </row>
    <row r="169" spans="1:36" x14ac:dyDescent="0.2">
      <c r="A169" s="173" t="s">
        <v>707</v>
      </c>
      <c r="B169" t="s">
        <v>698</v>
      </c>
      <c r="G169" s="8">
        <f t="shared" ref="G169:AJ169" si="37">$C$57*($D$97/G97)*G97</f>
        <v>8300000000</v>
      </c>
      <c r="H169" s="8">
        <f t="shared" si="37"/>
        <v>8300000000</v>
      </c>
      <c r="I169" s="8">
        <f t="shared" si="37"/>
        <v>8300000000</v>
      </c>
      <c r="J169" s="8">
        <f t="shared" si="37"/>
        <v>8300000000</v>
      </c>
      <c r="K169" s="8">
        <f t="shared" si="37"/>
        <v>8300000000</v>
      </c>
      <c r="L169" s="8">
        <f t="shared" si="37"/>
        <v>8300000000</v>
      </c>
      <c r="M169" s="8">
        <f t="shared" si="37"/>
        <v>8300000000</v>
      </c>
      <c r="N169" s="8">
        <f t="shared" si="37"/>
        <v>8300000000</v>
      </c>
      <c r="O169" s="8">
        <f t="shared" si="37"/>
        <v>8300000000</v>
      </c>
      <c r="P169" s="8">
        <f t="shared" si="37"/>
        <v>8300000000</v>
      </c>
      <c r="Q169" s="8">
        <f t="shared" si="37"/>
        <v>8300000000</v>
      </c>
      <c r="R169" s="8">
        <f t="shared" si="37"/>
        <v>8300000000</v>
      </c>
      <c r="S169" s="8">
        <f t="shared" si="37"/>
        <v>8300000000</v>
      </c>
      <c r="T169" s="8">
        <f t="shared" si="37"/>
        <v>8300000000</v>
      </c>
      <c r="U169" s="8">
        <f t="shared" si="37"/>
        <v>8300000000</v>
      </c>
      <c r="V169" s="8">
        <f t="shared" si="37"/>
        <v>8300000000</v>
      </c>
      <c r="W169" s="8">
        <f t="shared" si="37"/>
        <v>8300000000</v>
      </c>
      <c r="X169" s="8">
        <f t="shared" si="37"/>
        <v>8300000000</v>
      </c>
      <c r="Y169" s="8">
        <f t="shared" si="37"/>
        <v>8300000000</v>
      </c>
      <c r="Z169" s="8">
        <f t="shared" si="37"/>
        <v>8300000000</v>
      </c>
      <c r="AA169" s="8">
        <f t="shared" si="37"/>
        <v>8300000000.000001</v>
      </c>
      <c r="AB169" s="8">
        <f t="shared" si="37"/>
        <v>8300000000</v>
      </c>
      <c r="AC169" s="8">
        <f t="shared" si="37"/>
        <v>8300000000</v>
      </c>
      <c r="AD169" s="8">
        <f t="shared" si="37"/>
        <v>8300000000</v>
      </c>
      <c r="AE169" s="8">
        <f t="shared" si="37"/>
        <v>8300000000</v>
      </c>
      <c r="AF169" s="8">
        <f t="shared" si="37"/>
        <v>8300000000</v>
      </c>
      <c r="AG169" s="8">
        <f t="shared" si="37"/>
        <v>8300000000</v>
      </c>
      <c r="AH169" s="8">
        <f t="shared" si="37"/>
        <v>8300000000</v>
      </c>
      <c r="AI169" s="8">
        <f t="shared" si="37"/>
        <v>8300000000</v>
      </c>
      <c r="AJ169" s="115">
        <f t="shared" si="37"/>
        <v>8300000000</v>
      </c>
    </row>
    <row r="170" spans="1:36" x14ac:dyDescent="0.2">
      <c r="A170" s="108" t="s">
        <v>743</v>
      </c>
      <c r="B170" t="s">
        <v>537</v>
      </c>
      <c r="C170" t="s">
        <v>312</v>
      </c>
      <c r="G170" s="17">
        <f t="shared" ref="G170:AJ170" si="38">G168/G169*-1*G99</f>
        <v>-2.6574499372081623E-3</v>
      </c>
      <c r="H170" s="17">
        <f t="shared" si="38"/>
        <v>-5.2622771033825006E-3</v>
      </c>
      <c r="I170" s="17">
        <f t="shared" si="38"/>
        <v>-5.2101753498836646E-3</v>
      </c>
      <c r="J170" s="17">
        <f t="shared" si="38"/>
        <v>-5.1585894553303601E-3</v>
      </c>
      <c r="K170" s="17">
        <f t="shared" si="38"/>
        <v>-5.107514312208278E-3</v>
      </c>
      <c r="L170" s="17">
        <f t="shared" si="38"/>
        <v>-5.0569448635725519E-3</v>
      </c>
      <c r="M170" s="17">
        <f t="shared" si="38"/>
        <v>-5.0068761025470823E-3</v>
      </c>
      <c r="N170" s="17">
        <f t="shared" si="38"/>
        <v>-4.9573030718287926E-3</v>
      </c>
      <c r="O170" s="17">
        <f t="shared" si="38"/>
        <v>-4.9082208631968244E-3</v>
      </c>
      <c r="P170" s="17">
        <f t="shared" si="38"/>
        <v>-4.8596246170265582E-3</v>
      </c>
      <c r="Q170" s="17">
        <f t="shared" si="38"/>
        <v>-4.8115095218084743E-3</v>
      </c>
      <c r="R170" s="17">
        <f t="shared" si="38"/>
        <v>-4.7638708136717566E-3</v>
      </c>
      <c r="S170" s="17">
        <f t="shared" si="38"/>
        <v>-4.7167037759126302E-3</v>
      </c>
      <c r="T170" s="17">
        <f t="shared" si="38"/>
        <v>-4.6700037385273572E-3</v>
      </c>
      <c r="U170" s="17">
        <f t="shared" si="38"/>
        <v>-4.6237660777498591E-3</v>
      </c>
      <c r="V170" s="17">
        <f t="shared" si="38"/>
        <v>-4.5779862155939178E-3</v>
      </c>
      <c r="W170" s="17">
        <f t="shared" si="38"/>
        <v>-4.532659619399919E-3</v>
      </c>
      <c r="X170" s="17">
        <f t="shared" si="38"/>
        <v>-4.4877818013860579E-3</v>
      </c>
      <c r="Y170" s="17">
        <f t="shared" si="38"/>
        <v>-4.4433483182040184E-3</v>
      </c>
      <c r="Z170" s="17">
        <f t="shared" si="38"/>
        <v>-4.3993547704990277E-3</v>
      </c>
      <c r="AA170" s="17">
        <f t="shared" si="38"/>
        <v>-4.3557968024742861E-3</v>
      </c>
      <c r="AB170" s="17">
        <f t="shared" si="38"/>
        <v>-4.3126701014596881E-3</v>
      </c>
      <c r="AC170" s="17">
        <f t="shared" si="38"/>
        <v>-4.2699703974848398E-3</v>
      </c>
      <c r="AD170" s="17">
        <f t="shared" si="38"/>
        <v>-4.227693462856277E-3</v>
      </c>
      <c r="AE170" s="17">
        <f t="shared" si="38"/>
        <v>-4.185835111738887E-3</v>
      </c>
      <c r="AF170" s="17">
        <f t="shared" si="38"/>
        <v>-4.1443911997414724E-3</v>
      </c>
      <c r="AG170" s="17">
        <f t="shared" si="38"/>
        <v>-4.1033576235064099E-3</v>
      </c>
      <c r="AH170" s="17">
        <f t="shared" si="38"/>
        <v>-4.0627303203033755E-3</v>
      </c>
      <c r="AI170" s="17">
        <f t="shared" si="38"/>
        <v>-4.0225052676271054E-3</v>
      </c>
      <c r="AJ170" s="122">
        <f t="shared" si="38"/>
        <v>-3.9826784827991122E-3</v>
      </c>
    </row>
    <row r="171" spans="1:36" x14ac:dyDescent="0.2">
      <c r="A171" s="108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7"/>
      <c r="AA171" s="17"/>
      <c r="AB171" s="17"/>
      <c r="AC171" s="17"/>
      <c r="AD171" s="17"/>
      <c r="AE171" s="17"/>
      <c r="AF171" s="17"/>
      <c r="AG171" s="17"/>
      <c r="AH171" s="17"/>
      <c r="AI171" s="17"/>
      <c r="AJ171" s="122"/>
    </row>
    <row r="172" spans="1:36" x14ac:dyDescent="0.2">
      <c r="A172" s="184" t="s">
        <v>940</v>
      </c>
      <c r="B172" s="179"/>
      <c r="C172" s="179"/>
      <c r="D172" s="179"/>
      <c r="E172" s="179"/>
      <c r="F172" s="179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  <c r="AA172" s="214"/>
      <c r="AB172" s="214"/>
      <c r="AC172" s="214"/>
      <c r="AD172" s="214"/>
      <c r="AE172" s="214"/>
      <c r="AF172" s="214"/>
      <c r="AG172" s="214"/>
      <c r="AH172" s="214"/>
      <c r="AI172" s="214"/>
      <c r="AJ172" s="183"/>
    </row>
    <row r="173" spans="1:36" x14ac:dyDescent="0.2">
      <c r="A173" s="22" t="s">
        <v>933</v>
      </c>
      <c r="B173" t="s">
        <v>16</v>
      </c>
      <c r="G173" s="17">
        <f>$C$60*G94*C18</f>
        <v>88118811.881188124</v>
      </c>
      <c r="H173" s="17">
        <f t="shared" ref="H173:AJ173" si="39">$C$60*H94</f>
        <v>174492696.7944319</v>
      </c>
      <c r="I173" s="17">
        <f t="shared" si="39"/>
        <v>172765046.33112073</v>
      </c>
      <c r="J173" s="17">
        <f t="shared" si="39"/>
        <v>171054501.31794128</v>
      </c>
      <c r="K173" s="17">
        <f t="shared" si="39"/>
        <v>169360892.39400131</v>
      </c>
      <c r="L173" s="17">
        <f t="shared" si="39"/>
        <v>167684051.87524876</v>
      </c>
      <c r="M173" s="17">
        <f t="shared" si="39"/>
        <v>166023813.73787013</v>
      </c>
      <c r="N173" s="17">
        <f t="shared" si="39"/>
        <v>164380013.60185158</v>
      </c>
      <c r="O173" s="17">
        <f t="shared" si="39"/>
        <v>162752488.71470448</v>
      </c>
      <c r="P173" s="17">
        <f t="shared" si="39"/>
        <v>161141077.93535101</v>
      </c>
      <c r="Q173" s="17">
        <f t="shared" si="39"/>
        <v>159545621.71816933</v>
      </c>
      <c r="R173" s="17">
        <f t="shared" si="39"/>
        <v>157965962.09719735</v>
      </c>
      <c r="S173" s="17">
        <f t="shared" si="39"/>
        <v>156401942.67049241</v>
      </c>
      <c r="T173" s="17">
        <f t="shared" si="39"/>
        <v>154853408.58464596</v>
      </c>
      <c r="U173" s="17">
        <f t="shared" si="39"/>
        <v>153320206.51945147</v>
      </c>
      <c r="V173" s="17">
        <f t="shared" si="39"/>
        <v>151802184.67272419</v>
      </c>
      <c r="W173" s="17">
        <f t="shared" si="39"/>
        <v>150299192.74527144</v>
      </c>
      <c r="X173" s="17">
        <f t="shared" si="39"/>
        <v>148811081.92601135</v>
      </c>
      <c r="Y173" s="17">
        <f t="shared" si="39"/>
        <v>147337704.87723899</v>
      </c>
      <c r="Z173" s="17">
        <f t="shared" si="39"/>
        <v>145878915.72003859</v>
      </c>
      <c r="AA173" s="17">
        <f t="shared" si="39"/>
        <v>144434570.01984021</v>
      </c>
      <c r="AB173" s="17">
        <f t="shared" si="39"/>
        <v>143004524.77211899</v>
      </c>
      <c r="AC173" s="17">
        <f t="shared" si="39"/>
        <v>141588638.38823661</v>
      </c>
      <c r="AD173" s="17">
        <f t="shared" si="39"/>
        <v>140186770.68142238</v>
      </c>
      <c r="AE173" s="17">
        <f t="shared" si="39"/>
        <v>138798782.85289341</v>
      </c>
      <c r="AF173" s="17">
        <f t="shared" si="39"/>
        <v>137424537.47811231</v>
      </c>
      <c r="AG173" s="17">
        <f t="shared" si="39"/>
        <v>136063898.49318054</v>
      </c>
      <c r="AH173" s="17">
        <f t="shared" si="39"/>
        <v>134716731.18136686</v>
      </c>
      <c r="AI173" s="17">
        <f t="shared" si="39"/>
        <v>133382902.15976918</v>
      </c>
      <c r="AJ173" s="122">
        <f t="shared" si="39"/>
        <v>132062279.36610806</v>
      </c>
    </row>
    <row r="174" spans="1:36" x14ac:dyDescent="0.2">
      <c r="A174" s="173" t="s">
        <v>934</v>
      </c>
      <c r="B174" t="s">
        <v>16</v>
      </c>
      <c r="E174" s="8"/>
      <c r="G174" s="8">
        <f t="shared" ref="G174:AJ174" si="40">$C$63*$C$65*G97</f>
        <v>1357489098755.3855</v>
      </c>
      <c r="H174" s="8">
        <f t="shared" si="40"/>
        <v>1369435002824.4329</v>
      </c>
      <c r="I174" s="8">
        <f t="shared" si="40"/>
        <v>1381486030849.2878</v>
      </c>
      <c r="J174" s="8">
        <f t="shared" si="40"/>
        <v>1393643107920.7615</v>
      </c>
      <c r="K174" s="8">
        <f t="shared" si="40"/>
        <v>1405907167270.4641</v>
      </c>
      <c r="L174" s="8">
        <f t="shared" si="40"/>
        <v>1418279150342.4441</v>
      </c>
      <c r="M174" s="8">
        <f t="shared" si="40"/>
        <v>1430760006865.4575</v>
      </c>
      <c r="N174" s="8">
        <f t="shared" si="40"/>
        <v>1443350694925.8735</v>
      </c>
      <c r="O174" s="8">
        <f t="shared" si="40"/>
        <v>1456052181041.2212</v>
      </c>
      <c r="P174" s="8">
        <f t="shared" si="40"/>
        <v>1468865440234.384</v>
      </c>
      <c r="Q174" s="8">
        <f t="shared" si="40"/>
        <v>1481791456108.446</v>
      </c>
      <c r="R174" s="8">
        <f t="shared" si="40"/>
        <v>1494831220922.2007</v>
      </c>
      <c r="S174" s="8">
        <f t="shared" si="40"/>
        <v>1507985735666.3159</v>
      </c>
      <c r="T174" s="8">
        <f t="shared" si="40"/>
        <v>1521256010140.1794</v>
      </c>
      <c r="U174" s="8">
        <f t="shared" si="40"/>
        <v>1534643063029.4128</v>
      </c>
      <c r="V174" s="8">
        <f t="shared" si="40"/>
        <v>1548147921984.072</v>
      </c>
      <c r="W174" s="8">
        <f t="shared" si="40"/>
        <v>1561771623697.5315</v>
      </c>
      <c r="X174" s="8">
        <f t="shared" si="40"/>
        <v>1575515213986.0696</v>
      </c>
      <c r="Y174" s="8">
        <f t="shared" si="40"/>
        <v>1589379747869.1467</v>
      </c>
      <c r="Z174" s="8">
        <f t="shared" si="40"/>
        <v>1603366289650.3953</v>
      </c>
      <c r="AA174" s="8">
        <f t="shared" si="40"/>
        <v>1617475912999.3184</v>
      </c>
      <c r="AB174" s="8">
        <f t="shared" si="40"/>
        <v>1631709701033.7126</v>
      </c>
      <c r="AC174" s="8">
        <f t="shared" si="40"/>
        <v>1646068746402.8093</v>
      </c>
      <c r="AD174" s="8">
        <f t="shared" si="40"/>
        <v>1660554151371.1538</v>
      </c>
      <c r="AE174" s="8">
        <f t="shared" si="40"/>
        <v>1675167027903.2197</v>
      </c>
      <c r="AF174" s="8">
        <f t="shared" si="40"/>
        <v>1689908497748.7683</v>
      </c>
      <c r="AG174" s="8">
        <f t="shared" si="40"/>
        <v>1704779692528.9573</v>
      </c>
      <c r="AH174" s="8">
        <f t="shared" si="40"/>
        <v>1719781753823.2119</v>
      </c>
      <c r="AI174" s="8">
        <f t="shared" si="40"/>
        <v>1734915833256.8562</v>
      </c>
      <c r="AJ174" s="115">
        <f t="shared" si="40"/>
        <v>1750183092589.5164</v>
      </c>
    </row>
    <row r="175" spans="1:36" x14ac:dyDescent="0.2">
      <c r="A175" s="173" t="s">
        <v>967</v>
      </c>
      <c r="B175" t="s">
        <v>16</v>
      </c>
      <c r="E175" s="8"/>
      <c r="G175" s="8">
        <f>(G173/G123)*C23</f>
        <v>33242.143726062037</v>
      </c>
      <c r="H175" s="8">
        <f t="shared" ref="H175:AJ175" si="41">(H173/H123)*H124</f>
        <v>880415440959949.25</v>
      </c>
      <c r="I175" s="8">
        <f t="shared" si="41"/>
        <v>888163096840396.62</v>
      </c>
      <c r="J175" s="8">
        <f t="shared" si="41"/>
        <v>895978932092592.12</v>
      </c>
      <c r="K175" s="8">
        <f t="shared" si="41"/>
        <v>903863546695007</v>
      </c>
      <c r="L175" s="8">
        <f t="shared" si="41"/>
        <v>911817545905923</v>
      </c>
      <c r="M175" s="8">
        <f t="shared" si="41"/>
        <v>919841540309895</v>
      </c>
      <c r="N175" s="8">
        <f t="shared" si="41"/>
        <v>927936145864622.12</v>
      </c>
      <c r="O175" s="8">
        <f t="shared" si="41"/>
        <v>936101983948230.5</v>
      </c>
      <c r="P175" s="8">
        <f t="shared" si="41"/>
        <v>944339681406975.25</v>
      </c>
      <c r="Q175" s="8">
        <f t="shared" si="41"/>
        <v>952649870603356.38</v>
      </c>
      <c r="R175" s="8">
        <f t="shared" si="41"/>
        <v>961033189464666</v>
      </c>
      <c r="S175" s="8">
        <f t="shared" si="41"/>
        <v>969490281531955</v>
      </c>
      <c r="T175" s="8">
        <f t="shared" si="41"/>
        <v>978021796009436</v>
      </c>
      <c r="U175" s="8">
        <f t="shared" si="41"/>
        <v>986628387814319</v>
      </c>
      <c r="V175" s="8">
        <f t="shared" si="41"/>
        <v>995310717627085.12</v>
      </c>
      <c r="W175" s="8">
        <f t="shared" si="41"/>
        <v>1004069451942203.4</v>
      </c>
      <c r="X175" s="8">
        <f t="shared" si="41"/>
        <v>1012905263119294.8</v>
      </c>
      <c r="Y175" s="8">
        <f t="shared" si="41"/>
        <v>1021818829434744.4</v>
      </c>
      <c r="Z175" s="8">
        <f t="shared" si="41"/>
        <v>1030810835133770.2</v>
      </c>
      <c r="AA175" s="8">
        <f t="shared" si="41"/>
        <v>1039881970482947.1</v>
      </c>
      <c r="AB175" s="8">
        <f t="shared" si="41"/>
        <v>1049032931823197</v>
      </c>
      <c r="AC175" s="8">
        <f t="shared" si="41"/>
        <v>1058264421623241</v>
      </c>
      <c r="AD175" s="8">
        <f t="shared" si="41"/>
        <v>1067577148533525.5</v>
      </c>
      <c r="AE175" s="8">
        <f t="shared" si="41"/>
        <v>1076971827440620.5</v>
      </c>
      <c r="AF175" s="8">
        <f t="shared" si="41"/>
        <v>1086449179522098.1</v>
      </c>
      <c r="AG175" s="8">
        <f t="shared" si="41"/>
        <v>1096009932301892.4</v>
      </c>
      <c r="AH175" s="8">
        <f t="shared" si="41"/>
        <v>1105654819706149</v>
      </c>
      <c r="AI175" s="8">
        <f t="shared" si="41"/>
        <v>1115384582119563.1</v>
      </c>
      <c r="AJ175" s="8">
        <f t="shared" si="41"/>
        <v>1125199966442215.1</v>
      </c>
    </row>
    <row r="176" spans="1:36" x14ac:dyDescent="0.2">
      <c r="A176" s="173" t="s">
        <v>968</v>
      </c>
      <c r="B176" t="s">
        <v>16</v>
      </c>
      <c r="E176" s="8"/>
      <c r="G176" s="8">
        <f>(G174-G175)</f>
        <v>1357489065513.2417</v>
      </c>
      <c r="H176" s="8">
        <f t="shared" ref="H176:AJ176" si="42">(H174-H175)</f>
        <v>-879046005957124.88</v>
      </c>
      <c r="I176" s="8">
        <f t="shared" si="42"/>
        <v>-886781610809547.38</v>
      </c>
      <c r="J176" s="8">
        <f t="shared" si="42"/>
        <v>-894585288984671.38</v>
      </c>
      <c r="K176" s="8">
        <f t="shared" si="42"/>
        <v>-902457639527736.5</v>
      </c>
      <c r="L176" s="8">
        <f t="shared" si="42"/>
        <v>-910399266755580.5</v>
      </c>
      <c r="M176" s="8">
        <f t="shared" si="42"/>
        <v>-918410780303029.5</v>
      </c>
      <c r="N176" s="8">
        <f t="shared" si="42"/>
        <v>-926492795169696.25</v>
      </c>
      <c r="O176" s="8">
        <f t="shared" si="42"/>
        <v>-934645931767189.25</v>
      </c>
      <c r="P176" s="8">
        <f t="shared" si="42"/>
        <v>-942870815966740.88</v>
      </c>
      <c r="Q176" s="8">
        <f t="shared" si="42"/>
        <v>-951168079147247.88</v>
      </c>
      <c r="R176" s="8">
        <f t="shared" si="42"/>
        <v>-959538358243743.75</v>
      </c>
      <c r="S176" s="8">
        <f t="shared" si="42"/>
        <v>-967982295796288.62</v>
      </c>
      <c r="T176" s="8">
        <f t="shared" si="42"/>
        <v>-976500539999295.88</v>
      </c>
      <c r="U176" s="8">
        <f t="shared" si="42"/>
        <v>-985093744751289.62</v>
      </c>
      <c r="V176" s="8">
        <f t="shared" si="42"/>
        <v>-993762569705101</v>
      </c>
      <c r="W176" s="8">
        <f t="shared" si="42"/>
        <v>-1002507680318505.9</v>
      </c>
      <c r="X176" s="8">
        <f t="shared" si="42"/>
        <v>-1011329747905308.6</v>
      </c>
      <c r="Y176" s="8">
        <f t="shared" si="42"/>
        <v>-1020229449686875.2</v>
      </c>
      <c r="Z176" s="8">
        <f t="shared" si="42"/>
        <v>-1029207468844119.9</v>
      </c>
      <c r="AA176" s="8">
        <f t="shared" si="42"/>
        <v>-1038264494569947.8</v>
      </c>
      <c r="AB176" s="8">
        <f t="shared" si="42"/>
        <v>-1047401222122163.2</v>
      </c>
      <c r="AC176" s="8">
        <f t="shared" si="42"/>
        <v>-1056618352876838.2</v>
      </c>
      <c r="AD176" s="8">
        <f t="shared" si="42"/>
        <v>-1065916594382154.4</v>
      </c>
      <c r="AE176" s="8">
        <f t="shared" si="42"/>
        <v>-1075296660412717.2</v>
      </c>
      <c r="AF176" s="8">
        <f t="shared" si="42"/>
        <v>-1084759271024349.4</v>
      </c>
      <c r="AG176" s="8">
        <f t="shared" si="42"/>
        <v>-1094305152609363.4</v>
      </c>
      <c r="AH176" s="8">
        <f t="shared" si="42"/>
        <v>-1103935037952325.8</v>
      </c>
      <c r="AI176" s="8">
        <f t="shared" si="42"/>
        <v>-1113649666286306.2</v>
      </c>
      <c r="AJ176" s="115">
        <f t="shared" si="42"/>
        <v>-1123449783349625.6</v>
      </c>
    </row>
    <row r="177" spans="1:36" x14ac:dyDescent="0.2">
      <c r="A177" s="108" t="s">
        <v>935</v>
      </c>
      <c r="B177" t="s">
        <v>537</v>
      </c>
      <c r="C177" t="s">
        <v>313</v>
      </c>
      <c r="G177" s="17">
        <f t="shared" ref="G177:AJ177" si="43">IF(G176&lt;0,(G173/G174*(G174/G175)*G100),G173/G174*G100)</f>
        <v>519.30471905508432</v>
      </c>
      <c r="H177" s="17">
        <f t="shared" si="43"/>
        <v>1.5855487187201178</v>
      </c>
      <c r="I177" s="17">
        <f t="shared" si="43"/>
        <v>1.5561560433728916</v>
      </c>
      <c r="J177" s="17">
        <f t="shared" si="43"/>
        <v>1.5273082452368572</v>
      </c>
      <c r="K177" s="17">
        <f t="shared" si="43"/>
        <v>1.4989952234562165</v>
      </c>
      <c r="L177" s="17">
        <f t="shared" si="43"/>
        <v>1.471207064423387</v>
      </c>
      <c r="M177" s="17">
        <f t="shared" si="43"/>
        <v>1.4439340383078296</v>
      </c>
      <c r="N177" s="17">
        <f t="shared" si="43"/>
        <v>1.4171665956492072</v>
      </c>
      <c r="O177" s="17">
        <f t="shared" si="43"/>
        <v>1.3908953640137161</v>
      </c>
      <c r="P177" s="17">
        <f t="shared" si="43"/>
        <v>1.3651111447123883</v>
      </c>
      <c r="Q177" s="17">
        <f t="shared" si="43"/>
        <v>1.3398049095802373</v>
      </c>
      <c r="R177" s="17">
        <f t="shared" si="43"/>
        <v>1.3149677978151053</v>
      </c>
      <c r="S177" s="17">
        <f t="shared" si="43"/>
        <v>1.29059111287512</v>
      </c>
      <c r="T177" s="17">
        <f t="shared" si="43"/>
        <v>1.2666663194336576</v>
      </c>
      <c r="U177" s="17">
        <f t="shared" si="43"/>
        <v>1.2431850403907569</v>
      </c>
      <c r="V177" s="17">
        <f t="shared" si="43"/>
        <v>1.2201390539399393</v>
      </c>
      <c r="W177" s="17">
        <f t="shared" si="43"/>
        <v>1.1975202906893976</v>
      </c>
      <c r="X177" s="17">
        <f t="shared" si="43"/>
        <v>1.175320830836557</v>
      </c>
      <c r="Y177" s="17">
        <f t="shared" si="43"/>
        <v>1.1535329013950084</v>
      </c>
      <c r="Z177" s="17">
        <f t="shared" si="43"/>
        <v>1.1321488734728529</v>
      </c>
      <c r="AA177" s="17">
        <f t="shared" si="43"/>
        <v>1.1111612596015004</v>
      </c>
      <c r="AB177" s="17">
        <f t="shared" si="43"/>
        <v>1.0905627111139793</v>
      </c>
      <c r="AC177" s="17">
        <f t="shared" si="43"/>
        <v>1.0703460155718578</v>
      </c>
      <c r="AD177" s="17">
        <f t="shared" si="43"/>
        <v>1.0505040942398556</v>
      </c>
      <c r="AE177" s="17">
        <f t="shared" si="43"/>
        <v>1.0310299996072734</v>
      </c>
      <c r="AF177" s="17">
        <f t="shared" si="43"/>
        <v>1.0119169129553724</v>
      </c>
      <c r="AG177" s="17">
        <f t="shared" si="43"/>
        <v>0.99315814196984609</v>
      </c>
      <c r="AH177" s="17">
        <f t="shared" si="43"/>
        <v>0.97474711839755324</v>
      </c>
      <c r="AI177" s="17">
        <f t="shared" si="43"/>
        <v>0.95667739574668975</v>
      </c>
      <c r="AJ177" s="122">
        <f t="shared" si="43"/>
        <v>0.93894264702959462</v>
      </c>
    </row>
    <row r="178" spans="1:36" x14ac:dyDescent="0.2">
      <c r="A178" s="108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7"/>
      <c r="AA178" s="17"/>
      <c r="AB178" s="17"/>
      <c r="AC178" s="17"/>
      <c r="AD178" s="17"/>
      <c r="AE178" s="17"/>
      <c r="AF178" s="17"/>
      <c r="AG178" s="17"/>
      <c r="AH178" s="17"/>
      <c r="AI178" s="17"/>
      <c r="AJ178" s="122"/>
    </row>
    <row r="179" spans="1:36" x14ac:dyDescent="0.2">
      <c r="A179" s="173" t="s">
        <v>936</v>
      </c>
      <c r="B179" t="s">
        <v>16</v>
      </c>
      <c r="G179" s="17">
        <f>$C$61*G94*C18</f>
        <v>19504950.495049506</v>
      </c>
      <c r="H179" s="17">
        <f t="shared" ref="H179:AJ179" si="44">$C$61*H94</f>
        <v>38623664.346632682</v>
      </c>
      <c r="I179" s="17">
        <f t="shared" si="44"/>
        <v>38241251.828349195</v>
      </c>
      <c r="J179" s="17">
        <f t="shared" si="44"/>
        <v>37862625.572622962</v>
      </c>
      <c r="K179" s="17">
        <f t="shared" si="44"/>
        <v>37487748.091705903</v>
      </c>
      <c r="L179" s="17">
        <f t="shared" si="44"/>
        <v>37116582.269015737</v>
      </c>
      <c r="M179" s="17">
        <f t="shared" si="44"/>
        <v>36749091.355461143</v>
      </c>
      <c r="N179" s="17">
        <f t="shared" si="44"/>
        <v>36385238.965803102</v>
      </c>
      <c r="O179" s="17">
        <f t="shared" si="44"/>
        <v>36024989.075052567</v>
      </c>
      <c r="P179" s="17">
        <f t="shared" si="44"/>
        <v>35668306.014903538</v>
      </c>
      <c r="Q179" s="17">
        <f t="shared" si="44"/>
        <v>35315154.47020153</v>
      </c>
      <c r="R179" s="17">
        <f t="shared" si="44"/>
        <v>34965499.475447059</v>
      </c>
      <c r="S179" s="17">
        <f t="shared" si="44"/>
        <v>34619306.411333717</v>
      </c>
      <c r="T179" s="17">
        <f t="shared" si="44"/>
        <v>34276541.001320511</v>
      </c>
      <c r="U179" s="17">
        <f t="shared" si="44"/>
        <v>33937169.308238134</v>
      </c>
      <c r="V179" s="17">
        <f t="shared" si="44"/>
        <v>33601157.730928838</v>
      </c>
      <c r="W179" s="17">
        <f t="shared" si="44"/>
        <v>33268473.000919636</v>
      </c>
      <c r="X179" s="17">
        <f t="shared" si="44"/>
        <v>32939082.179128353</v>
      </c>
      <c r="Y179" s="17">
        <f t="shared" si="44"/>
        <v>32612952.652602337</v>
      </c>
      <c r="Z179" s="17">
        <f t="shared" si="44"/>
        <v>32290052.131289437</v>
      </c>
      <c r="AA179" s="17">
        <f t="shared" si="44"/>
        <v>31970348.644841034</v>
      </c>
      <c r="AB179" s="17">
        <f t="shared" si="44"/>
        <v>31653810.539446559</v>
      </c>
      <c r="AC179" s="17">
        <f t="shared" si="44"/>
        <v>31340406.474699568</v>
      </c>
      <c r="AD179" s="17">
        <f t="shared" si="44"/>
        <v>31030105.420494616</v>
      </c>
      <c r="AE179" s="17">
        <f t="shared" si="44"/>
        <v>30722876.653955061</v>
      </c>
      <c r="AF179" s="17">
        <f t="shared" si="44"/>
        <v>30418689.756391149</v>
      </c>
      <c r="AG179" s="17">
        <f t="shared" si="44"/>
        <v>30117514.610288277</v>
      </c>
      <c r="AH179" s="17">
        <f t="shared" si="44"/>
        <v>29819321.396325026</v>
      </c>
      <c r="AI179" s="17">
        <f t="shared" si="44"/>
        <v>29524080.590420816</v>
      </c>
      <c r="AJ179" s="122">
        <f t="shared" si="44"/>
        <v>29231762.960812684</v>
      </c>
    </row>
    <row r="180" spans="1:36" x14ac:dyDescent="0.2">
      <c r="A180" s="173" t="s">
        <v>937</v>
      </c>
      <c r="B180" t="s">
        <v>16</v>
      </c>
      <c r="G180" s="8">
        <f t="shared" ref="G180:AJ180" si="45">$C$64*$C$65*G97</f>
        <v>14718842475269.068</v>
      </c>
      <c r="H180" s="8">
        <f t="shared" si="45"/>
        <v>14848368289051.438</v>
      </c>
      <c r="I180" s="8">
        <f t="shared" si="45"/>
        <v>14979033929995.088</v>
      </c>
      <c r="J180" s="8">
        <f t="shared" si="45"/>
        <v>15110849428579.043</v>
      </c>
      <c r="K180" s="8">
        <f t="shared" si="45"/>
        <v>15243824903550.539</v>
      </c>
      <c r="L180" s="8">
        <f t="shared" si="45"/>
        <v>15377970562701.783</v>
      </c>
      <c r="M180" s="8">
        <f t="shared" si="45"/>
        <v>15513296703653.559</v>
      </c>
      <c r="N180" s="8">
        <f t="shared" si="45"/>
        <v>15649813714645.707</v>
      </c>
      <c r="O180" s="8">
        <f t="shared" si="45"/>
        <v>15787532075334.59</v>
      </c>
      <c r="P180" s="8">
        <f t="shared" si="45"/>
        <v>15926462357597.535</v>
      </c>
      <c r="Q180" s="8">
        <f t="shared" si="45"/>
        <v>16066615226344.389</v>
      </c>
      <c r="R180" s="8">
        <f t="shared" si="45"/>
        <v>16208001440336.221</v>
      </c>
      <c r="S180" s="8">
        <f t="shared" si="45"/>
        <v>16350631853011.18</v>
      </c>
      <c r="T180" s="8">
        <f t="shared" si="45"/>
        <v>16494517413317.676</v>
      </c>
      <c r="U180" s="8">
        <f t="shared" si="45"/>
        <v>16639669166554.869</v>
      </c>
      <c r="V180" s="8">
        <f t="shared" si="45"/>
        <v>16786098255220.557</v>
      </c>
      <c r="W180" s="8">
        <f t="shared" si="45"/>
        <v>16933815919866.494</v>
      </c>
      <c r="X180" s="8">
        <f t="shared" si="45"/>
        <v>17082833499961.318</v>
      </c>
      <c r="Y180" s="8">
        <f t="shared" si="45"/>
        <v>17233162434760.975</v>
      </c>
      <c r="Z180" s="8">
        <f t="shared" si="45"/>
        <v>17384814264186.873</v>
      </c>
      <c r="AA180" s="8">
        <f t="shared" si="45"/>
        <v>17537800629711.711</v>
      </c>
      <c r="AB180" s="8">
        <f t="shared" si="45"/>
        <v>17692133275253.176</v>
      </c>
      <c r="AC180" s="8">
        <f t="shared" si="45"/>
        <v>17847824048075.406</v>
      </c>
      <c r="AD180" s="8">
        <f t="shared" si="45"/>
        <v>18004884899698.465</v>
      </c>
      <c r="AE180" s="8">
        <f t="shared" si="45"/>
        <v>18163327886815.809</v>
      </c>
      <c r="AF180" s="8">
        <f t="shared" si="45"/>
        <v>18323165172219.793</v>
      </c>
      <c r="AG180" s="8">
        <f t="shared" si="45"/>
        <v>18484409025735.324</v>
      </c>
      <c r="AH180" s="8">
        <f t="shared" si="45"/>
        <v>18647071825161.793</v>
      </c>
      <c r="AI180" s="8">
        <f t="shared" si="45"/>
        <v>18811166057223.219</v>
      </c>
      <c r="AJ180" s="115">
        <f t="shared" si="45"/>
        <v>18976704318526.781</v>
      </c>
    </row>
    <row r="181" spans="1:36" x14ac:dyDescent="0.2">
      <c r="A181" s="173" t="s">
        <v>969</v>
      </c>
      <c r="B181" t="s">
        <v>16</v>
      </c>
      <c r="G181" s="8">
        <f t="shared" ref="G181:AJ181" si="46">(G179/G123)*G125</f>
        <v>62698702778595.203</v>
      </c>
      <c r="H181" s="8">
        <f t="shared" si="46"/>
        <v>63250451363046.828</v>
      </c>
      <c r="I181" s="8">
        <f t="shared" si="46"/>
        <v>63807055335041.641</v>
      </c>
      <c r="J181" s="8">
        <f t="shared" si="46"/>
        <v>64368557421990</v>
      </c>
      <c r="K181" s="8">
        <f t="shared" si="46"/>
        <v>64935000727303.508</v>
      </c>
      <c r="L181" s="8">
        <f t="shared" si="46"/>
        <v>65506428733703.781</v>
      </c>
      <c r="M181" s="8">
        <f t="shared" si="46"/>
        <v>66082885306560.375</v>
      </c>
      <c r="N181" s="8">
        <f t="shared" si="46"/>
        <v>66664414697258.094</v>
      </c>
      <c r="O181" s="8">
        <f t="shared" si="46"/>
        <v>67251061546593.961</v>
      </c>
      <c r="P181" s="8">
        <f t="shared" si="46"/>
        <v>67842870888203.992</v>
      </c>
      <c r="Q181" s="8">
        <f t="shared" si="46"/>
        <v>68439888152020.172</v>
      </c>
      <c r="R181" s="8">
        <f t="shared" si="46"/>
        <v>69042159167757.969</v>
      </c>
      <c r="S181" s="8">
        <f t="shared" si="46"/>
        <v>69649730168434.227</v>
      </c>
      <c r="T181" s="8">
        <f t="shared" si="46"/>
        <v>70262647793916.445</v>
      </c>
      <c r="U181" s="8">
        <f t="shared" si="46"/>
        <v>70880959094502.906</v>
      </c>
      <c r="V181" s="8">
        <f t="shared" si="46"/>
        <v>71504711534534.547</v>
      </c>
      <c r="W181" s="8">
        <f t="shared" si="46"/>
        <v>72133952996038.422</v>
      </c>
      <c r="X181" s="8">
        <f t="shared" si="46"/>
        <v>72768731782403.562</v>
      </c>
      <c r="Y181" s="8">
        <f t="shared" si="46"/>
        <v>73409096622088.703</v>
      </c>
      <c r="Z181" s="8">
        <f t="shared" si="46"/>
        <v>74055096672363.078</v>
      </c>
      <c r="AA181" s="8">
        <f t="shared" si="46"/>
        <v>74706781523079.859</v>
      </c>
      <c r="AB181" s="8">
        <f t="shared" si="46"/>
        <v>75364201200482.969</v>
      </c>
      <c r="AC181" s="8">
        <f t="shared" si="46"/>
        <v>76027406171047.219</v>
      </c>
      <c r="AD181" s="8">
        <f t="shared" si="46"/>
        <v>76696447345352.422</v>
      </c>
      <c r="AE181" s="8">
        <f t="shared" si="46"/>
        <v>77371376081991.516</v>
      </c>
      <c r="AF181" s="8">
        <f t="shared" si="46"/>
        <v>78052244191513.062</v>
      </c>
      <c r="AG181" s="8">
        <f t="shared" si="46"/>
        <v>78739103940398.359</v>
      </c>
      <c r="AH181" s="8">
        <f t="shared" si="46"/>
        <v>79432008055073.859</v>
      </c>
      <c r="AI181" s="8">
        <f t="shared" si="46"/>
        <v>80131009725958.516</v>
      </c>
      <c r="AJ181" s="8">
        <f t="shared" si="46"/>
        <v>80836162611546.938</v>
      </c>
    </row>
    <row r="182" spans="1:36" x14ac:dyDescent="0.2">
      <c r="A182" s="173" t="s">
        <v>968</v>
      </c>
      <c r="B182" t="s">
        <v>16</v>
      </c>
      <c r="G182" s="8">
        <f>G180-G181</f>
        <v>-47979860303326.133</v>
      </c>
      <c r="H182" s="8">
        <f t="shared" ref="H182:AJ182" si="47">H180-H181</f>
        <v>-48402083073995.391</v>
      </c>
      <c r="I182" s="8">
        <f t="shared" si="47"/>
        <v>-48828021405046.555</v>
      </c>
      <c r="J182" s="8">
        <f t="shared" si="47"/>
        <v>-49257707993410.953</v>
      </c>
      <c r="K182" s="8">
        <f t="shared" si="47"/>
        <v>-49691175823752.969</v>
      </c>
      <c r="L182" s="8">
        <f t="shared" si="47"/>
        <v>-50128458171002</v>
      </c>
      <c r="M182" s="8">
        <f t="shared" si="47"/>
        <v>-50569588602906.812</v>
      </c>
      <c r="N182" s="8">
        <f t="shared" si="47"/>
        <v>-51014600982612.391</v>
      </c>
      <c r="O182" s="8">
        <f t="shared" si="47"/>
        <v>-51463529471259.375</v>
      </c>
      <c r="P182" s="8">
        <f t="shared" si="47"/>
        <v>-51916408530606.453</v>
      </c>
      <c r="Q182" s="8">
        <f t="shared" si="47"/>
        <v>-52373272925675.781</v>
      </c>
      <c r="R182" s="8">
        <f t="shared" si="47"/>
        <v>-52834157727421.75</v>
      </c>
      <c r="S182" s="8">
        <f t="shared" si="47"/>
        <v>-53299098315423.047</v>
      </c>
      <c r="T182" s="8">
        <f t="shared" si="47"/>
        <v>-53768130380598.766</v>
      </c>
      <c r="U182" s="8">
        <f t="shared" si="47"/>
        <v>-54241289927948.039</v>
      </c>
      <c r="V182" s="8">
        <f t="shared" si="47"/>
        <v>-54718613279313.992</v>
      </c>
      <c r="W182" s="8">
        <f t="shared" si="47"/>
        <v>-55200137076171.93</v>
      </c>
      <c r="X182" s="8">
        <f t="shared" si="47"/>
        <v>-55685898282442.242</v>
      </c>
      <c r="Y182" s="8">
        <f t="shared" si="47"/>
        <v>-56175934187327.727</v>
      </c>
      <c r="Z182" s="8">
        <f t="shared" si="47"/>
        <v>-56670282408176.203</v>
      </c>
      <c r="AA182" s="8">
        <f t="shared" si="47"/>
        <v>-57168980893368.148</v>
      </c>
      <c r="AB182" s="8">
        <f t="shared" si="47"/>
        <v>-57672067925229.797</v>
      </c>
      <c r="AC182" s="8">
        <f t="shared" si="47"/>
        <v>-58179582122971.812</v>
      </c>
      <c r="AD182" s="8">
        <f t="shared" si="47"/>
        <v>-58691562445653.953</v>
      </c>
      <c r="AE182" s="8">
        <f t="shared" si="47"/>
        <v>-59208048195175.703</v>
      </c>
      <c r="AF182" s="8">
        <f t="shared" si="47"/>
        <v>-59729079019293.266</v>
      </c>
      <c r="AG182" s="8">
        <f t="shared" si="47"/>
        <v>-60254694914663.031</v>
      </c>
      <c r="AH182" s="8">
        <f t="shared" si="47"/>
        <v>-60784936229912.062</v>
      </c>
      <c r="AI182" s="8">
        <f t="shared" si="47"/>
        <v>-61319843668735.297</v>
      </c>
      <c r="AJ182" s="115">
        <f t="shared" si="47"/>
        <v>-61859458293020.156</v>
      </c>
    </row>
    <row r="183" spans="1:36" x14ac:dyDescent="0.2">
      <c r="A183" s="108" t="s">
        <v>938</v>
      </c>
      <c r="B183" t="s">
        <v>537</v>
      </c>
      <c r="C183" t="s">
        <v>313</v>
      </c>
      <c r="G183" s="36">
        <f>IF(G182&lt;0,(G179/G180*(G180/G181)*G100),G179/G180*G100)</f>
        <v>2.488721409618488</v>
      </c>
      <c r="H183" s="36">
        <f t="shared" ref="H183:AJ183" si="48">IF(H182&lt;0,(H179/H180*(H180/H181)*H100),H179/H180*H100)</f>
        <v>4.8851716962384248</v>
      </c>
      <c r="I183" s="36">
        <f t="shared" si="48"/>
        <v>4.7946110821193546</v>
      </c>
      <c r="J183" s="36">
        <f t="shared" si="48"/>
        <v>4.7057292677108329</v>
      </c>
      <c r="K183" s="36">
        <f t="shared" si="48"/>
        <v>4.6184951316639644</v>
      </c>
      <c r="L183" s="36">
        <f t="shared" si="48"/>
        <v>4.5328781295529668</v>
      </c>
      <c r="M183" s="36">
        <f t="shared" si="48"/>
        <v>4.4488482831802596</v>
      </c>
      <c r="N183" s="36">
        <f t="shared" si="48"/>
        <v>4.3663761700797918</v>
      </c>
      <c r="O183" s="36">
        <f t="shared" si="48"/>
        <v>4.2854329132149873</v>
      </c>
      <c r="P183" s="36">
        <f t="shared" si="48"/>
        <v>4.205990170867639</v>
      </c>
      <c r="Q183" s="36">
        <f t="shared" si="48"/>
        <v>4.1280201267142616</v>
      </c>
      <c r="R183" s="36">
        <f t="shared" si="48"/>
        <v>4.0514954800863894</v>
      </c>
      <c r="S183" s="36">
        <f t="shared" si="48"/>
        <v>3.9763894364114503</v>
      </c>
      <c r="T183" s="36">
        <f t="shared" si="48"/>
        <v>3.902675697830821</v>
      </c>
      <c r="U183" s="36">
        <f t="shared" si="48"/>
        <v>3.8303284539918243</v>
      </c>
      <c r="V183" s="36">
        <f t="shared" si="48"/>
        <v>3.7593223730104022</v>
      </c>
      <c r="W183" s="36">
        <f t="shared" si="48"/>
        <v>3.6896325926013493</v>
      </c>
      <c r="X183" s="36">
        <f t="shared" si="48"/>
        <v>3.6212347113729368</v>
      </c>
      <c r="Y183" s="36">
        <f t="shared" si="48"/>
        <v>3.5541047802829544</v>
      </c>
      <c r="Z183" s="36">
        <f t="shared" si="48"/>
        <v>3.488219294253101</v>
      </c>
      <c r="AA183" s="36">
        <f t="shared" si="48"/>
        <v>3.4235551839388654</v>
      </c>
      <c r="AB183" s="36">
        <f t="shared" si="48"/>
        <v>3.3600898076519341</v>
      </c>
      <c r="AC183" s="36">
        <f t="shared" si="48"/>
        <v>3.2978009434323834</v>
      </c>
      <c r="AD183" s="36">
        <f t="shared" si="48"/>
        <v>3.2366667812677972</v>
      </c>
      <c r="AE183" s="36">
        <f t="shared" si="48"/>
        <v>3.1766659154566521</v>
      </c>
      <c r="AF183" s="36">
        <f t="shared" si="48"/>
        <v>3.1177773371132562</v>
      </c>
      <c r="AG183" s="36">
        <f t="shared" si="48"/>
        <v>3.0599804268116397</v>
      </c>
      <c r="AH183" s="36">
        <f t="shared" si="48"/>
        <v>3.0032549473657943</v>
      </c>
      <c r="AI183" s="36">
        <f t="shared" si="48"/>
        <v>2.9475810367437774</v>
      </c>
      <c r="AJ183" s="36">
        <f t="shared" si="48"/>
        <v>2.8929392011131521</v>
      </c>
    </row>
    <row r="184" spans="1:36" x14ac:dyDescent="0.2">
      <c r="A184" s="108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7"/>
      <c r="AA184" s="17"/>
      <c r="AB184" s="17"/>
      <c r="AC184" s="17"/>
      <c r="AD184" s="17"/>
      <c r="AE184" s="17"/>
      <c r="AF184" s="17"/>
      <c r="AG184" s="17"/>
      <c r="AH184" s="17"/>
      <c r="AI184" s="17"/>
      <c r="AJ184" s="122"/>
    </row>
    <row r="185" spans="1:36" x14ac:dyDescent="0.2">
      <c r="A185" s="185" t="s">
        <v>773</v>
      </c>
      <c r="B185" s="176"/>
      <c r="C185" s="176"/>
      <c r="D185" s="176"/>
      <c r="E185" s="176"/>
      <c r="F185" s="176"/>
      <c r="G185" s="215"/>
      <c r="H185" s="215"/>
      <c r="I185" s="215"/>
      <c r="J185" s="215"/>
      <c r="K185" s="215"/>
      <c r="L185" s="215"/>
      <c r="M185" s="215"/>
      <c r="N185" s="215"/>
      <c r="O185" s="215"/>
      <c r="P185" s="215"/>
      <c r="Q185" s="215"/>
      <c r="R185" s="215"/>
      <c r="S185" s="215"/>
      <c r="T185" s="215"/>
      <c r="U185" s="215"/>
      <c r="V185" s="215"/>
      <c r="W185" s="215"/>
      <c r="X185" s="215"/>
      <c r="Y185" s="215"/>
      <c r="Z185" s="215"/>
      <c r="AA185" s="215"/>
      <c r="AB185" s="215"/>
      <c r="AC185" s="215"/>
      <c r="AD185" s="215"/>
      <c r="AE185" s="215"/>
      <c r="AF185" s="215"/>
      <c r="AG185" s="215"/>
      <c r="AH185" s="215"/>
      <c r="AI185" s="215"/>
      <c r="AJ185" s="190"/>
    </row>
    <row r="186" spans="1:36" x14ac:dyDescent="0.2">
      <c r="A186" s="185" t="s">
        <v>774</v>
      </c>
      <c r="B186" s="176"/>
      <c r="C186" s="176"/>
      <c r="D186" s="176"/>
      <c r="E186" s="176"/>
      <c r="F186" s="176"/>
      <c r="G186" s="215"/>
      <c r="H186" s="215"/>
      <c r="I186" s="215"/>
      <c r="J186" s="215"/>
      <c r="K186" s="215"/>
      <c r="L186" s="215"/>
      <c r="M186" s="215"/>
      <c r="N186" s="215"/>
      <c r="O186" s="215"/>
      <c r="P186" s="215"/>
      <c r="Q186" s="215"/>
      <c r="R186" s="215"/>
      <c r="S186" s="215"/>
      <c r="T186" s="215"/>
      <c r="U186" s="215"/>
      <c r="V186" s="215"/>
      <c r="W186" s="215"/>
      <c r="X186" s="215"/>
      <c r="Y186" s="215"/>
      <c r="Z186" s="215"/>
      <c r="AA186" s="215"/>
      <c r="AB186" s="215"/>
      <c r="AC186" s="215"/>
      <c r="AD186" s="215"/>
      <c r="AE186" s="215"/>
      <c r="AF186" s="215"/>
      <c r="AG186" s="215"/>
      <c r="AH186" s="215"/>
      <c r="AI186" s="215"/>
      <c r="AJ186" s="190"/>
    </row>
    <row r="187" spans="1:36" x14ac:dyDescent="0.2">
      <c r="A187" s="185" t="s">
        <v>782</v>
      </c>
      <c r="B187" s="176"/>
      <c r="C187" s="176"/>
      <c r="D187" s="176"/>
      <c r="E187" s="176"/>
      <c r="F187" s="176"/>
      <c r="G187" s="215"/>
      <c r="H187" s="215"/>
      <c r="I187" s="215"/>
      <c r="J187" s="215"/>
      <c r="K187" s="215"/>
      <c r="L187" s="215"/>
      <c r="M187" s="215"/>
      <c r="N187" s="215"/>
      <c r="O187" s="215"/>
      <c r="P187" s="215"/>
      <c r="Q187" s="215"/>
      <c r="R187" s="215"/>
      <c r="S187" s="215"/>
      <c r="T187" s="215"/>
      <c r="U187" s="215"/>
      <c r="V187" s="215"/>
      <c r="W187" s="215"/>
      <c r="X187" s="215"/>
      <c r="Y187" s="215"/>
      <c r="Z187" s="215"/>
      <c r="AA187" s="215"/>
      <c r="AB187" s="215"/>
      <c r="AC187" s="215"/>
      <c r="AD187" s="215"/>
      <c r="AE187" s="215"/>
      <c r="AF187" s="215"/>
      <c r="AG187" s="215"/>
      <c r="AH187" s="215"/>
      <c r="AI187" s="215"/>
      <c r="AJ187" s="190"/>
    </row>
    <row r="188" spans="1:36" x14ac:dyDescent="0.2">
      <c r="A188" s="185" t="s">
        <v>775</v>
      </c>
      <c r="B188" s="176"/>
      <c r="C188" s="176"/>
      <c r="D188" s="176"/>
      <c r="E188" s="176"/>
      <c r="F188" s="176"/>
      <c r="G188" s="215"/>
      <c r="H188" s="215"/>
      <c r="I188" s="215"/>
      <c r="J188" s="215"/>
      <c r="K188" s="215"/>
      <c r="L188" s="215"/>
      <c r="M188" s="215"/>
      <c r="N188" s="215"/>
      <c r="O188" s="215"/>
      <c r="P188" s="215"/>
      <c r="Q188" s="215"/>
      <c r="R188" s="215"/>
      <c r="S188" s="215"/>
      <c r="T188" s="215"/>
      <c r="U188" s="215"/>
      <c r="V188" s="215"/>
      <c r="W188" s="215"/>
      <c r="X188" s="215"/>
      <c r="Y188" s="215"/>
      <c r="Z188" s="215"/>
      <c r="AA188" s="215"/>
      <c r="AB188" s="215"/>
      <c r="AC188" s="215"/>
      <c r="AD188" s="215"/>
      <c r="AE188" s="215"/>
      <c r="AF188" s="215"/>
      <c r="AG188" s="215"/>
      <c r="AH188" s="215"/>
      <c r="AI188" s="215"/>
      <c r="AJ188" s="190"/>
    </row>
    <row r="189" spans="1:36" x14ac:dyDescent="0.2">
      <c r="A189" s="185" t="s">
        <v>568</v>
      </c>
      <c r="B189" s="176"/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6"/>
      <c r="V189" s="176"/>
      <c r="W189" s="176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176"/>
      <c r="AH189" s="176"/>
      <c r="AI189" s="176"/>
      <c r="AJ189" s="186"/>
    </row>
    <row r="190" spans="1:36" x14ac:dyDescent="0.2">
      <c r="A190" s="22" t="s">
        <v>569</v>
      </c>
      <c r="B190" t="s">
        <v>570</v>
      </c>
      <c r="G190" s="216">
        <f>$C$69*G94*C18</f>
        <v>208.41584158415841</v>
      </c>
      <c r="H190" s="216">
        <f t="shared" ref="H190:AJ190" si="49">$C$69*H94</f>
        <v>412.70463680031366</v>
      </c>
      <c r="I190" s="216">
        <f t="shared" si="49"/>
        <v>408.61845227753832</v>
      </c>
      <c r="J190" s="216">
        <f t="shared" si="49"/>
        <v>404.57272502726562</v>
      </c>
      <c r="K190" s="216">
        <f t="shared" si="49"/>
        <v>400.56705448244128</v>
      </c>
      <c r="L190" s="216">
        <f t="shared" si="49"/>
        <v>396.60104404202099</v>
      </c>
      <c r="M190" s="216">
        <f t="shared" si="49"/>
        <v>392.67430103170403</v>
      </c>
      <c r="N190" s="216">
        <f t="shared" si="49"/>
        <v>388.78643666505343</v>
      </c>
      <c r="O190" s="216">
        <f t="shared" si="49"/>
        <v>384.93706600500332</v>
      </c>
      <c r="P190" s="216">
        <f t="shared" si="49"/>
        <v>381.1258079257459</v>
      </c>
      <c r="Q190" s="216">
        <f t="shared" si="49"/>
        <v>377.35228507499602</v>
      </c>
      <c r="R190" s="216">
        <f t="shared" si="49"/>
        <v>373.6161238366297</v>
      </c>
      <c r="S190" s="216">
        <f t="shared" si="49"/>
        <v>369.91695429369275</v>
      </c>
      <c r="T190" s="216">
        <f t="shared" si="49"/>
        <v>366.25441019177498</v>
      </c>
      <c r="U190" s="216">
        <f t="shared" si="49"/>
        <v>362.62812890274762</v>
      </c>
      <c r="V190" s="216">
        <f t="shared" si="49"/>
        <v>359.03775138885885</v>
      </c>
      <c r="W190" s="216">
        <f t="shared" si="49"/>
        <v>355.48292216718698</v>
      </c>
      <c r="X190" s="216">
        <f t="shared" si="49"/>
        <v>351.96328927444256</v>
      </c>
      <c r="Y190" s="216">
        <f t="shared" si="49"/>
        <v>348.4785042321214</v>
      </c>
      <c r="Z190" s="216">
        <f t="shared" si="49"/>
        <v>345.02822201200138</v>
      </c>
      <c r="AA190" s="216">
        <f t="shared" si="49"/>
        <v>341.61210100198161</v>
      </c>
      <c r="AB190" s="216">
        <f t="shared" si="49"/>
        <v>338.22980297225894</v>
      </c>
      <c r="AC190" s="216">
        <f t="shared" si="49"/>
        <v>334.88099304184055</v>
      </c>
      <c r="AD190" s="216">
        <f t="shared" si="49"/>
        <v>331.56533964538664</v>
      </c>
      <c r="AE190" s="216">
        <f t="shared" si="49"/>
        <v>328.28251450038272</v>
      </c>
      <c r="AF190" s="216">
        <f t="shared" si="49"/>
        <v>325.03219257463638</v>
      </c>
      <c r="AG190" s="216">
        <f t="shared" si="49"/>
        <v>321.81405205409555</v>
      </c>
      <c r="AH190" s="216">
        <f t="shared" si="49"/>
        <v>318.62777431098567</v>
      </c>
      <c r="AI190" s="216">
        <f t="shared" si="49"/>
        <v>315.47304387226302</v>
      </c>
      <c r="AJ190" s="123">
        <f t="shared" si="49"/>
        <v>312.34954838837916</v>
      </c>
    </row>
    <row r="191" spans="1:36" x14ac:dyDescent="0.2">
      <c r="A191" s="22"/>
      <c r="AJ191" s="29"/>
    </row>
    <row r="192" spans="1:36" x14ac:dyDescent="0.2">
      <c r="A192" s="108" t="s">
        <v>776</v>
      </c>
      <c r="B192" t="s">
        <v>537</v>
      </c>
      <c r="C192" t="s">
        <v>313</v>
      </c>
      <c r="G192" s="17">
        <f>G190/G97*G100*C18</f>
        <v>9.7835710808180237E-2</v>
      </c>
      <c r="H192" s="17">
        <f t="shared" ref="H192:AJ192" si="50">H190/H97*H100</f>
        <v>0.38408818558342123</v>
      </c>
      <c r="I192" s="17">
        <f t="shared" si="50"/>
        <v>0.37696801373990202</v>
      </c>
      <c r="J192" s="17">
        <f t="shared" si="50"/>
        <v>0.36997983462353273</v>
      </c>
      <c r="K192" s="17">
        <f t="shared" si="50"/>
        <v>0.36312120137201814</v>
      </c>
      <c r="L192" s="17">
        <f t="shared" si="50"/>
        <v>0.35638971248264584</v>
      </c>
      <c r="M192" s="17">
        <f t="shared" si="50"/>
        <v>0.34978301097141778</v>
      </c>
      <c r="N192" s="17">
        <f t="shared" si="50"/>
        <v>0.34329878354776755</v>
      </c>
      <c r="O192" s="17">
        <f t="shared" si="50"/>
        <v>0.3369347598045786</v>
      </c>
      <c r="P192" s="17">
        <f t="shared" si="50"/>
        <v>0.33068871142321687</v>
      </c>
      <c r="Q192" s="17">
        <f t="shared" si="50"/>
        <v>0.32455845139330042</v>
      </c>
      <c r="R192" s="17">
        <f t="shared" si="50"/>
        <v>0.3185418332469323</v>
      </c>
      <c r="S192" s="17">
        <f t="shared" si="50"/>
        <v>0.31263675030713117</v>
      </c>
      <c r="T192" s="17">
        <f t="shared" si="50"/>
        <v>0.306841134950192</v>
      </c>
      <c r="U192" s="17">
        <f t="shared" si="50"/>
        <v>0.30115295788172214</v>
      </c>
      <c r="V192" s="17">
        <f t="shared" si="50"/>
        <v>0.29557022742609779</v>
      </c>
      <c r="W192" s="17">
        <f t="shared" si="50"/>
        <v>0.2900909888290939</v>
      </c>
      <c r="X192" s="17">
        <f t="shared" si="50"/>
        <v>0.28471332357343881</v>
      </c>
      <c r="Y192" s="17">
        <f t="shared" si="50"/>
        <v>0.27943534870705994</v>
      </c>
      <c r="Z192" s="17">
        <f t="shared" si="50"/>
        <v>0.27425521618378074</v>
      </c>
      <c r="AA192" s="17">
        <f t="shared" si="50"/>
        <v>0.26917111221624046</v>
      </c>
      <c r="AB192" s="17">
        <f t="shared" si="50"/>
        <v>0.26418125664080877</v>
      </c>
      <c r="AC192" s="17">
        <f t="shared" si="50"/>
        <v>0.25928390229427456</v>
      </c>
      <c r="AD192" s="17">
        <f t="shared" si="50"/>
        <v>0.25447733440208786</v>
      </c>
      <c r="AE192" s="17">
        <f t="shared" si="50"/>
        <v>0.24975986997794447</v>
      </c>
      <c r="AF192" s="17">
        <f t="shared" si="50"/>
        <v>0.2451298572344992</v>
      </c>
      <c r="AG192" s="17">
        <f t="shared" si="50"/>
        <v>0.2405856750050048</v>
      </c>
      <c r="AH192" s="17">
        <f t="shared" si="50"/>
        <v>0.23612573217567073</v>
      </c>
      <c r="AI192" s="17">
        <f t="shared" si="50"/>
        <v>0.23174846712854671</v>
      </c>
      <c r="AJ192" s="122">
        <f t="shared" si="50"/>
        <v>0.22745234719473259</v>
      </c>
    </row>
    <row r="193" spans="1:36" x14ac:dyDescent="0.2">
      <c r="A193" s="22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7"/>
      <c r="AA193" s="17"/>
      <c r="AB193" s="17"/>
      <c r="AC193" s="17"/>
      <c r="AD193" s="17"/>
      <c r="AE193" s="17"/>
      <c r="AF193" s="17"/>
      <c r="AG193" s="17"/>
      <c r="AH193" s="17"/>
      <c r="AI193" s="17"/>
      <c r="AJ193" s="122"/>
    </row>
    <row r="194" spans="1:36" x14ac:dyDescent="0.2">
      <c r="A194" s="173" t="s">
        <v>780</v>
      </c>
      <c r="B194" t="s">
        <v>779</v>
      </c>
      <c r="G194" s="17">
        <f>$C$73*$C$74*G94*C18</f>
        <v>13547.029702970296</v>
      </c>
      <c r="H194" s="17">
        <f t="shared" ref="H194:AJ194" si="51">$C$73*$C$74*H94</f>
        <v>26825.801392020388</v>
      </c>
      <c r="I194" s="17">
        <f t="shared" si="51"/>
        <v>26560.199398039993</v>
      </c>
      <c r="J194" s="17">
        <f t="shared" si="51"/>
        <v>26297.227126772264</v>
      </c>
      <c r="K194" s="17">
        <f t="shared" si="51"/>
        <v>26036.858541358684</v>
      </c>
      <c r="L194" s="17">
        <f t="shared" si="51"/>
        <v>25779.067862731365</v>
      </c>
      <c r="M194" s="17">
        <f t="shared" si="51"/>
        <v>25523.829567060762</v>
      </c>
      <c r="N194" s="17">
        <f t="shared" si="51"/>
        <v>25271.118383228473</v>
      </c>
      <c r="O194" s="17">
        <f t="shared" si="51"/>
        <v>25020.909290325217</v>
      </c>
      <c r="P194" s="17">
        <f t="shared" si="51"/>
        <v>24773.177515173484</v>
      </c>
      <c r="Q194" s="17">
        <f t="shared" si="51"/>
        <v>24527.898529874739</v>
      </c>
      <c r="R194" s="17">
        <f t="shared" si="51"/>
        <v>24285.04804938093</v>
      </c>
      <c r="S194" s="17">
        <f t="shared" si="51"/>
        <v>24044.602029090027</v>
      </c>
      <c r="T194" s="17">
        <f t="shared" si="51"/>
        <v>23806.536662465373</v>
      </c>
      <c r="U194" s="17">
        <f t="shared" si="51"/>
        <v>23570.828378678594</v>
      </c>
      <c r="V194" s="17">
        <f t="shared" si="51"/>
        <v>23337.453840275826</v>
      </c>
      <c r="W194" s="17">
        <f t="shared" si="51"/>
        <v>23106.389940867153</v>
      </c>
      <c r="X194" s="17">
        <f t="shared" si="51"/>
        <v>22877.613802838765</v>
      </c>
      <c r="Y194" s="17">
        <f t="shared" si="51"/>
        <v>22651.102775087893</v>
      </c>
      <c r="Z194" s="17">
        <f t="shared" si="51"/>
        <v>22426.834430780087</v>
      </c>
      <c r="AA194" s="17">
        <f t="shared" si="51"/>
        <v>22204.786565128805</v>
      </c>
      <c r="AB194" s="17">
        <f t="shared" si="51"/>
        <v>21984.937193196831</v>
      </c>
      <c r="AC194" s="17">
        <f t="shared" si="51"/>
        <v>21767.264547719635</v>
      </c>
      <c r="AD194" s="17">
        <f t="shared" si="51"/>
        <v>21551.747076950131</v>
      </c>
      <c r="AE194" s="17">
        <f t="shared" si="51"/>
        <v>21338.363442524878</v>
      </c>
      <c r="AF194" s="17">
        <f t="shared" si="51"/>
        <v>21127.092517351364</v>
      </c>
      <c r="AG194" s="17">
        <f t="shared" si="51"/>
        <v>20917.91338351621</v>
      </c>
      <c r="AH194" s="17">
        <f t="shared" si="51"/>
        <v>20710.805330214069</v>
      </c>
      <c r="AI194" s="17">
        <f t="shared" si="51"/>
        <v>20505.747851697099</v>
      </c>
      <c r="AJ194" s="122">
        <f t="shared" si="51"/>
        <v>20302.720645244648</v>
      </c>
    </row>
    <row r="195" spans="1:36" x14ac:dyDescent="0.2">
      <c r="A195" s="173" t="s">
        <v>777</v>
      </c>
      <c r="B195" t="s">
        <v>779</v>
      </c>
      <c r="G195">
        <f t="shared" ref="G195:AJ195" si="52">$C$78*$C$80*(1+$C$5)^G93</f>
        <v>196413359999.99997</v>
      </c>
      <c r="H195">
        <f t="shared" si="52"/>
        <v>198141797568</v>
      </c>
      <c r="I195">
        <f t="shared" si="52"/>
        <v>199885445386.59836</v>
      </c>
      <c r="J195">
        <f t="shared" si="52"/>
        <v>201644437306.00043</v>
      </c>
      <c r="K195">
        <f t="shared" si="52"/>
        <v>203418908354.29321</v>
      </c>
      <c r="L195">
        <f t="shared" si="52"/>
        <v>205208994747.81097</v>
      </c>
      <c r="M195">
        <f t="shared" si="52"/>
        <v>207014833901.59167</v>
      </c>
      <c r="N195">
        <f t="shared" si="52"/>
        <v>208836564439.92572</v>
      </c>
      <c r="O195">
        <f t="shared" si="52"/>
        <v>210674326206.99704</v>
      </c>
      <c r="P195">
        <f t="shared" si="52"/>
        <v>212528260277.61859</v>
      </c>
      <c r="Q195">
        <f t="shared" si="52"/>
        <v>214398508968.06165</v>
      </c>
      <c r="R195">
        <f t="shared" si="52"/>
        <v>216285215846.98059</v>
      </c>
      <c r="S195">
        <f t="shared" si="52"/>
        <v>218188525746.43396</v>
      </c>
      <c r="T195">
        <f t="shared" si="52"/>
        <v>220108584773.00259</v>
      </c>
      <c r="U195">
        <f t="shared" si="52"/>
        <v>222045540319.005</v>
      </c>
      <c r="V195">
        <f t="shared" si="52"/>
        <v>223999541073.81223</v>
      </c>
      <c r="W195">
        <f t="shared" si="52"/>
        <v>225970737035.26178</v>
      </c>
      <c r="X195">
        <f t="shared" si="52"/>
        <v>227959279521.17209</v>
      </c>
      <c r="Y195">
        <f t="shared" si="52"/>
        <v>229965321180.95837</v>
      </c>
      <c r="Z195">
        <f t="shared" si="52"/>
        <v>231989016007.3508</v>
      </c>
      <c r="AA195">
        <f t="shared" si="52"/>
        <v>234030519348.21545</v>
      </c>
      <c r="AB195">
        <f t="shared" si="52"/>
        <v>236089987918.47974</v>
      </c>
      <c r="AC195">
        <f t="shared" si="52"/>
        <v>238167579812.16232</v>
      </c>
      <c r="AD195">
        <f t="shared" si="52"/>
        <v>240263454514.50937</v>
      </c>
      <c r="AE195">
        <f t="shared" si="52"/>
        <v>242377772914.23706</v>
      </c>
      <c r="AF195">
        <f t="shared" si="52"/>
        <v>244510697315.88232</v>
      </c>
      <c r="AG195">
        <f t="shared" si="52"/>
        <v>246662391452.26205</v>
      </c>
      <c r="AH195">
        <f t="shared" si="52"/>
        <v>248833020497.04199</v>
      </c>
      <c r="AI195">
        <f t="shared" si="52"/>
        <v>251022751077.41589</v>
      </c>
      <c r="AJ195" s="29">
        <f t="shared" si="52"/>
        <v>253231751286.89716</v>
      </c>
    </row>
    <row r="196" spans="1:36" x14ac:dyDescent="0.2">
      <c r="A196" s="108" t="s">
        <v>778</v>
      </c>
      <c r="B196" t="s">
        <v>537</v>
      </c>
      <c r="C196" t="s">
        <v>313</v>
      </c>
      <c r="G196" s="17">
        <f t="shared" ref="G196:AJ196" si="53">G194/G195*G100</f>
        <v>0.55177630291423341</v>
      </c>
      <c r="H196" s="17">
        <f t="shared" si="53"/>
        <v>1.0830951054762317</v>
      </c>
      <c r="I196" s="17">
        <f t="shared" si="53"/>
        <v>1.0630168433392406</v>
      </c>
      <c r="J196" s="17">
        <f t="shared" si="53"/>
        <v>1.043310789153705</v>
      </c>
      <c r="K196" s="17">
        <f t="shared" si="53"/>
        <v>1.0239700429818641</v>
      </c>
      <c r="L196" s="17">
        <f t="shared" si="53"/>
        <v>1.0049878327960129</v>
      </c>
      <c r="M196" s="17">
        <f t="shared" si="53"/>
        <v>0.98635751210732991</v>
      </c>
      <c r="N196" s="17">
        <f t="shared" si="53"/>
        <v>0.96807255763865074</v>
      </c>
      <c r="O196" s="17">
        <f t="shared" si="53"/>
        <v>0.95012656704039178</v>
      </c>
      <c r="P196" s="17">
        <f t="shared" si="53"/>
        <v>0.93251325664880924</v>
      </c>
      <c r="Q196" s="17">
        <f t="shared" si="53"/>
        <v>0.91522645928581881</v>
      </c>
      <c r="R196" s="17">
        <f t="shared" si="53"/>
        <v>0.89826012209960149</v>
      </c>
      <c r="S196" s="17">
        <f t="shared" si="53"/>
        <v>0.88160830444523997</v>
      </c>
      <c r="T196" s="17">
        <f t="shared" si="53"/>
        <v>0.8652651758046418</v>
      </c>
      <c r="U196" s="17">
        <f t="shared" si="53"/>
        <v>0.84922501374502601</v>
      </c>
      <c r="V196" s="17">
        <f t="shared" si="53"/>
        <v>0.83348220191525046</v>
      </c>
      <c r="W196" s="17">
        <f t="shared" si="53"/>
        <v>0.81803122807928874</v>
      </c>
      <c r="X196" s="17">
        <f t="shared" si="53"/>
        <v>0.80286668218615664</v>
      </c>
      <c r="Y196" s="17">
        <f t="shared" si="53"/>
        <v>0.78798325447562145</v>
      </c>
      <c r="Z196" s="17">
        <f t="shared" si="53"/>
        <v>0.77337573361902512</v>
      </c>
      <c r="AA196" s="17">
        <f t="shared" si="53"/>
        <v>0.75903900489457665</v>
      </c>
      <c r="AB196" s="17">
        <f t="shared" si="53"/>
        <v>0.74496804839646413</v>
      </c>
      <c r="AC196" s="17">
        <f t="shared" si="53"/>
        <v>0.73115793727717293</v>
      </c>
      <c r="AD196" s="17">
        <f t="shared" si="53"/>
        <v>0.71760383602238209</v>
      </c>
      <c r="AE196" s="17">
        <f t="shared" si="53"/>
        <v>0.70430099875784391</v>
      </c>
      <c r="AF196" s="17">
        <f t="shared" si="53"/>
        <v>0.69124476758764841</v>
      </c>
      <c r="AG196" s="17">
        <f t="shared" si="53"/>
        <v>0.67843057096329407</v>
      </c>
      <c r="AH196" s="17">
        <f t="shared" si="53"/>
        <v>0.66585392208299032</v>
      </c>
      <c r="AI196" s="17">
        <f t="shared" si="53"/>
        <v>0.6535104173206383</v>
      </c>
      <c r="AJ196" s="122">
        <f t="shared" si="53"/>
        <v>0.64139573468392819</v>
      </c>
    </row>
    <row r="197" spans="1:36" x14ac:dyDescent="0.2">
      <c r="A197" s="108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7"/>
      <c r="AA197" s="17"/>
      <c r="AB197" s="17"/>
      <c r="AC197" s="17"/>
      <c r="AD197" s="17"/>
      <c r="AE197" s="17"/>
      <c r="AF197" s="17"/>
      <c r="AG197" s="17"/>
      <c r="AH197" s="17"/>
      <c r="AI197" s="17"/>
      <c r="AJ197" s="122"/>
    </row>
    <row r="198" spans="1:36" x14ac:dyDescent="0.2">
      <c r="A198" s="108" t="s">
        <v>783</v>
      </c>
      <c r="B198" t="s">
        <v>537</v>
      </c>
      <c r="C198" t="s">
        <v>313</v>
      </c>
      <c r="G198" s="17">
        <f>G192</f>
        <v>9.7835710808180237E-2</v>
      </c>
      <c r="H198" s="17">
        <f t="shared" ref="H198:AJ198" si="54">H192</f>
        <v>0.38408818558342123</v>
      </c>
      <c r="I198" s="17">
        <f t="shared" si="54"/>
        <v>0.37696801373990202</v>
      </c>
      <c r="J198" s="17">
        <f t="shared" si="54"/>
        <v>0.36997983462353273</v>
      </c>
      <c r="K198" s="17">
        <f t="shared" si="54"/>
        <v>0.36312120137201814</v>
      </c>
      <c r="L198" s="17">
        <f t="shared" si="54"/>
        <v>0.35638971248264584</v>
      </c>
      <c r="M198" s="17">
        <f t="shared" si="54"/>
        <v>0.34978301097141778</v>
      </c>
      <c r="N198" s="17">
        <f t="shared" si="54"/>
        <v>0.34329878354776755</v>
      </c>
      <c r="O198" s="17">
        <f t="shared" si="54"/>
        <v>0.3369347598045786</v>
      </c>
      <c r="P198" s="17">
        <f t="shared" si="54"/>
        <v>0.33068871142321687</v>
      </c>
      <c r="Q198" s="17">
        <f t="shared" si="54"/>
        <v>0.32455845139330042</v>
      </c>
      <c r="R198" s="17">
        <f t="shared" si="54"/>
        <v>0.3185418332469323</v>
      </c>
      <c r="S198" s="17">
        <f t="shared" si="54"/>
        <v>0.31263675030713117</v>
      </c>
      <c r="T198" s="17">
        <f t="shared" si="54"/>
        <v>0.306841134950192</v>
      </c>
      <c r="U198" s="17">
        <f t="shared" si="54"/>
        <v>0.30115295788172214</v>
      </c>
      <c r="V198" s="17">
        <f t="shared" si="54"/>
        <v>0.29557022742609779</v>
      </c>
      <c r="W198" s="17">
        <f t="shared" si="54"/>
        <v>0.2900909888290939</v>
      </c>
      <c r="X198" s="17">
        <f t="shared" si="54"/>
        <v>0.28471332357343881</v>
      </c>
      <c r="Y198" s="17">
        <f t="shared" si="54"/>
        <v>0.27943534870705994</v>
      </c>
      <c r="Z198" s="17">
        <f t="shared" si="54"/>
        <v>0.27425521618378074</v>
      </c>
      <c r="AA198" s="17">
        <f t="shared" si="54"/>
        <v>0.26917111221624046</v>
      </c>
      <c r="AB198" s="17">
        <f t="shared" si="54"/>
        <v>0.26418125664080877</v>
      </c>
      <c r="AC198" s="17">
        <f t="shared" si="54"/>
        <v>0.25928390229427456</v>
      </c>
      <c r="AD198" s="17">
        <f t="shared" si="54"/>
        <v>0.25447733440208786</v>
      </c>
      <c r="AE198" s="17">
        <f t="shared" si="54"/>
        <v>0.24975986997794447</v>
      </c>
      <c r="AF198" s="17">
        <f t="shared" si="54"/>
        <v>0.2451298572344992</v>
      </c>
      <c r="AG198" s="17">
        <f t="shared" si="54"/>
        <v>0.2405856750050048</v>
      </c>
      <c r="AH198" s="17">
        <f t="shared" si="54"/>
        <v>0.23612573217567073</v>
      </c>
      <c r="AI198" s="17">
        <f t="shared" si="54"/>
        <v>0.23174846712854671</v>
      </c>
      <c r="AJ198" s="122">
        <f t="shared" si="54"/>
        <v>0.22745234719473259</v>
      </c>
    </row>
    <row r="199" spans="1:36" x14ac:dyDescent="0.2">
      <c r="A199" s="108" t="s">
        <v>784</v>
      </c>
      <c r="B199" t="s">
        <v>537</v>
      </c>
      <c r="C199" t="s">
        <v>313</v>
      </c>
      <c r="G199" s="17">
        <f>G192</f>
        <v>9.7835710808180237E-2</v>
      </c>
      <c r="H199" s="17">
        <f t="shared" ref="H199:AJ199" si="55">H192</f>
        <v>0.38408818558342123</v>
      </c>
      <c r="I199" s="17">
        <f t="shared" si="55"/>
        <v>0.37696801373990202</v>
      </c>
      <c r="J199" s="17">
        <f t="shared" si="55"/>
        <v>0.36997983462353273</v>
      </c>
      <c r="K199" s="17">
        <f t="shared" si="55"/>
        <v>0.36312120137201814</v>
      </c>
      <c r="L199" s="17">
        <f t="shared" si="55"/>
        <v>0.35638971248264584</v>
      </c>
      <c r="M199" s="17">
        <f t="shared" si="55"/>
        <v>0.34978301097141778</v>
      </c>
      <c r="N199" s="17">
        <f t="shared" si="55"/>
        <v>0.34329878354776755</v>
      </c>
      <c r="O199" s="17">
        <f t="shared" si="55"/>
        <v>0.3369347598045786</v>
      </c>
      <c r="P199" s="17">
        <f t="shared" si="55"/>
        <v>0.33068871142321687</v>
      </c>
      <c r="Q199" s="17">
        <f t="shared" si="55"/>
        <v>0.32455845139330042</v>
      </c>
      <c r="R199" s="17">
        <f t="shared" si="55"/>
        <v>0.3185418332469323</v>
      </c>
      <c r="S199" s="17">
        <f t="shared" si="55"/>
        <v>0.31263675030713117</v>
      </c>
      <c r="T199" s="17">
        <f t="shared" si="55"/>
        <v>0.306841134950192</v>
      </c>
      <c r="U199" s="17">
        <f t="shared" si="55"/>
        <v>0.30115295788172214</v>
      </c>
      <c r="V199" s="17">
        <f t="shared" si="55"/>
        <v>0.29557022742609779</v>
      </c>
      <c r="W199" s="17">
        <f t="shared" si="55"/>
        <v>0.2900909888290939</v>
      </c>
      <c r="X199" s="17">
        <f t="shared" si="55"/>
        <v>0.28471332357343881</v>
      </c>
      <c r="Y199" s="17">
        <f t="shared" si="55"/>
        <v>0.27943534870705994</v>
      </c>
      <c r="Z199" s="17">
        <f t="shared" si="55"/>
        <v>0.27425521618378074</v>
      </c>
      <c r="AA199" s="17">
        <f t="shared" si="55"/>
        <v>0.26917111221624046</v>
      </c>
      <c r="AB199" s="17">
        <f t="shared" si="55"/>
        <v>0.26418125664080877</v>
      </c>
      <c r="AC199" s="17">
        <f t="shared" si="55"/>
        <v>0.25928390229427456</v>
      </c>
      <c r="AD199" s="17">
        <f t="shared" si="55"/>
        <v>0.25447733440208786</v>
      </c>
      <c r="AE199" s="17">
        <f t="shared" si="55"/>
        <v>0.24975986997794447</v>
      </c>
      <c r="AF199" s="17">
        <f t="shared" si="55"/>
        <v>0.2451298572344992</v>
      </c>
      <c r="AG199" s="17">
        <f t="shared" si="55"/>
        <v>0.2405856750050048</v>
      </c>
      <c r="AH199" s="17">
        <f t="shared" si="55"/>
        <v>0.23612573217567073</v>
      </c>
      <c r="AI199" s="17">
        <f t="shared" si="55"/>
        <v>0.23174846712854671</v>
      </c>
      <c r="AJ199" s="122">
        <f t="shared" si="55"/>
        <v>0.22745234719473259</v>
      </c>
    </row>
    <row r="200" spans="1:36" x14ac:dyDescent="0.2">
      <c r="A200" s="108" t="s">
        <v>798</v>
      </c>
      <c r="B200" t="s">
        <v>537</v>
      </c>
      <c r="C200" t="s">
        <v>781</v>
      </c>
      <c r="G200" s="17">
        <f>G190/G97*G101*C18</f>
        <v>9.7835710808180237E-3</v>
      </c>
      <c r="H200" s="17">
        <f t="shared" ref="H200:AJ200" si="56">H190/H97*H101</f>
        <v>3.840881855834212E-2</v>
      </c>
      <c r="I200" s="17">
        <f t="shared" si="56"/>
        <v>3.7696801373990202E-2</v>
      </c>
      <c r="J200" s="17">
        <f t="shared" si="56"/>
        <v>3.6997983462353272E-2</v>
      </c>
      <c r="K200" s="17">
        <f t="shared" si="56"/>
        <v>3.6312120137201816E-2</v>
      </c>
      <c r="L200" s="17">
        <f t="shared" si="56"/>
        <v>3.5638971248264581E-2</v>
      </c>
      <c r="M200" s="17">
        <f t="shared" si="56"/>
        <v>3.4978301097141777E-2</v>
      </c>
      <c r="N200" s="17">
        <f t="shared" si="56"/>
        <v>3.4329878354776758E-2</v>
      </c>
      <c r="O200" s="17">
        <f t="shared" si="56"/>
        <v>3.3693475980457861E-2</v>
      </c>
      <c r="P200" s="17">
        <f t="shared" si="56"/>
        <v>3.3068871142321689E-2</v>
      </c>
      <c r="Q200" s="17">
        <f t="shared" si="56"/>
        <v>3.2455845139330038E-2</v>
      </c>
      <c r="R200" s="17">
        <f t="shared" si="56"/>
        <v>3.1854183324693232E-2</v>
      </c>
      <c r="S200" s="17">
        <f t="shared" si="56"/>
        <v>3.1263675030713117E-2</v>
      </c>
      <c r="T200" s="17">
        <f t="shared" si="56"/>
        <v>3.0684113495019198E-2</v>
      </c>
      <c r="U200" s="17">
        <f t="shared" si="56"/>
        <v>3.0115295788172212E-2</v>
      </c>
      <c r="V200" s="17">
        <f t="shared" si="56"/>
        <v>2.9557022742609778E-2</v>
      </c>
      <c r="W200" s="17">
        <f t="shared" si="56"/>
        <v>2.9009098882909392E-2</v>
      </c>
      <c r="X200" s="17">
        <f t="shared" si="56"/>
        <v>2.8471332357343882E-2</v>
      </c>
      <c r="Y200" s="17">
        <f t="shared" si="56"/>
        <v>2.7943534870705992E-2</v>
      </c>
      <c r="Z200" s="17">
        <f t="shared" si="56"/>
        <v>2.7425521618378072E-2</v>
      </c>
      <c r="AA200" s="17">
        <f t="shared" si="56"/>
        <v>2.6917111221624046E-2</v>
      </c>
      <c r="AB200" s="17">
        <f t="shared" si="56"/>
        <v>2.6418125664080878E-2</v>
      </c>
      <c r="AC200" s="17">
        <f t="shared" si="56"/>
        <v>2.5928390229427455E-2</v>
      </c>
      <c r="AD200" s="17">
        <f t="shared" si="56"/>
        <v>2.5447733440208786E-2</v>
      </c>
      <c r="AE200" s="17">
        <f t="shared" si="56"/>
        <v>2.4975986997794446E-2</v>
      </c>
      <c r="AF200" s="17">
        <f t="shared" si="56"/>
        <v>2.4512985723449919E-2</v>
      </c>
      <c r="AG200" s="17">
        <f t="shared" si="56"/>
        <v>2.4058567500500481E-2</v>
      </c>
      <c r="AH200" s="17">
        <f t="shared" si="56"/>
        <v>2.3612573217567073E-2</v>
      </c>
      <c r="AI200" s="17">
        <f t="shared" si="56"/>
        <v>2.317484671285467E-2</v>
      </c>
      <c r="AJ200" s="122">
        <f t="shared" si="56"/>
        <v>2.2745234719473258E-2</v>
      </c>
    </row>
    <row r="201" spans="1:36" x14ac:dyDescent="0.2">
      <c r="A201" s="108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7"/>
      <c r="AA201" s="17"/>
      <c r="AB201" s="17"/>
      <c r="AC201" s="17"/>
      <c r="AD201" s="17"/>
      <c r="AE201" s="17"/>
      <c r="AF201" s="17"/>
      <c r="AG201" s="17"/>
      <c r="AH201" s="17"/>
      <c r="AI201" s="17"/>
      <c r="AJ201" s="122"/>
    </row>
    <row r="202" spans="1:36" ht="16" thickBot="1" x14ac:dyDescent="0.25">
      <c r="A202" s="34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37"/>
    </row>
    <row r="203" spans="1:36" x14ac:dyDescent="0.2">
      <c r="A203" s="10"/>
      <c r="B203" s="11"/>
      <c r="C203" s="19"/>
    </row>
    <row r="204" spans="1:36" x14ac:dyDescent="0.2">
      <c r="A204" s="108" t="s">
        <v>555</v>
      </c>
      <c r="B204" s="36">
        <f>SUM(D104:F104,G113:AJ113,G126:AJ126,G131:AJ131,G200:AJ200,G136:AJ136,G140:AJ140,G144:AJ144,G149:AJ149,G153:AJ153,G157:AJ157,G161:AJ161,G166:AJ166,G170:AJ170,G177:AJ177,G183:AJ183,G192:AJ192,G198:AJ199)</f>
        <v>-57505.323723070185</v>
      </c>
      <c r="C204" s="29" t="s">
        <v>537</v>
      </c>
    </row>
    <row r="205" spans="1:36" ht="16" thickBot="1" x14ac:dyDescent="0.25">
      <c r="A205" s="34"/>
      <c r="B205" s="12"/>
      <c r="C205" s="37"/>
    </row>
  </sheetData>
  <mergeCells count="13">
    <mergeCell ref="A59:C59"/>
    <mergeCell ref="A68:C68"/>
    <mergeCell ref="A90:C90"/>
    <mergeCell ref="A20:C20"/>
    <mergeCell ref="A25:C25"/>
    <mergeCell ref="A32:C32"/>
    <mergeCell ref="A41:C41"/>
    <mergeCell ref="A52:C52"/>
    <mergeCell ref="A3:C3"/>
    <mergeCell ref="A1:C1"/>
    <mergeCell ref="F1:J1"/>
    <mergeCell ref="A8:C8"/>
    <mergeCell ref="A12:C12"/>
  </mergeCell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161D05-2197-5847-AC4C-6541C8453059}">
  <sheetPr codeName="Sheet14"/>
  <dimension ref="A1:N151"/>
  <sheetViews>
    <sheetView topLeftCell="A110" zoomScale="120" zoomScaleNormal="120" workbookViewId="0">
      <selection activeCell="E24" sqref="E24"/>
    </sheetView>
  </sheetViews>
  <sheetFormatPr baseColWidth="10" defaultRowHeight="15" x14ac:dyDescent="0.2"/>
  <cols>
    <col min="2" max="2" width="13.6640625" bestFit="1" customWidth="1"/>
    <col min="3" max="3" width="12.6640625" bestFit="1" customWidth="1"/>
    <col min="4" max="4" width="17.33203125" bestFit="1" customWidth="1"/>
    <col min="5" max="5" width="11.33203125" customWidth="1"/>
  </cols>
  <sheetData>
    <row r="1" spans="1:14" x14ac:dyDescent="0.2">
      <c r="B1" s="555" t="s">
        <v>555</v>
      </c>
      <c r="C1" s="555"/>
      <c r="D1" s="555"/>
      <c r="E1" s="555"/>
      <c r="G1" s="109"/>
      <c r="H1" s="109"/>
      <c r="I1" s="109"/>
      <c r="J1" s="109"/>
      <c r="K1" s="109"/>
      <c r="L1" s="109"/>
      <c r="M1" s="109"/>
      <c r="N1" s="109"/>
    </row>
    <row r="2" spans="1:14" x14ac:dyDescent="0.2">
      <c r="B2" s="109" t="s">
        <v>577</v>
      </c>
      <c r="C2" s="109" t="s">
        <v>927</v>
      </c>
      <c r="D2" s="109" t="s">
        <v>989</v>
      </c>
      <c r="E2" s="109" t="s">
        <v>578</v>
      </c>
      <c r="F2" s="109"/>
      <c r="G2" s="109"/>
      <c r="H2" s="109"/>
      <c r="I2" s="109"/>
      <c r="J2" s="109"/>
      <c r="K2" s="109"/>
      <c r="L2" s="109"/>
      <c r="M2" s="109"/>
      <c r="N2" s="109"/>
    </row>
    <row r="3" spans="1:14" x14ac:dyDescent="0.2">
      <c r="A3" t="s">
        <v>574</v>
      </c>
      <c r="B3" s="45">
        <f>SUM('QSIA-EtOH'!D107:F112)/(PSI_OC!A9/1000000)</f>
        <v>-1.5045520489885273</v>
      </c>
      <c r="C3" s="45">
        <f>SUM('QSIA-OC'!D113:F121)/(PSI_OC!A9/1000000)</f>
        <v>-71.099123176683705</v>
      </c>
      <c r="D3" s="45">
        <f>SUM('QSIA-PC'!D107:F113)/(PSI_OC!A9/1000000)</f>
        <v>-120.42898654614501</v>
      </c>
      <c r="E3" s="45">
        <f>SUM('QSIA-Coal'!D105:F111)/(PSI_OC!A9/1000000)</f>
        <v>-1.336262292562196E-2</v>
      </c>
      <c r="G3" s="109"/>
      <c r="H3" s="109"/>
      <c r="I3" s="109"/>
      <c r="J3" s="109"/>
      <c r="K3" s="109"/>
      <c r="L3" s="109"/>
      <c r="M3" s="109"/>
      <c r="N3" s="109"/>
    </row>
    <row r="4" spans="1:14" x14ac:dyDescent="0.2">
      <c r="A4" s="75" t="s">
        <v>575</v>
      </c>
      <c r="B4" s="45">
        <f>SUM('QSIA-EtOH'!G116:AJ120)/(PSI_OC!A9/1000000)</f>
        <v>-900.74483769600272</v>
      </c>
      <c r="C4" s="125">
        <f>SUM('QSIA-OC'!G124:AJ129)/(PSI_OC!A9/1000000)</f>
        <v>-111.53459608254752</v>
      </c>
      <c r="D4" s="45">
        <f>SUM('QSIA-PC'!G116:AJ119)/(PSI_OC!A9/1000000)</f>
        <v>-35.275226631849002</v>
      </c>
      <c r="E4" s="206">
        <f>SUM('QSIA-Coal'!G114:AJ120)/(PSI_OC!A9/1000000)</f>
        <v>-607.98378919882521</v>
      </c>
      <c r="F4" s="8"/>
      <c r="N4" s="75"/>
    </row>
    <row r="5" spans="1:14" x14ac:dyDescent="0.2">
      <c r="A5" t="s">
        <v>6</v>
      </c>
      <c r="B5" s="45">
        <f>SUM('QSIA-EtOH'!G129:AJ129)/(PSI_OC!A9/1000000)</f>
        <v>0.71684161632761489</v>
      </c>
      <c r="C5" s="45">
        <f>SUM('QSIA-OC'!G135:AJ135)/(PSI_OC!A9/1000000)</f>
        <v>0.71684161632761489</v>
      </c>
      <c r="D5" s="45">
        <f>SUM('QSIA-PC'!G126:AJ126)/(PSI_OC!A9/1000000)</f>
        <v>0.71684161632761489</v>
      </c>
      <c r="E5" s="45">
        <f>SUM('QSIA-Coal'!G126:AJ126)/(PSI_OC!A9/1000000)</f>
        <v>0.71684161632761489</v>
      </c>
    </row>
    <row r="6" spans="1:14" x14ac:dyDescent="0.2">
      <c r="A6" t="s">
        <v>952</v>
      </c>
      <c r="B6" s="45">
        <f>SUM('QSIA-EtOH'!G134:AJ134)/(PSI_OC!A9/1000000)</f>
        <v>0</v>
      </c>
      <c r="C6" s="45">
        <f>SUM('QSIA-OC'!G140:AJ140)/(PSI_OC!A9/1000000)</f>
        <v>0</v>
      </c>
      <c r="D6" s="45">
        <f>SUM('QSIA-PC'!G131:AJ131)/(PSI_OC!A9/1000000)</f>
        <v>-35.963985077626184</v>
      </c>
      <c r="E6" s="45">
        <f>SUM('QSIA-Coal'!G131:AJ131)/(PSI_OC!A9/1000000)</f>
        <v>-111.78098176723159</v>
      </c>
    </row>
    <row r="7" spans="1:14" x14ac:dyDescent="0.2">
      <c r="A7" t="s">
        <v>576</v>
      </c>
      <c r="B7" s="45">
        <v>0</v>
      </c>
      <c r="C7" s="45">
        <f>SUM('QSIA-OC'!G147:AJ147)/(PSI_OC!A9/1000000)</f>
        <v>300.5246631655146</v>
      </c>
      <c r="D7" s="45">
        <v>0</v>
      </c>
      <c r="E7" s="45">
        <v>0</v>
      </c>
    </row>
    <row r="8" spans="1:14" x14ac:dyDescent="0.2">
      <c r="A8" t="s">
        <v>805</v>
      </c>
      <c r="B8" s="45">
        <f>SUM('QSIA-EtOH'!G139:AJ139,'QSIA-EtOH'!G143:AJ143,'QSIA-EtOH'!G147:AJ147)/(PSI_OC!A9/1000000)</f>
        <v>-169.25809693762787</v>
      </c>
      <c r="C8" s="45">
        <f>SUM('QSIA-OC'!G152:AJ152,'QSIA-OC'!G156:AJ156,'QSIA-OC'!G160:AJ160)/(PSI_OC!A9/1000000)</f>
        <v>-169.25809693762807</v>
      </c>
      <c r="D8" s="45">
        <f>SUM('QSIA-PC'!G136:AJ136,'QSIA-PC'!G140:AJ140,'QSIA-PC'!G144:AJ144)/(PSI_OC!A9/1000000)</f>
        <v>-169.25809693762807</v>
      </c>
      <c r="E8" s="45">
        <f>SUM('QSIA-Coal'!G136:AJ136,'QSIA-Coal'!G140:AJ140,'QSIA-Coal'!G144:AJ144)/(PSI_OC!A9/1000000)</f>
        <v>-2.5261796671128836</v>
      </c>
    </row>
    <row r="9" spans="1:14" x14ac:dyDescent="0.2">
      <c r="A9" t="s">
        <v>804</v>
      </c>
      <c r="B9" s="45">
        <f>SUM('QSIA-EtOH'!G152:AJ152,'QSIA-EtOH'!G156:AJ156,'QSIA-EtOH'!G160:AJ160,'QSIA-EtOH'!G164:AJ164)/(PSI_OC!A9/1000000)</f>
        <v>-12.017704862614103</v>
      </c>
      <c r="C9" s="45">
        <f>SUM('QSIA-OC'!G165:AJ165,'QSIA-OC'!G169:AJ169,'QSIA-OC'!G173:AJ173,'QSIA-OC'!G177:AJ177)/(PSI_OC!A9/1000000)</f>
        <v>-12.016889902255032</v>
      </c>
      <c r="D9" s="45">
        <f>SUM('QSIA-PC'!G149:AJ149,'QSIA-PC'!G153:AJ153,'QSIA-PC'!G157:AJ157,'QSIA-PC'!G161:AJ161)/(PSI_OC!A9/1000000)</f>
        <v>-12.016889902255032</v>
      </c>
      <c r="E9" s="45">
        <f>SUM('QSIA-Coal'!G149:AJ149,'QSIA-Coal'!G153:AJ153,'QSIA-Coal'!G157:AJ157,'QSIA-Coal'!G161:AJ161)/(PSI_OC!A9/1000000)</f>
        <v>-0.31594772913232455</v>
      </c>
    </row>
    <row r="10" spans="1:14" x14ac:dyDescent="0.2">
      <c r="A10" t="s">
        <v>803</v>
      </c>
      <c r="B10" s="45">
        <f>SUM('QSIA-EtOH'!G169:AJ169,'QSIA-EtOH'!G173:AJ173)/(PSI_OC!A9/1000000)</f>
        <v>-3.4569375971389325E-4</v>
      </c>
      <c r="C10" s="45">
        <f>SUM('QSIA-OC'!G182:AJ182,'QSIA-OC'!G186:AJ186)/(PSI_OC!A9/1000000)</f>
        <v>-2.9869002490846283E-4</v>
      </c>
      <c r="D10" s="45">
        <f>SUM('QSIA-PC'!G166:AJ166,'QSIA-PC'!G170:AJ170)/(PSI_OC!A9/1000000)</f>
        <v>-3.4569375971389346E-4</v>
      </c>
      <c r="E10" s="45">
        <f>SUM('QSIA-Coal'!G166:AJ166,'QSIA-Coal'!G170:AJ170)/(PSI_OC!A9/1000000)</f>
        <v>-2.681799948047972E-4</v>
      </c>
    </row>
    <row r="11" spans="1:14" x14ac:dyDescent="0.2">
      <c r="A11" t="s">
        <v>806</v>
      </c>
      <c r="B11" s="45">
        <f>0/(PSI_OC!A9/1000000)</f>
        <v>0</v>
      </c>
      <c r="C11" s="45">
        <f>SUM('QSIA-OC'!G193:AJ193,'QSIA-OC'!G199:AJ199)/(PSI_OC!A9/1000000)</f>
        <v>40.727285498548234</v>
      </c>
      <c r="D11" s="45">
        <f>SUM('QSIA-PC'!G177:AJ177)/(PSI_OC!A9/1000000)</f>
        <v>1.0316071033897576E-4</v>
      </c>
      <c r="E11" s="45"/>
    </row>
    <row r="12" spans="1:14" x14ac:dyDescent="0.2">
      <c r="A12" t="s">
        <v>800</v>
      </c>
      <c r="B12" s="45">
        <f>0/(PSI_OC!A9/1000000)</f>
        <v>0</v>
      </c>
      <c r="C12" s="45">
        <f>SUM('QSIA-OC'!G223:AJ223)/(PSI_OC!A9/1000000)</f>
        <v>0.20363642749274111</v>
      </c>
      <c r="D12" s="45"/>
      <c r="E12" s="45"/>
    </row>
    <row r="13" spans="1:14" x14ac:dyDescent="0.2">
      <c r="A13" t="s">
        <v>941</v>
      </c>
      <c r="B13" s="17">
        <f>0/(PSI_OC!A9/1000000)</f>
        <v>0</v>
      </c>
      <c r="E13" s="17">
        <f>SUM('QSIA-Coal'!G177:AJ177,'QSIA-Coal'!G183:AJ183)/(PSI_OC!A9/1000000)</f>
        <v>1.3073186588207049</v>
      </c>
    </row>
    <row r="14" spans="1:14" x14ac:dyDescent="0.2">
      <c r="A14" t="s">
        <v>942</v>
      </c>
      <c r="B14" s="17">
        <f>SUM('QSIA-EtOH'!G198:AJ198)/(PSI_OC!A9/1000000)</f>
        <v>6.3353712307297591E-6</v>
      </c>
    </row>
    <row r="15" spans="1:14" x14ac:dyDescent="0.2">
      <c r="A15" t="s">
        <v>801</v>
      </c>
      <c r="B15" s="45">
        <f>SUM('QSIA-EtOH'!G183:AJ183,'QSIA-EtOH'!G187:AJ191)/(PSI_OC!A9/1000000)</f>
        <v>0.10220564750470015</v>
      </c>
      <c r="C15" s="45">
        <f>SUM('QSIA-OC'!G208:AJ208,'QSIA-OC'!G212:AJ216)/(PSI_OC!A9/1000000)</f>
        <v>0.10220564750470015</v>
      </c>
      <c r="D15" s="45">
        <f>SUM('QSIA-PC'!G186:AJ186,'QSIA-PC'!G190:AJ194)/(PSI_OC!A9/1000000)</f>
        <v>0.10597239805454639</v>
      </c>
      <c r="E15" s="45">
        <f>SUM('QSIA-Coal'!G192:AJ192,'QSIA-Coal'!G196:AJ200)/(PSI_OC!A9/1000000)</f>
        <v>0.10220564750470015</v>
      </c>
    </row>
    <row r="16" spans="1:14" x14ac:dyDescent="0.2">
      <c r="A16" t="s">
        <v>17</v>
      </c>
      <c r="B16" s="45">
        <f>SUM(B3:B15)</f>
        <v>-1082.7064836397897</v>
      </c>
      <c r="C16" s="45">
        <f>SUM(C3:C15)</f>
        <v>-21.63437243375132</v>
      </c>
      <c r="D16" s="45">
        <f>SUM(D3:D15)</f>
        <v>-372.12061361417051</v>
      </c>
      <c r="E16" s="45">
        <f>SUM(E3:E15)</f>
        <v>-720.49416324256936</v>
      </c>
    </row>
    <row r="18" spans="2:5" x14ac:dyDescent="0.2">
      <c r="B18" s="17"/>
      <c r="C18" s="17"/>
      <c r="D18" s="17"/>
      <c r="E18" s="17"/>
    </row>
    <row r="33" spans="1:5" x14ac:dyDescent="0.2">
      <c r="B33" s="555" t="s">
        <v>953</v>
      </c>
      <c r="C33" s="555"/>
      <c r="D33" s="555"/>
      <c r="E33" s="555"/>
    </row>
    <row r="34" spans="1:5" x14ac:dyDescent="0.2">
      <c r="B34" s="109" t="s">
        <v>577</v>
      </c>
      <c r="C34" s="109" t="s">
        <v>927</v>
      </c>
      <c r="D34" s="109" t="s">
        <v>989</v>
      </c>
      <c r="E34" s="109" t="s">
        <v>578</v>
      </c>
    </row>
    <row r="35" spans="1:5" x14ac:dyDescent="0.2">
      <c r="A35" t="s">
        <v>921</v>
      </c>
      <c r="B35" s="45">
        <v>-21.260318426376685</v>
      </c>
      <c r="C35" s="45">
        <v>-1.500983982849426</v>
      </c>
      <c r="D35" s="45">
        <v>-5.116021995312253</v>
      </c>
      <c r="E35" s="45">
        <v>-12.265774707809262</v>
      </c>
    </row>
    <row r="36" spans="1:5" x14ac:dyDescent="0.2">
      <c r="A36" t="s">
        <v>922</v>
      </c>
      <c r="B36" s="45">
        <v>-52.146287245238689</v>
      </c>
      <c r="C36" s="45">
        <v>-3.2772265796194899</v>
      </c>
      <c r="D36" s="45">
        <v>-13.779782862778925</v>
      </c>
      <c r="E36" s="45">
        <v>-31.147207383729494</v>
      </c>
    </row>
    <row r="37" spans="1:5" x14ac:dyDescent="0.2">
      <c r="A37" t="s">
        <v>923</v>
      </c>
      <c r="B37" s="45">
        <v>-133.26322354576885</v>
      </c>
      <c r="C37" s="45">
        <v>-6.9321118985909971</v>
      </c>
      <c r="D37" s="45">
        <v>-38.243868720486802</v>
      </c>
      <c r="E37" s="45">
        <v>-82.201319512149695</v>
      </c>
    </row>
    <row r="38" spans="1:5" x14ac:dyDescent="0.2">
      <c r="A38" t="s">
        <v>924</v>
      </c>
      <c r="B38" s="45">
        <v>-353.53209213524815</v>
      </c>
      <c r="C38" s="45">
        <v>-14.549082912828208</v>
      </c>
      <c r="D38" s="45">
        <v>-108.58173280422615</v>
      </c>
      <c r="E38" s="45">
        <v>-224.18328409872933</v>
      </c>
    </row>
    <row r="39" spans="1:5" x14ac:dyDescent="0.2">
      <c r="A39" t="s">
        <v>925</v>
      </c>
      <c r="B39" s="45">
        <v>-1082.7064836397897</v>
      </c>
      <c r="C39" s="45">
        <v>-21.63437243375132</v>
      </c>
      <c r="D39" s="45">
        <v>-372.12071677488086</v>
      </c>
      <c r="E39" s="45">
        <v>-720.49416324256936</v>
      </c>
    </row>
    <row r="40" spans="1:5" x14ac:dyDescent="0.2">
      <c r="A40" t="s">
        <v>926</v>
      </c>
      <c r="B40" s="45">
        <v>-279.85111981850315</v>
      </c>
      <c r="C40" s="45">
        <v>-12.805604270532362</v>
      </c>
      <c r="D40" s="45">
        <v>-83.043919980650642</v>
      </c>
      <c r="E40" s="45">
        <v>-174.95945546874322</v>
      </c>
    </row>
    <row r="41" spans="1:5" x14ac:dyDescent="0.2">
      <c r="A41" t="s">
        <v>956</v>
      </c>
      <c r="B41" s="45">
        <v>-32.894986439274298</v>
      </c>
      <c r="C41" s="45">
        <v>-2.7267093307843973</v>
      </c>
      <c r="D41" s="45">
        <v>-6.6843050974762619</v>
      </c>
      <c r="E41" s="45">
        <v>-17.915891447500048</v>
      </c>
    </row>
    <row r="42" spans="1:5" x14ac:dyDescent="0.2">
      <c r="A42" t="s">
        <v>957</v>
      </c>
      <c r="B42" s="45">
        <v>-129.76709374455609</v>
      </c>
      <c r="C42" s="45">
        <v>5.6162313835854505</v>
      </c>
      <c r="D42" s="45">
        <v>-20.894567392399317</v>
      </c>
      <c r="E42" s="45">
        <v>-65.544024399210585</v>
      </c>
    </row>
    <row r="47" spans="1:5" x14ac:dyDescent="0.2">
      <c r="B47" s="109"/>
      <c r="C47" s="109"/>
      <c r="D47" s="109"/>
      <c r="E47" s="109"/>
    </row>
    <row r="48" spans="1:5" x14ac:dyDescent="0.2">
      <c r="B48" s="45"/>
      <c r="C48" s="45"/>
      <c r="D48" s="45"/>
      <c r="E48" s="45"/>
    </row>
    <row r="49" spans="1:5" x14ac:dyDescent="0.2">
      <c r="B49" s="45"/>
      <c r="C49" s="45"/>
      <c r="D49" s="45"/>
      <c r="E49" s="45"/>
    </row>
    <row r="50" spans="1:5" x14ac:dyDescent="0.2">
      <c r="B50" s="45"/>
      <c r="C50" s="45"/>
      <c r="D50" s="45"/>
      <c r="E50" s="45"/>
    </row>
    <row r="51" spans="1:5" x14ac:dyDescent="0.2">
      <c r="B51" s="17"/>
      <c r="C51" s="17"/>
      <c r="D51" s="17"/>
      <c r="E51" s="17"/>
    </row>
    <row r="52" spans="1:5" x14ac:dyDescent="0.2">
      <c r="B52" s="45"/>
      <c r="C52" s="45"/>
      <c r="D52" s="45"/>
      <c r="E52" s="45"/>
    </row>
    <row r="58" spans="1:5" x14ac:dyDescent="0.2">
      <c r="B58" s="109"/>
      <c r="C58" s="109"/>
      <c r="D58" s="109"/>
      <c r="E58" s="109"/>
    </row>
    <row r="59" spans="1:5" x14ac:dyDescent="0.2">
      <c r="B59" s="109"/>
      <c r="C59" s="109"/>
      <c r="D59" s="109"/>
      <c r="E59" s="109"/>
    </row>
    <row r="61" spans="1:5" x14ac:dyDescent="0.2">
      <c r="B61" s="555" t="s">
        <v>1004</v>
      </c>
      <c r="C61" s="555"/>
      <c r="D61" s="555"/>
      <c r="E61" s="555"/>
    </row>
    <row r="62" spans="1:5" x14ac:dyDescent="0.2">
      <c r="B62" s="109"/>
      <c r="C62" s="109"/>
      <c r="D62" s="109"/>
      <c r="E62" s="109"/>
    </row>
    <row r="63" spans="1:5" x14ac:dyDescent="0.2">
      <c r="B63" s="109" t="s">
        <v>577</v>
      </c>
      <c r="C63" s="109" t="s">
        <v>927</v>
      </c>
      <c r="D63" s="109" t="s">
        <v>989</v>
      </c>
      <c r="E63" s="109" t="s">
        <v>578</v>
      </c>
    </row>
    <row r="64" spans="1:5" x14ac:dyDescent="0.2">
      <c r="A64" s="109" t="s">
        <v>988</v>
      </c>
      <c r="B64" s="8">
        <f>SUM(PSI_EtOH!V6:V116)*-1</f>
        <v>530164141.60624659</v>
      </c>
      <c r="D64" s="17">
        <f>SUM(PSI_PC!W6:W111)*-1</f>
        <v>92269943.052880123</v>
      </c>
      <c r="E64">
        <f>SUM(PSI_Coal!X6:X116)*-1</f>
        <v>12703646.665298466</v>
      </c>
    </row>
    <row r="65" spans="1:5" x14ac:dyDescent="0.2">
      <c r="A65" s="109" t="s">
        <v>980</v>
      </c>
      <c r="B65" s="8">
        <f>SUM(PSI_EtOH!W6:W116)*-1</f>
        <v>322084239.80786932</v>
      </c>
      <c r="C65">
        <f>SUM(PSI_OC!Y6:Y111)*-1</f>
        <v>4637159244.4787006</v>
      </c>
      <c r="D65" s="17">
        <f>SUM(PSI_PC!AB6:AB111)*-1</f>
        <v>47514366.391117454</v>
      </c>
      <c r="E65">
        <f>SUM(PSI_Coal!AB6:AB116)*-1</f>
        <v>13393386.687115688</v>
      </c>
    </row>
    <row r="66" spans="1:5" x14ac:dyDescent="0.2">
      <c r="A66" s="109" t="s">
        <v>507</v>
      </c>
      <c r="B66" s="8">
        <f>SUM(PSI_EtOH!X6:X116)*-1</f>
        <v>10959035316.427818</v>
      </c>
      <c r="C66">
        <f>SUM(PSI_OC!V6:V111)*-1</f>
        <v>313305976117.57867</v>
      </c>
      <c r="D66" s="17">
        <f>SUM(PSI_PC!X6:X111)*-1</f>
        <v>4433741307.1547155</v>
      </c>
      <c r="E66">
        <f>SUM(PSI_Coal!Y6:Y116)*-1</f>
        <v>561911755.06268859</v>
      </c>
    </row>
    <row r="67" spans="1:5" x14ac:dyDescent="0.2">
      <c r="A67" s="109" t="s">
        <v>981</v>
      </c>
      <c r="B67" s="8">
        <f>SUM(PSI_EtOH!Y6:Y116)*-1</f>
        <v>3029294686.3341866</v>
      </c>
      <c r="D67" s="17">
        <f>SUM(PSI_PC!AC6:AC111)*-1</f>
        <v>48306979.125554629</v>
      </c>
      <c r="E67" s="17">
        <f>SUM(PSI_Coal!AA6:AA116)*-1</f>
        <v>18928333.757786885</v>
      </c>
    </row>
    <row r="68" spans="1:5" x14ac:dyDescent="0.2">
      <c r="A68" s="109" t="s">
        <v>663</v>
      </c>
      <c r="B68" s="8">
        <f>SUM(PSI_EtOH!Z6:Z116)*-1</f>
        <v>185909461.9957698</v>
      </c>
      <c r="C68">
        <f>SUM(PSI_OC!U6:U111)*-1</f>
        <v>11548649842.485243</v>
      </c>
      <c r="D68">
        <f>SUM(PSI_PC!Y6:Y111)*-1</f>
        <v>1083209883.6719861</v>
      </c>
      <c r="E68" s="17">
        <f>SUM(PSI_Coal!Z6:Z116)*-1</f>
        <v>20141723.021014094</v>
      </c>
    </row>
    <row r="69" spans="1:5" x14ac:dyDescent="0.2">
      <c r="A69" s="109" t="s">
        <v>982</v>
      </c>
      <c r="B69" s="8">
        <f>SUM(PSI_EtOH!AA6:AA116)*-1</f>
        <v>610516645.4913404</v>
      </c>
      <c r="C69">
        <f>SUM(PSI_OC!Z6:Z111)*-1</f>
        <v>1829525005.9313457</v>
      </c>
      <c r="D69" s="17">
        <f>SUM(PSI_PC!Z6:Z111)*-1</f>
        <v>532135298.22020429</v>
      </c>
      <c r="E69">
        <f>SUM(PSI_Coal!AD6:AD116)*-1</f>
        <v>320351349.10824049</v>
      </c>
    </row>
    <row r="70" spans="1:5" x14ac:dyDescent="0.2">
      <c r="A70" s="109" t="s">
        <v>983</v>
      </c>
      <c r="C70" s="8">
        <f>SUM(PSI_OC!S6:S111)*-1</f>
        <v>31479619200</v>
      </c>
    </row>
    <row r="71" spans="1:5" x14ac:dyDescent="0.2">
      <c r="A71" s="109" t="s">
        <v>985</v>
      </c>
      <c r="C71" s="8">
        <f>SUM(PSI_OC!T6:T111)*-1</f>
        <v>74863481996.351822</v>
      </c>
    </row>
    <row r="72" spans="1:5" x14ac:dyDescent="0.2">
      <c r="A72" s="109" t="s">
        <v>505</v>
      </c>
      <c r="C72">
        <f>SUM(PSI_OC!W6:W111)*-1</f>
        <v>30132427436.319462</v>
      </c>
    </row>
    <row r="73" spans="1:5" x14ac:dyDescent="0.2">
      <c r="A73" s="109" t="s">
        <v>40</v>
      </c>
      <c r="C73">
        <f>SUM(PSI_OC!X6:X111)*-1</f>
        <v>107639313798.34189</v>
      </c>
    </row>
    <row r="74" spans="1:5" x14ac:dyDescent="0.2">
      <c r="A74" s="109" t="s">
        <v>10</v>
      </c>
      <c r="C74">
        <f>SUM(PSI_OC!AA6:AA111)*-1</f>
        <v>4561719914.2734423</v>
      </c>
    </row>
    <row r="75" spans="1:5" x14ac:dyDescent="0.2">
      <c r="A75" s="109" t="s">
        <v>1054</v>
      </c>
      <c r="D75" s="17">
        <f>SUM(PSI_PC!AA6:AA111)*-1</f>
        <v>3758927723.3575721</v>
      </c>
    </row>
    <row r="76" spans="1:5" x14ac:dyDescent="0.2">
      <c r="A76" s="109" t="s">
        <v>986</v>
      </c>
      <c r="D76" s="17"/>
    </row>
    <row r="77" spans="1:5" x14ac:dyDescent="0.2">
      <c r="A77" s="109" t="s">
        <v>915</v>
      </c>
      <c r="E77">
        <f>SUM(PSI_Coal!AC6:AC116)*-1</f>
        <v>231752035.50001228</v>
      </c>
    </row>
    <row r="79" spans="1:5" x14ac:dyDescent="0.2">
      <c r="A79" s="109" t="s">
        <v>17</v>
      </c>
      <c r="B79" s="8">
        <f>SUM(B64:B77)</f>
        <v>15637004491.663231</v>
      </c>
      <c r="C79" s="8">
        <f t="shared" ref="C79:E79" si="0">SUM(C64:C77)</f>
        <v>579997872555.7605</v>
      </c>
      <c r="D79" s="8">
        <f t="shared" si="0"/>
        <v>9996105500.9740295</v>
      </c>
      <c r="E79" s="8">
        <f t="shared" si="0"/>
        <v>1179182229.8021564</v>
      </c>
    </row>
    <row r="80" spans="1:5" x14ac:dyDescent="0.2">
      <c r="B80" s="17">
        <f>B79/(PSI_OC!$A$9)</f>
        <v>30.603809664642615</v>
      </c>
      <c r="C80" s="17">
        <f>C79/(PSI_OC!$A$9)</f>
        <v>1135.1371362115751</v>
      </c>
      <c r="D80" s="17">
        <f>D79/(PSI_OC!$A$9)</f>
        <v>19.563779642232301</v>
      </c>
      <c r="E80" s="17">
        <f>E79/(PSI_OC!$A$9)</f>
        <v>2.3078249123758878</v>
      </c>
    </row>
    <row r="85" spans="1:5" x14ac:dyDescent="0.2">
      <c r="B85" s="555" t="s">
        <v>1005</v>
      </c>
      <c r="C85" s="555"/>
      <c r="D85" s="555"/>
      <c r="E85" s="555"/>
    </row>
    <row r="87" spans="1:5" x14ac:dyDescent="0.2">
      <c r="B87" s="109" t="s">
        <v>577</v>
      </c>
      <c r="C87" s="109" t="s">
        <v>927</v>
      </c>
      <c r="D87" s="109" t="s">
        <v>989</v>
      </c>
      <c r="E87" s="109" t="s">
        <v>578</v>
      </c>
    </row>
    <row r="88" spans="1:5" x14ac:dyDescent="0.2">
      <c r="A88" s="109" t="s">
        <v>990</v>
      </c>
      <c r="C88" s="8">
        <f>SUM(PSI_OC!AH6:AH111)*-1</f>
        <v>26032590362.801926</v>
      </c>
    </row>
    <row r="89" spans="1:5" x14ac:dyDescent="0.2">
      <c r="A89" s="109" t="s">
        <v>991</v>
      </c>
      <c r="B89" s="8">
        <f>SUM(PSI_EtOH!AK6:AK111)*-1</f>
        <v>731000838.06834054</v>
      </c>
      <c r="C89" s="8">
        <f>SUM(PSI_OC!AI6:AI111)*-1</f>
        <v>5079530595.4566765</v>
      </c>
      <c r="D89" s="8">
        <f>SUM(PSI_PC!AJ6:AJ111)*-1</f>
        <v>2771987.4240335557</v>
      </c>
    </row>
    <row r="90" spans="1:5" x14ac:dyDescent="0.2">
      <c r="A90" s="109" t="s">
        <v>197</v>
      </c>
      <c r="C90" s="8">
        <f>SUM(PSI_OC!AJ6:AJ111)*-1</f>
        <v>899026414.00934649</v>
      </c>
      <c r="D90" s="8"/>
    </row>
    <row r="91" spans="1:5" x14ac:dyDescent="0.2">
      <c r="A91" s="109" t="s">
        <v>999</v>
      </c>
      <c r="C91" s="8">
        <f>SUM(PSI_OC!AK6:AK111)*-1</f>
        <v>409109516.24983877</v>
      </c>
      <c r="D91" s="8"/>
      <c r="E91" s="8">
        <f>SUM(PSI_Coal!AP6:AP111)*-1</f>
        <v>3047330799.7293825</v>
      </c>
    </row>
    <row r="92" spans="1:5" x14ac:dyDescent="0.2">
      <c r="A92" s="109" t="s">
        <v>137</v>
      </c>
      <c r="B92" s="8">
        <f>SUM(PSI_EtOH!AL6:AL111)*-1</f>
        <v>2746283.6552521456</v>
      </c>
      <c r="C92" s="8">
        <f>SUM(PSI_OC!AL6:AL111)*-1</f>
        <v>1035906667.8814079</v>
      </c>
      <c r="D92" s="8"/>
      <c r="E92" s="8">
        <f>SUM(PSI_Coal!AL6:AL111)*-1</f>
        <v>2636029655.2889938</v>
      </c>
    </row>
    <row r="93" spans="1:5" x14ac:dyDescent="0.2">
      <c r="A93" s="109" t="s">
        <v>993</v>
      </c>
      <c r="C93" s="8">
        <f>SUM(PSI_OC!AM6:AM111)*-1</f>
        <v>23399570579.342766</v>
      </c>
      <c r="D93" s="8">
        <f>SUM(PSI_PC!AL2:AL107)*-1</f>
        <v>869919999.34610546</v>
      </c>
    </row>
    <row r="94" spans="1:5" x14ac:dyDescent="0.2">
      <c r="A94" s="109" t="s">
        <v>580</v>
      </c>
      <c r="B94" s="8">
        <f>SUM(PSI_EtOH!AH6:AH111)*-1</f>
        <v>66459940395.62027</v>
      </c>
      <c r="D94" s="8"/>
    </row>
    <row r="95" spans="1:5" x14ac:dyDescent="0.2">
      <c r="A95" s="109" t="s">
        <v>994</v>
      </c>
      <c r="B95" s="8">
        <f>SUM(PSI_EtOH!AI6:AI111)*-1</f>
        <v>49374441.818477847</v>
      </c>
      <c r="D95" s="8"/>
    </row>
    <row r="96" spans="1:5" x14ac:dyDescent="0.2">
      <c r="A96" s="109" t="s">
        <v>995</v>
      </c>
      <c r="B96" s="8">
        <f>SUM(PSI_EtOH!AJ6:AJ111)*-1</f>
        <v>399383158.15176517</v>
      </c>
      <c r="D96" s="8"/>
      <c r="E96" s="8">
        <f>SUM(PSI_Coal!AO6:AO111)*-1</f>
        <v>3450020401.4465895</v>
      </c>
    </row>
    <row r="97" spans="1:5" x14ac:dyDescent="0.2">
      <c r="A97" s="109" t="s">
        <v>1086</v>
      </c>
      <c r="D97" s="8">
        <f>SUM(PSI_PC!AK6:AK111)*-1</f>
        <v>35578812470.422943</v>
      </c>
    </row>
    <row r="98" spans="1:5" x14ac:dyDescent="0.2">
      <c r="A98" s="109" t="s">
        <v>986</v>
      </c>
      <c r="D98" s="17"/>
    </row>
    <row r="99" spans="1:5" x14ac:dyDescent="0.2">
      <c r="A99" s="109" t="s">
        <v>903</v>
      </c>
      <c r="D99" s="8">
        <f>SUM(PSI_PC!AM6:AM111)*-1</f>
        <v>69921586.432479769</v>
      </c>
      <c r="E99" s="8">
        <f>SUM(PSI_Coal!AK6:AK111)*-1</f>
        <v>7702995891.6097765</v>
      </c>
    </row>
    <row r="100" spans="1:5" x14ac:dyDescent="0.2">
      <c r="A100" s="109" t="s">
        <v>997</v>
      </c>
      <c r="E100" s="8">
        <f>SUM(PSI_Coal!AM6:AM111)*-1</f>
        <v>457240523.01633936</v>
      </c>
    </row>
    <row r="101" spans="1:5" x14ac:dyDescent="0.2">
      <c r="A101" s="109" t="s">
        <v>585</v>
      </c>
      <c r="E101" s="8">
        <f>SUM(PSI_Coal!AN6:AN111)*-1</f>
        <v>5780047965.5991373</v>
      </c>
    </row>
    <row r="102" spans="1:5" x14ac:dyDescent="0.2">
      <c r="A102" s="109" t="s">
        <v>996</v>
      </c>
      <c r="E102" s="8">
        <f>SUM(PSI_Coal!AQ6:AQ111)*-1</f>
        <v>195388943219.57144</v>
      </c>
    </row>
    <row r="104" spans="1:5" x14ac:dyDescent="0.2">
      <c r="A104" s="109" t="s">
        <v>17</v>
      </c>
      <c r="B104" s="8">
        <f>SUM(B88:B102)</f>
        <v>67642445117.31411</v>
      </c>
      <c r="C104" s="8">
        <f t="shared" ref="C104:E104" si="1">SUM(C88:C102)</f>
        <v>56855734135.741959</v>
      </c>
      <c r="D104" s="8">
        <f t="shared" si="1"/>
        <v>36521426043.625565</v>
      </c>
      <c r="E104" s="8">
        <f t="shared" si="1"/>
        <v>218462608456.26166</v>
      </c>
    </row>
    <row r="105" spans="1:5" x14ac:dyDescent="0.2">
      <c r="B105" s="17">
        <f>B104/(PSI_OC!$A$9)</f>
        <v>132.38574668984617</v>
      </c>
      <c r="C105" s="17">
        <f>C104/(PSI_OC!$A$9)</f>
        <v>111.27464130111632</v>
      </c>
      <c r="D105" s="17">
        <f>D104/(PSI_OC!$A$9)</f>
        <v>71.47755005866567</v>
      </c>
      <c r="E105" s="17">
        <f>E104/(PSI_OC!$A$9)</f>
        <v>427.5619471492293</v>
      </c>
    </row>
    <row r="109" spans="1:5" x14ac:dyDescent="0.2">
      <c r="B109" s="555" t="s">
        <v>1006</v>
      </c>
      <c r="C109" s="555"/>
      <c r="D109" s="555"/>
      <c r="E109" s="555"/>
    </row>
    <row r="110" spans="1:5" x14ac:dyDescent="0.2">
      <c r="B110" s="109"/>
      <c r="C110" s="109"/>
      <c r="D110" s="109"/>
      <c r="E110" s="109"/>
    </row>
    <row r="111" spans="1:5" x14ac:dyDescent="0.2">
      <c r="B111" s="109" t="s">
        <v>577</v>
      </c>
      <c r="C111" s="109" t="s">
        <v>927</v>
      </c>
      <c r="D111" s="109" t="s">
        <v>989</v>
      </c>
      <c r="E111" s="109" t="s">
        <v>578</v>
      </c>
    </row>
    <row r="112" spans="1:5" x14ac:dyDescent="0.2">
      <c r="A112" s="109" t="s">
        <v>1169</v>
      </c>
      <c r="B112" s="17">
        <f>SUM('QSIA-EtOH'!D107:F107)*-1</f>
        <v>5.6436877736752491</v>
      </c>
      <c r="D112" s="17">
        <f>SUM('QSIA-PC'!D107:F107)*-1</f>
        <v>153.8527606030797</v>
      </c>
      <c r="E112" s="8">
        <f>SUM('QSIA-Coal'!D105:F105)*-1</f>
        <v>3.2404034848437045E-3</v>
      </c>
    </row>
    <row r="113" spans="1:5" x14ac:dyDescent="0.2">
      <c r="A113" s="109" t="s">
        <v>980</v>
      </c>
      <c r="B113" s="17">
        <f>SUM('QSIA-EtOH'!D108:F108)*-1</f>
        <v>69.317092869478259</v>
      </c>
      <c r="C113" s="8">
        <f>SUM('QSIA-OC'!D119:F119)*-1</f>
        <v>135.55000768204414</v>
      </c>
      <c r="D113" s="17">
        <f>SUM('QSIA-PC'!D112:F112)*-1</f>
        <v>1357.6686359675755</v>
      </c>
      <c r="E113" s="8">
        <f>SUM('QSIA-Coal'!D110:F110)*-1</f>
        <v>1.8729465639632102E-3</v>
      </c>
    </row>
    <row r="114" spans="1:5" x14ac:dyDescent="0.2">
      <c r="A114" s="109" t="s">
        <v>507</v>
      </c>
      <c r="B114" s="17">
        <f>SUM('QSIA-EtOH'!D109:F109)*-1</f>
        <v>134.15141120009883</v>
      </c>
      <c r="C114" s="8">
        <f>SUM('QSIA-OC'!D116:F116)*-1</f>
        <v>38.128052222961422</v>
      </c>
      <c r="D114" s="17">
        <f>SUM('QSIA-PC'!D108:F108)*-1</f>
        <v>19762.132283358391</v>
      </c>
      <c r="E114" s="8">
        <f>SUM('QSIA-Coal'!D107:F107)*-1</f>
        <v>9.2434235899819476E-3</v>
      </c>
    </row>
    <row r="115" spans="1:5" x14ac:dyDescent="0.2">
      <c r="A115" s="109" t="s">
        <v>981</v>
      </c>
      <c r="B115" s="17">
        <f>SUM('QSIA-EtOH'!D110:F110)*-1</f>
        <v>535.89729327511031</v>
      </c>
      <c r="D115" s="17">
        <f>SUM('QSIA-PC'!D113:F113)*-1</f>
        <v>122.64808915406377</v>
      </c>
      <c r="E115" s="8">
        <f>SUM('QSIA-Coal'!D109:F109)*-1</f>
        <v>0.11986218955599766</v>
      </c>
    </row>
    <row r="116" spans="1:5" x14ac:dyDescent="0.2">
      <c r="A116" s="109" t="s">
        <v>663</v>
      </c>
      <c r="B116" s="17">
        <f>SUM('QSIA-EtOH'!D111:F111)*-1</f>
        <v>0.78748557043568423</v>
      </c>
      <c r="C116" s="8">
        <f>SUM('QSIA-OC'!D115:F115)*-1</f>
        <v>293.41939524692521</v>
      </c>
      <c r="D116" s="17">
        <f>SUM('QSIA-PC'!D109:F109)*-1</f>
        <v>24060.649914210651</v>
      </c>
      <c r="E116" s="8">
        <f>SUM('QSIA-Coal'!D108:F108)*-1</f>
        <v>2.0922967847060228E-2</v>
      </c>
    </row>
    <row r="117" spans="1:5" x14ac:dyDescent="0.2">
      <c r="A117" s="109" t="s">
        <v>982</v>
      </c>
      <c r="B117" s="17">
        <f>SUM('QSIA-EtOH'!D112:F112)*-1</f>
        <v>22.953306017951881</v>
      </c>
      <c r="C117" s="8">
        <f>SUM('QSIA-OC'!D120:F120)*-1</f>
        <v>1.9445587219108322</v>
      </c>
      <c r="D117" s="17">
        <f>SUM('QSIA-PC'!D110:F110)*-1</f>
        <v>15694.116555650995</v>
      </c>
      <c r="E117" s="8">
        <f>SUM('QSIA-Coal'!D111:F111)*-1</f>
        <v>6.3198001196810925</v>
      </c>
    </row>
    <row r="118" spans="1:5" x14ac:dyDescent="0.2">
      <c r="A118" s="109" t="s">
        <v>983</v>
      </c>
      <c r="C118" s="8">
        <f>SUM('QSIA-OC'!D113:F113)*-1</f>
        <v>26581.838178259382</v>
      </c>
    </row>
    <row r="119" spans="1:5" x14ac:dyDescent="0.2">
      <c r="A119" s="109" t="s">
        <v>985</v>
      </c>
      <c r="C119" s="8">
        <f>SUM('QSIA-OC'!D114:F114)*-1</f>
        <v>226.1925588151434</v>
      </c>
    </row>
    <row r="120" spans="1:5" x14ac:dyDescent="0.2">
      <c r="A120" s="109" t="s">
        <v>505</v>
      </c>
      <c r="C120" s="8">
        <f>SUM('QSIA-OC'!D117:F117)*-1</f>
        <v>975.30851033627084</v>
      </c>
    </row>
    <row r="121" spans="1:5" x14ac:dyDescent="0.2">
      <c r="A121" s="109" t="s">
        <v>40</v>
      </c>
      <c r="C121" s="8">
        <f>SUM('QSIA-OC'!D118:F118)*-1</f>
        <v>8072.5093332177166</v>
      </c>
    </row>
    <row r="122" spans="1:5" x14ac:dyDescent="0.2">
      <c r="A122" s="109" t="s">
        <v>10</v>
      </c>
      <c r="C122" s="8">
        <f>SUM('QSIA-OC'!D121:F121)*-1</f>
        <v>3.1783828572174064</v>
      </c>
    </row>
    <row r="123" spans="1:5" x14ac:dyDescent="0.2">
      <c r="A123" s="109" t="s">
        <v>1054</v>
      </c>
      <c r="D123" s="17">
        <f>SUM('QSIA-PC'!D111:F111)*-1</f>
        <v>382.07499335587028</v>
      </c>
    </row>
    <row r="124" spans="1:5" x14ac:dyDescent="0.2">
      <c r="A124" s="109" t="s">
        <v>986</v>
      </c>
      <c r="D124" s="17" t="e">
        <f>SUM(#REF!)*-1</f>
        <v>#REF!</v>
      </c>
    </row>
    <row r="125" spans="1:5" x14ac:dyDescent="0.2">
      <c r="A125" s="109" t="s">
        <v>915</v>
      </c>
      <c r="E125" s="8">
        <f>SUM('QSIA-Coal'!D110:F110)</f>
        <v>-1.8729465639632102E-3</v>
      </c>
    </row>
    <row r="127" spans="1:5" x14ac:dyDescent="0.2">
      <c r="A127" s="109" t="s">
        <v>17</v>
      </c>
      <c r="B127" s="8">
        <f>SUM(B112:B125)</f>
        <v>768.75027670675013</v>
      </c>
      <c r="C127" s="8">
        <f t="shared" ref="C127:E127" si="2">SUM(C112:C125)</f>
        <v>36328.068977359573</v>
      </c>
      <c r="D127" s="8" t="e">
        <f t="shared" si="2"/>
        <v>#REF!</v>
      </c>
      <c r="E127" s="8">
        <f t="shared" si="2"/>
        <v>6.4730691041589763</v>
      </c>
    </row>
    <row r="128" spans="1:5" x14ac:dyDescent="0.2">
      <c r="B128" s="17">
        <f>B127/(PSI_OC!$A$9/1000000)</f>
        <v>1.5045520489885276</v>
      </c>
      <c r="C128" s="17">
        <f>C127/(PSI_OC!$A$9/1000000)</f>
        <v>71.099123176683705</v>
      </c>
      <c r="D128" s="17" t="e">
        <f>D127/(PSI_OC!$A$9/1000000)</f>
        <v>#REF!</v>
      </c>
      <c r="E128" s="45">
        <f>E127/(PSI_OC!$A$9/1000000)</f>
        <v>1.2668703581646731E-2</v>
      </c>
    </row>
    <row r="129" spans="1:5" x14ac:dyDescent="0.2">
      <c r="B129" s="17"/>
      <c r="C129" s="17"/>
      <c r="D129" s="17"/>
      <c r="E129" s="17"/>
    </row>
    <row r="131" spans="1:5" x14ac:dyDescent="0.2">
      <c r="B131" s="555" t="s">
        <v>1007</v>
      </c>
      <c r="C131" s="555"/>
      <c r="D131" s="555"/>
      <c r="E131" s="555"/>
    </row>
    <row r="133" spans="1:5" x14ac:dyDescent="0.2">
      <c r="B133" s="109" t="s">
        <v>577</v>
      </c>
      <c r="C133" s="109" t="s">
        <v>927</v>
      </c>
      <c r="D133" s="109" t="s">
        <v>989</v>
      </c>
      <c r="E133" s="109" t="s">
        <v>578</v>
      </c>
    </row>
    <row r="134" spans="1:5" x14ac:dyDescent="0.2">
      <c r="A134" s="109" t="s">
        <v>990</v>
      </c>
      <c r="C134" s="8">
        <f>SUM('QSIA-OC'!G124:AJ124)*-1</f>
        <v>31104.029938305233</v>
      </c>
    </row>
    <row r="135" spans="1:5" x14ac:dyDescent="0.2">
      <c r="A135" s="109" t="s">
        <v>991</v>
      </c>
      <c r="B135" s="8">
        <f>SUM('QSIA-EtOH'!G119:AJ119)*-1</f>
        <v>42.587217459320307</v>
      </c>
      <c r="C135" s="8">
        <f>SUM('QSIA-OC'!G125:AJ125)*-1</f>
        <v>2560.398308784353</v>
      </c>
      <c r="D135" s="8">
        <f>SUM('QSIA-PC'!G116:AJ116)*-1</f>
        <v>8.0653315275251041E-4</v>
      </c>
    </row>
    <row r="136" spans="1:5" x14ac:dyDescent="0.2">
      <c r="A136" s="109" t="s">
        <v>197</v>
      </c>
      <c r="C136" s="8">
        <f>SUM('QSIA-OC'!G126:AJ126)*-1</f>
        <v>18056.630248200188</v>
      </c>
    </row>
    <row r="137" spans="1:5" x14ac:dyDescent="0.2">
      <c r="A137" s="109" t="s">
        <v>999</v>
      </c>
      <c r="C137" s="8">
        <f>SUM('QSIA-OC'!G127:AJ127)*-1</f>
        <v>334.9668000163602</v>
      </c>
      <c r="E137" s="8">
        <f>SUM('QSIA-Coal'!G119:AJ119)*-1</f>
        <v>613.74916918447752</v>
      </c>
    </row>
    <row r="138" spans="1:5" x14ac:dyDescent="0.2">
      <c r="A138" s="109" t="s">
        <v>137</v>
      </c>
      <c r="B138" s="8">
        <f>SUM('QSIA-EtOH'!G120:AJ120)*-1</f>
        <v>8.8619715180007948E-3</v>
      </c>
      <c r="C138" s="8">
        <f>SUM('QSIA-OC'!G128:AJ128)*-1</f>
        <v>1260.9005164623077</v>
      </c>
      <c r="E138" s="8">
        <f>SUM('QSIA-Coal'!G115:AJ115)*-1</f>
        <v>337.01514299053406</v>
      </c>
    </row>
    <row r="139" spans="1:5" x14ac:dyDescent="0.2">
      <c r="A139" s="109" t="s">
        <v>993</v>
      </c>
      <c r="C139" s="8">
        <f>SUM('QSIA-OC'!G129:AJ129)*-1</f>
        <v>3671.632117135644</v>
      </c>
      <c r="D139" s="8">
        <f>SUM('QSIA-PC'!G118:AJ118)*-1</f>
        <v>5.3678144433331676</v>
      </c>
    </row>
    <row r="140" spans="1:5" x14ac:dyDescent="0.2">
      <c r="A140" s="109" t="s">
        <v>580</v>
      </c>
      <c r="B140" s="8">
        <f>SUM('QSIA-EtOH'!G116:AJ116)*-1</f>
        <v>460138.00531135913</v>
      </c>
    </row>
    <row r="141" spans="1:5" x14ac:dyDescent="0.2">
      <c r="A141" s="109" t="s">
        <v>994</v>
      </c>
      <c r="B141" s="8">
        <f>SUM('QSIA-EtOH'!G117:AJ117)*-1</f>
        <v>10.000526491983901</v>
      </c>
    </row>
    <row r="142" spans="1:5" x14ac:dyDescent="0.2">
      <c r="A142" s="109" t="s">
        <v>995</v>
      </c>
      <c r="B142" s="8">
        <f>SUM('QSIA-EtOH'!G118:AJ118)*-1</f>
        <v>44.61805167428394</v>
      </c>
      <c r="E142" s="8">
        <f>SUM('QSIA-Coal'!G118:AJ118)*-1</f>
        <v>137.43068182464566</v>
      </c>
    </row>
    <row r="143" spans="1:5" x14ac:dyDescent="0.2">
      <c r="A143" s="109" t="s">
        <v>1086</v>
      </c>
      <c r="D143" s="8">
        <f>SUM('QSIA-PC'!G117:AJ117)*-1</f>
        <v>18014.73181207931</v>
      </c>
    </row>
    <row r="144" spans="1:5" x14ac:dyDescent="0.2">
      <c r="A144" s="109" t="s">
        <v>986</v>
      </c>
      <c r="D144" s="8"/>
    </row>
    <row r="145" spans="1:5" x14ac:dyDescent="0.2">
      <c r="A145" s="109" t="s">
        <v>903</v>
      </c>
      <c r="D145" s="17">
        <f>SUM('QSIA-PC'!G119:AJ119)*-1</f>
        <v>3.7627176792675137</v>
      </c>
      <c r="E145" s="8">
        <f>SUM('QSIA-Coal'!G114:AJ114)*-1</f>
        <v>1782.0847097207411</v>
      </c>
    </row>
    <row r="146" spans="1:5" x14ac:dyDescent="0.2">
      <c r="A146" s="109" t="s">
        <v>997</v>
      </c>
      <c r="E146" s="8">
        <f>SUM('QSIA-Coal'!G117:AJ117)*-1</f>
        <v>3347.7606507857081</v>
      </c>
    </row>
    <row r="147" spans="1:5" x14ac:dyDescent="0.2">
      <c r="A147" s="109" t="s">
        <v>585</v>
      </c>
      <c r="E147" s="8">
        <f>SUM('QSIA-Coal'!G117:AJ117)*-1</f>
        <v>3347.7606507857081</v>
      </c>
    </row>
    <row r="148" spans="1:5" x14ac:dyDescent="0.2">
      <c r="A148" s="109" t="s">
        <v>996</v>
      </c>
      <c r="E148" s="8">
        <f>SUM('QSIA-Coal'!G120:AJ120)*-1</f>
        <v>304028.32419565332</v>
      </c>
    </row>
    <row r="150" spans="1:5" x14ac:dyDescent="0.2">
      <c r="A150" s="109" t="s">
        <v>17</v>
      </c>
      <c r="B150" s="8">
        <f>SUM(B134:B148)</f>
        <v>460235.2199689562</v>
      </c>
      <c r="C150" s="8">
        <f t="shared" ref="C150:E150" si="3">SUM(C134:C148)</f>
        <v>56988.557928904091</v>
      </c>
      <c r="D150" s="8">
        <f t="shared" si="3"/>
        <v>18023.863150735062</v>
      </c>
      <c r="E150" s="8">
        <f t="shared" si="3"/>
        <v>313594.12520094513</v>
      </c>
    </row>
    <row r="151" spans="1:5" x14ac:dyDescent="0.2">
      <c r="B151" s="17">
        <f>B150/(PSI_OC!$A$9/1000000)</f>
        <v>900.74483769600261</v>
      </c>
      <c r="C151" s="17">
        <f>C150/(PSI_OC!$A$9/1000000)</f>
        <v>111.53459608254757</v>
      </c>
      <c r="D151" s="17">
        <f>D150/(PSI_OC!$A$9/1000000)</f>
        <v>35.275226631849023</v>
      </c>
      <c r="E151" s="17">
        <f>E150/(PSI_OC!$A$9/1000000)</f>
        <v>613.74766021948153</v>
      </c>
    </row>
  </sheetData>
  <mergeCells count="6">
    <mergeCell ref="B85:E85"/>
    <mergeCell ref="B109:E109"/>
    <mergeCell ref="B131:E131"/>
    <mergeCell ref="B1:E1"/>
    <mergeCell ref="B33:E33"/>
    <mergeCell ref="B61:E61"/>
  </mergeCells>
  <pageMargins left="0.7" right="0.7" top="0.75" bottom="0.75" header="0.3" footer="0.3"/>
  <pageSetup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33BC-6663-7B40-B715-5E2B2D803FA1}">
  <sheetPr codeName="Sheet15"/>
  <dimension ref="A1:BF73"/>
  <sheetViews>
    <sheetView workbookViewId="0">
      <selection activeCell="N22" sqref="N22"/>
    </sheetView>
  </sheetViews>
  <sheetFormatPr baseColWidth="10" defaultRowHeight="15" x14ac:dyDescent="0.2"/>
  <cols>
    <col min="3" max="13" width="15.33203125" customWidth="1"/>
    <col min="14" max="14" width="13.1640625" customWidth="1"/>
    <col min="15" max="15" width="16" customWidth="1"/>
    <col min="19" max="26" width="15.33203125" customWidth="1"/>
  </cols>
  <sheetData>
    <row r="1" spans="1:58" x14ac:dyDescent="0.2">
      <c r="A1" s="353" t="s">
        <v>1001</v>
      </c>
      <c r="B1" s="353" t="s">
        <v>3</v>
      </c>
      <c r="C1" s="557" t="s">
        <v>1170</v>
      </c>
      <c r="D1" s="557"/>
      <c r="E1" s="557"/>
      <c r="F1" s="557"/>
      <c r="G1" s="558" t="s">
        <v>1171</v>
      </c>
      <c r="H1" s="558"/>
      <c r="I1" s="558"/>
      <c r="J1" s="558"/>
      <c r="K1" s="223"/>
      <c r="L1" s="556" t="s">
        <v>1172</v>
      </c>
      <c r="M1" s="556"/>
      <c r="N1" s="556"/>
      <c r="O1" s="556"/>
      <c r="Q1" s="353" t="s">
        <v>1001</v>
      </c>
      <c r="R1" s="353" t="s">
        <v>3</v>
      </c>
      <c r="S1" s="557" t="s">
        <v>1170</v>
      </c>
      <c r="T1" s="557"/>
      <c r="U1" s="557"/>
      <c r="V1" s="557"/>
      <c r="W1" s="558" t="s">
        <v>1171</v>
      </c>
      <c r="X1" s="558"/>
      <c r="Y1" s="558"/>
      <c r="Z1" s="558"/>
    </row>
    <row r="2" spans="1:58" ht="48" x14ac:dyDescent="0.2">
      <c r="A2" s="353"/>
      <c r="B2" s="353"/>
      <c r="C2" s="294" t="s">
        <v>577</v>
      </c>
      <c r="D2" s="294" t="s">
        <v>927</v>
      </c>
      <c r="E2" s="294" t="s">
        <v>989</v>
      </c>
      <c r="F2" s="294" t="s">
        <v>578</v>
      </c>
      <c r="G2" s="294" t="s">
        <v>577</v>
      </c>
      <c r="H2" s="294" t="s">
        <v>927</v>
      </c>
      <c r="I2" s="294" t="s">
        <v>989</v>
      </c>
      <c r="J2" s="294" t="s">
        <v>578</v>
      </c>
      <c r="K2" s="295"/>
      <c r="L2" s="294" t="s">
        <v>577</v>
      </c>
      <c r="M2" s="294" t="s">
        <v>927</v>
      </c>
      <c r="N2" s="294" t="s">
        <v>989</v>
      </c>
      <c r="O2" s="294" t="s">
        <v>578</v>
      </c>
      <c r="Q2" s="353"/>
      <c r="R2" s="353"/>
      <c r="S2" s="294" t="s">
        <v>577</v>
      </c>
      <c r="T2" s="294" t="s">
        <v>927</v>
      </c>
      <c r="U2" s="294" t="s">
        <v>989</v>
      </c>
      <c r="V2" s="294" t="s">
        <v>578</v>
      </c>
      <c r="W2" s="294" t="s">
        <v>577</v>
      </c>
      <c r="X2" s="294" t="s">
        <v>927</v>
      </c>
      <c r="Y2" s="294" t="s">
        <v>989</v>
      </c>
      <c r="Z2" s="294" t="s">
        <v>578</v>
      </c>
      <c r="AB2" s="565" t="s">
        <v>577</v>
      </c>
      <c r="AC2" s="565"/>
      <c r="AD2" s="565"/>
      <c r="AE2" s="565"/>
      <c r="AF2" s="565"/>
      <c r="AG2" s="565"/>
      <c r="AH2" s="565"/>
      <c r="AJ2" s="564" t="s">
        <v>927</v>
      </c>
      <c r="AK2" s="564"/>
      <c r="AL2" s="564"/>
      <c r="AM2" s="564"/>
      <c r="AN2" s="564"/>
      <c r="AO2" s="564"/>
      <c r="AP2" s="564"/>
      <c r="AR2" s="563" t="s">
        <v>989</v>
      </c>
      <c r="AS2" s="563"/>
      <c r="AT2" s="563"/>
      <c r="AU2" s="563"/>
      <c r="AV2" s="563"/>
      <c r="AW2" s="563"/>
      <c r="AX2" s="563"/>
      <c r="AZ2" s="562" t="s">
        <v>578</v>
      </c>
      <c r="BA2" s="562"/>
      <c r="BB2" s="562"/>
      <c r="BC2" s="562"/>
      <c r="BD2" s="562"/>
      <c r="BE2" s="562"/>
      <c r="BF2" s="562"/>
    </row>
    <row r="3" spans="1:58" x14ac:dyDescent="0.2">
      <c r="A3" s="273" t="s">
        <v>1088</v>
      </c>
      <c r="B3" s="249"/>
      <c r="L3">
        <v>-1082.7064836397897</v>
      </c>
      <c r="M3">
        <v>-21.63437243375132</v>
      </c>
      <c r="N3">
        <v>-372.12071677488086</v>
      </c>
      <c r="O3">
        <v>-720.49416324256936</v>
      </c>
      <c r="Q3" s="273" t="s">
        <v>1088</v>
      </c>
      <c r="R3" s="249"/>
      <c r="AB3" s="1"/>
      <c r="AC3" s="1"/>
      <c r="AD3" s="86" t="s">
        <v>1170</v>
      </c>
      <c r="AE3" s="86" t="s">
        <v>1171</v>
      </c>
      <c r="AF3" s="86" t="s">
        <v>1194</v>
      </c>
      <c r="AG3" s="86" t="s">
        <v>1195</v>
      </c>
      <c r="AH3" s="86" t="s">
        <v>1196</v>
      </c>
      <c r="AJ3" s="1"/>
      <c r="AK3" s="1"/>
      <c r="AL3" s="86" t="s">
        <v>1170</v>
      </c>
      <c r="AM3" s="86" t="s">
        <v>1171</v>
      </c>
      <c r="AN3" s="86" t="s">
        <v>1194</v>
      </c>
      <c r="AO3" s="86" t="s">
        <v>1195</v>
      </c>
      <c r="AP3" s="86" t="s">
        <v>1196</v>
      </c>
      <c r="AR3" s="1"/>
      <c r="AS3" s="1"/>
      <c r="AT3" s="86" t="s">
        <v>1170</v>
      </c>
      <c r="AU3" s="86" t="s">
        <v>1171</v>
      </c>
      <c r="AV3" s="86" t="s">
        <v>1194</v>
      </c>
      <c r="AW3" s="86" t="s">
        <v>1195</v>
      </c>
      <c r="AX3" s="86" t="s">
        <v>1196</v>
      </c>
      <c r="AZ3" s="1"/>
      <c r="BA3" s="1"/>
      <c r="BB3" s="86" t="s">
        <v>1170</v>
      </c>
      <c r="BC3" s="86" t="s">
        <v>1171</v>
      </c>
      <c r="BD3" s="86" t="s">
        <v>1194</v>
      </c>
      <c r="BE3" s="86" t="s">
        <v>1195</v>
      </c>
      <c r="BF3" s="86" t="s">
        <v>1196</v>
      </c>
    </row>
    <row r="4" spans="1:58" x14ac:dyDescent="0.2">
      <c r="A4" s="274" t="s">
        <v>312</v>
      </c>
      <c r="B4" s="229" t="s">
        <v>1018</v>
      </c>
      <c r="C4">
        <v>-1276.1564702678543</v>
      </c>
      <c r="D4">
        <v>-22.658373688065286</v>
      </c>
      <c r="E4">
        <v>-443.48635800262622</v>
      </c>
      <c r="F4">
        <v>-853.40663100836605</v>
      </c>
      <c r="G4">
        <v>-889.25649701172654</v>
      </c>
      <c r="H4">
        <v>-20.610371179437596</v>
      </c>
      <c r="I4">
        <v>-300.75507554713556</v>
      </c>
      <c r="J4">
        <v>-587.5816954767721</v>
      </c>
      <c r="Q4" s="274" t="s">
        <v>312</v>
      </c>
      <c r="R4" s="229" t="s">
        <v>1018</v>
      </c>
      <c r="S4">
        <f>ABS(C4-$L$3)/ABS($L$3)</f>
        <v>0.17867260384156369</v>
      </c>
      <c r="T4">
        <f t="shared" ref="T4:T35" si="0">(D4-$M$3)/$M$3</f>
        <v>4.7332145059888274E-2</v>
      </c>
      <c r="U4">
        <f t="shared" ref="U4:U35" si="1">(E4-$N$3)/$N$3</f>
        <v>0.1917808872514854</v>
      </c>
      <c r="V4">
        <f t="shared" ref="V4:V35" si="2">(F4-$O$3)/$O$3</f>
        <v>0.18447403816240068</v>
      </c>
      <c r="W4">
        <f t="shared" ref="W4:W35" si="3">(G4-$L$3)/$L$3</f>
        <v>-0.17867260384156233</v>
      </c>
      <c r="X4">
        <f t="shared" ref="X4:X35" si="4">(H4-$M$3)/$M$3</f>
        <v>-4.7332145059877109E-2</v>
      </c>
      <c r="Y4">
        <f t="shared" ref="Y4:Y35" si="5">(I4-$N$3)/$N$3</f>
        <v>-0.19178088725148523</v>
      </c>
      <c r="Z4">
        <f t="shared" ref="Z4:Z35" si="6">(J4-$O$3)/$O$3</f>
        <v>-0.18447403816240149</v>
      </c>
      <c r="AB4" t="s">
        <v>312</v>
      </c>
      <c r="AC4" t="s">
        <v>1018</v>
      </c>
      <c r="AD4">
        <f>ABS(S4)</f>
        <v>0.17867260384156369</v>
      </c>
      <c r="AE4">
        <f t="shared" ref="AE4:AE35" si="7">W4</f>
        <v>-0.17867260384156233</v>
      </c>
      <c r="AF4">
        <f t="shared" ref="AF4:AF35" si="8">ABS(AE4)</f>
        <v>0.17867260384156233</v>
      </c>
      <c r="AG4">
        <f>C4</f>
        <v>-1276.1564702678543</v>
      </c>
      <c r="AH4">
        <f>G4</f>
        <v>-889.25649701172654</v>
      </c>
      <c r="AJ4" t="s">
        <v>312</v>
      </c>
      <c r="AK4" t="s">
        <v>1018</v>
      </c>
      <c r="AL4">
        <f>T4</f>
        <v>4.7332145059888274E-2</v>
      </c>
      <c r="AM4">
        <f>X4</f>
        <v>-4.7332145059877109E-2</v>
      </c>
      <c r="AN4">
        <f>ABS(AM4)</f>
        <v>4.7332145059877109E-2</v>
      </c>
      <c r="AO4">
        <f>D4</f>
        <v>-22.658373688065286</v>
      </c>
      <c r="AP4">
        <f>H4</f>
        <v>-20.610371179437596</v>
      </c>
      <c r="AR4" t="s">
        <v>312</v>
      </c>
      <c r="AS4" t="s">
        <v>1018</v>
      </c>
      <c r="AT4">
        <f>U4</f>
        <v>0.1917808872514854</v>
      </c>
      <c r="AU4">
        <f>Y4</f>
        <v>-0.19178088725148523</v>
      </c>
      <c r="AV4">
        <f>ABS(AU4)</f>
        <v>0.19178088725148523</v>
      </c>
      <c r="AW4">
        <f>E4</f>
        <v>-443.48635800262622</v>
      </c>
      <c r="AX4">
        <f>I4</f>
        <v>-300.75507554713556</v>
      </c>
      <c r="AZ4" t="s">
        <v>312</v>
      </c>
      <c r="BA4" t="s">
        <v>1018</v>
      </c>
      <c r="BB4">
        <f>V4</f>
        <v>0.18447403816240068</v>
      </c>
      <c r="BC4">
        <f>Z4</f>
        <v>-0.18447403816240149</v>
      </c>
      <c r="BD4">
        <f>ABS(BC4)</f>
        <v>0.18447403816240149</v>
      </c>
      <c r="BE4">
        <f>F4</f>
        <v>-853.40663100836605</v>
      </c>
      <c r="BF4">
        <f>J4</f>
        <v>-587.5816954767721</v>
      </c>
    </row>
    <row r="5" spans="1:58" x14ac:dyDescent="0.2">
      <c r="A5" s="274" t="s">
        <v>313</v>
      </c>
      <c r="B5" s="229" t="s">
        <v>1018</v>
      </c>
      <c r="C5">
        <v>-1105.7884239519008</v>
      </c>
      <c r="D5">
        <v>-24.982057376428642</v>
      </c>
      <c r="E5">
        <v>-375.17511026426513</v>
      </c>
      <c r="F5">
        <v>-731.67453504125024</v>
      </c>
      <c r="G5">
        <v>-1059.6245433276783</v>
      </c>
      <c r="H5">
        <v>-18.286687491074112</v>
      </c>
      <c r="I5">
        <v>-369.06632328549654</v>
      </c>
      <c r="J5">
        <v>-709.31379144388836</v>
      </c>
      <c r="Q5" s="274" t="s">
        <v>313</v>
      </c>
      <c r="R5" s="229" t="s">
        <v>1018</v>
      </c>
      <c r="S5">
        <f t="shared" ref="S5:S36" si="9">(C5-$L$3)/$L$3</f>
        <v>2.1318742116067657E-2</v>
      </c>
      <c r="T5">
        <f t="shared" si="0"/>
        <v>0.15473917502939308</v>
      </c>
      <c r="U5">
        <f t="shared" si="1"/>
        <v>8.2080716060537462E-3</v>
      </c>
      <c r="V5">
        <f t="shared" si="2"/>
        <v>1.5517643818742186E-2</v>
      </c>
      <c r="W5">
        <f t="shared" si="3"/>
        <v>-2.1318742116067865E-2</v>
      </c>
      <c r="X5">
        <f t="shared" si="4"/>
        <v>-0.1547391750293878</v>
      </c>
      <c r="Y5">
        <f t="shared" si="5"/>
        <v>-8.2080716060538988E-3</v>
      </c>
      <c r="Z5">
        <f t="shared" si="6"/>
        <v>-1.5517643818742344E-2</v>
      </c>
      <c r="AB5" t="s">
        <v>313</v>
      </c>
      <c r="AC5" t="s">
        <v>1018</v>
      </c>
      <c r="AD5">
        <f t="shared" ref="AD5:AD36" si="10">S5</f>
        <v>2.1318742116067657E-2</v>
      </c>
      <c r="AE5">
        <f t="shared" si="7"/>
        <v>-2.1318742116067865E-2</v>
      </c>
      <c r="AF5">
        <f t="shared" si="8"/>
        <v>2.1318742116067865E-2</v>
      </c>
      <c r="AG5">
        <f t="shared" ref="AG5:AG68" si="11">C5</f>
        <v>-1105.7884239519008</v>
      </c>
      <c r="AH5">
        <f t="shared" ref="AH5:AH68" si="12">G5</f>
        <v>-1059.6245433276783</v>
      </c>
      <c r="AJ5" t="s">
        <v>313</v>
      </c>
      <c r="AK5" t="s">
        <v>1018</v>
      </c>
      <c r="AL5">
        <f t="shared" ref="AL5:AL68" si="13">T5</f>
        <v>0.15473917502939308</v>
      </c>
      <c r="AM5">
        <f t="shared" ref="AM5:AM68" si="14">X5</f>
        <v>-0.1547391750293878</v>
      </c>
      <c r="AN5">
        <f t="shared" ref="AN5:AN68" si="15">ABS(AM5)</f>
        <v>0.1547391750293878</v>
      </c>
      <c r="AO5">
        <f t="shared" ref="AO5:AO68" si="16">D5</f>
        <v>-24.982057376428642</v>
      </c>
      <c r="AP5">
        <f t="shared" ref="AP5:AP68" si="17">H5</f>
        <v>-18.286687491074112</v>
      </c>
      <c r="AR5" t="s">
        <v>313</v>
      </c>
      <c r="AS5" t="s">
        <v>1018</v>
      </c>
      <c r="AT5">
        <f t="shared" ref="AT5:AT68" si="18">U5</f>
        <v>8.2080716060537462E-3</v>
      </c>
      <c r="AU5">
        <f t="shared" ref="AU5:AU68" si="19">Y5</f>
        <v>-8.2080716060538988E-3</v>
      </c>
      <c r="AV5">
        <f t="shared" ref="AV5:AV68" si="20">ABS(AU5)</f>
        <v>8.2080716060538988E-3</v>
      </c>
      <c r="AW5">
        <f t="shared" ref="AW5:AW68" si="21">E5</f>
        <v>-375.17511026426513</v>
      </c>
      <c r="AX5">
        <f t="shared" ref="AX5:AX68" si="22">I5</f>
        <v>-369.06632328549654</v>
      </c>
      <c r="AZ5" t="s">
        <v>313</v>
      </c>
      <c r="BA5" t="s">
        <v>1018</v>
      </c>
      <c r="BB5">
        <f t="shared" ref="BB5:BB68" si="23">V5</f>
        <v>1.5517643818742186E-2</v>
      </c>
      <c r="BC5">
        <f t="shared" ref="BC5:BC68" si="24">Z5</f>
        <v>-1.5517643818742344E-2</v>
      </c>
      <c r="BD5">
        <f t="shared" ref="BD5:BD68" si="25">ABS(BC5)</f>
        <v>1.5517643818742344E-2</v>
      </c>
      <c r="BE5">
        <f t="shared" ref="BE5:BE68" si="26">F5</f>
        <v>-731.67453504125024</v>
      </c>
      <c r="BF5">
        <f t="shared" ref="BF5:BF68" si="27">J5</f>
        <v>-709.31379144388836</v>
      </c>
    </row>
    <row r="6" spans="1:58" x14ac:dyDescent="0.2">
      <c r="A6" s="274" t="s">
        <v>781</v>
      </c>
      <c r="B6" s="229" t="s">
        <v>1018</v>
      </c>
      <c r="C6">
        <v>-1082.7158534254734</v>
      </c>
      <c r="D6">
        <v>-21.589560721411065</v>
      </c>
      <c r="E6">
        <v>-372.12482541062798</v>
      </c>
      <c r="F6">
        <v>-720.50015632660427</v>
      </c>
      <c r="G6">
        <v>-1082.6971138541055</v>
      </c>
      <c r="H6">
        <v>-21.679184146091714</v>
      </c>
      <c r="I6">
        <v>-372.11660813913369</v>
      </c>
      <c r="J6">
        <v>-720.48817015853456</v>
      </c>
      <c r="Q6" s="274" t="s">
        <v>781</v>
      </c>
      <c r="R6" s="229" t="s">
        <v>1018</v>
      </c>
      <c r="S6">
        <f t="shared" si="9"/>
        <v>8.6540404304254435E-6</v>
      </c>
      <c r="T6">
        <f t="shared" si="0"/>
        <v>-2.0713201863135902E-3</v>
      </c>
      <c r="U6">
        <f t="shared" si="1"/>
        <v>1.1041136819053835E-5</v>
      </c>
      <c r="V6">
        <f t="shared" si="2"/>
        <v>8.3180188551989732E-6</v>
      </c>
      <c r="W6">
        <f t="shared" si="3"/>
        <v>-8.6540404308454532E-6</v>
      </c>
      <c r="X6">
        <f t="shared" si="4"/>
        <v>2.0713201863199948E-3</v>
      </c>
      <c r="Y6">
        <f t="shared" si="5"/>
        <v>-1.1041136819206589E-5</v>
      </c>
      <c r="Z6">
        <f t="shared" si="6"/>
        <v>-8.3180188550411829E-6</v>
      </c>
      <c r="AB6" t="s">
        <v>781</v>
      </c>
      <c r="AC6" t="s">
        <v>1018</v>
      </c>
      <c r="AD6">
        <f t="shared" si="10"/>
        <v>8.6540404304254435E-6</v>
      </c>
      <c r="AE6">
        <f t="shared" si="7"/>
        <v>-8.6540404308454532E-6</v>
      </c>
      <c r="AF6">
        <f t="shared" si="8"/>
        <v>8.6540404308454532E-6</v>
      </c>
      <c r="AG6">
        <f t="shared" si="11"/>
        <v>-1082.7158534254734</v>
      </c>
      <c r="AH6">
        <f t="shared" si="12"/>
        <v>-1082.6971138541055</v>
      </c>
      <c r="AJ6" t="s">
        <v>781</v>
      </c>
      <c r="AK6" t="s">
        <v>1018</v>
      </c>
      <c r="AL6">
        <f t="shared" si="13"/>
        <v>-2.0713201863135902E-3</v>
      </c>
      <c r="AM6">
        <f t="shared" si="14"/>
        <v>2.0713201863199948E-3</v>
      </c>
      <c r="AN6">
        <f t="shared" si="15"/>
        <v>2.0713201863199948E-3</v>
      </c>
      <c r="AO6">
        <f t="shared" si="16"/>
        <v>-21.589560721411065</v>
      </c>
      <c r="AP6">
        <f t="shared" si="17"/>
        <v>-21.679184146091714</v>
      </c>
      <c r="AR6" t="s">
        <v>781</v>
      </c>
      <c r="AS6" t="s">
        <v>1018</v>
      </c>
      <c r="AT6">
        <f t="shared" si="18"/>
        <v>1.1041136819053835E-5</v>
      </c>
      <c r="AU6">
        <f t="shared" si="19"/>
        <v>-1.1041136819206589E-5</v>
      </c>
      <c r="AV6">
        <f t="shared" si="20"/>
        <v>1.1041136819206589E-5</v>
      </c>
      <c r="AW6">
        <f t="shared" si="21"/>
        <v>-372.12482541062798</v>
      </c>
      <c r="AX6">
        <f t="shared" si="22"/>
        <v>-372.11660813913369</v>
      </c>
      <c r="AZ6" t="s">
        <v>781</v>
      </c>
      <c r="BA6" t="s">
        <v>1018</v>
      </c>
      <c r="BB6">
        <f t="shared" si="23"/>
        <v>8.3180188551989732E-6</v>
      </c>
      <c r="BC6">
        <f t="shared" si="24"/>
        <v>-8.3180188550411829E-6</v>
      </c>
      <c r="BD6">
        <f t="shared" si="25"/>
        <v>8.3180188550411829E-6</v>
      </c>
      <c r="BE6">
        <f t="shared" si="26"/>
        <v>-720.50015632660427</v>
      </c>
      <c r="BF6">
        <f t="shared" si="27"/>
        <v>-720.48817015853456</v>
      </c>
    </row>
    <row r="7" spans="1:58" x14ac:dyDescent="0.2">
      <c r="A7" s="274"/>
      <c r="B7" s="229"/>
      <c r="C7">
        <v>-1082.7064836397897</v>
      </c>
      <c r="D7">
        <v>-21.63437243375132</v>
      </c>
      <c r="E7">
        <v>-372.12071677488086</v>
      </c>
      <c r="F7">
        <v>-720.49416324256936</v>
      </c>
      <c r="G7">
        <v>-1082.7064836397897</v>
      </c>
      <c r="H7">
        <v>-21.63437243375132</v>
      </c>
      <c r="I7">
        <v>-372.12071677488086</v>
      </c>
      <c r="J7">
        <v>-720.49416324256936</v>
      </c>
      <c r="Q7" s="274"/>
      <c r="R7" s="229"/>
      <c r="S7">
        <f t="shared" si="9"/>
        <v>0</v>
      </c>
      <c r="T7">
        <f t="shared" si="0"/>
        <v>0</v>
      </c>
      <c r="U7">
        <f t="shared" si="1"/>
        <v>0</v>
      </c>
      <c r="V7">
        <f t="shared" si="2"/>
        <v>0</v>
      </c>
      <c r="W7">
        <f t="shared" si="3"/>
        <v>0</v>
      </c>
      <c r="X7">
        <f t="shared" si="4"/>
        <v>0</v>
      </c>
      <c r="Y7">
        <f t="shared" si="5"/>
        <v>0</v>
      </c>
      <c r="Z7">
        <f t="shared" si="6"/>
        <v>0</v>
      </c>
      <c r="AD7">
        <f t="shared" si="10"/>
        <v>0</v>
      </c>
      <c r="AE7">
        <f t="shared" si="7"/>
        <v>0</v>
      </c>
      <c r="AF7">
        <f t="shared" si="8"/>
        <v>0</v>
      </c>
      <c r="AG7">
        <f t="shared" si="11"/>
        <v>-1082.7064836397897</v>
      </c>
      <c r="AH7">
        <f t="shared" si="12"/>
        <v>-1082.7064836397897</v>
      </c>
      <c r="AL7">
        <f t="shared" si="13"/>
        <v>0</v>
      </c>
      <c r="AM7">
        <f t="shared" si="14"/>
        <v>0</v>
      </c>
      <c r="AN7">
        <f t="shared" si="15"/>
        <v>0</v>
      </c>
      <c r="AO7">
        <f t="shared" si="16"/>
        <v>-21.63437243375132</v>
      </c>
      <c r="AP7">
        <f t="shared" si="17"/>
        <v>-21.63437243375132</v>
      </c>
      <c r="AT7">
        <f t="shared" si="18"/>
        <v>0</v>
      </c>
      <c r="AU7">
        <f t="shared" si="19"/>
        <v>0</v>
      </c>
      <c r="AV7">
        <f t="shared" si="20"/>
        <v>0</v>
      </c>
      <c r="AW7">
        <f t="shared" si="21"/>
        <v>-372.12071677488086</v>
      </c>
      <c r="AX7">
        <f t="shared" si="22"/>
        <v>-372.12071677488086</v>
      </c>
      <c r="BB7">
        <f t="shared" si="23"/>
        <v>0</v>
      </c>
      <c r="BC7">
        <f t="shared" si="24"/>
        <v>0</v>
      </c>
      <c r="BD7">
        <f t="shared" si="25"/>
        <v>0</v>
      </c>
      <c r="BE7">
        <f t="shared" si="26"/>
        <v>-720.49416324256936</v>
      </c>
      <c r="BF7">
        <f t="shared" si="27"/>
        <v>-720.49416324256936</v>
      </c>
    </row>
    <row r="8" spans="1:58" x14ac:dyDescent="0.2">
      <c r="A8" s="273" t="s">
        <v>1094</v>
      </c>
      <c r="B8" s="249"/>
      <c r="C8">
        <v>-1082.7064836397897</v>
      </c>
      <c r="D8">
        <v>-21.63437243375132</v>
      </c>
      <c r="E8">
        <v>-372.12071677488086</v>
      </c>
      <c r="F8">
        <v>-720.49416324256936</v>
      </c>
      <c r="G8">
        <v>-1082.7064836397897</v>
      </c>
      <c r="H8">
        <v>-21.63437243375132</v>
      </c>
      <c r="I8">
        <v>-372.12071677488086</v>
      </c>
      <c r="J8">
        <v>-720.49416324256936</v>
      </c>
      <c r="Q8" s="273" t="s">
        <v>1094</v>
      </c>
      <c r="R8" s="249"/>
      <c r="S8">
        <f t="shared" si="9"/>
        <v>0</v>
      </c>
      <c r="T8">
        <f t="shared" si="0"/>
        <v>0</v>
      </c>
      <c r="U8">
        <f t="shared" si="1"/>
        <v>0</v>
      </c>
      <c r="V8">
        <f t="shared" si="2"/>
        <v>0</v>
      </c>
      <c r="W8">
        <f t="shared" si="3"/>
        <v>0</v>
      </c>
      <c r="X8">
        <f t="shared" si="4"/>
        <v>0</v>
      </c>
      <c r="Y8">
        <f t="shared" si="5"/>
        <v>0</v>
      </c>
      <c r="Z8">
        <f t="shared" si="6"/>
        <v>0</v>
      </c>
      <c r="AB8" t="s">
        <v>1094</v>
      </c>
      <c r="AD8">
        <f t="shared" si="10"/>
        <v>0</v>
      </c>
      <c r="AE8">
        <f t="shared" si="7"/>
        <v>0</v>
      </c>
      <c r="AF8">
        <f t="shared" si="8"/>
        <v>0</v>
      </c>
      <c r="AG8">
        <f t="shared" si="11"/>
        <v>-1082.7064836397897</v>
      </c>
      <c r="AH8">
        <f t="shared" si="12"/>
        <v>-1082.7064836397897</v>
      </c>
      <c r="AJ8" t="s">
        <v>1094</v>
      </c>
      <c r="AL8">
        <f t="shared" si="13"/>
        <v>0</v>
      </c>
      <c r="AM8">
        <f t="shared" si="14"/>
        <v>0</v>
      </c>
      <c r="AN8">
        <f t="shared" si="15"/>
        <v>0</v>
      </c>
      <c r="AO8">
        <f t="shared" si="16"/>
        <v>-21.63437243375132</v>
      </c>
      <c r="AP8">
        <f t="shared" si="17"/>
        <v>-21.63437243375132</v>
      </c>
      <c r="AR8" t="s">
        <v>1094</v>
      </c>
      <c r="AT8">
        <f t="shared" si="18"/>
        <v>0</v>
      </c>
      <c r="AU8">
        <f t="shared" si="19"/>
        <v>0</v>
      </c>
      <c r="AV8">
        <f t="shared" si="20"/>
        <v>0</v>
      </c>
      <c r="AW8">
        <f t="shared" si="21"/>
        <v>-372.12071677488086</v>
      </c>
      <c r="AX8">
        <f t="shared" si="22"/>
        <v>-372.12071677488086</v>
      </c>
      <c r="AZ8" t="s">
        <v>1094</v>
      </c>
      <c r="BB8">
        <f t="shared" si="23"/>
        <v>0</v>
      </c>
      <c r="BC8">
        <f t="shared" si="24"/>
        <v>0</v>
      </c>
      <c r="BD8">
        <f t="shared" si="25"/>
        <v>0</v>
      </c>
      <c r="BE8">
        <f t="shared" si="26"/>
        <v>-720.49416324256936</v>
      </c>
      <c r="BF8">
        <f t="shared" si="27"/>
        <v>-720.49416324256936</v>
      </c>
    </row>
    <row r="9" spans="1:58" x14ac:dyDescent="0.2">
      <c r="A9" s="274" t="s">
        <v>1092</v>
      </c>
      <c r="B9" s="229" t="s">
        <v>540</v>
      </c>
      <c r="C9">
        <v>-1052.6221400319785</v>
      </c>
      <c r="D9">
        <v>-48.459435612653458</v>
      </c>
      <c r="E9">
        <v>-342.03650793790115</v>
      </c>
      <c r="F9">
        <v>-720.49683576715438</v>
      </c>
      <c r="G9">
        <v>-1127.8329990515053</v>
      </c>
      <c r="H9">
        <v>18.603222334601551</v>
      </c>
      <c r="I9">
        <v>-417.2470300303504</v>
      </c>
      <c r="J9">
        <v>-720.49149071798433</v>
      </c>
      <c r="Q9" s="274" t="s">
        <v>1092</v>
      </c>
      <c r="R9" s="229" t="s">
        <v>540</v>
      </c>
      <c r="S9">
        <f t="shared" si="9"/>
        <v>-2.7786241296602503E-2</v>
      </c>
      <c r="T9">
        <f t="shared" si="0"/>
        <v>1.2399279554350711</v>
      </c>
      <c r="U9">
        <f t="shared" si="1"/>
        <v>-8.0845294230634135E-2</v>
      </c>
      <c r="V9">
        <f t="shared" si="2"/>
        <v>3.7092938726877971E-6</v>
      </c>
      <c r="W9">
        <f t="shared" si="3"/>
        <v>4.1679361944902703E-2</v>
      </c>
      <c r="X9">
        <f t="shared" si="4"/>
        <v>-1.8598919331525912</v>
      </c>
      <c r="Y9">
        <f t="shared" si="5"/>
        <v>0.12126794134595112</v>
      </c>
      <c r="Z9">
        <f t="shared" si="6"/>
        <v>-3.7092938726877971E-6</v>
      </c>
      <c r="AB9" t="s">
        <v>1092</v>
      </c>
      <c r="AC9" t="s">
        <v>540</v>
      </c>
      <c r="AD9">
        <f t="shared" si="10"/>
        <v>-2.7786241296602503E-2</v>
      </c>
      <c r="AE9">
        <f t="shared" si="7"/>
        <v>4.1679361944902703E-2</v>
      </c>
      <c r="AF9">
        <f t="shared" si="8"/>
        <v>4.1679361944902703E-2</v>
      </c>
      <c r="AG9">
        <f t="shared" si="11"/>
        <v>-1052.6221400319785</v>
      </c>
      <c r="AH9">
        <f t="shared" si="12"/>
        <v>-1127.8329990515053</v>
      </c>
      <c r="AJ9" t="s">
        <v>1092</v>
      </c>
      <c r="AK9" t="s">
        <v>540</v>
      </c>
      <c r="AL9">
        <f t="shared" si="13"/>
        <v>1.2399279554350711</v>
      </c>
      <c r="AM9">
        <f t="shared" si="14"/>
        <v>-1.8598919331525912</v>
      </c>
      <c r="AN9">
        <f t="shared" si="15"/>
        <v>1.8598919331525912</v>
      </c>
      <c r="AO9">
        <f t="shared" si="16"/>
        <v>-48.459435612653458</v>
      </c>
      <c r="AP9">
        <f t="shared" si="17"/>
        <v>18.603222334601551</v>
      </c>
      <c r="AR9" t="s">
        <v>1092</v>
      </c>
      <c r="AS9" t="s">
        <v>540</v>
      </c>
      <c r="AT9">
        <f t="shared" si="18"/>
        <v>-8.0845294230634135E-2</v>
      </c>
      <c r="AU9">
        <f t="shared" si="19"/>
        <v>0.12126794134595112</v>
      </c>
      <c r="AV9">
        <f t="shared" si="20"/>
        <v>0.12126794134595112</v>
      </c>
      <c r="AW9">
        <f t="shared" si="21"/>
        <v>-342.03650793790115</v>
      </c>
      <c r="AX9">
        <f t="shared" si="22"/>
        <v>-417.2470300303504</v>
      </c>
      <c r="AZ9" t="s">
        <v>1092</v>
      </c>
      <c r="BA9" t="s">
        <v>540</v>
      </c>
      <c r="BB9">
        <f t="shared" si="23"/>
        <v>3.7092938726877971E-6</v>
      </c>
      <c r="BC9">
        <f t="shared" si="24"/>
        <v>-3.7092938726877971E-6</v>
      </c>
      <c r="BD9">
        <f t="shared" si="25"/>
        <v>3.7092938726877971E-6</v>
      </c>
      <c r="BE9">
        <f t="shared" si="26"/>
        <v>-720.49683576715438</v>
      </c>
      <c r="BF9">
        <f t="shared" si="27"/>
        <v>-720.49149071798433</v>
      </c>
    </row>
    <row r="10" spans="1:58" x14ac:dyDescent="0.2">
      <c r="A10" s="274" t="s">
        <v>1093</v>
      </c>
      <c r="B10" s="229" t="s">
        <v>540</v>
      </c>
      <c r="C10">
        <v>-1057.8890019503517</v>
      </c>
      <c r="D10">
        <v>-28.043860047546886</v>
      </c>
      <c r="E10">
        <v>-371.14378993245515</v>
      </c>
      <c r="F10">
        <v>-720.49416324256936</v>
      </c>
      <c r="G10">
        <v>-1108.4807811171404</v>
      </c>
      <c r="H10">
        <v>-14.972380913703162</v>
      </c>
      <c r="I10">
        <v>-373.1254947685805</v>
      </c>
      <c r="J10">
        <v>-720.49416324256936</v>
      </c>
      <c r="Q10" s="274" t="s">
        <v>1093</v>
      </c>
      <c r="R10" s="229" t="s">
        <v>540</v>
      </c>
      <c r="S10">
        <f t="shared" si="9"/>
        <v>-2.2921707835356964E-2</v>
      </c>
      <c r="T10">
        <f t="shared" si="0"/>
        <v>0.29626408778080671</v>
      </c>
      <c r="U10">
        <f t="shared" si="1"/>
        <v>-2.6252954979034833E-3</v>
      </c>
      <c r="V10">
        <f t="shared" si="2"/>
        <v>0</v>
      </c>
      <c r="W10">
        <f t="shared" si="3"/>
        <v>2.380543375957624E-2</v>
      </c>
      <c r="X10">
        <f t="shared" si="4"/>
        <v>-0.30793551051450552</v>
      </c>
      <c r="Y10">
        <f t="shared" si="5"/>
        <v>2.7001398965580481E-3</v>
      </c>
      <c r="Z10">
        <f t="shared" si="6"/>
        <v>0</v>
      </c>
      <c r="AB10" t="s">
        <v>1093</v>
      </c>
      <c r="AC10" t="s">
        <v>540</v>
      </c>
      <c r="AD10">
        <f t="shared" si="10"/>
        <v>-2.2921707835356964E-2</v>
      </c>
      <c r="AE10">
        <f t="shared" si="7"/>
        <v>2.380543375957624E-2</v>
      </c>
      <c r="AF10">
        <f t="shared" si="8"/>
        <v>2.380543375957624E-2</v>
      </c>
      <c r="AG10">
        <f t="shared" si="11"/>
        <v>-1057.8890019503517</v>
      </c>
      <c r="AH10">
        <f t="shared" si="12"/>
        <v>-1108.4807811171404</v>
      </c>
      <c r="AJ10" t="s">
        <v>1093</v>
      </c>
      <c r="AK10" t="s">
        <v>540</v>
      </c>
      <c r="AL10">
        <f t="shared" si="13"/>
        <v>0.29626408778080671</v>
      </c>
      <c r="AM10">
        <f t="shared" si="14"/>
        <v>-0.30793551051450552</v>
      </c>
      <c r="AN10">
        <f t="shared" si="15"/>
        <v>0.30793551051450552</v>
      </c>
      <c r="AO10">
        <f t="shared" si="16"/>
        <v>-28.043860047546886</v>
      </c>
      <c r="AP10">
        <f t="shared" si="17"/>
        <v>-14.972380913703162</v>
      </c>
      <c r="AR10" t="s">
        <v>1093</v>
      </c>
      <c r="AS10" t="s">
        <v>540</v>
      </c>
      <c r="AT10">
        <f t="shared" si="18"/>
        <v>-2.6252954979034833E-3</v>
      </c>
      <c r="AU10">
        <f t="shared" si="19"/>
        <v>2.7001398965580481E-3</v>
      </c>
      <c r="AV10">
        <f t="shared" si="20"/>
        <v>2.7001398965580481E-3</v>
      </c>
      <c r="AW10">
        <f t="shared" si="21"/>
        <v>-371.14378993245515</v>
      </c>
      <c r="AX10">
        <f t="shared" si="22"/>
        <v>-373.1254947685805</v>
      </c>
      <c r="AZ10" t="s">
        <v>1093</v>
      </c>
      <c r="BA10" t="s">
        <v>540</v>
      </c>
      <c r="BB10">
        <f t="shared" si="23"/>
        <v>0</v>
      </c>
      <c r="BC10">
        <f t="shared" si="24"/>
        <v>0</v>
      </c>
      <c r="BD10">
        <f t="shared" si="25"/>
        <v>0</v>
      </c>
      <c r="BE10">
        <f t="shared" si="26"/>
        <v>-720.49416324256936</v>
      </c>
      <c r="BF10">
        <f t="shared" si="27"/>
        <v>-720.49416324256936</v>
      </c>
    </row>
    <row r="11" spans="1:58" x14ac:dyDescent="0.2">
      <c r="A11" s="274" t="s">
        <v>536</v>
      </c>
      <c r="B11" s="229" t="s">
        <v>1098</v>
      </c>
      <c r="C11">
        <v>-1053.0511821372527</v>
      </c>
      <c r="D11">
        <v>-23.266066299830793</v>
      </c>
      <c r="E11">
        <v>-365.7407415665088</v>
      </c>
      <c r="F11">
        <v>-720.49416324256936</v>
      </c>
      <c r="G11">
        <v>-1113.5848404682552</v>
      </c>
      <c r="H11">
        <v>-19.945607687040773</v>
      </c>
      <c r="I11">
        <v>-378.77136357418965</v>
      </c>
      <c r="J11">
        <v>-720.49416324256936</v>
      </c>
      <c r="Q11" s="274" t="s">
        <v>536</v>
      </c>
      <c r="R11" s="229" t="s">
        <v>15</v>
      </c>
      <c r="S11">
        <f t="shared" si="9"/>
        <v>-2.7389973137357821E-2</v>
      </c>
      <c r="T11">
        <f t="shared" si="0"/>
        <v>7.5421363438021555E-2</v>
      </c>
      <c r="U11">
        <f t="shared" si="1"/>
        <v>-1.7144907339925679E-2</v>
      </c>
      <c r="V11">
        <f t="shared" si="2"/>
        <v>0</v>
      </c>
      <c r="W11">
        <f t="shared" si="3"/>
        <v>2.8519600921442841E-2</v>
      </c>
      <c r="X11">
        <f t="shared" si="4"/>
        <v>-7.8059335988685349E-2</v>
      </c>
      <c r="Y11">
        <f t="shared" si="5"/>
        <v>1.7872283104657626E-2</v>
      </c>
      <c r="Z11">
        <f t="shared" si="6"/>
        <v>0</v>
      </c>
      <c r="AB11" t="s">
        <v>536</v>
      </c>
      <c r="AC11" t="s">
        <v>1098</v>
      </c>
      <c r="AD11">
        <f t="shared" si="10"/>
        <v>-2.7389973137357821E-2</v>
      </c>
      <c r="AE11">
        <f t="shared" si="7"/>
        <v>2.8519600921442841E-2</v>
      </c>
      <c r="AF11">
        <f t="shared" si="8"/>
        <v>2.8519600921442841E-2</v>
      </c>
      <c r="AG11">
        <f t="shared" si="11"/>
        <v>-1053.0511821372527</v>
      </c>
      <c r="AH11">
        <f t="shared" si="12"/>
        <v>-1113.5848404682552</v>
      </c>
      <c r="AJ11" t="s">
        <v>536</v>
      </c>
      <c r="AK11" t="s">
        <v>1098</v>
      </c>
      <c r="AL11">
        <f t="shared" si="13"/>
        <v>7.5421363438021555E-2</v>
      </c>
      <c r="AM11">
        <f t="shared" si="14"/>
        <v>-7.8059335988685349E-2</v>
      </c>
      <c r="AN11">
        <f t="shared" si="15"/>
        <v>7.8059335988685349E-2</v>
      </c>
      <c r="AO11">
        <f t="shared" si="16"/>
        <v>-23.266066299830793</v>
      </c>
      <c r="AP11">
        <f t="shared" si="17"/>
        <v>-19.945607687040773</v>
      </c>
      <c r="AR11" t="s">
        <v>536</v>
      </c>
      <c r="AS11" t="s">
        <v>1098</v>
      </c>
      <c r="AT11">
        <f t="shared" si="18"/>
        <v>-1.7144907339925679E-2</v>
      </c>
      <c r="AU11">
        <f t="shared" si="19"/>
        <v>1.7872283104657626E-2</v>
      </c>
      <c r="AV11">
        <f t="shared" si="20"/>
        <v>1.7872283104657626E-2</v>
      </c>
      <c r="AW11">
        <f t="shared" si="21"/>
        <v>-365.7407415665088</v>
      </c>
      <c r="AX11">
        <f t="shared" si="22"/>
        <v>-378.77136357418965</v>
      </c>
      <c r="AZ11" t="s">
        <v>536</v>
      </c>
      <c r="BA11" t="s">
        <v>1098</v>
      </c>
      <c r="BB11">
        <f t="shared" si="23"/>
        <v>0</v>
      </c>
      <c r="BC11">
        <f t="shared" si="24"/>
        <v>0</v>
      </c>
      <c r="BD11">
        <f t="shared" si="25"/>
        <v>0</v>
      </c>
      <c r="BE11">
        <f t="shared" si="26"/>
        <v>-720.49416324256936</v>
      </c>
      <c r="BF11">
        <f t="shared" si="27"/>
        <v>-720.49416324256936</v>
      </c>
    </row>
    <row r="12" spans="1:58" x14ac:dyDescent="0.2">
      <c r="A12" s="274" t="s">
        <v>1</v>
      </c>
      <c r="B12" s="229" t="s">
        <v>15</v>
      </c>
      <c r="C12">
        <v>-1298.7165536775922</v>
      </c>
      <c r="D12">
        <v>8.7990450213899785E-2</v>
      </c>
      <c r="E12">
        <v>-465.19137426898482</v>
      </c>
      <c r="F12">
        <v>-849.12170789349477</v>
      </c>
      <c r="G12">
        <v>-866.82179293940067</v>
      </c>
      <c r="H12">
        <v>-49.281662249107413</v>
      </c>
      <c r="I12">
        <v>-287.51611367242072</v>
      </c>
      <c r="J12">
        <v>-594.88326362136581</v>
      </c>
      <c r="Q12" s="274" t="s">
        <v>1</v>
      </c>
      <c r="R12" s="229" t="s">
        <v>15</v>
      </c>
      <c r="S12">
        <f t="shared" si="9"/>
        <v>0.19950935299808165</v>
      </c>
      <c r="T12">
        <f t="shared" si="0"/>
        <v>-1.0040671598163222</v>
      </c>
      <c r="U12">
        <f t="shared" si="1"/>
        <v>0.25010877733638309</v>
      </c>
      <c r="V12">
        <f t="shared" si="2"/>
        <v>0.1785268378470129</v>
      </c>
      <c r="W12">
        <f t="shared" si="3"/>
        <v>-0.1993935512186446</v>
      </c>
      <c r="X12">
        <f t="shared" si="4"/>
        <v>1.2779335245345111</v>
      </c>
      <c r="Y12">
        <f t="shared" si="5"/>
        <v>-0.22735794941952336</v>
      </c>
      <c r="Z12">
        <f t="shared" si="6"/>
        <v>-0.17433992671903717</v>
      </c>
      <c r="AB12" t="s">
        <v>1</v>
      </c>
      <c r="AC12" t="s">
        <v>15</v>
      </c>
      <c r="AD12">
        <f t="shared" si="10"/>
        <v>0.19950935299808165</v>
      </c>
      <c r="AE12">
        <f t="shared" si="7"/>
        <v>-0.1993935512186446</v>
      </c>
      <c r="AF12">
        <f t="shared" si="8"/>
        <v>0.1993935512186446</v>
      </c>
      <c r="AG12">
        <f t="shared" si="11"/>
        <v>-1298.7165536775922</v>
      </c>
      <c r="AH12">
        <f t="shared" si="12"/>
        <v>-866.82179293940067</v>
      </c>
      <c r="AJ12" t="s">
        <v>1</v>
      </c>
      <c r="AK12" t="s">
        <v>15</v>
      </c>
      <c r="AL12">
        <f t="shared" si="13"/>
        <v>-1.0040671598163222</v>
      </c>
      <c r="AM12">
        <f t="shared" si="14"/>
        <v>1.2779335245345111</v>
      </c>
      <c r="AN12">
        <f t="shared" si="15"/>
        <v>1.2779335245345111</v>
      </c>
      <c r="AO12">
        <f t="shared" si="16"/>
        <v>8.7990450213899785E-2</v>
      </c>
      <c r="AP12">
        <f t="shared" si="17"/>
        <v>-49.281662249107413</v>
      </c>
      <c r="AR12" t="s">
        <v>1</v>
      </c>
      <c r="AS12" t="s">
        <v>15</v>
      </c>
      <c r="AT12">
        <f t="shared" si="18"/>
        <v>0.25010877733638309</v>
      </c>
      <c r="AU12">
        <f t="shared" si="19"/>
        <v>-0.22735794941952336</v>
      </c>
      <c r="AV12">
        <f t="shared" si="20"/>
        <v>0.22735794941952336</v>
      </c>
      <c r="AW12">
        <f t="shared" si="21"/>
        <v>-465.19137426898482</v>
      </c>
      <c r="AX12">
        <f t="shared" si="22"/>
        <v>-287.51611367242072</v>
      </c>
      <c r="AZ12" t="s">
        <v>1</v>
      </c>
      <c r="BA12" t="s">
        <v>15</v>
      </c>
      <c r="BB12">
        <f t="shared" si="23"/>
        <v>0.1785268378470129</v>
      </c>
      <c r="BC12">
        <f t="shared" si="24"/>
        <v>-0.17433992671903717</v>
      </c>
      <c r="BD12">
        <f t="shared" si="25"/>
        <v>0.17433992671903717</v>
      </c>
      <c r="BE12">
        <f t="shared" si="26"/>
        <v>-849.12170789349477</v>
      </c>
      <c r="BF12">
        <f t="shared" si="27"/>
        <v>-594.88326362136581</v>
      </c>
    </row>
    <row r="13" spans="1:58" x14ac:dyDescent="0.2">
      <c r="A13" s="274" t="s">
        <v>1096</v>
      </c>
      <c r="B13" s="229" t="s">
        <v>15</v>
      </c>
      <c r="C13">
        <v>-1082.7064836397897</v>
      </c>
      <c r="D13">
        <v>-20.828684637799203</v>
      </c>
      <c r="E13">
        <v>-373.02669107197323</v>
      </c>
      <c r="F13">
        <v>-720.49416324256936</v>
      </c>
      <c r="G13">
        <v>-1082.7064836397897</v>
      </c>
      <c r="H13">
        <v>-22.440012743109879</v>
      </c>
      <c r="I13">
        <v>-371.21469499119479</v>
      </c>
      <c r="J13">
        <v>-720.49416324256936</v>
      </c>
      <c r="Q13" s="274" t="s">
        <v>1096</v>
      </c>
      <c r="R13" s="229" t="s">
        <v>15</v>
      </c>
      <c r="S13">
        <f t="shared" si="9"/>
        <v>0</v>
      </c>
      <c r="T13">
        <f t="shared" si="0"/>
        <v>-3.7241098553669215E-2</v>
      </c>
      <c r="U13">
        <f t="shared" si="1"/>
        <v>2.4346247232466E-3</v>
      </c>
      <c r="V13">
        <f t="shared" si="2"/>
        <v>0</v>
      </c>
      <c r="W13">
        <f t="shared" si="3"/>
        <v>0</v>
      </c>
      <c r="X13">
        <f t="shared" si="4"/>
        <v>3.7238903593140353E-2</v>
      </c>
      <c r="Y13">
        <f t="shared" si="5"/>
        <v>-2.434752333969573E-3</v>
      </c>
      <c r="Z13">
        <f t="shared" si="6"/>
        <v>0</v>
      </c>
      <c r="AB13" t="s">
        <v>1096</v>
      </c>
      <c r="AC13" t="s">
        <v>15</v>
      </c>
      <c r="AD13">
        <f t="shared" si="10"/>
        <v>0</v>
      </c>
      <c r="AE13">
        <f t="shared" si="7"/>
        <v>0</v>
      </c>
      <c r="AF13">
        <f t="shared" si="8"/>
        <v>0</v>
      </c>
      <c r="AG13">
        <f t="shared" si="11"/>
        <v>-1082.7064836397897</v>
      </c>
      <c r="AH13">
        <f t="shared" si="12"/>
        <v>-1082.7064836397897</v>
      </c>
      <c r="AJ13" t="s">
        <v>1096</v>
      </c>
      <c r="AK13" t="s">
        <v>15</v>
      </c>
      <c r="AL13">
        <f t="shared" si="13"/>
        <v>-3.7241098553669215E-2</v>
      </c>
      <c r="AM13">
        <f t="shared" si="14"/>
        <v>3.7238903593140353E-2</v>
      </c>
      <c r="AN13">
        <f t="shared" si="15"/>
        <v>3.7238903593140353E-2</v>
      </c>
      <c r="AO13">
        <f t="shared" si="16"/>
        <v>-20.828684637799203</v>
      </c>
      <c r="AP13">
        <f t="shared" si="17"/>
        <v>-22.440012743109879</v>
      </c>
      <c r="AR13" t="s">
        <v>1096</v>
      </c>
      <c r="AS13" t="s">
        <v>15</v>
      </c>
      <c r="AT13">
        <f t="shared" si="18"/>
        <v>2.4346247232466E-3</v>
      </c>
      <c r="AU13">
        <f t="shared" si="19"/>
        <v>-2.434752333969573E-3</v>
      </c>
      <c r="AV13">
        <f t="shared" si="20"/>
        <v>2.434752333969573E-3</v>
      </c>
      <c r="AW13">
        <f t="shared" si="21"/>
        <v>-373.02669107197323</v>
      </c>
      <c r="AX13">
        <f t="shared" si="22"/>
        <v>-371.21469499119479</v>
      </c>
      <c r="AZ13" t="s">
        <v>1096</v>
      </c>
      <c r="BA13" t="s">
        <v>15</v>
      </c>
      <c r="BB13">
        <f t="shared" si="23"/>
        <v>0</v>
      </c>
      <c r="BC13">
        <f t="shared" si="24"/>
        <v>0</v>
      </c>
      <c r="BD13">
        <f t="shared" si="25"/>
        <v>0</v>
      </c>
      <c r="BE13">
        <f t="shared" si="26"/>
        <v>-720.49416324256936</v>
      </c>
      <c r="BF13">
        <f t="shared" si="27"/>
        <v>-720.49416324256936</v>
      </c>
    </row>
    <row r="14" spans="1:58" x14ac:dyDescent="0.2">
      <c r="A14" s="22"/>
      <c r="C14">
        <v>-1082.7064836397897</v>
      </c>
      <c r="D14">
        <v>-21.63437243375132</v>
      </c>
      <c r="E14">
        <v>-372.12071677488086</v>
      </c>
      <c r="F14">
        <v>-720.49416324256936</v>
      </c>
      <c r="G14">
        <v>-1082.7064836397897</v>
      </c>
      <c r="H14">
        <v>-21.63437243375132</v>
      </c>
      <c r="I14">
        <v>-372.12071677488086</v>
      </c>
      <c r="J14">
        <v>-720.49416324256936</v>
      </c>
      <c r="L14" s="109" t="s">
        <v>1191</v>
      </c>
      <c r="Q14" s="22"/>
      <c r="S14">
        <f t="shared" si="9"/>
        <v>0</v>
      </c>
      <c r="T14">
        <f t="shared" si="0"/>
        <v>0</v>
      </c>
      <c r="U14">
        <f t="shared" si="1"/>
        <v>0</v>
      </c>
      <c r="V14">
        <f t="shared" si="2"/>
        <v>0</v>
      </c>
      <c r="W14">
        <f t="shared" si="3"/>
        <v>0</v>
      </c>
      <c r="X14">
        <f t="shared" si="4"/>
        <v>0</v>
      </c>
      <c r="Y14">
        <f t="shared" si="5"/>
        <v>0</v>
      </c>
      <c r="Z14">
        <f t="shared" si="6"/>
        <v>0</v>
      </c>
      <c r="AD14">
        <f t="shared" si="10"/>
        <v>0</v>
      </c>
      <c r="AE14">
        <f t="shared" si="7"/>
        <v>0</v>
      </c>
      <c r="AF14">
        <f t="shared" si="8"/>
        <v>0</v>
      </c>
      <c r="AG14">
        <f t="shared" si="11"/>
        <v>-1082.7064836397897</v>
      </c>
      <c r="AH14">
        <f t="shared" si="12"/>
        <v>-1082.7064836397897</v>
      </c>
      <c r="AL14">
        <f t="shared" si="13"/>
        <v>0</v>
      </c>
      <c r="AM14">
        <f t="shared" si="14"/>
        <v>0</v>
      </c>
      <c r="AN14">
        <f t="shared" si="15"/>
        <v>0</v>
      </c>
      <c r="AO14">
        <f t="shared" si="16"/>
        <v>-21.63437243375132</v>
      </c>
      <c r="AP14">
        <f t="shared" si="17"/>
        <v>-21.63437243375132</v>
      </c>
      <c r="AT14">
        <f t="shared" si="18"/>
        <v>0</v>
      </c>
      <c r="AU14">
        <f t="shared" si="19"/>
        <v>0</v>
      </c>
      <c r="AV14">
        <f t="shared" si="20"/>
        <v>0</v>
      </c>
      <c r="AW14">
        <f t="shared" si="21"/>
        <v>-372.12071677488086</v>
      </c>
      <c r="AX14">
        <f t="shared" si="22"/>
        <v>-372.12071677488086</v>
      </c>
      <c r="BB14">
        <f t="shared" si="23"/>
        <v>0</v>
      </c>
      <c r="BC14">
        <f t="shared" si="24"/>
        <v>0</v>
      </c>
      <c r="BD14">
        <f t="shared" si="25"/>
        <v>0</v>
      </c>
      <c r="BE14">
        <f t="shared" si="26"/>
        <v>-720.49416324256936</v>
      </c>
      <c r="BF14">
        <f t="shared" si="27"/>
        <v>-720.49416324256936</v>
      </c>
    </row>
    <row r="15" spans="1:58" x14ac:dyDescent="0.2">
      <c r="A15" s="276" t="s">
        <v>1107</v>
      </c>
      <c r="B15" s="266"/>
      <c r="C15">
        <v>-1082.7064836397897</v>
      </c>
      <c r="D15">
        <v>-21.63437243375132</v>
      </c>
      <c r="E15">
        <v>-372.12071677488086</v>
      </c>
      <c r="F15">
        <v>-720.49416324256936</v>
      </c>
      <c r="G15">
        <v>-1082.7064836397897</v>
      </c>
      <c r="H15">
        <v>-21.63437243375132</v>
      </c>
      <c r="I15">
        <v>-372.12071677488086</v>
      </c>
      <c r="J15">
        <v>-720.49416324256936</v>
      </c>
      <c r="Q15" s="276" t="s">
        <v>1107</v>
      </c>
      <c r="R15" s="266"/>
      <c r="S15">
        <f t="shared" si="9"/>
        <v>0</v>
      </c>
      <c r="T15">
        <f t="shared" si="0"/>
        <v>0</v>
      </c>
      <c r="U15">
        <f t="shared" si="1"/>
        <v>0</v>
      </c>
      <c r="V15">
        <f t="shared" si="2"/>
        <v>0</v>
      </c>
      <c r="W15">
        <f t="shared" si="3"/>
        <v>0</v>
      </c>
      <c r="X15">
        <f t="shared" si="4"/>
        <v>0</v>
      </c>
      <c r="Y15">
        <f t="shared" si="5"/>
        <v>0</v>
      </c>
      <c r="Z15">
        <f t="shared" si="6"/>
        <v>0</v>
      </c>
      <c r="AB15" t="s">
        <v>1107</v>
      </c>
      <c r="AD15">
        <f t="shared" si="10"/>
        <v>0</v>
      </c>
      <c r="AE15">
        <f t="shared" si="7"/>
        <v>0</v>
      </c>
      <c r="AF15">
        <f t="shared" si="8"/>
        <v>0</v>
      </c>
      <c r="AG15">
        <f t="shared" si="11"/>
        <v>-1082.7064836397897</v>
      </c>
      <c r="AH15">
        <f t="shared" si="12"/>
        <v>-1082.7064836397897</v>
      </c>
      <c r="AJ15" t="s">
        <v>1107</v>
      </c>
      <c r="AL15">
        <f t="shared" si="13"/>
        <v>0</v>
      </c>
      <c r="AM15">
        <f t="shared" si="14"/>
        <v>0</v>
      </c>
      <c r="AN15">
        <f t="shared" si="15"/>
        <v>0</v>
      </c>
      <c r="AO15">
        <f t="shared" si="16"/>
        <v>-21.63437243375132</v>
      </c>
      <c r="AP15">
        <f t="shared" si="17"/>
        <v>-21.63437243375132</v>
      </c>
      <c r="AR15" t="s">
        <v>1107</v>
      </c>
      <c r="AT15">
        <f t="shared" si="18"/>
        <v>0</v>
      </c>
      <c r="AU15">
        <f t="shared" si="19"/>
        <v>0</v>
      </c>
      <c r="AV15">
        <f t="shared" si="20"/>
        <v>0</v>
      </c>
      <c r="AW15">
        <f t="shared" si="21"/>
        <v>-372.12071677488086</v>
      </c>
      <c r="AX15">
        <f t="shared" si="22"/>
        <v>-372.12071677488086</v>
      </c>
      <c r="AZ15" t="s">
        <v>1107</v>
      </c>
      <c r="BB15">
        <f t="shared" si="23"/>
        <v>0</v>
      </c>
      <c r="BC15">
        <f t="shared" si="24"/>
        <v>0</v>
      </c>
      <c r="BD15">
        <f t="shared" si="25"/>
        <v>0</v>
      </c>
      <c r="BE15">
        <f t="shared" si="26"/>
        <v>-720.49416324256936</v>
      </c>
      <c r="BF15">
        <f t="shared" si="27"/>
        <v>-720.49416324256936</v>
      </c>
    </row>
    <row r="16" spans="1:58" x14ac:dyDescent="0.2">
      <c r="A16" s="274" t="s">
        <v>1097</v>
      </c>
      <c r="B16" s="229" t="s">
        <v>1099</v>
      </c>
      <c r="C16">
        <v>-1082.8259572425109</v>
      </c>
      <c r="D16">
        <v>-21.753846036472606</v>
      </c>
      <c r="E16">
        <v>-372.24019037760218</v>
      </c>
      <c r="F16">
        <v>-720.49416324256936</v>
      </c>
      <c r="G16">
        <v>-1082.5272732357078</v>
      </c>
      <c r="H16">
        <v>-21.455162029669435</v>
      </c>
      <c r="I16">
        <v>-371.94150637079895</v>
      </c>
      <c r="J16">
        <v>-720.49416324256936</v>
      </c>
      <c r="L16" t="s">
        <v>1173</v>
      </c>
      <c r="Q16" s="274" t="s">
        <v>1097</v>
      </c>
      <c r="R16" s="229" t="s">
        <v>1099</v>
      </c>
      <c r="S16">
        <f t="shared" si="9"/>
        <v>1.1034717582881716E-4</v>
      </c>
      <c r="T16">
        <f t="shared" si="0"/>
        <v>5.5223974296983664E-3</v>
      </c>
      <c r="U16">
        <f t="shared" si="1"/>
        <v>3.2106141189013933E-4</v>
      </c>
      <c r="V16">
        <f t="shared" si="2"/>
        <v>0</v>
      </c>
      <c r="W16">
        <f t="shared" si="3"/>
        <v>-1.6552076374333076E-4</v>
      </c>
      <c r="X16">
        <f t="shared" si="4"/>
        <v>-8.2835961445455793E-3</v>
      </c>
      <c r="Y16">
        <f t="shared" si="5"/>
        <v>-4.8159211783505625E-4</v>
      </c>
      <c r="Z16">
        <f t="shared" si="6"/>
        <v>0</v>
      </c>
      <c r="AB16" t="s">
        <v>1097</v>
      </c>
      <c r="AC16" t="s">
        <v>1099</v>
      </c>
      <c r="AD16">
        <f t="shared" si="10"/>
        <v>1.1034717582881716E-4</v>
      </c>
      <c r="AE16">
        <f t="shared" si="7"/>
        <v>-1.6552076374333076E-4</v>
      </c>
      <c r="AF16">
        <f t="shared" si="8"/>
        <v>1.6552076374333076E-4</v>
      </c>
      <c r="AG16">
        <f t="shared" si="11"/>
        <v>-1082.8259572425109</v>
      </c>
      <c r="AH16">
        <f t="shared" si="12"/>
        <v>-1082.5272732357078</v>
      </c>
      <c r="AJ16" t="s">
        <v>1097</v>
      </c>
      <c r="AK16" t="s">
        <v>1099</v>
      </c>
      <c r="AL16">
        <f t="shared" si="13"/>
        <v>5.5223974296983664E-3</v>
      </c>
      <c r="AM16">
        <f t="shared" si="14"/>
        <v>-8.2835961445455793E-3</v>
      </c>
      <c r="AN16">
        <f t="shared" si="15"/>
        <v>8.2835961445455793E-3</v>
      </c>
      <c r="AO16">
        <f t="shared" si="16"/>
        <v>-21.753846036472606</v>
      </c>
      <c r="AP16">
        <f t="shared" si="17"/>
        <v>-21.455162029669435</v>
      </c>
      <c r="AR16" t="s">
        <v>1097</v>
      </c>
      <c r="AS16" t="s">
        <v>1099</v>
      </c>
      <c r="AT16">
        <f t="shared" si="18"/>
        <v>3.2106141189013933E-4</v>
      </c>
      <c r="AU16">
        <f t="shared" si="19"/>
        <v>-4.8159211783505625E-4</v>
      </c>
      <c r="AV16">
        <f t="shared" si="20"/>
        <v>4.8159211783505625E-4</v>
      </c>
      <c r="AW16">
        <f t="shared" si="21"/>
        <v>-372.24019037760218</v>
      </c>
      <c r="AX16">
        <f t="shared" si="22"/>
        <v>-371.94150637079895</v>
      </c>
      <c r="AZ16" t="s">
        <v>1097</v>
      </c>
      <c r="BA16" t="s">
        <v>1099</v>
      </c>
      <c r="BB16">
        <f t="shared" si="23"/>
        <v>0</v>
      </c>
      <c r="BC16">
        <f t="shared" si="24"/>
        <v>0</v>
      </c>
      <c r="BD16">
        <f t="shared" si="25"/>
        <v>0</v>
      </c>
      <c r="BE16">
        <f t="shared" si="26"/>
        <v>-720.49416324256936</v>
      </c>
      <c r="BF16">
        <f t="shared" si="27"/>
        <v>-720.49416324256936</v>
      </c>
    </row>
    <row r="17" spans="1:58" x14ac:dyDescent="0.2">
      <c r="A17" s="274" t="s">
        <v>970</v>
      </c>
      <c r="B17" s="229" t="s">
        <v>1099</v>
      </c>
      <c r="C17">
        <v>-1082.7064836397897</v>
      </c>
      <c r="D17">
        <v>-21.63437243375132</v>
      </c>
      <c r="E17">
        <v>-372.12071677488086</v>
      </c>
      <c r="F17">
        <v>-720.49416324256936</v>
      </c>
      <c r="G17">
        <v>-1082.7064836397897</v>
      </c>
      <c r="H17">
        <v>-21.63437243375132</v>
      </c>
      <c r="I17">
        <v>-372.12071677488086</v>
      </c>
      <c r="J17">
        <v>-720.49416324256936</v>
      </c>
      <c r="Q17" s="274" t="s">
        <v>970</v>
      </c>
      <c r="R17" s="229" t="s">
        <v>1099</v>
      </c>
      <c r="S17">
        <f t="shared" si="9"/>
        <v>0</v>
      </c>
      <c r="T17">
        <f t="shared" si="0"/>
        <v>0</v>
      </c>
      <c r="U17">
        <f t="shared" si="1"/>
        <v>0</v>
      </c>
      <c r="V17">
        <f t="shared" si="2"/>
        <v>0</v>
      </c>
      <c r="W17">
        <f t="shared" si="3"/>
        <v>0</v>
      </c>
      <c r="X17">
        <f t="shared" si="4"/>
        <v>0</v>
      </c>
      <c r="Y17">
        <f t="shared" si="5"/>
        <v>0</v>
      </c>
      <c r="Z17">
        <f t="shared" si="6"/>
        <v>0</v>
      </c>
      <c r="AB17" t="s">
        <v>970</v>
      </c>
      <c r="AC17" t="s">
        <v>1099</v>
      </c>
      <c r="AD17">
        <f t="shared" si="10"/>
        <v>0</v>
      </c>
      <c r="AE17">
        <f t="shared" si="7"/>
        <v>0</v>
      </c>
      <c r="AF17">
        <f t="shared" si="8"/>
        <v>0</v>
      </c>
      <c r="AG17">
        <f t="shared" si="11"/>
        <v>-1082.7064836397897</v>
      </c>
      <c r="AH17">
        <f t="shared" si="12"/>
        <v>-1082.7064836397897</v>
      </c>
      <c r="AJ17" t="s">
        <v>970</v>
      </c>
      <c r="AK17" t="s">
        <v>1099</v>
      </c>
      <c r="AL17">
        <f t="shared" si="13"/>
        <v>0</v>
      </c>
      <c r="AM17">
        <f t="shared" si="14"/>
        <v>0</v>
      </c>
      <c r="AN17">
        <f t="shared" si="15"/>
        <v>0</v>
      </c>
      <c r="AO17">
        <f t="shared" si="16"/>
        <v>-21.63437243375132</v>
      </c>
      <c r="AP17">
        <f t="shared" si="17"/>
        <v>-21.63437243375132</v>
      </c>
      <c r="AR17" t="s">
        <v>970</v>
      </c>
      <c r="AS17" t="s">
        <v>1099</v>
      </c>
      <c r="AT17">
        <f t="shared" si="18"/>
        <v>0</v>
      </c>
      <c r="AU17">
        <f t="shared" si="19"/>
        <v>0</v>
      </c>
      <c r="AV17">
        <f t="shared" si="20"/>
        <v>0</v>
      </c>
      <c r="AW17">
        <f t="shared" si="21"/>
        <v>-372.12071677488086</v>
      </c>
      <c r="AX17">
        <f t="shared" si="22"/>
        <v>-372.12071677488086</v>
      </c>
      <c r="AZ17" t="s">
        <v>970</v>
      </c>
      <c r="BA17" t="s">
        <v>1099</v>
      </c>
      <c r="BB17">
        <f t="shared" si="23"/>
        <v>0</v>
      </c>
      <c r="BC17">
        <f t="shared" si="24"/>
        <v>0</v>
      </c>
      <c r="BD17">
        <f t="shared" si="25"/>
        <v>0</v>
      </c>
      <c r="BE17">
        <f t="shared" si="26"/>
        <v>-720.49416324256936</v>
      </c>
      <c r="BF17">
        <f t="shared" si="27"/>
        <v>-720.49416324256936</v>
      </c>
    </row>
    <row r="18" spans="1:58" x14ac:dyDescent="0.2">
      <c r="A18" s="274" t="s">
        <v>1100</v>
      </c>
      <c r="B18" s="229" t="s">
        <v>1099</v>
      </c>
      <c r="C18">
        <v>-1082.7064836397897</v>
      </c>
      <c r="D18">
        <v>-28.456192754758153</v>
      </c>
      <c r="E18">
        <v>-372.12071677488086</v>
      </c>
      <c r="F18">
        <v>-720.49416324256936</v>
      </c>
      <c r="G18">
        <v>-1082.7064836397897</v>
      </c>
      <c r="H18">
        <v>-11.401641952241109</v>
      </c>
      <c r="I18">
        <v>-372.12071677488086</v>
      </c>
      <c r="J18">
        <v>-720.49416324256936</v>
      </c>
      <c r="L18" t="s">
        <v>1174</v>
      </c>
      <c r="Q18" s="274" t="s">
        <v>1100</v>
      </c>
      <c r="R18" s="229" t="s">
        <v>1099</v>
      </c>
      <c r="S18">
        <f t="shared" si="9"/>
        <v>0</v>
      </c>
      <c r="T18">
        <f t="shared" si="0"/>
        <v>0.31532323583208066</v>
      </c>
      <c r="U18">
        <f t="shared" si="1"/>
        <v>0</v>
      </c>
      <c r="V18">
        <f t="shared" si="2"/>
        <v>0</v>
      </c>
      <c r="W18">
        <f t="shared" si="3"/>
        <v>0</v>
      </c>
      <c r="X18">
        <f t="shared" si="4"/>
        <v>-0.47298485374811927</v>
      </c>
      <c r="Y18">
        <f t="shared" si="5"/>
        <v>0</v>
      </c>
      <c r="Z18">
        <f t="shared" si="6"/>
        <v>0</v>
      </c>
      <c r="AB18" t="s">
        <v>1100</v>
      </c>
      <c r="AC18" t="s">
        <v>1099</v>
      </c>
      <c r="AD18">
        <f t="shared" si="10"/>
        <v>0</v>
      </c>
      <c r="AE18">
        <f t="shared" si="7"/>
        <v>0</v>
      </c>
      <c r="AF18">
        <f t="shared" si="8"/>
        <v>0</v>
      </c>
      <c r="AG18">
        <f t="shared" si="11"/>
        <v>-1082.7064836397897</v>
      </c>
      <c r="AH18">
        <f t="shared" si="12"/>
        <v>-1082.7064836397897</v>
      </c>
      <c r="AJ18" t="s">
        <v>1100</v>
      </c>
      <c r="AK18" t="s">
        <v>1099</v>
      </c>
      <c r="AL18">
        <f t="shared" si="13"/>
        <v>0.31532323583208066</v>
      </c>
      <c r="AM18">
        <f t="shared" si="14"/>
        <v>-0.47298485374811927</v>
      </c>
      <c r="AN18">
        <f t="shared" si="15"/>
        <v>0.47298485374811927</v>
      </c>
      <c r="AO18">
        <f t="shared" si="16"/>
        <v>-28.456192754758153</v>
      </c>
      <c r="AP18">
        <f t="shared" si="17"/>
        <v>-11.401641952241109</v>
      </c>
      <c r="AR18" t="s">
        <v>1100</v>
      </c>
      <c r="AS18" t="s">
        <v>1099</v>
      </c>
      <c r="AT18">
        <f t="shared" si="18"/>
        <v>0</v>
      </c>
      <c r="AU18">
        <f t="shared" si="19"/>
        <v>0</v>
      </c>
      <c r="AV18">
        <f t="shared" si="20"/>
        <v>0</v>
      </c>
      <c r="AW18">
        <f t="shared" si="21"/>
        <v>-372.12071677488086</v>
      </c>
      <c r="AX18">
        <f t="shared" si="22"/>
        <v>-372.12071677488086</v>
      </c>
      <c r="AZ18" t="s">
        <v>1100</v>
      </c>
      <c r="BA18" t="s">
        <v>1099</v>
      </c>
      <c r="BB18">
        <f t="shared" si="23"/>
        <v>0</v>
      </c>
      <c r="BC18">
        <f t="shared" si="24"/>
        <v>0</v>
      </c>
      <c r="BD18">
        <f t="shared" si="25"/>
        <v>0</v>
      </c>
      <c r="BE18">
        <f t="shared" si="26"/>
        <v>-720.49416324256936</v>
      </c>
      <c r="BF18">
        <f t="shared" si="27"/>
        <v>-720.49416324256936</v>
      </c>
    </row>
    <row r="19" spans="1:58" x14ac:dyDescent="0.2">
      <c r="A19" s="274" t="s">
        <v>1101</v>
      </c>
      <c r="B19" s="229" t="s">
        <v>1099</v>
      </c>
      <c r="C19">
        <v>-1082.7064836397897</v>
      </c>
      <c r="D19">
        <v>-21.63437243375132</v>
      </c>
      <c r="E19">
        <v>-372.12071677488086</v>
      </c>
      <c r="F19">
        <v>-720.49416324256936</v>
      </c>
      <c r="G19">
        <v>-1082.7064836397897</v>
      </c>
      <c r="H19">
        <v>-21.63437243375132</v>
      </c>
      <c r="I19">
        <v>-372.12071677488086</v>
      </c>
      <c r="J19">
        <v>-720.49416324256936</v>
      </c>
      <c r="L19" t="s">
        <v>1175</v>
      </c>
      <c r="Q19" s="274" t="s">
        <v>1101</v>
      </c>
      <c r="R19" s="229" t="s">
        <v>1099</v>
      </c>
      <c r="S19">
        <f t="shared" si="9"/>
        <v>0</v>
      </c>
      <c r="T19">
        <f t="shared" si="0"/>
        <v>0</v>
      </c>
      <c r="U19">
        <f t="shared" si="1"/>
        <v>0</v>
      </c>
      <c r="V19">
        <f t="shared" si="2"/>
        <v>0</v>
      </c>
      <c r="W19">
        <f t="shared" si="3"/>
        <v>0</v>
      </c>
      <c r="X19">
        <f t="shared" si="4"/>
        <v>0</v>
      </c>
      <c r="Y19">
        <f t="shared" si="5"/>
        <v>0</v>
      </c>
      <c r="Z19">
        <f t="shared" si="6"/>
        <v>0</v>
      </c>
      <c r="AB19" t="s">
        <v>1101</v>
      </c>
      <c r="AC19" t="s">
        <v>1099</v>
      </c>
      <c r="AD19">
        <f t="shared" si="10"/>
        <v>0</v>
      </c>
      <c r="AE19">
        <f t="shared" si="7"/>
        <v>0</v>
      </c>
      <c r="AF19">
        <f t="shared" si="8"/>
        <v>0</v>
      </c>
      <c r="AG19">
        <f t="shared" si="11"/>
        <v>-1082.7064836397897</v>
      </c>
      <c r="AH19">
        <f t="shared" si="12"/>
        <v>-1082.7064836397897</v>
      </c>
      <c r="AJ19" t="s">
        <v>1101</v>
      </c>
      <c r="AK19" t="s">
        <v>1099</v>
      </c>
      <c r="AL19">
        <f t="shared" si="13"/>
        <v>0</v>
      </c>
      <c r="AM19">
        <f t="shared" si="14"/>
        <v>0</v>
      </c>
      <c r="AN19">
        <f t="shared" si="15"/>
        <v>0</v>
      </c>
      <c r="AO19">
        <f t="shared" si="16"/>
        <v>-21.63437243375132</v>
      </c>
      <c r="AP19">
        <f t="shared" si="17"/>
        <v>-21.63437243375132</v>
      </c>
      <c r="AR19" t="s">
        <v>1101</v>
      </c>
      <c r="AS19" t="s">
        <v>1099</v>
      </c>
      <c r="AT19">
        <f t="shared" si="18"/>
        <v>0</v>
      </c>
      <c r="AU19">
        <f t="shared" si="19"/>
        <v>0</v>
      </c>
      <c r="AV19">
        <f t="shared" si="20"/>
        <v>0</v>
      </c>
      <c r="AW19">
        <f t="shared" si="21"/>
        <v>-372.12071677488086</v>
      </c>
      <c r="AX19">
        <f t="shared" si="22"/>
        <v>-372.12071677488086</v>
      </c>
      <c r="AZ19" t="s">
        <v>1101</v>
      </c>
      <c r="BA19" t="s">
        <v>1099</v>
      </c>
      <c r="BB19">
        <f t="shared" si="23"/>
        <v>0</v>
      </c>
      <c r="BC19">
        <f t="shared" si="24"/>
        <v>0</v>
      </c>
      <c r="BD19">
        <f t="shared" si="25"/>
        <v>0</v>
      </c>
      <c r="BE19">
        <f t="shared" si="26"/>
        <v>-720.49416324256936</v>
      </c>
      <c r="BF19">
        <f t="shared" si="27"/>
        <v>-720.49416324256936</v>
      </c>
    </row>
    <row r="20" spans="1:58" x14ac:dyDescent="0.2">
      <c r="A20" s="274" t="s">
        <v>965</v>
      </c>
      <c r="B20" s="229" t="s">
        <v>1099</v>
      </c>
      <c r="C20">
        <v>-1082.7064836397897</v>
      </c>
      <c r="D20">
        <v>-21.63437243375132</v>
      </c>
      <c r="E20">
        <v>-372.12071677488086</v>
      </c>
      <c r="F20">
        <v>-720.53097378365021</v>
      </c>
      <c r="G20">
        <v>-1082.7064836397897</v>
      </c>
      <c r="H20">
        <v>-21.63437243375132</v>
      </c>
      <c r="I20">
        <v>-372.12071677488086</v>
      </c>
      <c r="J20">
        <v>-720.43894743094802</v>
      </c>
      <c r="Q20" s="274" t="s">
        <v>965</v>
      </c>
      <c r="R20" s="229" t="s">
        <v>1099</v>
      </c>
      <c r="S20">
        <f t="shared" si="9"/>
        <v>0</v>
      </c>
      <c r="T20">
        <f t="shared" si="0"/>
        <v>0</v>
      </c>
      <c r="U20">
        <f t="shared" si="1"/>
        <v>0</v>
      </c>
      <c r="V20">
        <f t="shared" si="2"/>
        <v>5.1090686030250152E-5</v>
      </c>
      <c r="W20">
        <f t="shared" si="3"/>
        <v>0</v>
      </c>
      <c r="X20">
        <f t="shared" si="4"/>
        <v>0</v>
      </c>
      <c r="Y20">
        <f t="shared" si="5"/>
        <v>0</v>
      </c>
      <c r="Z20">
        <f t="shared" si="6"/>
        <v>-7.6636029045454114E-5</v>
      </c>
      <c r="AB20" t="s">
        <v>965</v>
      </c>
      <c r="AC20" t="s">
        <v>1099</v>
      </c>
      <c r="AD20">
        <f t="shared" si="10"/>
        <v>0</v>
      </c>
      <c r="AE20">
        <f t="shared" si="7"/>
        <v>0</v>
      </c>
      <c r="AF20">
        <f t="shared" si="8"/>
        <v>0</v>
      </c>
      <c r="AG20">
        <f t="shared" si="11"/>
        <v>-1082.7064836397897</v>
      </c>
      <c r="AH20">
        <f t="shared" si="12"/>
        <v>-1082.7064836397897</v>
      </c>
      <c r="AJ20" t="s">
        <v>965</v>
      </c>
      <c r="AK20" t="s">
        <v>1099</v>
      </c>
      <c r="AL20">
        <f t="shared" si="13"/>
        <v>0</v>
      </c>
      <c r="AM20">
        <f t="shared" si="14"/>
        <v>0</v>
      </c>
      <c r="AN20">
        <f t="shared" si="15"/>
        <v>0</v>
      </c>
      <c r="AO20">
        <f t="shared" si="16"/>
        <v>-21.63437243375132</v>
      </c>
      <c r="AP20">
        <f t="shared" si="17"/>
        <v>-21.63437243375132</v>
      </c>
      <c r="AR20" t="s">
        <v>965</v>
      </c>
      <c r="AS20" t="s">
        <v>1099</v>
      </c>
      <c r="AT20">
        <f t="shared" si="18"/>
        <v>0</v>
      </c>
      <c r="AU20">
        <f t="shared" si="19"/>
        <v>0</v>
      </c>
      <c r="AV20">
        <f t="shared" si="20"/>
        <v>0</v>
      </c>
      <c r="AW20">
        <f t="shared" si="21"/>
        <v>-372.12071677488086</v>
      </c>
      <c r="AX20">
        <f t="shared" si="22"/>
        <v>-372.12071677488086</v>
      </c>
      <c r="AZ20" t="s">
        <v>965</v>
      </c>
      <c r="BA20" t="s">
        <v>1099</v>
      </c>
      <c r="BB20">
        <f t="shared" si="23"/>
        <v>5.1090686030250152E-5</v>
      </c>
      <c r="BC20">
        <f t="shared" si="24"/>
        <v>-7.6636029045454114E-5</v>
      </c>
      <c r="BD20">
        <f t="shared" si="25"/>
        <v>7.6636029045454114E-5</v>
      </c>
      <c r="BE20">
        <f t="shared" si="26"/>
        <v>-720.53097378365021</v>
      </c>
      <c r="BF20">
        <f t="shared" si="27"/>
        <v>-720.43894743094802</v>
      </c>
    </row>
    <row r="21" spans="1:58" x14ac:dyDescent="0.2">
      <c r="A21" s="274" t="s">
        <v>547</v>
      </c>
      <c r="B21" s="229" t="s">
        <v>1099</v>
      </c>
      <c r="C21">
        <v>-1082.7064836397897</v>
      </c>
      <c r="D21">
        <v>-21.63437243375132</v>
      </c>
      <c r="E21">
        <v>-370.28600714559786</v>
      </c>
      <c r="F21">
        <v>-714.79163491662382</v>
      </c>
      <c r="G21">
        <v>-1082.7064836397897</v>
      </c>
      <c r="H21">
        <v>-21.63437243375132</v>
      </c>
      <c r="I21">
        <v>-374.87278121880536</v>
      </c>
      <c r="J21">
        <v>-729.04795573148749</v>
      </c>
      <c r="L21" t="s">
        <v>1176</v>
      </c>
      <c r="Q21" s="274" t="s">
        <v>547</v>
      </c>
      <c r="R21" s="229" t="s">
        <v>1099</v>
      </c>
      <c r="S21">
        <f t="shared" si="9"/>
        <v>0</v>
      </c>
      <c r="T21">
        <f t="shared" si="0"/>
        <v>0</v>
      </c>
      <c r="U21">
        <f t="shared" si="1"/>
        <v>-4.9304151759788431E-3</v>
      </c>
      <c r="V21">
        <f t="shared" si="2"/>
        <v>-7.9147460408026393E-3</v>
      </c>
      <c r="W21">
        <f t="shared" si="3"/>
        <v>0</v>
      </c>
      <c r="X21">
        <f t="shared" si="4"/>
        <v>0</v>
      </c>
      <c r="Y21">
        <f t="shared" si="5"/>
        <v>7.3956227639682647E-3</v>
      </c>
      <c r="Z21">
        <f t="shared" si="6"/>
        <v>1.1872119061203723E-2</v>
      </c>
      <c r="AB21" t="s">
        <v>547</v>
      </c>
      <c r="AC21" t="s">
        <v>1099</v>
      </c>
      <c r="AD21">
        <f t="shared" si="10"/>
        <v>0</v>
      </c>
      <c r="AE21">
        <f t="shared" si="7"/>
        <v>0</v>
      </c>
      <c r="AF21">
        <f t="shared" si="8"/>
        <v>0</v>
      </c>
      <c r="AG21">
        <f t="shared" si="11"/>
        <v>-1082.7064836397897</v>
      </c>
      <c r="AH21">
        <f t="shared" si="12"/>
        <v>-1082.7064836397897</v>
      </c>
      <c r="AJ21" t="s">
        <v>547</v>
      </c>
      <c r="AK21" t="s">
        <v>1099</v>
      </c>
      <c r="AL21">
        <f t="shared" si="13"/>
        <v>0</v>
      </c>
      <c r="AM21">
        <f t="shared" si="14"/>
        <v>0</v>
      </c>
      <c r="AN21">
        <f t="shared" si="15"/>
        <v>0</v>
      </c>
      <c r="AO21">
        <f t="shared" si="16"/>
        <v>-21.63437243375132</v>
      </c>
      <c r="AP21">
        <f t="shared" si="17"/>
        <v>-21.63437243375132</v>
      </c>
      <c r="AR21" t="s">
        <v>547</v>
      </c>
      <c r="AS21" t="s">
        <v>1099</v>
      </c>
      <c r="AT21">
        <f t="shared" si="18"/>
        <v>-4.9304151759788431E-3</v>
      </c>
      <c r="AU21">
        <f t="shared" si="19"/>
        <v>7.3956227639682647E-3</v>
      </c>
      <c r="AV21">
        <f t="shared" si="20"/>
        <v>7.3956227639682647E-3</v>
      </c>
      <c r="AW21">
        <f t="shared" si="21"/>
        <v>-370.28600714559786</v>
      </c>
      <c r="AX21">
        <f t="shared" si="22"/>
        <v>-374.87278121880536</v>
      </c>
      <c r="AZ21" t="s">
        <v>547</v>
      </c>
      <c r="BA21" t="s">
        <v>1099</v>
      </c>
      <c r="BB21">
        <f t="shared" si="23"/>
        <v>-7.9147460408026393E-3</v>
      </c>
      <c r="BC21">
        <f t="shared" si="24"/>
        <v>1.1872119061203723E-2</v>
      </c>
      <c r="BD21">
        <f t="shared" si="25"/>
        <v>1.1872119061203723E-2</v>
      </c>
      <c r="BE21">
        <f t="shared" si="26"/>
        <v>-714.79163491662382</v>
      </c>
      <c r="BF21">
        <f t="shared" si="27"/>
        <v>-729.04795573148749</v>
      </c>
    </row>
    <row r="22" spans="1:58" x14ac:dyDescent="0.2">
      <c r="A22" s="274" t="s">
        <v>548</v>
      </c>
      <c r="B22" s="229" t="s">
        <v>1099</v>
      </c>
      <c r="C22">
        <v>-1082.7064836397897</v>
      </c>
      <c r="D22">
        <v>-21.63437243375132</v>
      </c>
      <c r="E22">
        <v>-368.7588294613339</v>
      </c>
      <c r="F22">
        <v>-710.04495791429576</v>
      </c>
      <c r="G22">
        <v>-1082.7064836397897</v>
      </c>
      <c r="H22">
        <v>-21.63437243375132</v>
      </c>
      <c r="I22">
        <v>-377.1635477452013</v>
      </c>
      <c r="J22">
        <v>-736.16797123497963</v>
      </c>
      <c r="Q22" s="274" t="s">
        <v>548</v>
      </c>
      <c r="R22" s="229" t="s">
        <v>1099</v>
      </c>
      <c r="S22">
        <f t="shared" si="9"/>
        <v>0</v>
      </c>
      <c r="T22">
        <f t="shared" si="0"/>
        <v>0</v>
      </c>
      <c r="U22">
        <f t="shared" si="1"/>
        <v>-9.0343997579171997E-3</v>
      </c>
      <c r="V22">
        <f t="shared" si="2"/>
        <v>-1.4502831336269478E-2</v>
      </c>
      <c r="W22">
        <f t="shared" si="3"/>
        <v>0</v>
      </c>
      <c r="X22">
        <f t="shared" si="4"/>
        <v>0</v>
      </c>
      <c r="Y22">
        <f t="shared" si="5"/>
        <v>1.35515996368758E-2</v>
      </c>
      <c r="Z22">
        <f t="shared" si="6"/>
        <v>2.1754247004404061E-2</v>
      </c>
      <c r="AB22" t="s">
        <v>548</v>
      </c>
      <c r="AC22" t="s">
        <v>1099</v>
      </c>
      <c r="AD22">
        <f t="shared" si="10"/>
        <v>0</v>
      </c>
      <c r="AE22">
        <f t="shared" si="7"/>
        <v>0</v>
      </c>
      <c r="AF22">
        <f t="shared" si="8"/>
        <v>0</v>
      </c>
      <c r="AG22">
        <f t="shared" si="11"/>
        <v>-1082.7064836397897</v>
      </c>
      <c r="AH22">
        <f t="shared" si="12"/>
        <v>-1082.7064836397897</v>
      </c>
      <c r="AJ22" t="s">
        <v>548</v>
      </c>
      <c r="AK22" t="s">
        <v>1099</v>
      </c>
      <c r="AL22">
        <f t="shared" si="13"/>
        <v>0</v>
      </c>
      <c r="AM22">
        <f t="shared" si="14"/>
        <v>0</v>
      </c>
      <c r="AN22">
        <f t="shared" si="15"/>
        <v>0</v>
      </c>
      <c r="AO22">
        <f t="shared" si="16"/>
        <v>-21.63437243375132</v>
      </c>
      <c r="AP22">
        <f t="shared" si="17"/>
        <v>-21.63437243375132</v>
      </c>
      <c r="AR22" t="s">
        <v>548</v>
      </c>
      <c r="AS22" t="s">
        <v>1099</v>
      </c>
      <c r="AT22">
        <f t="shared" si="18"/>
        <v>-9.0343997579171997E-3</v>
      </c>
      <c r="AU22">
        <f t="shared" si="19"/>
        <v>1.35515996368758E-2</v>
      </c>
      <c r="AV22">
        <f t="shared" si="20"/>
        <v>1.35515996368758E-2</v>
      </c>
      <c r="AW22">
        <f t="shared" si="21"/>
        <v>-368.7588294613339</v>
      </c>
      <c r="AX22">
        <f t="shared" si="22"/>
        <v>-377.1635477452013</v>
      </c>
      <c r="AZ22" t="s">
        <v>548</v>
      </c>
      <c r="BA22" t="s">
        <v>1099</v>
      </c>
      <c r="BB22">
        <f t="shared" si="23"/>
        <v>-1.4502831336269478E-2</v>
      </c>
      <c r="BC22">
        <f t="shared" si="24"/>
        <v>2.1754247004404061E-2</v>
      </c>
      <c r="BD22">
        <f t="shared" si="25"/>
        <v>2.1754247004404061E-2</v>
      </c>
      <c r="BE22">
        <f t="shared" si="26"/>
        <v>-710.04495791429576</v>
      </c>
      <c r="BF22">
        <f t="shared" si="27"/>
        <v>-736.16797123497963</v>
      </c>
    </row>
    <row r="23" spans="1:58" x14ac:dyDescent="0.2">
      <c r="A23" s="274" t="s">
        <v>549</v>
      </c>
      <c r="B23" s="229" t="s">
        <v>1099</v>
      </c>
      <c r="C23">
        <v>-1082.7064836397897</v>
      </c>
      <c r="D23">
        <v>-21.63437243375132</v>
      </c>
      <c r="E23">
        <v>-371.32331620477311</v>
      </c>
      <c r="F23">
        <v>-718.01573326891639</v>
      </c>
      <c r="G23">
        <v>-1082.7064836397897</v>
      </c>
      <c r="H23">
        <v>-21.63437243375132</v>
      </c>
      <c r="I23">
        <v>-373.31681763004246</v>
      </c>
      <c r="J23">
        <v>-724.21180820304869</v>
      </c>
      <c r="L23" t="s">
        <v>1177</v>
      </c>
      <c r="Q23" s="274" t="s">
        <v>549</v>
      </c>
      <c r="R23" s="229" t="s">
        <v>1099</v>
      </c>
      <c r="S23">
        <f t="shared" si="9"/>
        <v>0</v>
      </c>
      <c r="T23">
        <f t="shared" si="0"/>
        <v>0</v>
      </c>
      <c r="U23">
        <f t="shared" si="1"/>
        <v>-2.1428545473595657E-3</v>
      </c>
      <c r="V23">
        <f t="shared" si="2"/>
        <v>-3.4399029167687368E-3</v>
      </c>
      <c r="W23">
        <f t="shared" si="3"/>
        <v>0</v>
      </c>
      <c r="X23">
        <f t="shared" si="4"/>
        <v>0</v>
      </c>
      <c r="Y23">
        <f t="shared" si="5"/>
        <v>3.214281821039272E-3</v>
      </c>
      <c r="Z23">
        <f t="shared" si="6"/>
        <v>5.1598543751529471E-3</v>
      </c>
      <c r="AB23" t="s">
        <v>549</v>
      </c>
      <c r="AC23" t="s">
        <v>1099</v>
      </c>
      <c r="AD23">
        <f t="shared" si="10"/>
        <v>0</v>
      </c>
      <c r="AE23">
        <f t="shared" si="7"/>
        <v>0</v>
      </c>
      <c r="AF23">
        <f t="shared" si="8"/>
        <v>0</v>
      </c>
      <c r="AG23">
        <f t="shared" si="11"/>
        <v>-1082.7064836397897</v>
      </c>
      <c r="AH23">
        <f t="shared" si="12"/>
        <v>-1082.7064836397897</v>
      </c>
      <c r="AJ23" t="s">
        <v>549</v>
      </c>
      <c r="AK23" t="s">
        <v>1099</v>
      </c>
      <c r="AL23">
        <f t="shared" si="13"/>
        <v>0</v>
      </c>
      <c r="AM23">
        <f t="shared" si="14"/>
        <v>0</v>
      </c>
      <c r="AN23">
        <f t="shared" si="15"/>
        <v>0</v>
      </c>
      <c r="AO23">
        <f t="shared" si="16"/>
        <v>-21.63437243375132</v>
      </c>
      <c r="AP23">
        <f t="shared" si="17"/>
        <v>-21.63437243375132</v>
      </c>
      <c r="AR23" t="s">
        <v>549</v>
      </c>
      <c r="AS23" t="s">
        <v>1099</v>
      </c>
      <c r="AT23">
        <f t="shared" si="18"/>
        <v>-2.1428545473595657E-3</v>
      </c>
      <c r="AU23">
        <f t="shared" si="19"/>
        <v>3.214281821039272E-3</v>
      </c>
      <c r="AV23">
        <f t="shared" si="20"/>
        <v>3.214281821039272E-3</v>
      </c>
      <c r="AW23">
        <f t="shared" si="21"/>
        <v>-371.32331620477311</v>
      </c>
      <c r="AX23">
        <f t="shared" si="22"/>
        <v>-373.31681763004246</v>
      </c>
      <c r="AZ23" t="s">
        <v>549</v>
      </c>
      <c r="BA23" t="s">
        <v>1099</v>
      </c>
      <c r="BB23">
        <f t="shared" si="23"/>
        <v>-3.4399029167687368E-3</v>
      </c>
      <c r="BC23">
        <f t="shared" si="24"/>
        <v>5.1598543751529471E-3</v>
      </c>
      <c r="BD23">
        <f t="shared" si="25"/>
        <v>5.1598543751529471E-3</v>
      </c>
      <c r="BE23">
        <f t="shared" si="26"/>
        <v>-718.01573326891639</v>
      </c>
      <c r="BF23">
        <f t="shared" si="27"/>
        <v>-724.21180820304869</v>
      </c>
    </row>
    <row r="24" spans="1:58" x14ac:dyDescent="0.2">
      <c r="A24" s="274" t="s">
        <v>721</v>
      </c>
      <c r="B24" s="229" t="s">
        <v>1099</v>
      </c>
      <c r="C24">
        <v>-1082.7064836397897</v>
      </c>
      <c r="D24">
        <v>-65.56799348749685</v>
      </c>
      <c r="E24">
        <v>-372.12071677488086</v>
      </c>
      <c r="F24">
        <v>-720.49416324256936</v>
      </c>
      <c r="G24">
        <v>-1082.7064836397897</v>
      </c>
      <c r="H24">
        <v>40.452041494948368</v>
      </c>
      <c r="I24">
        <v>-372.12071677488086</v>
      </c>
      <c r="J24">
        <v>-720.49416324256936</v>
      </c>
      <c r="L24" t="s">
        <v>1178</v>
      </c>
      <c r="Q24" s="274" t="s">
        <v>721</v>
      </c>
      <c r="R24" s="229" t="s">
        <v>1099</v>
      </c>
      <c r="S24">
        <f t="shared" si="9"/>
        <v>0</v>
      </c>
      <c r="T24">
        <f t="shared" si="0"/>
        <v>2.0307323999472997</v>
      </c>
      <c r="U24">
        <f t="shared" si="1"/>
        <v>0</v>
      </c>
      <c r="V24">
        <f t="shared" si="2"/>
        <v>0</v>
      </c>
      <c r="W24">
        <f t="shared" si="3"/>
        <v>0</v>
      </c>
      <c r="X24">
        <f t="shared" si="4"/>
        <v>-2.8698042487167319</v>
      </c>
      <c r="Y24">
        <f t="shared" si="5"/>
        <v>0</v>
      </c>
      <c r="Z24">
        <f t="shared" si="6"/>
        <v>0</v>
      </c>
      <c r="AB24" t="s">
        <v>721</v>
      </c>
      <c r="AC24" t="s">
        <v>1099</v>
      </c>
      <c r="AD24">
        <f t="shared" si="10"/>
        <v>0</v>
      </c>
      <c r="AE24">
        <f t="shared" si="7"/>
        <v>0</v>
      </c>
      <c r="AF24">
        <f t="shared" si="8"/>
        <v>0</v>
      </c>
      <c r="AG24">
        <f t="shared" si="11"/>
        <v>-1082.7064836397897</v>
      </c>
      <c r="AH24">
        <f t="shared" si="12"/>
        <v>-1082.7064836397897</v>
      </c>
      <c r="AJ24" t="s">
        <v>721</v>
      </c>
      <c r="AK24" t="s">
        <v>1099</v>
      </c>
      <c r="AL24">
        <f t="shared" si="13"/>
        <v>2.0307323999472997</v>
      </c>
      <c r="AM24">
        <f t="shared" si="14"/>
        <v>-2.8698042487167319</v>
      </c>
      <c r="AN24">
        <f t="shared" si="15"/>
        <v>2.8698042487167319</v>
      </c>
      <c r="AO24">
        <f t="shared" si="16"/>
        <v>-65.56799348749685</v>
      </c>
      <c r="AP24">
        <f t="shared" si="17"/>
        <v>40.452041494948368</v>
      </c>
      <c r="AR24" t="s">
        <v>721</v>
      </c>
      <c r="AS24" t="s">
        <v>1099</v>
      </c>
      <c r="AT24">
        <f t="shared" si="18"/>
        <v>0</v>
      </c>
      <c r="AU24">
        <f t="shared" si="19"/>
        <v>0</v>
      </c>
      <c r="AV24">
        <f t="shared" si="20"/>
        <v>0</v>
      </c>
      <c r="AW24">
        <f t="shared" si="21"/>
        <v>-372.12071677488086</v>
      </c>
      <c r="AX24">
        <f t="shared" si="22"/>
        <v>-372.12071677488086</v>
      </c>
      <c r="AZ24" t="s">
        <v>721</v>
      </c>
      <c r="BA24" t="s">
        <v>1099</v>
      </c>
      <c r="BB24">
        <f t="shared" si="23"/>
        <v>0</v>
      </c>
      <c r="BC24">
        <f t="shared" si="24"/>
        <v>0</v>
      </c>
      <c r="BD24">
        <f t="shared" si="25"/>
        <v>0</v>
      </c>
      <c r="BE24">
        <f t="shared" si="26"/>
        <v>-720.49416324256936</v>
      </c>
      <c r="BF24">
        <f t="shared" si="27"/>
        <v>-720.49416324256936</v>
      </c>
    </row>
    <row r="25" spans="1:58" x14ac:dyDescent="0.2">
      <c r="A25" s="274" t="s">
        <v>723</v>
      </c>
      <c r="B25" s="229" t="s">
        <v>1099</v>
      </c>
      <c r="C25">
        <v>-1082.7064836397897</v>
      </c>
      <c r="D25">
        <v>-30.041400900492032</v>
      </c>
      <c r="E25">
        <v>-372.12071677488086</v>
      </c>
      <c r="F25">
        <v>-720.49416324256936</v>
      </c>
      <c r="G25">
        <v>-1082.7064836397897</v>
      </c>
      <c r="H25">
        <v>-12.729102970107087</v>
      </c>
      <c r="I25">
        <v>-372.12071677488086</v>
      </c>
      <c r="J25">
        <v>-720.49416324256936</v>
      </c>
      <c r="L25" t="s">
        <v>1174</v>
      </c>
      <c r="Q25" s="274" t="s">
        <v>723</v>
      </c>
      <c r="R25" s="229" t="s">
        <v>1099</v>
      </c>
      <c r="S25">
        <f t="shared" si="9"/>
        <v>0</v>
      </c>
      <c r="T25">
        <f t="shared" si="0"/>
        <v>0.38859590184483872</v>
      </c>
      <c r="U25">
        <f t="shared" si="1"/>
        <v>0</v>
      </c>
      <c r="V25">
        <f t="shared" si="2"/>
        <v>0</v>
      </c>
      <c r="W25">
        <f t="shared" si="3"/>
        <v>0</v>
      </c>
      <c r="X25">
        <f t="shared" si="4"/>
        <v>-0.41162596654531625</v>
      </c>
      <c r="Y25">
        <f t="shared" si="5"/>
        <v>0</v>
      </c>
      <c r="Z25">
        <f t="shared" si="6"/>
        <v>0</v>
      </c>
      <c r="AB25" t="s">
        <v>723</v>
      </c>
      <c r="AC25" t="s">
        <v>1099</v>
      </c>
      <c r="AD25">
        <f t="shared" si="10"/>
        <v>0</v>
      </c>
      <c r="AE25">
        <f t="shared" si="7"/>
        <v>0</v>
      </c>
      <c r="AF25">
        <f t="shared" si="8"/>
        <v>0</v>
      </c>
      <c r="AG25">
        <f t="shared" si="11"/>
        <v>-1082.7064836397897</v>
      </c>
      <c r="AH25">
        <f t="shared" si="12"/>
        <v>-1082.7064836397897</v>
      </c>
      <c r="AJ25" t="s">
        <v>723</v>
      </c>
      <c r="AK25" t="s">
        <v>1099</v>
      </c>
      <c r="AL25">
        <f t="shared" si="13"/>
        <v>0.38859590184483872</v>
      </c>
      <c r="AM25">
        <f t="shared" si="14"/>
        <v>-0.41162596654531625</v>
      </c>
      <c r="AN25">
        <f t="shared" si="15"/>
        <v>0.41162596654531625</v>
      </c>
      <c r="AO25">
        <f t="shared" si="16"/>
        <v>-30.041400900492032</v>
      </c>
      <c r="AP25">
        <f t="shared" si="17"/>
        <v>-12.729102970107087</v>
      </c>
      <c r="AR25" t="s">
        <v>723</v>
      </c>
      <c r="AS25" t="s">
        <v>1099</v>
      </c>
      <c r="AT25">
        <f t="shared" si="18"/>
        <v>0</v>
      </c>
      <c r="AU25">
        <f t="shared" si="19"/>
        <v>0</v>
      </c>
      <c r="AV25">
        <f t="shared" si="20"/>
        <v>0</v>
      </c>
      <c r="AW25">
        <f t="shared" si="21"/>
        <v>-372.12071677488086</v>
      </c>
      <c r="AX25">
        <f t="shared" si="22"/>
        <v>-372.12071677488086</v>
      </c>
      <c r="AZ25" t="s">
        <v>723</v>
      </c>
      <c r="BA25" t="s">
        <v>1099</v>
      </c>
      <c r="BB25">
        <f t="shared" si="23"/>
        <v>0</v>
      </c>
      <c r="BC25">
        <f t="shared" si="24"/>
        <v>0</v>
      </c>
      <c r="BD25">
        <f t="shared" si="25"/>
        <v>0</v>
      </c>
      <c r="BE25">
        <f t="shared" si="26"/>
        <v>-720.49416324256936</v>
      </c>
      <c r="BF25">
        <f t="shared" si="27"/>
        <v>-720.49416324256936</v>
      </c>
    </row>
    <row r="26" spans="1:58" x14ac:dyDescent="0.2">
      <c r="A26" s="274" t="s">
        <v>699</v>
      </c>
      <c r="B26" s="229" t="s">
        <v>1099</v>
      </c>
      <c r="C26">
        <v>-1082.7064836389429</v>
      </c>
      <c r="D26">
        <v>-21.634372432904581</v>
      </c>
      <c r="E26">
        <v>-372.12071677403412</v>
      </c>
      <c r="F26">
        <v>-720.49416324256936</v>
      </c>
      <c r="G26">
        <v>-1082.7064836410598</v>
      </c>
      <c r="H26">
        <v>-21.634372435021429</v>
      </c>
      <c r="I26">
        <v>-372.12071677615097</v>
      </c>
      <c r="J26">
        <v>-720.49416324256936</v>
      </c>
      <c r="L26" t="s">
        <v>1179</v>
      </c>
      <c r="Q26" s="274" t="s">
        <v>699</v>
      </c>
      <c r="R26" s="229" t="s">
        <v>1099</v>
      </c>
      <c r="S26">
        <f t="shared" si="9"/>
        <v>-7.8205827723878454E-13</v>
      </c>
      <c r="T26">
        <f t="shared" si="0"/>
        <v>-3.9138623962561354E-11</v>
      </c>
      <c r="U26">
        <f t="shared" si="1"/>
        <v>-2.2754432343599995E-12</v>
      </c>
      <c r="V26">
        <f t="shared" si="2"/>
        <v>0</v>
      </c>
      <c r="W26">
        <f t="shared" si="3"/>
        <v>1.1730874158581769E-12</v>
      </c>
      <c r="X26">
        <f t="shared" si="4"/>
        <v>5.8707935943842031E-11</v>
      </c>
      <c r="Y26">
        <f t="shared" si="5"/>
        <v>3.413164851539999E-12</v>
      </c>
      <c r="Z26">
        <f t="shared" si="6"/>
        <v>0</v>
      </c>
      <c r="AB26" t="s">
        <v>699</v>
      </c>
      <c r="AC26" t="s">
        <v>1099</v>
      </c>
      <c r="AD26">
        <f t="shared" si="10"/>
        <v>-7.8205827723878454E-13</v>
      </c>
      <c r="AE26">
        <f t="shared" si="7"/>
        <v>1.1730874158581769E-12</v>
      </c>
      <c r="AF26">
        <f t="shared" si="8"/>
        <v>1.1730874158581769E-12</v>
      </c>
      <c r="AG26">
        <f t="shared" si="11"/>
        <v>-1082.7064836389429</v>
      </c>
      <c r="AH26">
        <f t="shared" si="12"/>
        <v>-1082.7064836410598</v>
      </c>
      <c r="AJ26" t="s">
        <v>699</v>
      </c>
      <c r="AK26" t="s">
        <v>1099</v>
      </c>
      <c r="AL26">
        <f t="shared" si="13"/>
        <v>-3.9138623962561354E-11</v>
      </c>
      <c r="AM26">
        <f t="shared" si="14"/>
        <v>5.8707935943842031E-11</v>
      </c>
      <c r="AN26">
        <f t="shared" si="15"/>
        <v>5.8707935943842031E-11</v>
      </c>
      <c r="AO26">
        <f t="shared" si="16"/>
        <v>-21.634372432904581</v>
      </c>
      <c r="AP26">
        <f t="shared" si="17"/>
        <v>-21.634372435021429</v>
      </c>
      <c r="AR26" t="s">
        <v>699</v>
      </c>
      <c r="AS26" t="s">
        <v>1099</v>
      </c>
      <c r="AT26">
        <f t="shared" si="18"/>
        <v>-2.2754432343599995E-12</v>
      </c>
      <c r="AU26">
        <f t="shared" si="19"/>
        <v>3.413164851539999E-12</v>
      </c>
      <c r="AV26">
        <f t="shared" si="20"/>
        <v>3.413164851539999E-12</v>
      </c>
      <c r="AW26">
        <f t="shared" si="21"/>
        <v>-372.12071677403412</v>
      </c>
      <c r="AX26">
        <f t="shared" si="22"/>
        <v>-372.12071677615097</v>
      </c>
      <c r="AZ26" t="s">
        <v>699</v>
      </c>
      <c r="BA26" t="s">
        <v>1099</v>
      </c>
      <c r="BB26">
        <f t="shared" si="23"/>
        <v>0</v>
      </c>
      <c r="BC26">
        <f t="shared" si="24"/>
        <v>0</v>
      </c>
      <c r="BD26">
        <f t="shared" si="25"/>
        <v>0</v>
      </c>
      <c r="BE26">
        <f t="shared" si="26"/>
        <v>-720.49416324256936</v>
      </c>
      <c r="BF26">
        <f t="shared" si="27"/>
        <v>-720.49416324256936</v>
      </c>
    </row>
    <row r="27" spans="1:58" x14ac:dyDescent="0.2">
      <c r="A27" s="274" t="s">
        <v>700</v>
      </c>
      <c r="B27" s="229" t="s">
        <v>1099</v>
      </c>
      <c r="C27">
        <v>-1081.0915505710382</v>
      </c>
      <c r="D27">
        <v>-20.019439364999794</v>
      </c>
      <c r="E27">
        <v>-370.50578370612936</v>
      </c>
      <c r="F27">
        <v>-720.48504728794467</v>
      </c>
      <c r="G27">
        <v>-1085.1288832429168</v>
      </c>
      <c r="H27">
        <v>-24.056772036878566</v>
      </c>
      <c r="I27">
        <v>-374.54311637800811</v>
      </c>
      <c r="J27">
        <v>-720.50783717450645</v>
      </c>
      <c r="L27" t="s">
        <v>1180</v>
      </c>
      <c r="Q27" s="274" t="s">
        <v>700</v>
      </c>
      <c r="R27" s="229" t="s">
        <v>1099</v>
      </c>
      <c r="S27">
        <f t="shared" si="9"/>
        <v>-1.4915705162515465E-3</v>
      </c>
      <c r="T27">
        <f t="shared" si="0"/>
        <v>-7.4646633439299753E-2</v>
      </c>
      <c r="U27">
        <f t="shared" si="1"/>
        <v>-4.33980962615546E-3</v>
      </c>
      <c r="V27">
        <f t="shared" si="2"/>
        <v>-1.265236429350625E-5</v>
      </c>
      <c r="W27">
        <f t="shared" si="3"/>
        <v>2.2373557743772146E-3</v>
      </c>
      <c r="X27">
        <f t="shared" si="4"/>
        <v>0.11196995015894766</v>
      </c>
      <c r="Y27">
        <f t="shared" si="5"/>
        <v>6.5097144392331904E-3</v>
      </c>
      <c r="Z27">
        <f t="shared" si="6"/>
        <v>1.8978546440338271E-5</v>
      </c>
      <c r="AB27" t="s">
        <v>700</v>
      </c>
      <c r="AC27" t="s">
        <v>1099</v>
      </c>
      <c r="AD27">
        <f t="shared" si="10"/>
        <v>-1.4915705162515465E-3</v>
      </c>
      <c r="AE27">
        <f t="shared" si="7"/>
        <v>2.2373557743772146E-3</v>
      </c>
      <c r="AF27">
        <f t="shared" si="8"/>
        <v>2.2373557743772146E-3</v>
      </c>
      <c r="AG27">
        <f t="shared" si="11"/>
        <v>-1081.0915505710382</v>
      </c>
      <c r="AH27">
        <f t="shared" si="12"/>
        <v>-1085.1288832429168</v>
      </c>
      <c r="AJ27" t="s">
        <v>700</v>
      </c>
      <c r="AK27" t="s">
        <v>1099</v>
      </c>
      <c r="AL27">
        <f t="shared" si="13"/>
        <v>-7.4646633439299753E-2</v>
      </c>
      <c r="AM27">
        <f t="shared" si="14"/>
        <v>0.11196995015894766</v>
      </c>
      <c r="AN27">
        <f t="shared" si="15"/>
        <v>0.11196995015894766</v>
      </c>
      <c r="AO27">
        <f t="shared" si="16"/>
        <v>-20.019439364999794</v>
      </c>
      <c r="AP27">
        <f t="shared" si="17"/>
        <v>-24.056772036878566</v>
      </c>
      <c r="AR27" t="s">
        <v>700</v>
      </c>
      <c r="AS27" t="s">
        <v>1099</v>
      </c>
      <c r="AT27">
        <f t="shared" si="18"/>
        <v>-4.33980962615546E-3</v>
      </c>
      <c r="AU27">
        <f t="shared" si="19"/>
        <v>6.5097144392331904E-3</v>
      </c>
      <c r="AV27">
        <f t="shared" si="20"/>
        <v>6.5097144392331904E-3</v>
      </c>
      <c r="AW27">
        <f t="shared" si="21"/>
        <v>-370.50578370612936</v>
      </c>
      <c r="AX27">
        <f t="shared" si="22"/>
        <v>-374.54311637800811</v>
      </c>
      <c r="AZ27" t="s">
        <v>700</v>
      </c>
      <c r="BA27" t="s">
        <v>1099</v>
      </c>
      <c r="BB27">
        <f t="shared" si="23"/>
        <v>-1.265236429350625E-5</v>
      </c>
      <c r="BC27">
        <f t="shared" si="24"/>
        <v>1.8978546440338271E-5</v>
      </c>
      <c r="BD27">
        <f t="shared" si="25"/>
        <v>1.8978546440338271E-5</v>
      </c>
      <c r="BE27">
        <f t="shared" si="26"/>
        <v>-720.48504728794467</v>
      </c>
      <c r="BF27">
        <f t="shared" si="27"/>
        <v>-720.50783717450645</v>
      </c>
    </row>
    <row r="28" spans="1:58" x14ac:dyDescent="0.2">
      <c r="A28" s="274" t="s">
        <v>701</v>
      </c>
      <c r="B28" s="229" t="s">
        <v>1099</v>
      </c>
      <c r="C28">
        <v>-1056.1117338864499</v>
      </c>
      <c r="D28">
        <v>4.9603773195884084</v>
      </c>
      <c r="E28">
        <v>-345.52596702154113</v>
      </c>
      <c r="F28">
        <v>-720.0822492526753</v>
      </c>
      <c r="G28">
        <v>-1122.5986082697993</v>
      </c>
      <c r="H28">
        <v>-61.526497063761028</v>
      </c>
      <c r="I28">
        <v>-412.01284140489054</v>
      </c>
      <c r="J28">
        <v>-721.1120342274105</v>
      </c>
      <c r="Q28" s="274" t="s">
        <v>701</v>
      </c>
      <c r="R28" s="229" t="s">
        <v>1099</v>
      </c>
      <c r="S28">
        <f t="shared" si="9"/>
        <v>-2.4563212796080112E-2</v>
      </c>
      <c r="T28">
        <f t="shared" si="0"/>
        <v>-1.229282237549439</v>
      </c>
      <c r="U28">
        <f t="shared" si="1"/>
        <v>-7.1468070855696425E-2</v>
      </c>
      <c r="V28">
        <f t="shared" si="2"/>
        <v>-5.7171037727807501E-4</v>
      </c>
      <c r="W28">
        <f t="shared" si="3"/>
        <v>3.6844819194120165E-2</v>
      </c>
      <c r="X28">
        <f t="shared" si="4"/>
        <v>1.8439233563241639</v>
      </c>
      <c r="Y28">
        <f t="shared" si="5"/>
        <v>0.10720210628354487</v>
      </c>
      <c r="Z28">
        <f t="shared" si="6"/>
        <v>8.5756556591719128E-4</v>
      </c>
      <c r="AB28" t="s">
        <v>701</v>
      </c>
      <c r="AC28" t="s">
        <v>1099</v>
      </c>
      <c r="AD28">
        <f t="shared" si="10"/>
        <v>-2.4563212796080112E-2</v>
      </c>
      <c r="AE28">
        <f t="shared" si="7"/>
        <v>3.6844819194120165E-2</v>
      </c>
      <c r="AF28">
        <f t="shared" si="8"/>
        <v>3.6844819194120165E-2</v>
      </c>
      <c r="AG28">
        <f t="shared" si="11"/>
        <v>-1056.1117338864499</v>
      </c>
      <c r="AH28">
        <f t="shared" si="12"/>
        <v>-1122.5986082697993</v>
      </c>
      <c r="AJ28" t="s">
        <v>701</v>
      </c>
      <c r="AK28" t="s">
        <v>1099</v>
      </c>
      <c r="AL28">
        <f t="shared" si="13"/>
        <v>-1.229282237549439</v>
      </c>
      <c r="AM28">
        <f t="shared" si="14"/>
        <v>1.8439233563241639</v>
      </c>
      <c r="AN28">
        <f t="shared" si="15"/>
        <v>1.8439233563241639</v>
      </c>
      <c r="AO28">
        <f t="shared" si="16"/>
        <v>4.9603773195884084</v>
      </c>
      <c r="AP28">
        <f t="shared" si="17"/>
        <v>-61.526497063761028</v>
      </c>
      <c r="AR28" t="s">
        <v>701</v>
      </c>
      <c r="AS28" t="s">
        <v>1099</v>
      </c>
      <c r="AT28">
        <f t="shared" si="18"/>
        <v>-7.1468070855696425E-2</v>
      </c>
      <c r="AU28">
        <f t="shared" si="19"/>
        <v>0.10720210628354487</v>
      </c>
      <c r="AV28">
        <f t="shared" si="20"/>
        <v>0.10720210628354487</v>
      </c>
      <c r="AW28">
        <f t="shared" si="21"/>
        <v>-345.52596702154113</v>
      </c>
      <c r="AX28">
        <f t="shared" si="22"/>
        <v>-412.01284140489054</v>
      </c>
      <c r="AZ28" t="s">
        <v>701</v>
      </c>
      <c r="BA28" t="s">
        <v>1099</v>
      </c>
      <c r="BB28">
        <f t="shared" si="23"/>
        <v>-5.7171037727807501E-4</v>
      </c>
      <c r="BC28">
        <f t="shared" si="24"/>
        <v>8.5756556591719128E-4</v>
      </c>
      <c r="BD28">
        <f t="shared" si="25"/>
        <v>8.5756556591719128E-4</v>
      </c>
      <c r="BE28">
        <f t="shared" si="26"/>
        <v>-720.0822492526753</v>
      </c>
      <c r="BF28">
        <f t="shared" si="27"/>
        <v>-721.1120342274105</v>
      </c>
    </row>
    <row r="29" spans="1:58" x14ac:dyDescent="0.2">
      <c r="A29" s="274" t="s">
        <v>702</v>
      </c>
      <c r="B29" s="229" t="s">
        <v>1099</v>
      </c>
      <c r="C29">
        <v>-1080.723467389302</v>
      </c>
      <c r="D29">
        <v>-19.651356183263712</v>
      </c>
      <c r="E29">
        <v>-370.13770052439321</v>
      </c>
      <c r="F29">
        <v>-720.44151323105939</v>
      </c>
      <c r="G29">
        <v>-1085.681008015521</v>
      </c>
      <c r="H29">
        <v>-24.60889680948274</v>
      </c>
      <c r="I29">
        <v>-375.09524115061225</v>
      </c>
      <c r="J29">
        <v>-720.57313825983442</v>
      </c>
      <c r="L29" t="s">
        <v>1181</v>
      </c>
      <c r="Q29" s="274" t="s">
        <v>702</v>
      </c>
      <c r="R29" s="229" t="s">
        <v>1099</v>
      </c>
      <c r="S29">
        <f t="shared" si="9"/>
        <v>-1.8315363216642991E-3</v>
      </c>
      <c r="T29">
        <f t="shared" si="0"/>
        <v>-9.1660447122281552E-2</v>
      </c>
      <c r="U29">
        <f t="shared" si="1"/>
        <v>-5.3289595582696409E-3</v>
      </c>
      <c r="V29">
        <f t="shared" si="2"/>
        <v>-7.3074861943388475E-5</v>
      </c>
      <c r="W29">
        <f t="shared" si="3"/>
        <v>2.7473044824962386E-3</v>
      </c>
      <c r="X29">
        <f t="shared" si="4"/>
        <v>0.13749067068342266</v>
      </c>
      <c r="Y29">
        <f t="shared" si="5"/>
        <v>7.993439337404231E-3</v>
      </c>
      <c r="Z29">
        <f t="shared" si="6"/>
        <v>1.096122929152405E-4</v>
      </c>
      <c r="AB29" t="s">
        <v>702</v>
      </c>
      <c r="AC29" t="s">
        <v>1099</v>
      </c>
      <c r="AD29">
        <f t="shared" si="10"/>
        <v>-1.8315363216642991E-3</v>
      </c>
      <c r="AE29">
        <f t="shared" si="7"/>
        <v>2.7473044824962386E-3</v>
      </c>
      <c r="AF29">
        <f t="shared" si="8"/>
        <v>2.7473044824962386E-3</v>
      </c>
      <c r="AG29">
        <f t="shared" si="11"/>
        <v>-1080.723467389302</v>
      </c>
      <c r="AH29">
        <f t="shared" si="12"/>
        <v>-1085.681008015521</v>
      </c>
      <c r="AJ29" t="s">
        <v>702</v>
      </c>
      <c r="AK29" t="s">
        <v>1099</v>
      </c>
      <c r="AL29">
        <f t="shared" si="13"/>
        <v>-9.1660447122281552E-2</v>
      </c>
      <c r="AM29">
        <f t="shared" si="14"/>
        <v>0.13749067068342266</v>
      </c>
      <c r="AN29">
        <f t="shared" si="15"/>
        <v>0.13749067068342266</v>
      </c>
      <c r="AO29">
        <f t="shared" si="16"/>
        <v>-19.651356183263712</v>
      </c>
      <c r="AP29">
        <f t="shared" si="17"/>
        <v>-24.60889680948274</v>
      </c>
      <c r="AR29" t="s">
        <v>702</v>
      </c>
      <c r="AS29" t="s">
        <v>1099</v>
      </c>
      <c r="AT29">
        <f t="shared" si="18"/>
        <v>-5.3289595582696409E-3</v>
      </c>
      <c r="AU29">
        <f t="shared" si="19"/>
        <v>7.993439337404231E-3</v>
      </c>
      <c r="AV29">
        <f t="shared" si="20"/>
        <v>7.993439337404231E-3</v>
      </c>
      <c r="AW29">
        <f t="shared" si="21"/>
        <v>-370.13770052439321</v>
      </c>
      <c r="AX29">
        <f t="shared" si="22"/>
        <v>-375.09524115061225</v>
      </c>
      <c r="AZ29" t="s">
        <v>702</v>
      </c>
      <c r="BA29" t="s">
        <v>1099</v>
      </c>
      <c r="BB29">
        <f t="shared" si="23"/>
        <v>-7.3074861943388475E-5</v>
      </c>
      <c r="BC29">
        <f t="shared" si="24"/>
        <v>1.096122929152405E-4</v>
      </c>
      <c r="BD29">
        <f t="shared" si="25"/>
        <v>1.096122929152405E-4</v>
      </c>
      <c r="BE29">
        <f t="shared" si="26"/>
        <v>-720.44151323105939</v>
      </c>
      <c r="BF29">
        <f t="shared" si="27"/>
        <v>-720.57313825983442</v>
      </c>
    </row>
    <row r="30" spans="1:58" x14ac:dyDescent="0.2">
      <c r="A30" s="274" t="s">
        <v>703</v>
      </c>
      <c r="B30" s="229" t="s">
        <v>1099</v>
      </c>
      <c r="C30">
        <v>-1082.70648363804</v>
      </c>
      <c r="D30">
        <v>-21.634372432001836</v>
      </c>
      <c r="E30">
        <v>-372.12071677313133</v>
      </c>
      <c r="F30">
        <v>-720.49416324256879</v>
      </c>
      <c r="G30">
        <v>-1082.7064836424138</v>
      </c>
      <c r="H30">
        <v>-21.634372436375553</v>
      </c>
      <c r="I30">
        <v>-372.12071677750504</v>
      </c>
      <c r="J30">
        <v>-720.49416324257038</v>
      </c>
      <c r="L30" t="s">
        <v>1182</v>
      </c>
      <c r="Q30" s="274" t="s">
        <v>703</v>
      </c>
      <c r="R30" s="229" t="s">
        <v>1099</v>
      </c>
      <c r="S30">
        <f t="shared" si="9"/>
        <v>-1.6159877667434068E-12</v>
      </c>
      <c r="T30">
        <f t="shared" si="0"/>
        <v>-8.0865951554225392E-11</v>
      </c>
      <c r="U30">
        <f t="shared" si="1"/>
        <v>-4.7015032134218624E-12</v>
      </c>
      <c r="V30">
        <f t="shared" si="2"/>
        <v>-7.8895044208249187E-16</v>
      </c>
      <c r="W30">
        <f t="shared" si="3"/>
        <v>2.423666642753172E-12</v>
      </c>
      <c r="X30">
        <f t="shared" si="4"/>
        <v>1.212992557636686E-10</v>
      </c>
      <c r="Y30">
        <f t="shared" si="5"/>
        <v>7.0519493094944526E-12</v>
      </c>
      <c r="Z30">
        <f t="shared" si="6"/>
        <v>1.4201107957484854E-15</v>
      </c>
      <c r="AB30" t="s">
        <v>703</v>
      </c>
      <c r="AC30" t="s">
        <v>1099</v>
      </c>
      <c r="AD30">
        <f t="shared" si="10"/>
        <v>-1.6159877667434068E-12</v>
      </c>
      <c r="AE30">
        <f t="shared" si="7"/>
        <v>2.423666642753172E-12</v>
      </c>
      <c r="AF30">
        <f t="shared" si="8"/>
        <v>2.423666642753172E-12</v>
      </c>
      <c r="AG30">
        <f t="shared" si="11"/>
        <v>-1082.70648363804</v>
      </c>
      <c r="AH30">
        <f t="shared" si="12"/>
        <v>-1082.7064836424138</v>
      </c>
      <c r="AJ30" t="s">
        <v>703</v>
      </c>
      <c r="AK30" t="s">
        <v>1099</v>
      </c>
      <c r="AL30">
        <f t="shared" si="13"/>
        <v>-8.0865951554225392E-11</v>
      </c>
      <c r="AM30">
        <f t="shared" si="14"/>
        <v>1.212992557636686E-10</v>
      </c>
      <c r="AN30">
        <f t="shared" si="15"/>
        <v>1.212992557636686E-10</v>
      </c>
      <c r="AO30">
        <f t="shared" si="16"/>
        <v>-21.634372432001836</v>
      </c>
      <c r="AP30">
        <f t="shared" si="17"/>
        <v>-21.634372436375553</v>
      </c>
      <c r="AR30" t="s">
        <v>703</v>
      </c>
      <c r="AS30" t="s">
        <v>1099</v>
      </c>
      <c r="AT30">
        <f t="shared" si="18"/>
        <v>-4.7015032134218624E-12</v>
      </c>
      <c r="AU30">
        <f t="shared" si="19"/>
        <v>7.0519493094944526E-12</v>
      </c>
      <c r="AV30">
        <f t="shared" si="20"/>
        <v>7.0519493094944526E-12</v>
      </c>
      <c r="AW30">
        <f t="shared" si="21"/>
        <v>-372.12071677313133</v>
      </c>
      <c r="AX30">
        <f t="shared" si="22"/>
        <v>-372.12071677750504</v>
      </c>
      <c r="AZ30" t="s">
        <v>703</v>
      </c>
      <c r="BA30" t="s">
        <v>1099</v>
      </c>
      <c r="BB30">
        <f t="shared" si="23"/>
        <v>-7.8895044208249187E-16</v>
      </c>
      <c r="BC30">
        <f t="shared" si="24"/>
        <v>1.4201107957484854E-15</v>
      </c>
      <c r="BD30">
        <f t="shared" si="25"/>
        <v>1.4201107957484854E-15</v>
      </c>
      <c r="BE30">
        <f t="shared" si="26"/>
        <v>-720.49416324256879</v>
      </c>
      <c r="BF30">
        <f t="shared" si="27"/>
        <v>-720.49416324257038</v>
      </c>
    </row>
    <row r="31" spans="1:58" x14ac:dyDescent="0.2">
      <c r="A31" s="274" t="s">
        <v>704</v>
      </c>
      <c r="B31" s="229" t="s">
        <v>1099</v>
      </c>
      <c r="C31">
        <v>-1082.6994027792061</v>
      </c>
      <c r="D31">
        <v>-21.627427399894355</v>
      </c>
      <c r="E31">
        <v>-372.11377174102387</v>
      </c>
      <c r="F31">
        <v>-720.49416324256936</v>
      </c>
      <c r="G31">
        <v>-1082.7171049306648</v>
      </c>
      <c r="H31">
        <v>-21.644789984536782</v>
      </c>
      <c r="I31">
        <v>-372.13113432566627</v>
      </c>
      <c r="J31">
        <v>-720.49416324256936</v>
      </c>
      <c r="L31" t="s">
        <v>1183</v>
      </c>
      <c r="Q31" s="274" t="s">
        <v>704</v>
      </c>
      <c r="R31" s="229" t="s">
        <v>1099</v>
      </c>
      <c r="S31">
        <f t="shared" si="9"/>
        <v>-6.5399632222798756E-6</v>
      </c>
      <c r="T31">
        <f t="shared" si="0"/>
        <v>-3.2101850322824305E-4</v>
      </c>
      <c r="U31">
        <f t="shared" si="1"/>
        <v>-1.8663389443042265E-5</v>
      </c>
      <c r="V31">
        <f t="shared" si="2"/>
        <v>0</v>
      </c>
      <c r="W31">
        <f t="shared" si="3"/>
        <v>9.809944833314811E-6</v>
      </c>
      <c r="X31">
        <f t="shared" si="4"/>
        <v>4.8152775484302141E-4</v>
      </c>
      <c r="Y31">
        <f t="shared" si="5"/>
        <v>2.7995084164334263E-5</v>
      </c>
      <c r="Z31">
        <f t="shared" si="6"/>
        <v>0</v>
      </c>
      <c r="AB31" t="s">
        <v>704</v>
      </c>
      <c r="AC31" t="s">
        <v>1099</v>
      </c>
      <c r="AD31">
        <f t="shared" si="10"/>
        <v>-6.5399632222798756E-6</v>
      </c>
      <c r="AE31">
        <f t="shared" si="7"/>
        <v>9.809944833314811E-6</v>
      </c>
      <c r="AF31">
        <f t="shared" si="8"/>
        <v>9.809944833314811E-6</v>
      </c>
      <c r="AG31">
        <f t="shared" si="11"/>
        <v>-1082.6994027792061</v>
      </c>
      <c r="AH31">
        <f t="shared" si="12"/>
        <v>-1082.7171049306648</v>
      </c>
      <c r="AJ31" t="s">
        <v>704</v>
      </c>
      <c r="AK31" t="s">
        <v>1099</v>
      </c>
      <c r="AL31">
        <f t="shared" si="13"/>
        <v>-3.2101850322824305E-4</v>
      </c>
      <c r="AM31">
        <f t="shared" si="14"/>
        <v>4.8152775484302141E-4</v>
      </c>
      <c r="AN31">
        <f t="shared" si="15"/>
        <v>4.8152775484302141E-4</v>
      </c>
      <c r="AO31">
        <f t="shared" si="16"/>
        <v>-21.627427399894355</v>
      </c>
      <c r="AP31">
        <f t="shared" si="17"/>
        <v>-21.644789984536782</v>
      </c>
      <c r="AR31" t="s">
        <v>704</v>
      </c>
      <c r="AS31" t="s">
        <v>1099</v>
      </c>
      <c r="AT31">
        <f t="shared" si="18"/>
        <v>-1.8663389443042265E-5</v>
      </c>
      <c r="AU31">
        <f t="shared" si="19"/>
        <v>2.7995084164334263E-5</v>
      </c>
      <c r="AV31">
        <f t="shared" si="20"/>
        <v>2.7995084164334263E-5</v>
      </c>
      <c r="AW31">
        <f t="shared" si="21"/>
        <v>-372.11377174102387</v>
      </c>
      <c r="AX31">
        <f t="shared" si="22"/>
        <v>-372.13113432566627</v>
      </c>
      <c r="AZ31" t="s">
        <v>704</v>
      </c>
      <c r="BA31" t="s">
        <v>1099</v>
      </c>
      <c r="BB31">
        <f t="shared" si="23"/>
        <v>0</v>
      </c>
      <c r="BC31">
        <f t="shared" si="24"/>
        <v>0</v>
      </c>
      <c r="BD31">
        <f t="shared" si="25"/>
        <v>0</v>
      </c>
      <c r="BE31">
        <f t="shared" si="26"/>
        <v>-720.49416324256936</v>
      </c>
      <c r="BF31">
        <f t="shared" si="27"/>
        <v>-720.49416324256936</v>
      </c>
    </row>
    <row r="32" spans="1:58" x14ac:dyDescent="0.2">
      <c r="A32" s="274" t="s">
        <v>705</v>
      </c>
      <c r="B32" s="229" t="s">
        <v>1099</v>
      </c>
      <c r="C32">
        <v>-1082.6936299421745</v>
      </c>
      <c r="D32">
        <v>-21.62151873613622</v>
      </c>
      <c r="E32">
        <v>-372.10786307726573</v>
      </c>
      <c r="F32">
        <v>-720.49415529922464</v>
      </c>
      <c r="G32">
        <v>-1082.7257641862122</v>
      </c>
      <c r="H32">
        <v>-21.653652980173984</v>
      </c>
      <c r="I32">
        <v>-372.1399973213035</v>
      </c>
      <c r="J32">
        <v>-720.4941751575866</v>
      </c>
      <c r="L32" t="s">
        <v>1184</v>
      </c>
      <c r="Q32" s="274" t="s">
        <v>705</v>
      </c>
      <c r="R32" s="229" t="s">
        <v>1099</v>
      </c>
      <c r="S32">
        <f t="shared" si="9"/>
        <v>-1.1871821042317195E-5</v>
      </c>
      <c r="T32">
        <f t="shared" si="0"/>
        <v>-5.9413313949642987E-4</v>
      </c>
      <c r="U32">
        <f t="shared" si="1"/>
        <v>-3.4541741525517157E-5</v>
      </c>
      <c r="V32">
        <f t="shared" si="2"/>
        <v>-1.1024856435906019E-8</v>
      </c>
      <c r="W32">
        <f t="shared" si="3"/>
        <v>1.7807731563370789E-5</v>
      </c>
      <c r="X32">
        <f t="shared" si="4"/>
        <v>8.9119970924530167E-4</v>
      </c>
      <c r="Y32">
        <f t="shared" si="5"/>
        <v>5.1812612288122986E-5</v>
      </c>
      <c r="Z32">
        <f t="shared" si="6"/>
        <v>1.6537284890544162E-8</v>
      </c>
      <c r="AB32" t="s">
        <v>705</v>
      </c>
      <c r="AC32" t="s">
        <v>1099</v>
      </c>
      <c r="AD32">
        <f t="shared" si="10"/>
        <v>-1.1871821042317195E-5</v>
      </c>
      <c r="AE32">
        <f t="shared" si="7"/>
        <v>1.7807731563370789E-5</v>
      </c>
      <c r="AF32">
        <f t="shared" si="8"/>
        <v>1.7807731563370789E-5</v>
      </c>
      <c r="AG32">
        <f t="shared" si="11"/>
        <v>-1082.6936299421745</v>
      </c>
      <c r="AH32">
        <f t="shared" si="12"/>
        <v>-1082.7257641862122</v>
      </c>
      <c r="AJ32" t="s">
        <v>705</v>
      </c>
      <c r="AK32" t="s">
        <v>1099</v>
      </c>
      <c r="AL32">
        <f t="shared" si="13"/>
        <v>-5.9413313949642987E-4</v>
      </c>
      <c r="AM32">
        <f t="shared" si="14"/>
        <v>8.9119970924530167E-4</v>
      </c>
      <c r="AN32">
        <f t="shared" si="15"/>
        <v>8.9119970924530167E-4</v>
      </c>
      <c r="AO32">
        <f t="shared" si="16"/>
        <v>-21.62151873613622</v>
      </c>
      <c r="AP32">
        <f t="shared" si="17"/>
        <v>-21.653652980173984</v>
      </c>
      <c r="AR32" t="s">
        <v>705</v>
      </c>
      <c r="AS32" t="s">
        <v>1099</v>
      </c>
      <c r="AT32">
        <f t="shared" si="18"/>
        <v>-3.4541741525517157E-5</v>
      </c>
      <c r="AU32">
        <f t="shared" si="19"/>
        <v>5.1812612288122986E-5</v>
      </c>
      <c r="AV32">
        <f t="shared" si="20"/>
        <v>5.1812612288122986E-5</v>
      </c>
      <c r="AW32">
        <f t="shared" si="21"/>
        <v>-372.10786307726573</v>
      </c>
      <c r="AX32">
        <f t="shared" si="22"/>
        <v>-372.1399973213035</v>
      </c>
      <c r="AZ32" t="s">
        <v>705</v>
      </c>
      <c r="BA32" t="s">
        <v>1099</v>
      </c>
      <c r="BB32">
        <f t="shared" si="23"/>
        <v>-1.1024856435906019E-8</v>
      </c>
      <c r="BC32">
        <f t="shared" si="24"/>
        <v>1.6537284890544162E-8</v>
      </c>
      <c r="BD32">
        <f t="shared" si="25"/>
        <v>1.6537284890544162E-8</v>
      </c>
      <c r="BE32">
        <f t="shared" si="26"/>
        <v>-720.49415529922464</v>
      </c>
      <c r="BF32">
        <f t="shared" si="27"/>
        <v>-720.4941751575866</v>
      </c>
    </row>
    <row r="33" spans="1:58" x14ac:dyDescent="0.2">
      <c r="A33" s="274" t="s">
        <v>706</v>
      </c>
      <c r="B33" s="229" t="s">
        <v>1099</v>
      </c>
      <c r="C33">
        <v>-1082.7064758058339</v>
      </c>
      <c r="D33">
        <v>-21.63437243375132</v>
      </c>
      <c r="E33">
        <v>-372.12070894092506</v>
      </c>
      <c r="F33">
        <v>-720.49416286847065</v>
      </c>
      <c r="G33">
        <v>-1082.7064953907234</v>
      </c>
      <c r="H33">
        <v>-21.634372433751327</v>
      </c>
      <c r="I33">
        <v>-372.12072852581457</v>
      </c>
      <c r="J33">
        <v>-720.49416380371747</v>
      </c>
      <c r="L33" t="s">
        <v>1185</v>
      </c>
      <c r="Q33" s="274" t="s">
        <v>706</v>
      </c>
      <c r="R33" s="229" t="s">
        <v>1099</v>
      </c>
      <c r="S33">
        <f t="shared" si="9"/>
        <v>-7.2355305193150812E-9</v>
      </c>
      <c r="T33">
        <f t="shared" si="0"/>
        <v>0</v>
      </c>
      <c r="U33">
        <f t="shared" si="1"/>
        <v>-2.1052189390936982E-8</v>
      </c>
      <c r="V33">
        <f t="shared" si="2"/>
        <v>-5.1922516947394846E-10</v>
      </c>
      <c r="W33">
        <f t="shared" si="3"/>
        <v>1.0853295778972622E-8</v>
      </c>
      <c r="X33">
        <f t="shared" si="4"/>
        <v>3.2843233051290071E-16</v>
      </c>
      <c r="Y33">
        <f t="shared" si="5"/>
        <v>3.1578284086405471E-8</v>
      </c>
      <c r="Z33">
        <f t="shared" si="6"/>
        <v>7.7883783310596686E-10</v>
      </c>
      <c r="AB33" t="s">
        <v>706</v>
      </c>
      <c r="AC33" t="s">
        <v>1099</v>
      </c>
      <c r="AD33">
        <f t="shared" si="10"/>
        <v>-7.2355305193150812E-9</v>
      </c>
      <c r="AE33">
        <f t="shared" si="7"/>
        <v>1.0853295778972622E-8</v>
      </c>
      <c r="AF33">
        <f t="shared" si="8"/>
        <v>1.0853295778972622E-8</v>
      </c>
      <c r="AG33">
        <f t="shared" si="11"/>
        <v>-1082.7064758058339</v>
      </c>
      <c r="AH33">
        <f t="shared" si="12"/>
        <v>-1082.7064953907234</v>
      </c>
      <c r="AJ33" t="s">
        <v>706</v>
      </c>
      <c r="AK33" t="s">
        <v>1099</v>
      </c>
      <c r="AL33">
        <f t="shared" si="13"/>
        <v>0</v>
      </c>
      <c r="AM33">
        <f t="shared" si="14"/>
        <v>3.2843233051290071E-16</v>
      </c>
      <c r="AN33">
        <f t="shared" si="15"/>
        <v>3.2843233051290071E-16</v>
      </c>
      <c r="AO33">
        <f t="shared" si="16"/>
        <v>-21.63437243375132</v>
      </c>
      <c r="AP33">
        <f t="shared" si="17"/>
        <v>-21.634372433751327</v>
      </c>
      <c r="AR33" t="s">
        <v>706</v>
      </c>
      <c r="AS33" t="s">
        <v>1099</v>
      </c>
      <c r="AT33">
        <f t="shared" si="18"/>
        <v>-2.1052189390936982E-8</v>
      </c>
      <c r="AU33">
        <f t="shared" si="19"/>
        <v>3.1578284086405471E-8</v>
      </c>
      <c r="AV33">
        <f t="shared" si="20"/>
        <v>3.1578284086405471E-8</v>
      </c>
      <c r="AW33">
        <f t="shared" si="21"/>
        <v>-372.12070894092506</v>
      </c>
      <c r="AX33">
        <f t="shared" si="22"/>
        <v>-372.12072852581457</v>
      </c>
      <c r="AZ33" t="s">
        <v>706</v>
      </c>
      <c r="BA33" t="s">
        <v>1099</v>
      </c>
      <c r="BB33">
        <f t="shared" si="23"/>
        <v>-5.1922516947394846E-10</v>
      </c>
      <c r="BC33">
        <f t="shared" si="24"/>
        <v>7.7883783310596686E-10</v>
      </c>
      <c r="BD33">
        <f t="shared" si="25"/>
        <v>7.7883783310596686E-10</v>
      </c>
      <c r="BE33">
        <f t="shared" si="26"/>
        <v>-720.49416286847065</v>
      </c>
      <c r="BF33">
        <f t="shared" si="27"/>
        <v>-720.49416380371747</v>
      </c>
    </row>
    <row r="34" spans="1:58" x14ac:dyDescent="0.2">
      <c r="A34" s="274" t="s">
        <v>707</v>
      </c>
      <c r="B34" s="229" t="s">
        <v>1099</v>
      </c>
      <c r="C34">
        <v>-1082.7064338581188</v>
      </c>
      <c r="D34">
        <v>-21.634322652080503</v>
      </c>
      <c r="E34">
        <v>-372.12066699321008</v>
      </c>
      <c r="F34">
        <v>-720.49411892000228</v>
      </c>
      <c r="G34">
        <v>-1082.7065583122958</v>
      </c>
      <c r="H34">
        <v>-21.63444710625755</v>
      </c>
      <c r="I34">
        <v>-372.12079144738709</v>
      </c>
      <c r="J34">
        <v>-720.49422972641992</v>
      </c>
      <c r="Q34" s="274" t="s">
        <v>707</v>
      </c>
      <c r="R34" s="229" t="s">
        <v>1099</v>
      </c>
      <c r="S34">
        <f t="shared" si="9"/>
        <v>-4.5978916398838563E-8</v>
      </c>
      <c r="T34">
        <f t="shared" si="0"/>
        <v>-2.3010452912390168E-6</v>
      </c>
      <c r="U34">
        <f t="shared" si="1"/>
        <v>-1.3377828359979101E-7</v>
      </c>
      <c r="V34">
        <f t="shared" si="2"/>
        <v>-6.1516899565705537E-8</v>
      </c>
      <c r="W34">
        <f t="shared" si="3"/>
        <v>6.8968374388252936E-8</v>
      </c>
      <c r="X34">
        <f t="shared" si="4"/>
        <v>3.4515679370227409E-6</v>
      </c>
      <c r="Y34">
        <f t="shared" si="5"/>
        <v>2.0066742555244184E-7</v>
      </c>
      <c r="Z34">
        <f t="shared" si="6"/>
        <v>9.2275349269663268E-8</v>
      </c>
      <c r="AB34" t="s">
        <v>707</v>
      </c>
      <c r="AC34" t="s">
        <v>1099</v>
      </c>
      <c r="AD34">
        <f t="shared" si="10"/>
        <v>-4.5978916398838563E-8</v>
      </c>
      <c r="AE34">
        <f t="shared" si="7"/>
        <v>6.8968374388252936E-8</v>
      </c>
      <c r="AF34">
        <f t="shared" si="8"/>
        <v>6.8968374388252936E-8</v>
      </c>
      <c r="AG34">
        <f t="shared" si="11"/>
        <v>-1082.7064338581188</v>
      </c>
      <c r="AH34">
        <f t="shared" si="12"/>
        <v>-1082.7065583122958</v>
      </c>
      <c r="AJ34" t="s">
        <v>707</v>
      </c>
      <c r="AK34" t="s">
        <v>1099</v>
      </c>
      <c r="AL34">
        <f t="shared" si="13"/>
        <v>-2.3010452912390168E-6</v>
      </c>
      <c r="AM34">
        <f t="shared" si="14"/>
        <v>3.4515679370227409E-6</v>
      </c>
      <c r="AN34">
        <f t="shared" si="15"/>
        <v>3.4515679370227409E-6</v>
      </c>
      <c r="AO34">
        <f t="shared" si="16"/>
        <v>-21.634322652080503</v>
      </c>
      <c r="AP34">
        <f t="shared" si="17"/>
        <v>-21.63444710625755</v>
      </c>
      <c r="AR34" t="s">
        <v>707</v>
      </c>
      <c r="AS34" t="s">
        <v>1099</v>
      </c>
      <c r="AT34">
        <f t="shared" si="18"/>
        <v>-1.3377828359979101E-7</v>
      </c>
      <c r="AU34">
        <f t="shared" si="19"/>
        <v>2.0066742555244184E-7</v>
      </c>
      <c r="AV34">
        <f t="shared" si="20"/>
        <v>2.0066742555244184E-7</v>
      </c>
      <c r="AW34">
        <f t="shared" si="21"/>
        <v>-372.12066699321008</v>
      </c>
      <c r="AX34">
        <f t="shared" si="22"/>
        <v>-372.12079144738709</v>
      </c>
      <c r="AZ34" t="s">
        <v>707</v>
      </c>
      <c r="BA34" t="s">
        <v>1099</v>
      </c>
      <c r="BB34">
        <f t="shared" si="23"/>
        <v>-6.1516899565705537E-8</v>
      </c>
      <c r="BC34">
        <f t="shared" si="24"/>
        <v>9.2275349269663268E-8</v>
      </c>
      <c r="BD34">
        <f t="shared" si="25"/>
        <v>9.2275349269663268E-8</v>
      </c>
      <c r="BE34">
        <f t="shared" si="26"/>
        <v>-720.49411892000228</v>
      </c>
      <c r="BF34">
        <f t="shared" si="27"/>
        <v>-720.49422972641992</v>
      </c>
    </row>
    <row r="35" spans="1:58" x14ac:dyDescent="0.2">
      <c r="A35" s="274" t="s">
        <v>745</v>
      </c>
      <c r="B35" s="229" t="s">
        <v>1099</v>
      </c>
      <c r="C35">
        <v>-1082.7146449326476</v>
      </c>
      <c r="D35">
        <v>-21.642533726609319</v>
      </c>
      <c r="E35">
        <v>-372.12950585949716</v>
      </c>
      <c r="F35">
        <v>-720.50232453542731</v>
      </c>
      <c r="G35">
        <v>-1082.6942417005025</v>
      </c>
      <c r="H35">
        <v>-21.622130494464319</v>
      </c>
      <c r="I35">
        <v>-372.10753314795636</v>
      </c>
      <c r="J35">
        <v>-720.48192130328232</v>
      </c>
      <c r="L35" t="s">
        <v>1186</v>
      </c>
      <c r="Q35" s="274" t="s">
        <v>745</v>
      </c>
      <c r="R35" s="229" t="s">
        <v>1099</v>
      </c>
      <c r="S35">
        <f t="shared" si="9"/>
        <v>7.5378627368265405E-6</v>
      </c>
      <c r="T35">
        <f t="shared" si="0"/>
        <v>3.7723732837594795E-4</v>
      </c>
      <c r="U35">
        <f t="shared" si="1"/>
        <v>2.3618907037668149E-5</v>
      </c>
      <c r="V35">
        <f t="shared" si="2"/>
        <v>1.1327354577334996E-5</v>
      </c>
      <c r="W35">
        <f t="shared" si="3"/>
        <v>-1.1306794105449817E-5</v>
      </c>
      <c r="X35">
        <f t="shared" si="4"/>
        <v>-5.6585599256408613E-4</v>
      </c>
      <c r="Y35">
        <f t="shared" si="5"/>
        <v>-3.5428360556654981E-5</v>
      </c>
      <c r="Z35">
        <f t="shared" si="6"/>
        <v>-1.6991031866160281E-5</v>
      </c>
      <c r="AB35" t="s">
        <v>745</v>
      </c>
      <c r="AC35" t="s">
        <v>1099</v>
      </c>
      <c r="AD35">
        <f t="shared" si="10"/>
        <v>7.5378627368265405E-6</v>
      </c>
      <c r="AE35">
        <f t="shared" si="7"/>
        <v>-1.1306794105449817E-5</v>
      </c>
      <c r="AF35">
        <f t="shared" si="8"/>
        <v>1.1306794105449817E-5</v>
      </c>
      <c r="AG35">
        <f t="shared" si="11"/>
        <v>-1082.7146449326476</v>
      </c>
      <c r="AH35">
        <f t="shared" si="12"/>
        <v>-1082.6942417005025</v>
      </c>
      <c r="AJ35" t="s">
        <v>745</v>
      </c>
      <c r="AK35" t="s">
        <v>1099</v>
      </c>
      <c r="AL35">
        <f t="shared" si="13"/>
        <v>3.7723732837594795E-4</v>
      </c>
      <c r="AM35">
        <f t="shared" si="14"/>
        <v>-5.6585599256408613E-4</v>
      </c>
      <c r="AN35">
        <f t="shared" si="15"/>
        <v>5.6585599256408613E-4</v>
      </c>
      <c r="AO35">
        <f t="shared" si="16"/>
        <v>-21.642533726609319</v>
      </c>
      <c r="AP35">
        <f t="shared" si="17"/>
        <v>-21.622130494464319</v>
      </c>
      <c r="AR35" t="s">
        <v>745</v>
      </c>
      <c r="AS35" t="s">
        <v>1099</v>
      </c>
      <c r="AT35">
        <f t="shared" si="18"/>
        <v>2.3618907037668149E-5</v>
      </c>
      <c r="AU35">
        <f t="shared" si="19"/>
        <v>-3.5428360556654981E-5</v>
      </c>
      <c r="AV35">
        <f t="shared" si="20"/>
        <v>3.5428360556654981E-5</v>
      </c>
      <c r="AW35">
        <f t="shared" si="21"/>
        <v>-372.12950585949716</v>
      </c>
      <c r="AX35">
        <f t="shared" si="22"/>
        <v>-372.10753314795636</v>
      </c>
      <c r="AZ35" t="s">
        <v>745</v>
      </c>
      <c r="BA35" t="s">
        <v>1099</v>
      </c>
      <c r="BB35">
        <f t="shared" si="23"/>
        <v>1.1327354577334996E-5</v>
      </c>
      <c r="BC35">
        <f t="shared" si="24"/>
        <v>-1.6991031866160281E-5</v>
      </c>
      <c r="BD35">
        <f t="shared" si="25"/>
        <v>1.6991031866160281E-5</v>
      </c>
      <c r="BE35">
        <f t="shared" si="26"/>
        <v>-720.50232453542731</v>
      </c>
      <c r="BF35">
        <f t="shared" si="27"/>
        <v>-720.48192130328232</v>
      </c>
    </row>
    <row r="36" spans="1:58" x14ac:dyDescent="0.2">
      <c r="A36" s="274" t="s">
        <v>764</v>
      </c>
      <c r="B36" s="229" t="s">
        <v>1099</v>
      </c>
      <c r="C36">
        <v>-1082.7064836397897</v>
      </c>
      <c r="D36">
        <v>-21.63437243375132</v>
      </c>
      <c r="E36">
        <v>-372.12071677488086</v>
      </c>
      <c r="F36">
        <v>-720.49416324256936</v>
      </c>
      <c r="G36">
        <v>-1082.7064836397897</v>
      </c>
      <c r="H36">
        <v>-21.63437243375132</v>
      </c>
      <c r="I36">
        <v>-372.12071677488086</v>
      </c>
      <c r="J36">
        <v>-720.49416324256936</v>
      </c>
      <c r="Q36" s="274" t="s">
        <v>764</v>
      </c>
      <c r="R36" s="229" t="s">
        <v>1099</v>
      </c>
      <c r="S36">
        <f t="shared" si="9"/>
        <v>0</v>
      </c>
      <c r="T36">
        <f t="shared" ref="T36:T67" si="28">(D36-$M$3)/$M$3</f>
        <v>0</v>
      </c>
      <c r="U36">
        <f t="shared" ref="U36:U67" si="29">(E36-$N$3)/$N$3</f>
        <v>0</v>
      </c>
      <c r="V36">
        <f t="shared" ref="V36:V67" si="30">(F36-$O$3)/$O$3</f>
        <v>0</v>
      </c>
      <c r="W36">
        <f t="shared" ref="W36:W67" si="31">(G36-$L$3)/$L$3</f>
        <v>0</v>
      </c>
      <c r="X36">
        <f t="shared" ref="X36:X67" si="32">(H36-$M$3)/$M$3</f>
        <v>0</v>
      </c>
      <c r="Y36">
        <f t="shared" ref="Y36:Y67" si="33">(I36-$N$3)/$N$3</f>
        <v>0</v>
      </c>
      <c r="Z36">
        <f t="shared" ref="Z36:Z67" si="34">(J36-$O$3)/$O$3</f>
        <v>0</v>
      </c>
      <c r="AB36" t="s">
        <v>764</v>
      </c>
      <c r="AC36" t="s">
        <v>1099</v>
      </c>
      <c r="AD36">
        <f t="shared" si="10"/>
        <v>0</v>
      </c>
      <c r="AE36">
        <f t="shared" ref="AE36:AE67" si="35">W36</f>
        <v>0</v>
      </c>
      <c r="AF36">
        <f t="shared" ref="AF36:AF67" si="36">ABS(AE36)</f>
        <v>0</v>
      </c>
      <c r="AG36">
        <f t="shared" si="11"/>
        <v>-1082.7064836397897</v>
      </c>
      <c r="AH36">
        <f t="shared" si="12"/>
        <v>-1082.7064836397897</v>
      </c>
      <c r="AJ36" t="s">
        <v>764</v>
      </c>
      <c r="AK36" t="s">
        <v>1099</v>
      </c>
      <c r="AL36">
        <f t="shared" si="13"/>
        <v>0</v>
      </c>
      <c r="AM36">
        <f t="shared" si="14"/>
        <v>0</v>
      </c>
      <c r="AN36">
        <f t="shared" si="15"/>
        <v>0</v>
      </c>
      <c r="AO36">
        <f t="shared" si="16"/>
        <v>-21.63437243375132</v>
      </c>
      <c r="AP36">
        <f t="shared" si="17"/>
        <v>-21.63437243375132</v>
      </c>
      <c r="AR36" t="s">
        <v>764</v>
      </c>
      <c r="AS36" t="s">
        <v>1099</v>
      </c>
      <c r="AT36">
        <f t="shared" si="18"/>
        <v>0</v>
      </c>
      <c r="AU36">
        <f t="shared" si="19"/>
        <v>0</v>
      </c>
      <c r="AV36">
        <f t="shared" si="20"/>
        <v>0</v>
      </c>
      <c r="AW36">
        <f t="shared" si="21"/>
        <v>-372.12071677488086</v>
      </c>
      <c r="AX36">
        <f t="shared" si="22"/>
        <v>-372.12071677488086</v>
      </c>
      <c r="AZ36" t="s">
        <v>764</v>
      </c>
      <c r="BA36" t="s">
        <v>1099</v>
      </c>
      <c r="BB36">
        <f t="shared" si="23"/>
        <v>0</v>
      </c>
      <c r="BC36">
        <f t="shared" si="24"/>
        <v>0</v>
      </c>
      <c r="BD36">
        <f t="shared" si="25"/>
        <v>0</v>
      </c>
      <c r="BE36">
        <f t="shared" si="26"/>
        <v>-720.49416324256936</v>
      </c>
      <c r="BF36">
        <f t="shared" si="27"/>
        <v>-720.49416324256936</v>
      </c>
    </row>
    <row r="37" spans="1:58" x14ac:dyDescent="0.2">
      <c r="A37" s="274" t="s">
        <v>759</v>
      </c>
      <c r="B37" s="229" t="s">
        <v>1099</v>
      </c>
      <c r="C37">
        <v>-1082.7064836397897</v>
      </c>
      <c r="D37">
        <v>-21.642533726609319</v>
      </c>
      <c r="E37">
        <v>-372.12950585949716</v>
      </c>
      <c r="F37">
        <v>-720.50232453542731</v>
      </c>
      <c r="G37">
        <v>-1082.7064836397897</v>
      </c>
      <c r="H37">
        <v>-21.622130494464319</v>
      </c>
      <c r="I37">
        <v>-372.10753314795636</v>
      </c>
      <c r="J37">
        <v>-720.48192130328232</v>
      </c>
      <c r="L37" t="s">
        <v>1176</v>
      </c>
      <c r="Q37" s="274" t="s">
        <v>759</v>
      </c>
      <c r="R37" s="229" t="s">
        <v>1099</v>
      </c>
      <c r="S37">
        <f t="shared" ref="S37:S73" si="37">(C37-$L$3)/$L$3</f>
        <v>0</v>
      </c>
      <c r="T37">
        <f t="shared" si="28"/>
        <v>3.7723732837594795E-4</v>
      </c>
      <c r="U37">
        <f t="shared" si="29"/>
        <v>2.3618907037668149E-5</v>
      </c>
      <c r="V37">
        <f t="shared" si="30"/>
        <v>1.1327354577334996E-5</v>
      </c>
      <c r="W37">
        <f t="shared" si="31"/>
        <v>0</v>
      </c>
      <c r="X37">
        <f t="shared" si="32"/>
        <v>-5.6585599256408613E-4</v>
      </c>
      <c r="Y37">
        <f t="shared" si="33"/>
        <v>-3.5428360556654981E-5</v>
      </c>
      <c r="Z37">
        <f t="shared" si="34"/>
        <v>-1.6991031866160281E-5</v>
      </c>
      <c r="AB37" t="s">
        <v>759</v>
      </c>
      <c r="AC37" t="s">
        <v>1099</v>
      </c>
      <c r="AD37">
        <f t="shared" ref="AD37:AD73" si="38">S37</f>
        <v>0</v>
      </c>
      <c r="AE37">
        <f t="shared" si="35"/>
        <v>0</v>
      </c>
      <c r="AF37">
        <f t="shared" si="36"/>
        <v>0</v>
      </c>
      <c r="AG37">
        <f t="shared" si="11"/>
        <v>-1082.7064836397897</v>
      </c>
      <c r="AH37">
        <f t="shared" si="12"/>
        <v>-1082.7064836397897</v>
      </c>
      <c r="AJ37" t="s">
        <v>759</v>
      </c>
      <c r="AK37" t="s">
        <v>1099</v>
      </c>
      <c r="AL37">
        <f t="shared" si="13"/>
        <v>3.7723732837594795E-4</v>
      </c>
      <c r="AM37">
        <f t="shared" si="14"/>
        <v>-5.6585599256408613E-4</v>
      </c>
      <c r="AN37">
        <f t="shared" si="15"/>
        <v>5.6585599256408613E-4</v>
      </c>
      <c r="AO37">
        <f t="shared" si="16"/>
        <v>-21.642533726609319</v>
      </c>
      <c r="AP37">
        <f t="shared" si="17"/>
        <v>-21.622130494464319</v>
      </c>
      <c r="AR37" t="s">
        <v>759</v>
      </c>
      <c r="AS37" t="s">
        <v>1099</v>
      </c>
      <c r="AT37">
        <f t="shared" si="18"/>
        <v>2.3618907037668149E-5</v>
      </c>
      <c r="AU37">
        <f t="shared" si="19"/>
        <v>-3.5428360556654981E-5</v>
      </c>
      <c r="AV37">
        <f t="shared" si="20"/>
        <v>3.5428360556654981E-5</v>
      </c>
      <c r="AW37">
        <f t="shared" si="21"/>
        <v>-372.12950585949716</v>
      </c>
      <c r="AX37">
        <f t="shared" si="22"/>
        <v>-372.10753314795636</v>
      </c>
      <c r="AZ37" t="s">
        <v>759</v>
      </c>
      <c r="BA37" t="s">
        <v>1099</v>
      </c>
      <c r="BB37">
        <f t="shared" si="23"/>
        <v>1.1327354577334996E-5</v>
      </c>
      <c r="BC37">
        <f t="shared" si="24"/>
        <v>-1.6991031866160281E-5</v>
      </c>
      <c r="BD37">
        <f t="shared" si="25"/>
        <v>1.6991031866160281E-5</v>
      </c>
      <c r="BE37">
        <f t="shared" si="26"/>
        <v>-720.50232453542731</v>
      </c>
      <c r="BF37">
        <f t="shared" si="27"/>
        <v>-720.48192130328232</v>
      </c>
    </row>
    <row r="38" spans="1:58" x14ac:dyDescent="0.2">
      <c r="A38" s="274" t="s">
        <v>948</v>
      </c>
      <c r="B38" s="229" t="s">
        <v>1099</v>
      </c>
      <c r="C38">
        <v>-1082.7064846956848</v>
      </c>
      <c r="D38">
        <v>-21.63437243375132</v>
      </c>
      <c r="E38">
        <v>-372.12071677488086</v>
      </c>
      <c r="F38">
        <v>-720.49416324256936</v>
      </c>
      <c r="G38">
        <v>-1082.7064820559467</v>
      </c>
      <c r="H38">
        <v>-21.63437243375132</v>
      </c>
      <c r="I38">
        <v>-372.12071677488086</v>
      </c>
      <c r="J38">
        <v>-720.49416324256936</v>
      </c>
      <c r="Q38" s="274" t="s">
        <v>948</v>
      </c>
      <c r="R38" s="229" t="s">
        <v>1099</v>
      </c>
      <c r="S38">
        <f t="shared" si="37"/>
        <v>9.7523675195234646E-10</v>
      </c>
      <c r="T38">
        <f t="shared" si="28"/>
        <v>0</v>
      </c>
      <c r="U38">
        <f t="shared" si="29"/>
        <v>0</v>
      </c>
      <c r="V38">
        <f t="shared" si="30"/>
        <v>0</v>
      </c>
      <c r="W38">
        <f t="shared" si="31"/>
        <v>-1.4628553379334276E-9</v>
      </c>
      <c r="X38">
        <f t="shared" si="32"/>
        <v>0</v>
      </c>
      <c r="Y38">
        <f t="shared" si="33"/>
        <v>0</v>
      </c>
      <c r="Z38">
        <f t="shared" si="34"/>
        <v>0</v>
      </c>
      <c r="AB38" t="s">
        <v>948</v>
      </c>
      <c r="AC38" t="s">
        <v>1099</v>
      </c>
      <c r="AD38">
        <f t="shared" si="38"/>
        <v>9.7523675195234646E-10</v>
      </c>
      <c r="AE38">
        <f t="shared" si="35"/>
        <v>-1.4628553379334276E-9</v>
      </c>
      <c r="AF38">
        <f t="shared" si="36"/>
        <v>1.4628553379334276E-9</v>
      </c>
      <c r="AG38">
        <f t="shared" si="11"/>
        <v>-1082.7064846956848</v>
      </c>
      <c r="AH38">
        <f t="shared" si="12"/>
        <v>-1082.7064820559467</v>
      </c>
      <c r="AJ38" t="s">
        <v>948</v>
      </c>
      <c r="AK38" t="s">
        <v>1099</v>
      </c>
      <c r="AL38">
        <f t="shared" si="13"/>
        <v>0</v>
      </c>
      <c r="AM38">
        <f t="shared" si="14"/>
        <v>0</v>
      </c>
      <c r="AN38">
        <f t="shared" si="15"/>
        <v>0</v>
      </c>
      <c r="AO38">
        <f t="shared" si="16"/>
        <v>-21.63437243375132</v>
      </c>
      <c r="AP38">
        <f t="shared" si="17"/>
        <v>-21.63437243375132</v>
      </c>
      <c r="AR38" t="s">
        <v>948</v>
      </c>
      <c r="AS38" t="s">
        <v>1099</v>
      </c>
      <c r="AT38">
        <f t="shared" si="18"/>
        <v>0</v>
      </c>
      <c r="AU38">
        <f t="shared" si="19"/>
        <v>0</v>
      </c>
      <c r="AV38">
        <f t="shared" si="20"/>
        <v>0</v>
      </c>
      <c r="AW38">
        <f t="shared" si="21"/>
        <v>-372.12071677488086</v>
      </c>
      <c r="AX38">
        <f t="shared" si="22"/>
        <v>-372.12071677488086</v>
      </c>
      <c r="AZ38" t="s">
        <v>948</v>
      </c>
      <c r="BA38" t="s">
        <v>1099</v>
      </c>
      <c r="BB38">
        <f t="shared" si="23"/>
        <v>0</v>
      </c>
      <c r="BC38">
        <f t="shared" si="24"/>
        <v>0</v>
      </c>
      <c r="BD38">
        <f t="shared" si="25"/>
        <v>0</v>
      </c>
      <c r="BE38">
        <f t="shared" si="26"/>
        <v>-720.49416324256936</v>
      </c>
      <c r="BF38">
        <f t="shared" si="27"/>
        <v>-720.49416324256936</v>
      </c>
    </row>
    <row r="39" spans="1:58" x14ac:dyDescent="0.2">
      <c r="A39" s="274" t="s">
        <v>751</v>
      </c>
      <c r="B39" s="229" t="s">
        <v>1099</v>
      </c>
      <c r="C39">
        <v>-1082.7064836397897</v>
      </c>
      <c r="D39">
        <v>-21.63437243375132</v>
      </c>
      <c r="E39">
        <v>-372.12071677488086</v>
      </c>
      <c r="F39">
        <v>-720.49416324256936</v>
      </c>
      <c r="G39">
        <v>-1082.7064836397897</v>
      </c>
      <c r="H39">
        <v>-21.634372433751327</v>
      </c>
      <c r="I39">
        <v>-372.12071677488086</v>
      </c>
      <c r="J39">
        <v>-720.49416324256936</v>
      </c>
      <c r="L39" t="s">
        <v>1187</v>
      </c>
      <c r="Q39" s="274" t="s">
        <v>751</v>
      </c>
      <c r="R39" s="229" t="s">
        <v>1099</v>
      </c>
      <c r="S39">
        <f t="shared" si="37"/>
        <v>0</v>
      </c>
      <c r="T39">
        <f t="shared" si="28"/>
        <v>0</v>
      </c>
      <c r="U39">
        <f t="shared" si="29"/>
        <v>0</v>
      </c>
      <c r="V39">
        <f t="shared" si="30"/>
        <v>0</v>
      </c>
      <c r="W39">
        <f t="shared" si="31"/>
        <v>0</v>
      </c>
      <c r="X39">
        <f t="shared" si="32"/>
        <v>3.2843233051290071E-16</v>
      </c>
      <c r="Y39">
        <f t="shared" si="33"/>
        <v>0</v>
      </c>
      <c r="Z39">
        <f t="shared" si="34"/>
        <v>0</v>
      </c>
      <c r="AB39" t="s">
        <v>751</v>
      </c>
      <c r="AC39" t="s">
        <v>1099</v>
      </c>
      <c r="AD39">
        <f t="shared" si="38"/>
        <v>0</v>
      </c>
      <c r="AE39">
        <f t="shared" si="35"/>
        <v>0</v>
      </c>
      <c r="AF39">
        <f t="shared" si="36"/>
        <v>0</v>
      </c>
      <c r="AG39">
        <f t="shared" si="11"/>
        <v>-1082.7064836397897</v>
      </c>
      <c r="AH39">
        <f t="shared" si="12"/>
        <v>-1082.7064836397897</v>
      </c>
      <c r="AJ39" t="s">
        <v>751</v>
      </c>
      <c r="AK39" t="s">
        <v>1099</v>
      </c>
      <c r="AL39">
        <f t="shared" si="13"/>
        <v>0</v>
      </c>
      <c r="AM39">
        <f t="shared" si="14"/>
        <v>3.2843233051290071E-16</v>
      </c>
      <c r="AN39">
        <f t="shared" si="15"/>
        <v>3.2843233051290071E-16</v>
      </c>
      <c r="AO39">
        <f t="shared" si="16"/>
        <v>-21.63437243375132</v>
      </c>
      <c r="AP39">
        <f t="shared" si="17"/>
        <v>-21.634372433751327</v>
      </c>
      <c r="AR39" t="s">
        <v>751</v>
      </c>
      <c r="AS39" t="s">
        <v>1099</v>
      </c>
      <c r="AT39">
        <f t="shared" si="18"/>
        <v>0</v>
      </c>
      <c r="AU39">
        <f t="shared" si="19"/>
        <v>0</v>
      </c>
      <c r="AV39">
        <f t="shared" si="20"/>
        <v>0</v>
      </c>
      <c r="AW39">
        <f t="shared" si="21"/>
        <v>-372.12071677488086</v>
      </c>
      <c r="AX39">
        <f t="shared" si="22"/>
        <v>-372.12071677488086</v>
      </c>
      <c r="AZ39" t="s">
        <v>751</v>
      </c>
      <c r="BA39" t="s">
        <v>1099</v>
      </c>
      <c r="BB39">
        <f t="shared" si="23"/>
        <v>0</v>
      </c>
      <c r="BC39">
        <f t="shared" si="24"/>
        <v>0</v>
      </c>
      <c r="BD39">
        <f t="shared" si="25"/>
        <v>0</v>
      </c>
      <c r="BE39">
        <f t="shared" si="26"/>
        <v>-720.49416324256936</v>
      </c>
      <c r="BF39">
        <f t="shared" si="27"/>
        <v>-720.49416324256936</v>
      </c>
    </row>
    <row r="40" spans="1:58" x14ac:dyDescent="0.2">
      <c r="A40" s="274" t="s">
        <v>752</v>
      </c>
      <c r="B40" s="229" t="s">
        <v>1099</v>
      </c>
      <c r="C40">
        <v>-1082.7064836397897</v>
      </c>
      <c r="D40">
        <v>-21.63437243375132</v>
      </c>
      <c r="E40">
        <v>-372.12071677488086</v>
      </c>
      <c r="F40">
        <v>-720.49416324256936</v>
      </c>
      <c r="G40">
        <v>-1082.7064836397897</v>
      </c>
      <c r="H40">
        <v>-21.63437243375132</v>
      </c>
      <c r="I40">
        <v>-372.12071677488086</v>
      </c>
      <c r="J40">
        <v>-720.49416324256936</v>
      </c>
      <c r="L40" t="s">
        <v>1174</v>
      </c>
      <c r="Q40" s="274" t="s">
        <v>752</v>
      </c>
      <c r="R40" s="229" t="s">
        <v>1099</v>
      </c>
      <c r="S40">
        <f t="shared" si="37"/>
        <v>0</v>
      </c>
      <c r="T40">
        <f t="shared" si="28"/>
        <v>0</v>
      </c>
      <c r="U40">
        <f t="shared" si="29"/>
        <v>0</v>
      </c>
      <c r="V40">
        <f t="shared" si="30"/>
        <v>0</v>
      </c>
      <c r="W40">
        <f t="shared" si="31"/>
        <v>0</v>
      </c>
      <c r="X40">
        <f t="shared" si="32"/>
        <v>0</v>
      </c>
      <c r="Y40">
        <f t="shared" si="33"/>
        <v>0</v>
      </c>
      <c r="Z40">
        <f t="shared" si="34"/>
        <v>0</v>
      </c>
      <c r="AB40" t="s">
        <v>752</v>
      </c>
      <c r="AC40" t="s">
        <v>1099</v>
      </c>
      <c r="AD40">
        <f t="shared" si="38"/>
        <v>0</v>
      </c>
      <c r="AE40">
        <f t="shared" si="35"/>
        <v>0</v>
      </c>
      <c r="AF40">
        <f t="shared" si="36"/>
        <v>0</v>
      </c>
      <c r="AG40">
        <f t="shared" si="11"/>
        <v>-1082.7064836397897</v>
      </c>
      <c r="AH40">
        <f t="shared" si="12"/>
        <v>-1082.7064836397897</v>
      </c>
      <c r="AJ40" t="s">
        <v>752</v>
      </c>
      <c r="AK40" t="s">
        <v>1099</v>
      </c>
      <c r="AL40">
        <f t="shared" si="13"/>
        <v>0</v>
      </c>
      <c r="AM40">
        <f t="shared" si="14"/>
        <v>0</v>
      </c>
      <c r="AN40">
        <f t="shared" si="15"/>
        <v>0</v>
      </c>
      <c r="AO40">
        <f t="shared" si="16"/>
        <v>-21.63437243375132</v>
      </c>
      <c r="AP40">
        <f t="shared" si="17"/>
        <v>-21.63437243375132</v>
      </c>
      <c r="AR40" t="s">
        <v>752</v>
      </c>
      <c r="AS40" t="s">
        <v>1099</v>
      </c>
      <c r="AT40">
        <f t="shared" si="18"/>
        <v>0</v>
      </c>
      <c r="AU40">
        <f t="shared" si="19"/>
        <v>0</v>
      </c>
      <c r="AV40">
        <f t="shared" si="20"/>
        <v>0</v>
      </c>
      <c r="AW40">
        <f t="shared" si="21"/>
        <v>-372.12071677488086</v>
      </c>
      <c r="AX40">
        <f t="shared" si="22"/>
        <v>-372.12071677488086</v>
      </c>
      <c r="AZ40" t="s">
        <v>752</v>
      </c>
      <c r="BA40" t="s">
        <v>1099</v>
      </c>
      <c r="BB40">
        <f t="shared" si="23"/>
        <v>0</v>
      </c>
      <c r="BC40">
        <f t="shared" si="24"/>
        <v>0</v>
      </c>
      <c r="BD40">
        <f t="shared" si="25"/>
        <v>0</v>
      </c>
      <c r="BE40">
        <f t="shared" si="26"/>
        <v>-720.49416324256936</v>
      </c>
      <c r="BF40">
        <f t="shared" si="27"/>
        <v>-720.49416324256936</v>
      </c>
    </row>
    <row r="41" spans="1:58" x14ac:dyDescent="0.2">
      <c r="A41" s="274" t="s">
        <v>756</v>
      </c>
      <c r="B41" s="229" t="s">
        <v>1099</v>
      </c>
      <c r="C41">
        <v>-1082.7064836397897</v>
      </c>
      <c r="D41">
        <v>-21.63437243375132</v>
      </c>
      <c r="E41">
        <v>-372.12071677488086</v>
      </c>
      <c r="F41">
        <v>-720.49416324256936</v>
      </c>
      <c r="G41">
        <v>-1082.7064836397897</v>
      </c>
      <c r="H41">
        <v>-21.634372433751327</v>
      </c>
      <c r="I41">
        <v>-372.12071677488086</v>
      </c>
      <c r="J41">
        <v>-720.49416324256936</v>
      </c>
      <c r="L41" t="s">
        <v>1188</v>
      </c>
      <c r="Q41" s="274" t="s">
        <v>756</v>
      </c>
      <c r="R41" s="229" t="s">
        <v>1099</v>
      </c>
      <c r="S41">
        <f t="shared" si="37"/>
        <v>0</v>
      </c>
      <c r="T41">
        <f t="shared" si="28"/>
        <v>0</v>
      </c>
      <c r="U41">
        <f t="shared" si="29"/>
        <v>0</v>
      </c>
      <c r="V41">
        <f t="shared" si="30"/>
        <v>0</v>
      </c>
      <c r="W41">
        <f t="shared" si="31"/>
        <v>0</v>
      </c>
      <c r="X41">
        <f t="shared" si="32"/>
        <v>3.2843233051290071E-16</v>
      </c>
      <c r="Y41">
        <f t="shared" si="33"/>
        <v>0</v>
      </c>
      <c r="Z41">
        <f t="shared" si="34"/>
        <v>0</v>
      </c>
      <c r="AB41" t="s">
        <v>756</v>
      </c>
      <c r="AC41" t="s">
        <v>1099</v>
      </c>
      <c r="AD41">
        <f t="shared" si="38"/>
        <v>0</v>
      </c>
      <c r="AE41">
        <f t="shared" si="35"/>
        <v>0</v>
      </c>
      <c r="AF41">
        <f t="shared" si="36"/>
        <v>0</v>
      </c>
      <c r="AG41">
        <f t="shared" si="11"/>
        <v>-1082.7064836397897</v>
      </c>
      <c r="AH41">
        <f t="shared" si="12"/>
        <v>-1082.7064836397897</v>
      </c>
      <c r="AJ41" t="s">
        <v>756</v>
      </c>
      <c r="AK41" t="s">
        <v>1099</v>
      </c>
      <c r="AL41">
        <f t="shared" si="13"/>
        <v>0</v>
      </c>
      <c r="AM41">
        <f t="shared" si="14"/>
        <v>3.2843233051290071E-16</v>
      </c>
      <c r="AN41">
        <f t="shared" si="15"/>
        <v>3.2843233051290071E-16</v>
      </c>
      <c r="AO41">
        <f t="shared" si="16"/>
        <v>-21.63437243375132</v>
      </c>
      <c r="AP41">
        <f t="shared" si="17"/>
        <v>-21.634372433751327</v>
      </c>
      <c r="AR41" t="s">
        <v>756</v>
      </c>
      <c r="AS41" t="s">
        <v>1099</v>
      </c>
      <c r="AT41">
        <f t="shared" si="18"/>
        <v>0</v>
      </c>
      <c r="AU41">
        <f t="shared" si="19"/>
        <v>0</v>
      </c>
      <c r="AV41">
        <f t="shared" si="20"/>
        <v>0</v>
      </c>
      <c r="AW41">
        <f t="shared" si="21"/>
        <v>-372.12071677488086</v>
      </c>
      <c r="AX41">
        <f t="shared" si="22"/>
        <v>-372.12071677488086</v>
      </c>
      <c r="AZ41" t="s">
        <v>756</v>
      </c>
      <c r="BA41" t="s">
        <v>1099</v>
      </c>
      <c r="BB41">
        <f t="shared" si="23"/>
        <v>0</v>
      </c>
      <c r="BC41">
        <f t="shared" si="24"/>
        <v>0</v>
      </c>
      <c r="BD41">
        <f t="shared" si="25"/>
        <v>0</v>
      </c>
      <c r="BE41">
        <f t="shared" si="26"/>
        <v>-720.49416324256936</v>
      </c>
      <c r="BF41">
        <f t="shared" si="27"/>
        <v>-720.49416324256936</v>
      </c>
    </row>
    <row r="42" spans="1:58" x14ac:dyDescent="0.2">
      <c r="A42" s="274" t="s">
        <v>790</v>
      </c>
      <c r="B42" s="229" t="s">
        <v>1099</v>
      </c>
      <c r="C42">
        <v>-1082.7064836397897</v>
      </c>
      <c r="D42">
        <v>-21.63437243375132</v>
      </c>
      <c r="E42">
        <v>-372.12071677488086</v>
      </c>
      <c r="F42">
        <v>-720.49416324256936</v>
      </c>
      <c r="G42">
        <v>-1082.7064836397897</v>
      </c>
      <c r="H42">
        <v>-21.63437243375132</v>
      </c>
      <c r="I42">
        <v>-372.12071677488086</v>
      </c>
      <c r="J42">
        <v>-720.49416324256936</v>
      </c>
      <c r="L42" t="s">
        <v>1180</v>
      </c>
      <c r="Q42" s="274" t="s">
        <v>790</v>
      </c>
      <c r="R42" s="229" t="s">
        <v>1099</v>
      </c>
      <c r="S42">
        <f t="shared" si="37"/>
        <v>0</v>
      </c>
      <c r="T42">
        <f t="shared" si="28"/>
        <v>0</v>
      </c>
      <c r="U42">
        <f t="shared" si="29"/>
        <v>0</v>
      </c>
      <c r="V42">
        <f t="shared" si="30"/>
        <v>0</v>
      </c>
      <c r="W42">
        <f t="shared" si="31"/>
        <v>0</v>
      </c>
      <c r="X42">
        <f t="shared" si="32"/>
        <v>0</v>
      </c>
      <c r="Y42">
        <f t="shared" si="33"/>
        <v>0</v>
      </c>
      <c r="Z42">
        <f t="shared" si="34"/>
        <v>0</v>
      </c>
      <c r="AB42" t="s">
        <v>790</v>
      </c>
      <c r="AC42" t="s">
        <v>1099</v>
      </c>
      <c r="AD42">
        <f t="shared" si="38"/>
        <v>0</v>
      </c>
      <c r="AE42">
        <f t="shared" si="35"/>
        <v>0</v>
      </c>
      <c r="AF42">
        <f t="shared" si="36"/>
        <v>0</v>
      </c>
      <c r="AG42">
        <f t="shared" si="11"/>
        <v>-1082.7064836397897</v>
      </c>
      <c r="AH42">
        <f t="shared" si="12"/>
        <v>-1082.7064836397897</v>
      </c>
      <c r="AJ42" t="s">
        <v>790</v>
      </c>
      <c r="AK42" t="s">
        <v>1099</v>
      </c>
      <c r="AL42">
        <f t="shared" si="13"/>
        <v>0</v>
      </c>
      <c r="AM42">
        <f t="shared" si="14"/>
        <v>0</v>
      </c>
      <c r="AN42">
        <f t="shared" si="15"/>
        <v>0</v>
      </c>
      <c r="AO42">
        <f t="shared" si="16"/>
        <v>-21.63437243375132</v>
      </c>
      <c r="AP42">
        <f t="shared" si="17"/>
        <v>-21.63437243375132</v>
      </c>
      <c r="AR42" t="s">
        <v>790</v>
      </c>
      <c r="AS42" t="s">
        <v>1099</v>
      </c>
      <c r="AT42">
        <f t="shared" si="18"/>
        <v>0</v>
      </c>
      <c r="AU42">
        <f t="shared" si="19"/>
        <v>0</v>
      </c>
      <c r="AV42">
        <f t="shared" si="20"/>
        <v>0</v>
      </c>
      <c r="AW42">
        <f t="shared" si="21"/>
        <v>-372.12071677488086</v>
      </c>
      <c r="AX42">
        <f t="shared" si="22"/>
        <v>-372.12071677488086</v>
      </c>
      <c r="AZ42" t="s">
        <v>790</v>
      </c>
      <c r="BA42" t="s">
        <v>1099</v>
      </c>
      <c r="BB42">
        <f t="shared" si="23"/>
        <v>0</v>
      </c>
      <c r="BC42">
        <f t="shared" si="24"/>
        <v>0</v>
      </c>
      <c r="BD42">
        <f t="shared" si="25"/>
        <v>0</v>
      </c>
      <c r="BE42">
        <f t="shared" si="26"/>
        <v>-720.49416324256936</v>
      </c>
      <c r="BF42">
        <f t="shared" si="27"/>
        <v>-720.49416324256936</v>
      </c>
    </row>
    <row r="43" spans="1:58" x14ac:dyDescent="0.2">
      <c r="A43" s="274" t="s">
        <v>930</v>
      </c>
      <c r="B43" s="229" t="s">
        <v>1099</v>
      </c>
      <c r="C43">
        <v>-1082.7064836397897</v>
      </c>
      <c r="D43">
        <v>-21.63437243375132</v>
      </c>
      <c r="E43">
        <v>-372.12071677488086</v>
      </c>
      <c r="F43">
        <v>-720.49416324256936</v>
      </c>
      <c r="G43">
        <v>-1082.7064836397897</v>
      </c>
      <c r="H43">
        <v>-21.63437243375132</v>
      </c>
      <c r="I43">
        <v>-372.12071677488086</v>
      </c>
      <c r="J43">
        <v>-720.49416324256936</v>
      </c>
      <c r="Q43" s="274" t="s">
        <v>930</v>
      </c>
      <c r="R43" s="229" t="s">
        <v>1099</v>
      </c>
      <c r="S43">
        <f t="shared" si="37"/>
        <v>0</v>
      </c>
      <c r="T43">
        <f t="shared" si="28"/>
        <v>0</v>
      </c>
      <c r="U43">
        <f t="shared" si="29"/>
        <v>0</v>
      </c>
      <c r="V43">
        <f t="shared" si="30"/>
        <v>0</v>
      </c>
      <c r="W43">
        <f t="shared" si="31"/>
        <v>0</v>
      </c>
      <c r="X43">
        <f t="shared" si="32"/>
        <v>0</v>
      </c>
      <c r="Y43">
        <f t="shared" si="33"/>
        <v>0</v>
      </c>
      <c r="Z43">
        <f t="shared" si="34"/>
        <v>0</v>
      </c>
      <c r="AB43" t="s">
        <v>930</v>
      </c>
      <c r="AC43" t="s">
        <v>1099</v>
      </c>
      <c r="AD43">
        <f t="shared" si="38"/>
        <v>0</v>
      </c>
      <c r="AE43">
        <f t="shared" si="35"/>
        <v>0</v>
      </c>
      <c r="AF43">
        <f t="shared" si="36"/>
        <v>0</v>
      </c>
      <c r="AG43">
        <f t="shared" si="11"/>
        <v>-1082.7064836397897</v>
      </c>
      <c r="AH43">
        <f t="shared" si="12"/>
        <v>-1082.7064836397897</v>
      </c>
      <c r="AJ43" t="s">
        <v>930</v>
      </c>
      <c r="AK43" t="s">
        <v>1099</v>
      </c>
      <c r="AL43">
        <f t="shared" si="13"/>
        <v>0</v>
      </c>
      <c r="AM43">
        <f t="shared" si="14"/>
        <v>0</v>
      </c>
      <c r="AN43">
        <f t="shared" si="15"/>
        <v>0</v>
      </c>
      <c r="AO43">
        <f t="shared" si="16"/>
        <v>-21.63437243375132</v>
      </c>
      <c r="AP43">
        <f t="shared" si="17"/>
        <v>-21.63437243375132</v>
      </c>
      <c r="AR43" t="s">
        <v>930</v>
      </c>
      <c r="AS43" t="s">
        <v>1099</v>
      </c>
      <c r="AT43">
        <f t="shared" si="18"/>
        <v>0</v>
      </c>
      <c r="AU43">
        <f t="shared" si="19"/>
        <v>0</v>
      </c>
      <c r="AV43">
        <f t="shared" si="20"/>
        <v>0</v>
      </c>
      <c r="AW43">
        <f t="shared" si="21"/>
        <v>-372.12071677488086</v>
      </c>
      <c r="AX43">
        <f t="shared" si="22"/>
        <v>-372.12071677488086</v>
      </c>
      <c r="AZ43" t="s">
        <v>930</v>
      </c>
      <c r="BA43" t="s">
        <v>1099</v>
      </c>
      <c r="BB43">
        <f t="shared" si="23"/>
        <v>0</v>
      </c>
      <c r="BC43">
        <f t="shared" si="24"/>
        <v>0</v>
      </c>
      <c r="BD43">
        <f t="shared" si="25"/>
        <v>0</v>
      </c>
      <c r="BE43">
        <f t="shared" si="26"/>
        <v>-720.49416324256936</v>
      </c>
      <c r="BF43">
        <f t="shared" si="27"/>
        <v>-720.49416324256936</v>
      </c>
    </row>
    <row r="44" spans="1:58" x14ac:dyDescent="0.2">
      <c r="A44" s="274"/>
      <c r="B44" s="229"/>
      <c r="C44">
        <v>-1082.7064836397897</v>
      </c>
      <c r="D44">
        <v>-21.63437243375132</v>
      </c>
      <c r="E44">
        <v>-372.12071677488086</v>
      </c>
      <c r="F44">
        <v>-720.49416324256936</v>
      </c>
      <c r="G44">
        <v>-1082.7064836397897</v>
      </c>
      <c r="H44">
        <v>-21.63437243375132</v>
      </c>
      <c r="I44">
        <v>-372.12071677488086</v>
      </c>
      <c r="J44">
        <v>-720.49416324256936</v>
      </c>
      <c r="L44" t="s">
        <v>1189</v>
      </c>
      <c r="Q44" s="274"/>
      <c r="R44" s="229"/>
      <c r="S44">
        <f t="shared" si="37"/>
        <v>0</v>
      </c>
      <c r="T44">
        <f t="shared" si="28"/>
        <v>0</v>
      </c>
      <c r="U44">
        <f t="shared" si="29"/>
        <v>0</v>
      </c>
      <c r="V44">
        <f t="shared" si="30"/>
        <v>0</v>
      </c>
      <c r="W44">
        <f t="shared" si="31"/>
        <v>0</v>
      </c>
      <c r="X44">
        <f t="shared" si="32"/>
        <v>0</v>
      </c>
      <c r="Y44">
        <f t="shared" si="33"/>
        <v>0</v>
      </c>
      <c r="Z44">
        <f t="shared" si="34"/>
        <v>0</v>
      </c>
      <c r="AD44">
        <f t="shared" si="38"/>
        <v>0</v>
      </c>
      <c r="AE44">
        <f t="shared" si="35"/>
        <v>0</v>
      </c>
      <c r="AF44">
        <f t="shared" si="36"/>
        <v>0</v>
      </c>
      <c r="AG44">
        <f t="shared" si="11"/>
        <v>-1082.7064836397897</v>
      </c>
      <c r="AH44">
        <f t="shared" si="12"/>
        <v>-1082.7064836397897</v>
      </c>
      <c r="AL44">
        <f t="shared" si="13"/>
        <v>0</v>
      </c>
      <c r="AM44">
        <f t="shared" si="14"/>
        <v>0</v>
      </c>
      <c r="AN44">
        <f t="shared" si="15"/>
        <v>0</v>
      </c>
      <c r="AO44">
        <f t="shared" si="16"/>
        <v>-21.63437243375132</v>
      </c>
      <c r="AP44">
        <f t="shared" si="17"/>
        <v>-21.63437243375132</v>
      </c>
      <c r="AT44">
        <f t="shared" si="18"/>
        <v>0</v>
      </c>
      <c r="AU44">
        <f t="shared" si="19"/>
        <v>0</v>
      </c>
      <c r="AV44">
        <f t="shared" si="20"/>
        <v>0</v>
      </c>
      <c r="AW44">
        <f t="shared" si="21"/>
        <v>-372.12071677488086</v>
      </c>
      <c r="AX44">
        <f t="shared" si="22"/>
        <v>-372.12071677488086</v>
      </c>
      <c r="BB44">
        <f t="shared" si="23"/>
        <v>0</v>
      </c>
      <c r="BC44">
        <f t="shared" si="24"/>
        <v>0</v>
      </c>
      <c r="BD44">
        <f t="shared" si="25"/>
        <v>0</v>
      </c>
      <c r="BE44">
        <f t="shared" si="26"/>
        <v>-720.49416324256936</v>
      </c>
      <c r="BF44">
        <f t="shared" si="27"/>
        <v>-720.49416324256936</v>
      </c>
    </row>
    <row r="45" spans="1:58" x14ac:dyDescent="0.2">
      <c r="A45" s="273" t="s">
        <v>1089</v>
      </c>
      <c r="B45" s="249"/>
      <c r="C45">
        <v>-1082.7064836397897</v>
      </c>
      <c r="D45">
        <v>-21.63437243375132</v>
      </c>
      <c r="E45">
        <v>-372.12071677488086</v>
      </c>
      <c r="F45">
        <v>-720.49416324256936</v>
      </c>
      <c r="G45">
        <v>-1082.7064836397897</v>
      </c>
      <c r="H45">
        <v>-21.63437243375132</v>
      </c>
      <c r="I45">
        <v>-372.12071677488086</v>
      </c>
      <c r="J45">
        <v>-720.49416324256936</v>
      </c>
      <c r="L45" t="s">
        <v>1183</v>
      </c>
      <c r="Q45" s="273" t="s">
        <v>1089</v>
      </c>
      <c r="R45" s="249"/>
      <c r="S45">
        <f t="shared" si="37"/>
        <v>0</v>
      </c>
      <c r="T45">
        <f t="shared" si="28"/>
        <v>0</v>
      </c>
      <c r="U45">
        <f t="shared" si="29"/>
        <v>0</v>
      </c>
      <c r="V45">
        <f t="shared" si="30"/>
        <v>0</v>
      </c>
      <c r="W45">
        <f t="shared" si="31"/>
        <v>0</v>
      </c>
      <c r="X45">
        <f t="shared" si="32"/>
        <v>0</v>
      </c>
      <c r="Y45">
        <f t="shared" si="33"/>
        <v>0</v>
      </c>
      <c r="Z45">
        <f t="shared" si="34"/>
        <v>0</v>
      </c>
      <c r="AB45" t="s">
        <v>1089</v>
      </c>
      <c r="AD45">
        <f t="shared" si="38"/>
        <v>0</v>
      </c>
      <c r="AE45">
        <f t="shared" si="35"/>
        <v>0</v>
      </c>
      <c r="AF45">
        <f t="shared" si="36"/>
        <v>0</v>
      </c>
      <c r="AG45">
        <f t="shared" si="11"/>
        <v>-1082.7064836397897</v>
      </c>
      <c r="AH45">
        <f t="shared" si="12"/>
        <v>-1082.7064836397897</v>
      </c>
      <c r="AJ45" t="s">
        <v>1089</v>
      </c>
      <c r="AL45">
        <f t="shared" si="13"/>
        <v>0</v>
      </c>
      <c r="AM45">
        <f t="shared" si="14"/>
        <v>0</v>
      </c>
      <c r="AN45">
        <f t="shared" si="15"/>
        <v>0</v>
      </c>
      <c r="AO45">
        <f t="shared" si="16"/>
        <v>-21.63437243375132</v>
      </c>
      <c r="AP45">
        <f t="shared" si="17"/>
        <v>-21.63437243375132</v>
      </c>
      <c r="AR45" t="s">
        <v>1089</v>
      </c>
      <c r="AT45">
        <f t="shared" si="18"/>
        <v>0</v>
      </c>
      <c r="AU45">
        <f t="shared" si="19"/>
        <v>0</v>
      </c>
      <c r="AV45">
        <f t="shared" si="20"/>
        <v>0</v>
      </c>
      <c r="AW45">
        <f t="shared" si="21"/>
        <v>-372.12071677488086</v>
      </c>
      <c r="AX45">
        <f t="shared" si="22"/>
        <v>-372.12071677488086</v>
      </c>
      <c r="AZ45" t="s">
        <v>1089</v>
      </c>
      <c r="BB45">
        <f t="shared" si="23"/>
        <v>0</v>
      </c>
      <c r="BC45">
        <f t="shared" si="24"/>
        <v>0</v>
      </c>
      <c r="BD45">
        <f t="shared" si="25"/>
        <v>0</v>
      </c>
      <c r="BE45">
        <f t="shared" si="26"/>
        <v>-720.49416324256936</v>
      </c>
      <c r="BF45">
        <f t="shared" si="27"/>
        <v>-720.49416324256936</v>
      </c>
    </row>
    <row r="46" spans="1:58" x14ac:dyDescent="0.2">
      <c r="A46" s="277" t="s">
        <v>983</v>
      </c>
      <c r="B46" s="75" t="s">
        <v>1144</v>
      </c>
      <c r="C46">
        <v>-1082.7064836397897</v>
      </c>
      <c r="D46">
        <v>-12.963641875164123</v>
      </c>
      <c r="E46">
        <v>-372.12071677488086</v>
      </c>
      <c r="F46">
        <v>-720.49416324256936</v>
      </c>
      <c r="G46">
        <v>-1082.7064836397897</v>
      </c>
      <c r="H46">
        <v>-34.640468271632201</v>
      </c>
      <c r="I46">
        <v>-372.12071677488086</v>
      </c>
      <c r="J46">
        <v>-720.49416324256936</v>
      </c>
      <c r="L46" t="s">
        <v>1184</v>
      </c>
      <c r="Q46" s="277" t="s">
        <v>983</v>
      </c>
      <c r="R46" s="75" t="s">
        <v>1144</v>
      </c>
      <c r="S46">
        <f t="shared" si="37"/>
        <v>0</v>
      </c>
      <c r="T46">
        <f t="shared" si="28"/>
        <v>-0.40078493541417343</v>
      </c>
      <c r="U46">
        <f t="shared" si="29"/>
        <v>0</v>
      </c>
      <c r="V46">
        <f t="shared" si="30"/>
        <v>0</v>
      </c>
      <c r="W46">
        <f t="shared" si="31"/>
        <v>0</v>
      </c>
      <c r="X46">
        <f t="shared" si="32"/>
        <v>0.60117740312126411</v>
      </c>
      <c r="Y46">
        <f t="shared" si="33"/>
        <v>0</v>
      </c>
      <c r="Z46">
        <f t="shared" si="34"/>
        <v>0</v>
      </c>
      <c r="AB46" t="s">
        <v>983</v>
      </c>
      <c r="AC46" s="75" t="s">
        <v>1144</v>
      </c>
      <c r="AD46">
        <f t="shared" si="38"/>
        <v>0</v>
      </c>
      <c r="AE46">
        <f t="shared" si="35"/>
        <v>0</v>
      </c>
      <c r="AF46">
        <f t="shared" si="36"/>
        <v>0</v>
      </c>
      <c r="AG46">
        <f t="shared" si="11"/>
        <v>-1082.7064836397897</v>
      </c>
      <c r="AH46">
        <f t="shared" si="12"/>
        <v>-1082.7064836397897</v>
      </c>
      <c r="AJ46" t="s">
        <v>983</v>
      </c>
      <c r="AK46" s="75" t="s">
        <v>1144</v>
      </c>
      <c r="AL46">
        <f t="shared" si="13"/>
        <v>-0.40078493541417343</v>
      </c>
      <c r="AM46">
        <f t="shared" si="14"/>
        <v>0.60117740312126411</v>
      </c>
      <c r="AN46">
        <f t="shared" si="15"/>
        <v>0.60117740312126411</v>
      </c>
      <c r="AO46">
        <f t="shared" si="16"/>
        <v>-12.963641875164123</v>
      </c>
      <c r="AP46">
        <f t="shared" si="17"/>
        <v>-34.640468271632201</v>
      </c>
      <c r="AR46" t="s">
        <v>983</v>
      </c>
      <c r="AS46" s="75" t="s">
        <v>1144</v>
      </c>
      <c r="AT46">
        <f t="shared" si="18"/>
        <v>0</v>
      </c>
      <c r="AU46">
        <f t="shared" si="19"/>
        <v>0</v>
      </c>
      <c r="AV46">
        <f t="shared" si="20"/>
        <v>0</v>
      </c>
      <c r="AW46">
        <f t="shared" si="21"/>
        <v>-372.12071677488086</v>
      </c>
      <c r="AX46">
        <f t="shared" si="22"/>
        <v>-372.12071677488086</v>
      </c>
      <c r="AZ46" t="s">
        <v>983</v>
      </c>
      <c r="BA46" s="75" t="s">
        <v>1144</v>
      </c>
      <c r="BB46">
        <f t="shared" si="23"/>
        <v>0</v>
      </c>
      <c r="BC46">
        <f t="shared" si="24"/>
        <v>0</v>
      </c>
      <c r="BD46">
        <f t="shared" si="25"/>
        <v>0</v>
      </c>
      <c r="BE46">
        <f t="shared" si="26"/>
        <v>-720.49416324256936</v>
      </c>
      <c r="BF46">
        <f t="shared" si="27"/>
        <v>-720.49416324256936</v>
      </c>
    </row>
    <row r="47" spans="1:58" x14ac:dyDescent="0.2">
      <c r="A47" s="278" t="s">
        <v>985</v>
      </c>
      <c r="B47" s="75" t="s">
        <v>1144</v>
      </c>
      <c r="C47">
        <v>-1082.7064836397897</v>
      </c>
      <c r="D47">
        <v>-21.56059067649694</v>
      </c>
      <c r="E47">
        <v>-372.12071677488086</v>
      </c>
      <c r="F47">
        <v>-720.49416324256936</v>
      </c>
      <c r="G47">
        <v>-1082.7064836397897</v>
      </c>
      <c r="H47">
        <v>-21.745045069632919</v>
      </c>
      <c r="I47">
        <v>-372.12071677488086</v>
      </c>
      <c r="J47">
        <v>-720.49416324256936</v>
      </c>
      <c r="L47" t="s">
        <v>1185</v>
      </c>
      <c r="Q47" s="278" t="s">
        <v>985</v>
      </c>
      <c r="R47" s="75" t="s">
        <v>1144</v>
      </c>
      <c r="S47">
        <f t="shared" si="37"/>
        <v>0</v>
      </c>
      <c r="T47">
        <f t="shared" si="28"/>
        <v>-3.4103950775699449E-3</v>
      </c>
      <c r="U47">
        <f t="shared" si="29"/>
        <v>0</v>
      </c>
      <c r="V47">
        <f t="shared" si="30"/>
        <v>0</v>
      </c>
      <c r="W47">
        <f t="shared" si="31"/>
        <v>0</v>
      </c>
      <c r="X47">
        <f t="shared" si="32"/>
        <v>5.1155926163562312E-3</v>
      </c>
      <c r="Y47">
        <f t="shared" si="33"/>
        <v>0</v>
      </c>
      <c r="Z47">
        <f t="shared" si="34"/>
        <v>0</v>
      </c>
      <c r="AB47" t="s">
        <v>985</v>
      </c>
      <c r="AC47" s="75" t="s">
        <v>1144</v>
      </c>
      <c r="AD47">
        <f t="shared" si="38"/>
        <v>0</v>
      </c>
      <c r="AE47">
        <f t="shared" si="35"/>
        <v>0</v>
      </c>
      <c r="AF47">
        <f t="shared" si="36"/>
        <v>0</v>
      </c>
      <c r="AG47">
        <f t="shared" si="11"/>
        <v>-1082.7064836397897</v>
      </c>
      <c r="AH47">
        <f t="shared" si="12"/>
        <v>-1082.7064836397897</v>
      </c>
      <c r="AJ47" t="s">
        <v>985</v>
      </c>
      <c r="AK47" s="75" t="s">
        <v>1144</v>
      </c>
      <c r="AL47">
        <f t="shared" si="13"/>
        <v>-3.4103950775699449E-3</v>
      </c>
      <c r="AM47">
        <f t="shared" si="14"/>
        <v>5.1155926163562312E-3</v>
      </c>
      <c r="AN47">
        <f t="shared" si="15"/>
        <v>5.1155926163562312E-3</v>
      </c>
      <c r="AO47">
        <f t="shared" si="16"/>
        <v>-21.56059067649694</v>
      </c>
      <c r="AP47">
        <f t="shared" si="17"/>
        <v>-21.745045069632919</v>
      </c>
      <c r="AR47" t="s">
        <v>985</v>
      </c>
      <c r="AS47" s="75" t="s">
        <v>1144</v>
      </c>
      <c r="AT47">
        <f t="shared" si="18"/>
        <v>0</v>
      </c>
      <c r="AU47">
        <f t="shared" si="19"/>
        <v>0</v>
      </c>
      <c r="AV47">
        <f t="shared" si="20"/>
        <v>0</v>
      </c>
      <c r="AW47">
        <f t="shared" si="21"/>
        <v>-372.12071677488086</v>
      </c>
      <c r="AX47">
        <f t="shared" si="22"/>
        <v>-372.12071677488086</v>
      </c>
      <c r="AZ47" t="s">
        <v>985</v>
      </c>
      <c r="BA47" s="75" t="s">
        <v>1144</v>
      </c>
      <c r="BB47">
        <f t="shared" si="23"/>
        <v>0</v>
      </c>
      <c r="BC47">
        <f t="shared" si="24"/>
        <v>0</v>
      </c>
      <c r="BD47">
        <f t="shared" si="25"/>
        <v>0</v>
      </c>
      <c r="BE47">
        <f t="shared" si="26"/>
        <v>-720.49416324256936</v>
      </c>
      <c r="BF47">
        <f t="shared" si="27"/>
        <v>-720.49416324256936</v>
      </c>
    </row>
    <row r="48" spans="1:58" x14ac:dyDescent="0.2">
      <c r="A48" s="277" t="s">
        <v>663</v>
      </c>
      <c r="B48" s="75" t="s">
        <v>1144</v>
      </c>
      <c r="C48">
        <v>-1082.7062267698489</v>
      </c>
      <c r="D48">
        <v>-21.538661952791056</v>
      </c>
      <c r="E48">
        <v>-364.2723726885323</v>
      </c>
      <c r="F48">
        <v>-720.49416022745686</v>
      </c>
      <c r="G48">
        <v>-1082.7068689447008</v>
      </c>
      <c r="H48">
        <v>-21.777938155191759</v>
      </c>
      <c r="I48">
        <v>-383.8932329044037</v>
      </c>
      <c r="J48">
        <v>-720.49416776523822</v>
      </c>
      <c r="Q48" s="277" t="s">
        <v>663</v>
      </c>
      <c r="R48" s="75" t="s">
        <v>1144</v>
      </c>
      <c r="S48">
        <f t="shared" si="37"/>
        <v>-2.372479935184679E-7</v>
      </c>
      <c r="T48">
        <f t="shared" si="28"/>
        <v>-4.4240008002704142E-3</v>
      </c>
      <c r="U48">
        <f t="shared" si="29"/>
        <v>-2.1090855017073709E-2</v>
      </c>
      <c r="V48">
        <f t="shared" si="30"/>
        <v>-4.1847840708125207E-9</v>
      </c>
      <c r="W48">
        <f t="shared" si="31"/>
        <v>3.5587199017269937E-7</v>
      </c>
      <c r="X48">
        <f t="shared" si="32"/>
        <v>6.6360012004075914E-3</v>
      </c>
      <c r="Y48">
        <f t="shared" si="33"/>
        <v>3.1636282525610564E-2</v>
      </c>
      <c r="Z48">
        <f t="shared" si="34"/>
        <v>6.27717626400887E-9</v>
      </c>
      <c r="AB48" t="s">
        <v>663</v>
      </c>
      <c r="AC48" s="75" t="s">
        <v>1144</v>
      </c>
      <c r="AD48">
        <f t="shared" si="38"/>
        <v>-2.372479935184679E-7</v>
      </c>
      <c r="AE48">
        <f t="shared" si="35"/>
        <v>3.5587199017269937E-7</v>
      </c>
      <c r="AF48">
        <f t="shared" si="36"/>
        <v>3.5587199017269937E-7</v>
      </c>
      <c r="AG48">
        <f t="shared" si="11"/>
        <v>-1082.7062267698489</v>
      </c>
      <c r="AH48">
        <f t="shared" si="12"/>
        <v>-1082.7068689447008</v>
      </c>
      <c r="AJ48" t="s">
        <v>663</v>
      </c>
      <c r="AK48" s="75" t="s">
        <v>1144</v>
      </c>
      <c r="AL48">
        <f t="shared" si="13"/>
        <v>-4.4240008002704142E-3</v>
      </c>
      <c r="AM48">
        <f t="shared" si="14"/>
        <v>6.6360012004075914E-3</v>
      </c>
      <c r="AN48">
        <f t="shared" si="15"/>
        <v>6.6360012004075914E-3</v>
      </c>
      <c r="AO48">
        <f t="shared" si="16"/>
        <v>-21.538661952791056</v>
      </c>
      <c r="AP48">
        <f t="shared" si="17"/>
        <v>-21.777938155191759</v>
      </c>
      <c r="AR48" t="s">
        <v>663</v>
      </c>
      <c r="AS48" s="75" t="s">
        <v>1144</v>
      </c>
      <c r="AT48">
        <f t="shared" si="18"/>
        <v>-2.1090855017073709E-2</v>
      </c>
      <c r="AU48">
        <f t="shared" si="19"/>
        <v>3.1636282525610564E-2</v>
      </c>
      <c r="AV48">
        <f t="shared" si="20"/>
        <v>3.1636282525610564E-2</v>
      </c>
      <c r="AW48">
        <f t="shared" si="21"/>
        <v>-364.2723726885323</v>
      </c>
      <c r="AX48">
        <f t="shared" si="22"/>
        <v>-383.8932329044037</v>
      </c>
      <c r="AZ48" t="s">
        <v>663</v>
      </c>
      <c r="BA48" s="75" t="s">
        <v>1144</v>
      </c>
      <c r="BB48">
        <f t="shared" si="23"/>
        <v>-4.1847840708125207E-9</v>
      </c>
      <c r="BC48">
        <f t="shared" si="24"/>
        <v>6.27717626400887E-9</v>
      </c>
      <c r="BD48">
        <f t="shared" si="25"/>
        <v>6.27717626400887E-9</v>
      </c>
      <c r="BE48">
        <f t="shared" si="26"/>
        <v>-720.49416022745686</v>
      </c>
      <c r="BF48">
        <f t="shared" si="27"/>
        <v>-720.49416776523822</v>
      </c>
    </row>
    <row r="49" spans="1:58" x14ac:dyDescent="0.2">
      <c r="A49" s="278" t="s">
        <v>507</v>
      </c>
      <c r="B49" s="75" t="s">
        <v>1144</v>
      </c>
      <c r="C49">
        <v>-1082.6627247871183</v>
      </c>
      <c r="D49">
        <v>-21.621935443302004</v>
      </c>
      <c r="E49">
        <v>-365.67450627795955</v>
      </c>
      <c r="F49">
        <v>-720.4940482002819</v>
      </c>
      <c r="G49">
        <v>-1082.7721219187963</v>
      </c>
      <c r="H49">
        <v>-21.653027919425352</v>
      </c>
      <c r="I49">
        <v>-381.7900325202628</v>
      </c>
      <c r="J49">
        <v>-720.49433580600066</v>
      </c>
      <c r="L49" t="s">
        <v>1186</v>
      </c>
      <c r="Q49" s="278" t="s">
        <v>507</v>
      </c>
      <c r="R49" s="75" t="s">
        <v>1144</v>
      </c>
      <c r="S49">
        <f t="shared" si="37"/>
        <v>-4.0416173111119373E-5</v>
      </c>
      <c r="T49">
        <f t="shared" si="28"/>
        <v>-5.7487179197829525E-4</v>
      </c>
      <c r="U49">
        <f t="shared" si="29"/>
        <v>-1.7322901430454427E-2</v>
      </c>
      <c r="V49">
        <f t="shared" si="30"/>
        <v>-1.596713663076384E-7</v>
      </c>
      <c r="W49">
        <f t="shared" si="31"/>
        <v>6.0624259666364048E-5</v>
      </c>
      <c r="X49">
        <f t="shared" si="32"/>
        <v>8.6230768797007033E-4</v>
      </c>
      <c r="Y49">
        <f t="shared" si="33"/>
        <v>2.5984352145681563E-2</v>
      </c>
      <c r="Z49">
        <f t="shared" si="34"/>
        <v>2.3950704961924768E-7</v>
      </c>
      <c r="AB49" t="s">
        <v>507</v>
      </c>
      <c r="AC49" s="75" t="s">
        <v>1144</v>
      </c>
      <c r="AD49">
        <f t="shared" si="38"/>
        <v>-4.0416173111119373E-5</v>
      </c>
      <c r="AE49">
        <f t="shared" si="35"/>
        <v>6.0624259666364048E-5</v>
      </c>
      <c r="AF49">
        <f t="shared" si="36"/>
        <v>6.0624259666364048E-5</v>
      </c>
      <c r="AG49">
        <f t="shared" si="11"/>
        <v>-1082.6627247871183</v>
      </c>
      <c r="AH49">
        <f t="shared" si="12"/>
        <v>-1082.7721219187963</v>
      </c>
      <c r="AJ49" t="s">
        <v>507</v>
      </c>
      <c r="AK49" s="75" t="s">
        <v>1144</v>
      </c>
      <c r="AL49">
        <f t="shared" si="13"/>
        <v>-5.7487179197829525E-4</v>
      </c>
      <c r="AM49">
        <f t="shared" si="14"/>
        <v>8.6230768797007033E-4</v>
      </c>
      <c r="AN49">
        <f t="shared" si="15"/>
        <v>8.6230768797007033E-4</v>
      </c>
      <c r="AO49">
        <f t="shared" si="16"/>
        <v>-21.621935443302004</v>
      </c>
      <c r="AP49">
        <f t="shared" si="17"/>
        <v>-21.653027919425352</v>
      </c>
      <c r="AR49" t="s">
        <v>507</v>
      </c>
      <c r="AS49" s="75" t="s">
        <v>1144</v>
      </c>
      <c r="AT49">
        <f t="shared" si="18"/>
        <v>-1.7322901430454427E-2</v>
      </c>
      <c r="AU49">
        <f t="shared" si="19"/>
        <v>2.5984352145681563E-2</v>
      </c>
      <c r="AV49">
        <f t="shared" si="20"/>
        <v>2.5984352145681563E-2</v>
      </c>
      <c r="AW49">
        <f t="shared" si="21"/>
        <v>-365.67450627795955</v>
      </c>
      <c r="AX49">
        <f t="shared" si="22"/>
        <v>-381.7900325202628</v>
      </c>
      <c r="AZ49" t="s">
        <v>507</v>
      </c>
      <c r="BA49" s="75" t="s">
        <v>1144</v>
      </c>
      <c r="BB49">
        <f t="shared" si="23"/>
        <v>-1.596713663076384E-7</v>
      </c>
      <c r="BC49">
        <f t="shared" si="24"/>
        <v>2.3950704961924768E-7</v>
      </c>
      <c r="BD49">
        <f t="shared" si="25"/>
        <v>2.3950704961924768E-7</v>
      </c>
      <c r="BE49">
        <f t="shared" si="26"/>
        <v>-720.4940482002819</v>
      </c>
      <c r="BF49">
        <f t="shared" si="27"/>
        <v>-720.49433580600066</v>
      </c>
    </row>
    <row r="50" spans="1:58" x14ac:dyDescent="0.2">
      <c r="A50" s="278" t="s">
        <v>505</v>
      </c>
      <c r="B50" s="75" t="s">
        <v>1144</v>
      </c>
      <c r="C50">
        <v>-1082.7064836397897</v>
      </c>
      <c r="D50">
        <v>-21.316236522761596</v>
      </c>
      <c r="E50">
        <v>-372.12071677488086</v>
      </c>
      <c r="F50">
        <v>-720.49416324256936</v>
      </c>
      <c r="G50">
        <v>-1082.7064836397897</v>
      </c>
      <c r="H50">
        <v>-22.111576300235992</v>
      </c>
      <c r="I50">
        <v>-372.12071677488086</v>
      </c>
      <c r="J50">
        <v>-720.49416324256936</v>
      </c>
      <c r="Q50" s="278" t="s">
        <v>505</v>
      </c>
      <c r="R50" s="75" t="s">
        <v>1144</v>
      </c>
      <c r="S50">
        <f t="shared" si="37"/>
        <v>0</v>
      </c>
      <c r="T50">
        <f t="shared" si="28"/>
        <v>-1.470511390907773E-2</v>
      </c>
      <c r="U50">
        <f t="shared" si="29"/>
        <v>0</v>
      </c>
      <c r="V50">
        <f t="shared" si="30"/>
        <v>0</v>
      </c>
      <c r="W50">
        <f t="shared" si="31"/>
        <v>0</v>
      </c>
      <c r="X50">
        <f t="shared" si="32"/>
        <v>2.2057670863620538E-2</v>
      </c>
      <c r="Y50">
        <f t="shared" si="33"/>
        <v>0</v>
      </c>
      <c r="Z50">
        <f t="shared" si="34"/>
        <v>0</v>
      </c>
      <c r="AB50" t="s">
        <v>505</v>
      </c>
      <c r="AC50" s="75" t="s">
        <v>1144</v>
      </c>
      <c r="AD50">
        <f t="shared" si="38"/>
        <v>0</v>
      </c>
      <c r="AE50">
        <f t="shared" si="35"/>
        <v>0</v>
      </c>
      <c r="AF50">
        <f t="shared" si="36"/>
        <v>0</v>
      </c>
      <c r="AG50">
        <f t="shared" si="11"/>
        <v>-1082.7064836397897</v>
      </c>
      <c r="AH50">
        <f t="shared" si="12"/>
        <v>-1082.7064836397897</v>
      </c>
      <c r="AJ50" t="s">
        <v>505</v>
      </c>
      <c r="AK50" s="75" t="s">
        <v>1144</v>
      </c>
      <c r="AL50">
        <f t="shared" si="13"/>
        <v>-1.470511390907773E-2</v>
      </c>
      <c r="AM50">
        <f t="shared" si="14"/>
        <v>2.2057670863620538E-2</v>
      </c>
      <c r="AN50">
        <f t="shared" si="15"/>
        <v>2.2057670863620538E-2</v>
      </c>
      <c r="AO50">
        <f t="shared" si="16"/>
        <v>-21.316236522761596</v>
      </c>
      <c r="AP50">
        <f t="shared" si="17"/>
        <v>-22.111576300235992</v>
      </c>
      <c r="AR50" t="s">
        <v>505</v>
      </c>
      <c r="AS50" s="75" t="s">
        <v>1144</v>
      </c>
      <c r="AT50">
        <f t="shared" si="18"/>
        <v>0</v>
      </c>
      <c r="AU50">
        <f t="shared" si="19"/>
        <v>0</v>
      </c>
      <c r="AV50">
        <f t="shared" si="20"/>
        <v>0</v>
      </c>
      <c r="AW50">
        <f t="shared" si="21"/>
        <v>-372.12071677488086</v>
      </c>
      <c r="AX50">
        <f t="shared" si="22"/>
        <v>-372.12071677488086</v>
      </c>
      <c r="AZ50" t="s">
        <v>505</v>
      </c>
      <c r="BA50" s="75" t="s">
        <v>1144</v>
      </c>
      <c r="BB50">
        <f t="shared" si="23"/>
        <v>0</v>
      </c>
      <c r="BC50">
        <f t="shared" si="24"/>
        <v>0</v>
      </c>
      <c r="BD50">
        <f t="shared" si="25"/>
        <v>0</v>
      </c>
      <c r="BE50">
        <f t="shared" si="26"/>
        <v>-720.49416324256936</v>
      </c>
      <c r="BF50">
        <f t="shared" si="27"/>
        <v>-720.49416324256936</v>
      </c>
    </row>
    <row r="51" spans="1:58" x14ac:dyDescent="0.2">
      <c r="A51" s="278" t="s">
        <v>50</v>
      </c>
      <c r="B51" s="75" t="s">
        <v>1144</v>
      </c>
      <c r="C51">
        <v>-1082.7064836397897</v>
      </c>
      <c r="D51">
        <v>-19.001200382570243</v>
      </c>
      <c r="E51">
        <v>-372.12071677488086</v>
      </c>
      <c r="F51">
        <v>-720.49416324256936</v>
      </c>
      <c r="G51">
        <v>-1082.7064836397897</v>
      </c>
      <c r="H51">
        <v>-25.584130510522993</v>
      </c>
      <c r="I51">
        <v>-372.12071677488086</v>
      </c>
      <c r="J51">
        <v>-720.49416324256936</v>
      </c>
      <c r="L51" t="s">
        <v>1190</v>
      </c>
      <c r="Q51" s="278" t="s">
        <v>50</v>
      </c>
      <c r="R51" s="75" t="s">
        <v>1144</v>
      </c>
      <c r="S51">
        <f t="shared" si="37"/>
        <v>0</v>
      </c>
      <c r="T51">
        <f t="shared" si="28"/>
        <v>-0.12171243049662592</v>
      </c>
      <c r="U51">
        <f t="shared" si="29"/>
        <v>0</v>
      </c>
      <c r="V51">
        <f t="shared" si="30"/>
        <v>0</v>
      </c>
      <c r="W51">
        <f t="shared" si="31"/>
        <v>0</v>
      </c>
      <c r="X51">
        <f t="shared" si="32"/>
        <v>0.1825686457449415</v>
      </c>
      <c r="Y51">
        <f t="shared" si="33"/>
        <v>0</v>
      </c>
      <c r="Z51">
        <f t="shared" si="34"/>
        <v>0</v>
      </c>
      <c r="AB51" t="s">
        <v>50</v>
      </c>
      <c r="AC51" s="75" t="s">
        <v>1144</v>
      </c>
      <c r="AD51">
        <f t="shared" si="38"/>
        <v>0</v>
      </c>
      <c r="AE51">
        <f t="shared" si="35"/>
        <v>0</v>
      </c>
      <c r="AF51">
        <f t="shared" si="36"/>
        <v>0</v>
      </c>
      <c r="AG51">
        <f t="shared" si="11"/>
        <v>-1082.7064836397897</v>
      </c>
      <c r="AH51">
        <f t="shared" si="12"/>
        <v>-1082.7064836397897</v>
      </c>
      <c r="AJ51" t="s">
        <v>50</v>
      </c>
      <c r="AK51" s="75" t="s">
        <v>1144</v>
      </c>
      <c r="AL51">
        <f t="shared" si="13"/>
        <v>-0.12171243049662592</v>
      </c>
      <c r="AM51">
        <f t="shared" si="14"/>
        <v>0.1825686457449415</v>
      </c>
      <c r="AN51">
        <f t="shared" si="15"/>
        <v>0.1825686457449415</v>
      </c>
      <c r="AO51">
        <f t="shared" si="16"/>
        <v>-19.001200382570243</v>
      </c>
      <c r="AP51">
        <f t="shared" si="17"/>
        <v>-25.584130510522993</v>
      </c>
      <c r="AR51" t="s">
        <v>50</v>
      </c>
      <c r="AS51" s="75" t="s">
        <v>1144</v>
      </c>
      <c r="AT51">
        <f t="shared" si="18"/>
        <v>0</v>
      </c>
      <c r="AU51">
        <f t="shared" si="19"/>
        <v>0</v>
      </c>
      <c r="AV51">
        <f t="shared" si="20"/>
        <v>0</v>
      </c>
      <c r="AW51">
        <f t="shared" si="21"/>
        <v>-372.12071677488086</v>
      </c>
      <c r="AX51">
        <f t="shared" si="22"/>
        <v>-372.12071677488086</v>
      </c>
      <c r="AZ51" t="s">
        <v>50</v>
      </c>
      <c r="BA51" s="75" t="s">
        <v>1144</v>
      </c>
      <c r="BB51">
        <f t="shared" si="23"/>
        <v>0</v>
      </c>
      <c r="BC51">
        <f t="shared" si="24"/>
        <v>0</v>
      </c>
      <c r="BD51">
        <f t="shared" si="25"/>
        <v>0</v>
      </c>
      <c r="BE51">
        <f t="shared" si="26"/>
        <v>-720.49416324256936</v>
      </c>
      <c r="BF51">
        <f t="shared" si="27"/>
        <v>-720.49416324256936</v>
      </c>
    </row>
    <row r="52" spans="1:58" x14ac:dyDescent="0.2">
      <c r="A52" s="278" t="s">
        <v>980</v>
      </c>
      <c r="B52" s="75" t="s">
        <v>1144</v>
      </c>
      <c r="C52">
        <v>-1082.6838730952763</v>
      </c>
      <c r="D52">
        <v>-21.590157372853593</v>
      </c>
      <c r="E52">
        <v>-371.67785880353307</v>
      </c>
      <c r="F52">
        <v>-720.4941241447184</v>
      </c>
      <c r="G52">
        <v>-1082.7403994565595</v>
      </c>
      <c r="H52">
        <v>-21.700695025097939</v>
      </c>
      <c r="I52">
        <v>-372.78500373190258</v>
      </c>
      <c r="J52">
        <v>-720.49422188934591</v>
      </c>
      <c r="Q52" s="278" t="s">
        <v>980</v>
      </c>
      <c r="R52" s="75" t="s">
        <v>1144</v>
      </c>
      <c r="S52">
        <f t="shared" si="37"/>
        <v>-2.0883355604665902E-5</v>
      </c>
      <c r="T52">
        <f t="shared" si="28"/>
        <v>-2.0437413210446648E-3</v>
      </c>
      <c r="U52">
        <f t="shared" si="29"/>
        <v>-1.1900922237976449E-3</v>
      </c>
      <c r="V52">
        <f t="shared" si="30"/>
        <v>-5.4265326429030653E-8</v>
      </c>
      <c r="W52">
        <f t="shared" si="31"/>
        <v>3.1325033406893851E-5</v>
      </c>
      <c r="X52">
        <f t="shared" si="32"/>
        <v>3.0656119815683108E-3</v>
      </c>
      <c r="Y52">
        <f t="shared" si="33"/>
        <v>1.7851383356965438E-3</v>
      </c>
      <c r="Z52">
        <f t="shared" si="34"/>
        <v>8.1397989801336074E-8</v>
      </c>
      <c r="AB52" t="s">
        <v>980</v>
      </c>
      <c r="AC52" s="75" t="s">
        <v>1144</v>
      </c>
      <c r="AD52">
        <f t="shared" si="38"/>
        <v>-2.0883355604665902E-5</v>
      </c>
      <c r="AE52">
        <f t="shared" si="35"/>
        <v>3.1325033406893851E-5</v>
      </c>
      <c r="AF52">
        <f t="shared" si="36"/>
        <v>3.1325033406893851E-5</v>
      </c>
      <c r="AG52">
        <f t="shared" si="11"/>
        <v>-1082.6838730952763</v>
      </c>
      <c r="AH52">
        <f t="shared" si="12"/>
        <v>-1082.7403994565595</v>
      </c>
      <c r="AJ52" t="s">
        <v>980</v>
      </c>
      <c r="AK52" s="75" t="s">
        <v>1144</v>
      </c>
      <c r="AL52">
        <f t="shared" si="13"/>
        <v>-2.0437413210446648E-3</v>
      </c>
      <c r="AM52">
        <f t="shared" si="14"/>
        <v>3.0656119815683108E-3</v>
      </c>
      <c r="AN52">
        <f t="shared" si="15"/>
        <v>3.0656119815683108E-3</v>
      </c>
      <c r="AO52">
        <f t="shared" si="16"/>
        <v>-21.590157372853593</v>
      </c>
      <c r="AP52">
        <f t="shared" si="17"/>
        <v>-21.700695025097939</v>
      </c>
      <c r="AR52" t="s">
        <v>980</v>
      </c>
      <c r="AS52" s="75" t="s">
        <v>1144</v>
      </c>
      <c r="AT52">
        <f t="shared" si="18"/>
        <v>-1.1900922237976449E-3</v>
      </c>
      <c r="AU52">
        <f t="shared" si="19"/>
        <v>1.7851383356965438E-3</v>
      </c>
      <c r="AV52">
        <f t="shared" si="20"/>
        <v>1.7851383356965438E-3</v>
      </c>
      <c r="AW52">
        <f t="shared" si="21"/>
        <v>-371.67785880353307</v>
      </c>
      <c r="AX52">
        <f t="shared" si="22"/>
        <v>-372.78500373190258</v>
      </c>
      <c r="AZ52" t="s">
        <v>980</v>
      </c>
      <c r="BA52" s="75" t="s">
        <v>1144</v>
      </c>
      <c r="BB52">
        <f t="shared" si="23"/>
        <v>-5.4265326429030653E-8</v>
      </c>
      <c r="BC52">
        <f t="shared" si="24"/>
        <v>8.1397989801336074E-8</v>
      </c>
      <c r="BD52">
        <f t="shared" si="25"/>
        <v>8.1397989801336074E-8</v>
      </c>
      <c r="BE52">
        <f t="shared" si="26"/>
        <v>-720.4941241447184</v>
      </c>
      <c r="BF52">
        <f t="shared" si="27"/>
        <v>-720.49422188934591</v>
      </c>
    </row>
    <row r="53" spans="1:58" x14ac:dyDescent="0.2">
      <c r="A53" s="278" t="s">
        <v>982</v>
      </c>
      <c r="B53" s="75" t="s">
        <v>1144</v>
      </c>
      <c r="C53">
        <v>-1082.6989965002406</v>
      </c>
      <c r="D53">
        <v>-21.63373813808597</v>
      </c>
      <c r="E53">
        <v>-367.00145244498174</v>
      </c>
      <c r="F53">
        <v>-720.49210178678686</v>
      </c>
      <c r="G53">
        <v>-1082.7177143491131</v>
      </c>
      <c r="H53">
        <v>-21.635323877249316</v>
      </c>
      <c r="I53">
        <v>-379.79961326972943</v>
      </c>
      <c r="J53">
        <v>-720.4972554262431</v>
      </c>
      <c r="Q53" s="278" t="s">
        <v>982</v>
      </c>
      <c r="R53" s="75" t="s">
        <v>1144</v>
      </c>
      <c r="S53">
        <f t="shared" si="37"/>
        <v>-6.9152070872565869E-6</v>
      </c>
      <c r="T53">
        <f t="shared" si="28"/>
        <v>-2.9318884441511747E-5</v>
      </c>
      <c r="U53">
        <f t="shared" si="29"/>
        <v>-1.3756999003621956E-2</v>
      </c>
      <c r="V53">
        <f t="shared" si="30"/>
        <v>-2.8611693024938241E-6</v>
      </c>
      <c r="W53">
        <f t="shared" si="31"/>
        <v>1.0372810630674875E-5</v>
      </c>
      <c r="X53">
        <f t="shared" si="32"/>
        <v>4.3978326660953893E-5</v>
      </c>
      <c r="Y53">
        <f t="shared" si="33"/>
        <v>2.0635498505432628E-2</v>
      </c>
      <c r="Z53">
        <f t="shared" si="34"/>
        <v>4.2917539537407365E-6</v>
      </c>
      <c r="AB53" t="s">
        <v>982</v>
      </c>
      <c r="AC53" s="75" t="s">
        <v>1144</v>
      </c>
      <c r="AD53">
        <f t="shared" si="38"/>
        <v>-6.9152070872565869E-6</v>
      </c>
      <c r="AE53">
        <f t="shared" si="35"/>
        <v>1.0372810630674875E-5</v>
      </c>
      <c r="AF53">
        <f t="shared" si="36"/>
        <v>1.0372810630674875E-5</v>
      </c>
      <c r="AG53">
        <f t="shared" si="11"/>
        <v>-1082.6989965002406</v>
      </c>
      <c r="AH53">
        <f t="shared" si="12"/>
        <v>-1082.7177143491131</v>
      </c>
      <c r="AJ53" t="s">
        <v>982</v>
      </c>
      <c r="AK53" s="75" t="s">
        <v>1144</v>
      </c>
      <c r="AL53">
        <f t="shared" si="13"/>
        <v>-2.9318884441511747E-5</v>
      </c>
      <c r="AM53">
        <f t="shared" si="14"/>
        <v>4.3978326660953893E-5</v>
      </c>
      <c r="AN53">
        <f t="shared" si="15"/>
        <v>4.3978326660953893E-5</v>
      </c>
      <c r="AO53">
        <f t="shared" si="16"/>
        <v>-21.63373813808597</v>
      </c>
      <c r="AP53">
        <f t="shared" si="17"/>
        <v>-21.635323877249316</v>
      </c>
      <c r="AR53" t="s">
        <v>982</v>
      </c>
      <c r="AS53" s="75" t="s">
        <v>1144</v>
      </c>
      <c r="AT53">
        <f t="shared" si="18"/>
        <v>-1.3756999003621956E-2</v>
      </c>
      <c r="AU53">
        <f t="shared" si="19"/>
        <v>2.0635498505432628E-2</v>
      </c>
      <c r="AV53">
        <f t="shared" si="20"/>
        <v>2.0635498505432628E-2</v>
      </c>
      <c r="AW53">
        <f t="shared" si="21"/>
        <v>-367.00145244498174</v>
      </c>
      <c r="AX53">
        <f t="shared" si="22"/>
        <v>-379.79961326972943</v>
      </c>
      <c r="AZ53" t="s">
        <v>982</v>
      </c>
      <c r="BA53" s="75" t="s">
        <v>1144</v>
      </c>
      <c r="BB53">
        <f t="shared" si="23"/>
        <v>-2.8611693024938241E-6</v>
      </c>
      <c r="BC53">
        <f t="shared" si="24"/>
        <v>4.2917539537407365E-6</v>
      </c>
      <c r="BD53">
        <f t="shared" si="25"/>
        <v>4.2917539537407365E-6</v>
      </c>
      <c r="BE53">
        <f t="shared" si="26"/>
        <v>-720.49210178678686</v>
      </c>
      <c r="BF53">
        <f t="shared" si="27"/>
        <v>-720.4972554262431</v>
      </c>
    </row>
    <row r="54" spans="1:58" x14ac:dyDescent="0.2">
      <c r="A54" s="278" t="s">
        <v>10</v>
      </c>
      <c r="B54" s="75" t="s">
        <v>1144</v>
      </c>
      <c r="C54">
        <v>-1082.7064836397897</v>
      </c>
      <c r="D54">
        <v>-21.633335676955891</v>
      </c>
      <c r="E54">
        <v>-372.12071677488086</v>
      </c>
      <c r="F54">
        <v>-720.49416324256936</v>
      </c>
      <c r="G54">
        <v>-1082.7064836397897</v>
      </c>
      <c r="H54">
        <v>-21.635927568944492</v>
      </c>
      <c r="I54">
        <v>-372.12071677488086</v>
      </c>
      <c r="J54">
        <v>-720.49416324256936</v>
      </c>
      <c r="Q54" s="278" t="s">
        <v>10</v>
      </c>
      <c r="R54" s="75" t="s">
        <v>1144</v>
      </c>
      <c r="S54">
        <f t="shared" si="37"/>
        <v>0</v>
      </c>
      <c r="T54">
        <f t="shared" si="28"/>
        <v>-4.7921741136877446E-5</v>
      </c>
      <c r="U54">
        <f t="shared" si="29"/>
        <v>0</v>
      </c>
      <c r="V54">
        <f t="shared" si="30"/>
        <v>0</v>
      </c>
      <c r="W54">
        <f t="shared" si="31"/>
        <v>0</v>
      </c>
      <c r="X54">
        <f t="shared" si="32"/>
        <v>7.1882611706629889E-5</v>
      </c>
      <c r="Y54">
        <f t="shared" si="33"/>
        <v>0</v>
      </c>
      <c r="Z54">
        <f t="shared" si="34"/>
        <v>0</v>
      </c>
      <c r="AB54" t="s">
        <v>10</v>
      </c>
      <c r="AC54" s="75" t="s">
        <v>1144</v>
      </c>
      <c r="AD54">
        <f t="shared" si="38"/>
        <v>0</v>
      </c>
      <c r="AE54">
        <f t="shared" si="35"/>
        <v>0</v>
      </c>
      <c r="AF54">
        <f t="shared" si="36"/>
        <v>0</v>
      </c>
      <c r="AG54">
        <f t="shared" si="11"/>
        <v>-1082.7064836397897</v>
      </c>
      <c r="AH54">
        <f t="shared" si="12"/>
        <v>-1082.7064836397897</v>
      </c>
      <c r="AJ54" t="s">
        <v>10</v>
      </c>
      <c r="AK54" s="75" t="s">
        <v>1144</v>
      </c>
      <c r="AL54">
        <f t="shared" si="13"/>
        <v>-4.7921741136877446E-5</v>
      </c>
      <c r="AM54">
        <f t="shared" si="14"/>
        <v>7.1882611706629889E-5</v>
      </c>
      <c r="AN54">
        <f t="shared" si="15"/>
        <v>7.1882611706629889E-5</v>
      </c>
      <c r="AO54">
        <f t="shared" si="16"/>
        <v>-21.633335676955891</v>
      </c>
      <c r="AP54">
        <f t="shared" si="17"/>
        <v>-21.635927568944492</v>
      </c>
      <c r="AR54" t="s">
        <v>10</v>
      </c>
      <c r="AS54" s="75" t="s">
        <v>1144</v>
      </c>
      <c r="AT54">
        <f t="shared" si="18"/>
        <v>0</v>
      </c>
      <c r="AU54">
        <f t="shared" si="19"/>
        <v>0</v>
      </c>
      <c r="AV54">
        <f t="shared" si="20"/>
        <v>0</v>
      </c>
      <c r="AW54">
        <f t="shared" si="21"/>
        <v>-372.12071677488086</v>
      </c>
      <c r="AX54">
        <f t="shared" si="22"/>
        <v>-372.12071677488086</v>
      </c>
      <c r="AZ54" t="s">
        <v>10</v>
      </c>
      <c r="BA54" s="75" t="s">
        <v>1144</v>
      </c>
      <c r="BB54">
        <f t="shared" si="23"/>
        <v>0</v>
      </c>
      <c r="BC54">
        <f t="shared" si="24"/>
        <v>0</v>
      </c>
      <c r="BD54">
        <f t="shared" si="25"/>
        <v>0</v>
      </c>
      <c r="BE54">
        <f t="shared" si="26"/>
        <v>-720.49416324256936</v>
      </c>
      <c r="BF54">
        <f t="shared" si="27"/>
        <v>-720.49416324256936</v>
      </c>
    </row>
    <row r="55" spans="1:58" x14ac:dyDescent="0.2">
      <c r="A55" s="173" t="s">
        <v>979</v>
      </c>
      <c r="B55" s="75" t="s">
        <v>1144</v>
      </c>
      <c r="C55">
        <v>-1082.7046427251125</v>
      </c>
      <c r="D55">
        <v>-21.63437243375132</v>
      </c>
      <c r="E55">
        <v>-372.07053153848233</v>
      </c>
      <c r="F55">
        <v>-720.49416218558213</v>
      </c>
      <c r="G55">
        <v>-1082.709245011805</v>
      </c>
      <c r="H55">
        <v>-21.63437243375132</v>
      </c>
      <c r="I55">
        <v>-372.19599462947872</v>
      </c>
      <c r="J55">
        <v>-720.49416482805032</v>
      </c>
      <c r="Q55" s="173" t="s">
        <v>979</v>
      </c>
      <c r="R55" s="75" t="s">
        <v>1144</v>
      </c>
      <c r="S55">
        <f t="shared" si="37"/>
        <v>-1.7002896952673457E-6</v>
      </c>
      <c r="T55">
        <f t="shared" si="28"/>
        <v>0</v>
      </c>
      <c r="U55">
        <f t="shared" si="29"/>
        <v>-1.3486278547854608E-4</v>
      </c>
      <c r="V55">
        <f t="shared" si="30"/>
        <v>-1.4670309408598384E-9</v>
      </c>
      <c r="W55">
        <f t="shared" si="31"/>
        <v>2.5504345425860112E-6</v>
      </c>
      <c r="X55">
        <f t="shared" si="32"/>
        <v>0</v>
      </c>
      <c r="Y55">
        <f t="shared" si="33"/>
        <v>2.0229417821797187E-4</v>
      </c>
      <c r="Z55">
        <f t="shared" si="34"/>
        <v>2.200546569079846E-9</v>
      </c>
      <c r="AB55" t="s">
        <v>979</v>
      </c>
      <c r="AC55" s="75" t="s">
        <v>1144</v>
      </c>
      <c r="AD55">
        <f t="shared" si="38"/>
        <v>-1.7002896952673457E-6</v>
      </c>
      <c r="AE55">
        <f t="shared" si="35"/>
        <v>2.5504345425860112E-6</v>
      </c>
      <c r="AF55">
        <f t="shared" si="36"/>
        <v>2.5504345425860112E-6</v>
      </c>
      <c r="AG55">
        <f t="shared" si="11"/>
        <v>-1082.7046427251125</v>
      </c>
      <c r="AH55">
        <f t="shared" si="12"/>
        <v>-1082.709245011805</v>
      </c>
      <c r="AJ55" t="s">
        <v>979</v>
      </c>
      <c r="AK55" s="75" t="s">
        <v>1144</v>
      </c>
      <c r="AL55">
        <f t="shared" si="13"/>
        <v>0</v>
      </c>
      <c r="AM55">
        <f t="shared" si="14"/>
        <v>0</v>
      </c>
      <c r="AN55">
        <f t="shared" si="15"/>
        <v>0</v>
      </c>
      <c r="AO55">
        <f t="shared" si="16"/>
        <v>-21.63437243375132</v>
      </c>
      <c r="AP55">
        <f t="shared" si="17"/>
        <v>-21.63437243375132</v>
      </c>
      <c r="AR55" t="s">
        <v>979</v>
      </c>
      <c r="AS55" s="75" t="s">
        <v>1144</v>
      </c>
      <c r="AT55">
        <f t="shared" si="18"/>
        <v>-1.3486278547854608E-4</v>
      </c>
      <c r="AU55">
        <f t="shared" si="19"/>
        <v>2.0229417821797187E-4</v>
      </c>
      <c r="AV55">
        <f t="shared" si="20"/>
        <v>2.0229417821797187E-4</v>
      </c>
      <c r="AW55">
        <f t="shared" si="21"/>
        <v>-372.07053153848233</v>
      </c>
      <c r="AX55">
        <f t="shared" si="22"/>
        <v>-372.19599462947872</v>
      </c>
      <c r="AZ55" t="s">
        <v>979</v>
      </c>
      <c r="BA55" s="75" t="s">
        <v>1144</v>
      </c>
      <c r="BB55">
        <f t="shared" si="23"/>
        <v>-1.4670309408598384E-9</v>
      </c>
      <c r="BC55">
        <f t="shared" si="24"/>
        <v>2.200546569079846E-9</v>
      </c>
      <c r="BD55">
        <f t="shared" si="25"/>
        <v>2.200546569079846E-9</v>
      </c>
      <c r="BE55">
        <f t="shared" si="26"/>
        <v>-720.49416218558213</v>
      </c>
      <c r="BF55">
        <f t="shared" si="27"/>
        <v>-720.49416482805032</v>
      </c>
    </row>
    <row r="56" spans="1:58" x14ac:dyDescent="0.2">
      <c r="A56" s="278" t="s">
        <v>981</v>
      </c>
      <c r="B56" s="75" t="s">
        <v>1144</v>
      </c>
      <c r="C56">
        <v>-1082.5316792863093</v>
      </c>
      <c r="D56">
        <v>-21.63437243375132</v>
      </c>
      <c r="E56">
        <v>-372.08071019115823</v>
      </c>
      <c r="F56">
        <v>-720.49415641770588</v>
      </c>
      <c r="G56">
        <v>-1082.9686901700097</v>
      </c>
      <c r="H56">
        <v>-21.63437243375132</v>
      </c>
      <c r="I56">
        <v>-372.18072665046486</v>
      </c>
      <c r="J56">
        <v>-720.49417347986468</v>
      </c>
      <c r="Q56" s="278" t="s">
        <v>981</v>
      </c>
      <c r="R56" s="75" t="s">
        <v>1144</v>
      </c>
      <c r="S56">
        <f t="shared" si="37"/>
        <v>-1.6145128538686806E-4</v>
      </c>
      <c r="T56">
        <f t="shared" si="28"/>
        <v>0</v>
      </c>
      <c r="U56">
        <f t="shared" si="29"/>
        <v>-1.0750969220246832E-4</v>
      </c>
      <c r="V56">
        <f t="shared" si="30"/>
        <v>-9.4724757316910774E-9</v>
      </c>
      <c r="W56">
        <f t="shared" si="31"/>
        <v>2.4217692807988208E-4</v>
      </c>
      <c r="X56">
        <f t="shared" si="32"/>
        <v>0</v>
      </c>
      <c r="Y56">
        <f t="shared" si="33"/>
        <v>1.6126453830385523E-4</v>
      </c>
      <c r="Z56">
        <f t="shared" si="34"/>
        <v>1.4208713755326706E-8</v>
      </c>
      <c r="AB56" t="s">
        <v>981</v>
      </c>
      <c r="AC56" s="75" t="s">
        <v>1144</v>
      </c>
      <c r="AD56">
        <f t="shared" si="38"/>
        <v>-1.6145128538686806E-4</v>
      </c>
      <c r="AE56">
        <f t="shared" si="35"/>
        <v>2.4217692807988208E-4</v>
      </c>
      <c r="AF56">
        <f t="shared" si="36"/>
        <v>2.4217692807988208E-4</v>
      </c>
      <c r="AG56">
        <f t="shared" si="11"/>
        <v>-1082.5316792863093</v>
      </c>
      <c r="AH56">
        <f t="shared" si="12"/>
        <v>-1082.9686901700097</v>
      </c>
      <c r="AJ56" t="s">
        <v>981</v>
      </c>
      <c r="AK56" s="75" t="s">
        <v>1144</v>
      </c>
      <c r="AL56">
        <f t="shared" si="13"/>
        <v>0</v>
      </c>
      <c r="AM56">
        <f t="shared" si="14"/>
        <v>0</v>
      </c>
      <c r="AN56">
        <f t="shared" si="15"/>
        <v>0</v>
      </c>
      <c r="AO56">
        <f t="shared" si="16"/>
        <v>-21.63437243375132</v>
      </c>
      <c r="AP56">
        <f t="shared" si="17"/>
        <v>-21.63437243375132</v>
      </c>
      <c r="AR56" t="s">
        <v>981</v>
      </c>
      <c r="AS56" s="75" t="s">
        <v>1144</v>
      </c>
      <c r="AT56">
        <f t="shared" si="18"/>
        <v>-1.0750969220246832E-4</v>
      </c>
      <c r="AU56">
        <f t="shared" si="19"/>
        <v>1.6126453830385523E-4</v>
      </c>
      <c r="AV56">
        <f t="shared" si="20"/>
        <v>1.6126453830385523E-4</v>
      </c>
      <c r="AW56">
        <f t="shared" si="21"/>
        <v>-372.08071019115823</v>
      </c>
      <c r="AX56">
        <f t="shared" si="22"/>
        <v>-372.18072665046486</v>
      </c>
      <c r="AZ56" t="s">
        <v>981</v>
      </c>
      <c r="BA56" s="75" t="s">
        <v>1144</v>
      </c>
      <c r="BB56">
        <f t="shared" si="23"/>
        <v>-9.4724757316910774E-9</v>
      </c>
      <c r="BC56">
        <f t="shared" si="24"/>
        <v>1.4208713755326706E-8</v>
      </c>
      <c r="BD56">
        <f t="shared" si="25"/>
        <v>1.4208713755326706E-8</v>
      </c>
      <c r="BE56">
        <f t="shared" si="26"/>
        <v>-720.49415641770588</v>
      </c>
      <c r="BF56">
        <f t="shared" si="27"/>
        <v>-720.49417347986468</v>
      </c>
    </row>
    <row r="57" spans="1:58" x14ac:dyDescent="0.2">
      <c r="A57" s="278" t="s">
        <v>915</v>
      </c>
      <c r="B57" s="75" t="s">
        <v>1144</v>
      </c>
      <c r="C57">
        <v>-1082.7064836397897</v>
      </c>
      <c r="D57">
        <v>-21.63437243375132</v>
      </c>
      <c r="E57">
        <v>-372.12071677488086</v>
      </c>
      <c r="F57">
        <v>-720.49416263163289</v>
      </c>
      <c r="G57">
        <v>-1082.7064836397897</v>
      </c>
      <c r="H57">
        <v>-21.63437243375132</v>
      </c>
      <c r="I57">
        <v>-372.12071677488086</v>
      </c>
      <c r="J57">
        <v>-720.49416415897417</v>
      </c>
      <c r="Q57" s="278" t="s">
        <v>915</v>
      </c>
      <c r="R57" s="75" t="s">
        <v>1144</v>
      </c>
      <c r="S57">
        <f t="shared" si="37"/>
        <v>0</v>
      </c>
      <c r="T57">
        <f t="shared" si="28"/>
        <v>0</v>
      </c>
      <c r="U57">
        <f t="shared" si="29"/>
        <v>0</v>
      </c>
      <c r="V57">
        <f t="shared" si="30"/>
        <v>-8.4794089779735343E-10</v>
      </c>
      <c r="W57">
        <f t="shared" si="31"/>
        <v>0</v>
      </c>
      <c r="X57">
        <f t="shared" si="32"/>
        <v>0</v>
      </c>
      <c r="Y57">
        <f t="shared" si="33"/>
        <v>0</v>
      </c>
      <c r="Z57">
        <f t="shared" si="34"/>
        <v>1.2719115044861186E-9</v>
      </c>
      <c r="AB57" t="s">
        <v>915</v>
      </c>
      <c r="AC57" s="75" t="s">
        <v>1144</v>
      </c>
      <c r="AD57">
        <f t="shared" si="38"/>
        <v>0</v>
      </c>
      <c r="AE57">
        <f t="shared" si="35"/>
        <v>0</v>
      </c>
      <c r="AF57">
        <f t="shared" si="36"/>
        <v>0</v>
      </c>
      <c r="AG57">
        <f t="shared" si="11"/>
        <v>-1082.7064836397897</v>
      </c>
      <c r="AH57">
        <f t="shared" si="12"/>
        <v>-1082.7064836397897</v>
      </c>
      <c r="AJ57" t="s">
        <v>915</v>
      </c>
      <c r="AK57" s="75" t="s">
        <v>1144</v>
      </c>
      <c r="AL57">
        <f t="shared" si="13"/>
        <v>0</v>
      </c>
      <c r="AM57">
        <f t="shared" si="14"/>
        <v>0</v>
      </c>
      <c r="AN57">
        <f t="shared" si="15"/>
        <v>0</v>
      </c>
      <c r="AO57">
        <f t="shared" si="16"/>
        <v>-21.63437243375132</v>
      </c>
      <c r="AP57">
        <f t="shared" si="17"/>
        <v>-21.63437243375132</v>
      </c>
      <c r="AR57" t="s">
        <v>915</v>
      </c>
      <c r="AS57" s="75" t="s">
        <v>1144</v>
      </c>
      <c r="AT57">
        <f t="shared" si="18"/>
        <v>0</v>
      </c>
      <c r="AU57">
        <f t="shared" si="19"/>
        <v>0</v>
      </c>
      <c r="AV57">
        <f t="shared" si="20"/>
        <v>0</v>
      </c>
      <c r="AW57">
        <f t="shared" si="21"/>
        <v>-372.12071677488086</v>
      </c>
      <c r="AX57">
        <f t="shared" si="22"/>
        <v>-372.12071677488086</v>
      </c>
      <c r="AZ57" t="s">
        <v>915</v>
      </c>
      <c r="BA57" s="75" t="s">
        <v>1144</v>
      </c>
      <c r="BB57">
        <f t="shared" si="23"/>
        <v>-8.4794089779735343E-10</v>
      </c>
      <c r="BC57">
        <f t="shared" si="24"/>
        <v>1.2719115044861186E-9</v>
      </c>
      <c r="BD57">
        <f t="shared" si="25"/>
        <v>1.2719115044861186E-9</v>
      </c>
      <c r="BE57">
        <f t="shared" si="26"/>
        <v>-720.49416263163289</v>
      </c>
      <c r="BF57">
        <f t="shared" si="27"/>
        <v>-720.49416415897417</v>
      </c>
    </row>
    <row r="58" spans="1:58" x14ac:dyDescent="0.2">
      <c r="A58" s="278"/>
      <c r="B58" s="75"/>
      <c r="C58">
        <v>-1082.7064836397897</v>
      </c>
      <c r="D58">
        <v>-21.63437243375132</v>
      </c>
      <c r="E58">
        <v>-372.12071677488086</v>
      </c>
      <c r="F58">
        <v>-720.49416324256936</v>
      </c>
      <c r="G58">
        <v>-1082.7064836397897</v>
      </c>
      <c r="H58">
        <v>-21.63437243375132</v>
      </c>
      <c r="I58">
        <v>-372.12071677488086</v>
      </c>
      <c r="J58">
        <v>-720.49416324256936</v>
      </c>
      <c r="Q58" s="278"/>
      <c r="R58" s="75"/>
      <c r="S58">
        <f t="shared" si="37"/>
        <v>0</v>
      </c>
      <c r="T58">
        <f t="shared" si="28"/>
        <v>0</v>
      </c>
      <c r="U58">
        <f t="shared" si="29"/>
        <v>0</v>
      </c>
      <c r="V58">
        <f t="shared" si="30"/>
        <v>0</v>
      </c>
      <c r="W58">
        <f t="shared" si="31"/>
        <v>0</v>
      </c>
      <c r="X58">
        <f t="shared" si="32"/>
        <v>0</v>
      </c>
      <c r="Y58">
        <f t="shared" si="33"/>
        <v>0</v>
      </c>
      <c r="Z58">
        <f t="shared" si="34"/>
        <v>0</v>
      </c>
      <c r="AD58">
        <f t="shared" si="38"/>
        <v>0</v>
      </c>
      <c r="AE58">
        <f t="shared" si="35"/>
        <v>0</v>
      </c>
      <c r="AF58">
        <f t="shared" si="36"/>
        <v>0</v>
      </c>
      <c r="AG58">
        <f t="shared" si="11"/>
        <v>-1082.7064836397897</v>
      </c>
      <c r="AH58">
        <f t="shared" si="12"/>
        <v>-1082.7064836397897</v>
      </c>
      <c r="AL58">
        <f t="shared" si="13"/>
        <v>0</v>
      </c>
      <c r="AM58">
        <f t="shared" si="14"/>
        <v>0</v>
      </c>
      <c r="AN58">
        <f t="shared" si="15"/>
        <v>0</v>
      </c>
      <c r="AO58">
        <f t="shared" si="16"/>
        <v>-21.63437243375132</v>
      </c>
      <c r="AP58">
        <f t="shared" si="17"/>
        <v>-21.63437243375132</v>
      </c>
      <c r="AT58">
        <f t="shared" si="18"/>
        <v>0</v>
      </c>
      <c r="AU58">
        <f t="shared" si="19"/>
        <v>0</v>
      </c>
      <c r="AV58">
        <f t="shared" si="20"/>
        <v>0</v>
      </c>
      <c r="AW58">
        <f t="shared" si="21"/>
        <v>-372.12071677488086</v>
      </c>
      <c r="AX58">
        <f t="shared" si="22"/>
        <v>-372.12071677488086</v>
      </c>
      <c r="BB58">
        <f t="shared" si="23"/>
        <v>0</v>
      </c>
      <c r="BC58">
        <f t="shared" si="24"/>
        <v>0</v>
      </c>
      <c r="BD58">
        <f t="shared" si="25"/>
        <v>0</v>
      </c>
      <c r="BE58">
        <f t="shared" si="26"/>
        <v>-720.49416324256936</v>
      </c>
      <c r="BF58">
        <f t="shared" si="27"/>
        <v>-720.49416324256936</v>
      </c>
    </row>
    <row r="59" spans="1:58" x14ac:dyDescent="0.2">
      <c r="A59" s="279" t="s">
        <v>1090</v>
      </c>
      <c r="B59" s="266"/>
      <c r="C59">
        <v>-1082.7064836397897</v>
      </c>
      <c r="D59">
        <v>-21.63437243375132</v>
      </c>
      <c r="E59">
        <v>-372.12071677488086</v>
      </c>
      <c r="F59">
        <v>-720.49416324256936</v>
      </c>
      <c r="G59">
        <v>-1082.7064836397897</v>
      </c>
      <c r="H59">
        <v>-21.63437243375132</v>
      </c>
      <c r="I59">
        <v>-372.12071677488086</v>
      </c>
      <c r="J59">
        <v>-720.49416324256936</v>
      </c>
      <c r="Q59" s="279" t="s">
        <v>1090</v>
      </c>
      <c r="R59" s="266"/>
      <c r="S59">
        <f t="shared" si="37"/>
        <v>0</v>
      </c>
      <c r="T59">
        <f t="shared" si="28"/>
        <v>0</v>
      </c>
      <c r="U59">
        <f t="shared" si="29"/>
        <v>0</v>
      </c>
      <c r="V59">
        <f t="shared" si="30"/>
        <v>0</v>
      </c>
      <c r="W59">
        <f t="shared" si="31"/>
        <v>0</v>
      </c>
      <c r="X59">
        <f t="shared" si="32"/>
        <v>0</v>
      </c>
      <c r="Y59">
        <f t="shared" si="33"/>
        <v>0</v>
      </c>
      <c r="Z59">
        <f t="shared" si="34"/>
        <v>0</v>
      </c>
      <c r="AB59" t="s">
        <v>1090</v>
      </c>
      <c r="AD59">
        <f t="shared" si="38"/>
        <v>0</v>
      </c>
      <c r="AE59">
        <f t="shared" si="35"/>
        <v>0</v>
      </c>
      <c r="AF59">
        <f t="shared" si="36"/>
        <v>0</v>
      </c>
      <c r="AG59">
        <f t="shared" si="11"/>
        <v>-1082.7064836397897</v>
      </c>
      <c r="AH59">
        <f t="shared" si="12"/>
        <v>-1082.7064836397897</v>
      </c>
      <c r="AJ59" t="s">
        <v>1090</v>
      </c>
      <c r="AL59">
        <f t="shared" si="13"/>
        <v>0</v>
      </c>
      <c r="AM59">
        <f t="shared" si="14"/>
        <v>0</v>
      </c>
      <c r="AN59">
        <f t="shared" si="15"/>
        <v>0</v>
      </c>
      <c r="AO59">
        <f t="shared" si="16"/>
        <v>-21.63437243375132</v>
      </c>
      <c r="AP59">
        <f t="shared" si="17"/>
        <v>-21.63437243375132</v>
      </c>
      <c r="AR59" t="s">
        <v>1090</v>
      </c>
      <c r="AT59">
        <f t="shared" si="18"/>
        <v>0</v>
      </c>
      <c r="AU59">
        <f t="shared" si="19"/>
        <v>0</v>
      </c>
      <c r="AV59">
        <f t="shared" si="20"/>
        <v>0</v>
      </c>
      <c r="AW59">
        <f t="shared" si="21"/>
        <v>-372.12071677488086</v>
      </c>
      <c r="AX59">
        <f t="shared" si="22"/>
        <v>-372.12071677488086</v>
      </c>
      <c r="AZ59" t="s">
        <v>1090</v>
      </c>
      <c r="BB59">
        <f t="shared" si="23"/>
        <v>0</v>
      </c>
      <c r="BC59">
        <f t="shared" si="24"/>
        <v>0</v>
      </c>
      <c r="BD59">
        <f t="shared" si="25"/>
        <v>0</v>
      </c>
      <c r="BE59">
        <f t="shared" si="26"/>
        <v>-720.49416324256936</v>
      </c>
      <c r="BF59">
        <f t="shared" si="27"/>
        <v>-720.49416324256936</v>
      </c>
    </row>
    <row r="60" spans="1:58" x14ac:dyDescent="0.2">
      <c r="A60" s="278" t="s">
        <v>990</v>
      </c>
      <c r="B60" s="75" t="s">
        <v>1144</v>
      </c>
      <c r="C60">
        <v>-1082.7064836397897</v>
      </c>
      <c r="D60">
        <v>-11.488548015113063</v>
      </c>
      <c r="E60">
        <v>-372.12071677488086</v>
      </c>
      <c r="F60">
        <v>-720.49416324256936</v>
      </c>
      <c r="G60">
        <v>-1082.7064836397897</v>
      </c>
      <c r="H60">
        <v>-36.853109061708707</v>
      </c>
      <c r="I60">
        <v>-372.12071677488086</v>
      </c>
      <c r="J60">
        <v>-720.49416324256936</v>
      </c>
      <c r="Q60" s="278" t="s">
        <v>990</v>
      </c>
      <c r="R60" s="75" t="s">
        <v>1144</v>
      </c>
      <c r="S60">
        <f t="shared" si="37"/>
        <v>0</v>
      </c>
      <c r="T60">
        <f t="shared" si="28"/>
        <v>-0.46896781728736325</v>
      </c>
      <c r="U60">
        <f t="shared" si="29"/>
        <v>0</v>
      </c>
      <c r="V60">
        <f t="shared" si="30"/>
        <v>0</v>
      </c>
      <c r="W60">
        <f t="shared" si="31"/>
        <v>0</v>
      </c>
      <c r="X60">
        <f t="shared" si="32"/>
        <v>0.70345172593104488</v>
      </c>
      <c r="Y60">
        <f t="shared" si="33"/>
        <v>0</v>
      </c>
      <c r="Z60">
        <f t="shared" si="34"/>
        <v>0</v>
      </c>
      <c r="AB60" t="s">
        <v>990</v>
      </c>
      <c r="AC60" s="75" t="s">
        <v>1144</v>
      </c>
      <c r="AD60">
        <f t="shared" si="38"/>
        <v>0</v>
      </c>
      <c r="AE60">
        <f t="shared" si="35"/>
        <v>0</v>
      </c>
      <c r="AF60">
        <f t="shared" si="36"/>
        <v>0</v>
      </c>
      <c r="AG60">
        <f t="shared" si="11"/>
        <v>-1082.7064836397897</v>
      </c>
      <c r="AH60">
        <f t="shared" si="12"/>
        <v>-1082.7064836397897</v>
      </c>
      <c r="AJ60" t="s">
        <v>990</v>
      </c>
      <c r="AK60" s="75" t="s">
        <v>1144</v>
      </c>
      <c r="AL60">
        <f t="shared" si="13"/>
        <v>-0.46896781728736325</v>
      </c>
      <c r="AM60">
        <f t="shared" si="14"/>
        <v>0.70345172593104488</v>
      </c>
      <c r="AN60">
        <f t="shared" si="15"/>
        <v>0.70345172593104488</v>
      </c>
      <c r="AO60">
        <f t="shared" si="16"/>
        <v>-11.488548015113063</v>
      </c>
      <c r="AP60">
        <f t="shared" si="17"/>
        <v>-36.853109061708707</v>
      </c>
      <c r="AR60" t="s">
        <v>990</v>
      </c>
      <c r="AS60" s="75" t="s">
        <v>1144</v>
      </c>
      <c r="AT60">
        <f t="shared" si="18"/>
        <v>0</v>
      </c>
      <c r="AU60">
        <f t="shared" si="19"/>
        <v>0</v>
      </c>
      <c r="AV60">
        <f t="shared" si="20"/>
        <v>0</v>
      </c>
      <c r="AW60">
        <f t="shared" si="21"/>
        <v>-372.12071677488086</v>
      </c>
      <c r="AX60">
        <f t="shared" si="22"/>
        <v>-372.12071677488086</v>
      </c>
      <c r="AZ60" t="s">
        <v>990</v>
      </c>
      <c r="BA60" s="75" t="s">
        <v>1144</v>
      </c>
      <c r="BB60">
        <f t="shared" si="23"/>
        <v>0</v>
      </c>
      <c r="BC60">
        <f t="shared" si="24"/>
        <v>0</v>
      </c>
      <c r="BD60">
        <f t="shared" si="25"/>
        <v>0</v>
      </c>
      <c r="BE60">
        <f t="shared" si="26"/>
        <v>-720.49416324256936</v>
      </c>
      <c r="BF60">
        <f t="shared" si="27"/>
        <v>-720.49416324256936</v>
      </c>
    </row>
    <row r="61" spans="1:58" x14ac:dyDescent="0.2">
      <c r="A61" s="278" t="s">
        <v>991</v>
      </c>
      <c r="B61" s="75" t="s">
        <v>1144</v>
      </c>
      <c r="C61">
        <v>-1082.7064836397897</v>
      </c>
      <c r="D61">
        <v>-20.799196035894521</v>
      </c>
      <c r="E61">
        <v>-372.12071651179781</v>
      </c>
      <c r="F61">
        <v>-720.49416324256936</v>
      </c>
      <c r="G61">
        <v>-1082.7064836397897</v>
      </c>
      <c r="H61">
        <v>-22.887137030536518</v>
      </c>
      <c r="I61">
        <v>-372.1207171695055</v>
      </c>
      <c r="J61">
        <v>-720.49416324256936</v>
      </c>
      <c r="Q61" s="278" t="s">
        <v>991</v>
      </c>
      <c r="R61" s="75" t="s">
        <v>1144</v>
      </c>
      <c r="S61">
        <f t="shared" si="37"/>
        <v>0</v>
      </c>
      <c r="T61">
        <f t="shared" si="28"/>
        <v>-3.8604142570544731E-2</v>
      </c>
      <c r="U61">
        <f t="shared" si="29"/>
        <v>-7.0698308471565218E-10</v>
      </c>
      <c r="V61">
        <f t="shared" si="30"/>
        <v>0</v>
      </c>
      <c r="W61">
        <f t="shared" si="31"/>
        <v>0</v>
      </c>
      <c r="X61">
        <f t="shared" si="32"/>
        <v>5.7906213855817096E-2</v>
      </c>
      <c r="Y61">
        <f t="shared" si="33"/>
        <v>1.0604747798287976E-9</v>
      </c>
      <c r="Z61">
        <f t="shared" si="34"/>
        <v>0</v>
      </c>
      <c r="AB61" t="s">
        <v>991</v>
      </c>
      <c r="AC61" s="75" t="s">
        <v>1144</v>
      </c>
      <c r="AD61">
        <f t="shared" si="38"/>
        <v>0</v>
      </c>
      <c r="AE61">
        <f t="shared" si="35"/>
        <v>0</v>
      </c>
      <c r="AF61">
        <f t="shared" si="36"/>
        <v>0</v>
      </c>
      <c r="AG61">
        <f t="shared" si="11"/>
        <v>-1082.7064836397897</v>
      </c>
      <c r="AH61">
        <f t="shared" si="12"/>
        <v>-1082.7064836397897</v>
      </c>
      <c r="AJ61" t="s">
        <v>991</v>
      </c>
      <c r="AK61" s="75" t="s">
        <v>1144</v>
      </c>
      <c r="AL61">
        <f t="shared" si="13"/>
        <v>-3.8604142570544731E-2</v>
      </c>
      <c r="AM61">
        <f t="shared" si="14"/>
        <v>5.7906213855817096E-2</v>
      </c>
      <c r="AN61">
        <f t="shared" si="15"/>
        <v>5.7906213855817096E-2</v>
      </c>
      <c r="AO61">
        <f t="shared" si="16"/>
        <v>-20.799196035894521</v>
      </c>
      <c r="AP61">
        <f t="shared" si="17"/>
        <v>-22.887137030536518</v>
      </c>
      <c r="AR61" t="s">
        <v>991</v>
      </c>
      <c r="AS61" s="75" t="s">
        <v>1144</v>
      </c>
      <c r="AT61">
        <f t="shared" si="18"/>
        <v>-7.0698308471565218E-10</v>
      </c>
      <c r="AU61">
        <f t="shared" si="19"/>
        <v>1.0604747798287976E-9</v>
      </c>
      <c r="AV61">
        <f t="shared" si="20"/>
        <v>1.0604747798287976E-9</v>
      </c>
      <c r="AW61">
        <f t="shared" si="21"/>
        <v>-372.12071651179781</v>
      </c>
      <c r="AX61">
        <f t="shared" si="22"/>
        <v>-372.1207171695055</v>
      </c>
      <c r="AZ61" t="s">
        <v>991</v>
      </c>
      <c r="BA61" s="75" t="s">
        <v>1144</v>
      </c>
      <c r="BB61">
        <f t="shared" si="23"/>
        <v>0</v>
      </c>
      <c r="BC61">
        <f t="shared" si="24"/>
        <v>0</v>
      </c>
      <c r="BD61">
        <f t="shared" si="25"/>
        <v>0</v>
      </c>
      <c r="BE61">
        <f t="shared" si="26"/>
        <v>-720.49416324256936</v>
      </c>
      <c r="BF61">
        <f t="shared" si="27"/>
        <v>-720.49416324256936</v>
      </c>
    </row>
    <row r="62" spans="1:58" x14ac:dyDescent="0.2">
      <c r="A62" s="278" t="s">
        <v>197</v>
      </c>
      <c r="B62" s="75" t="s">
        <v>1144</v>
      </c>
      <c r="C62">
        <v>-1082.7064836397897</v>
      </c>
      <c r="D62">
        <v>-15.744479694646893</v>
      </c>
      <c r="E62">
        <v>-372.12071677488086</v>
      </c>
      <c r="F62">
        <v>-720.49416324256936</v>
      </c>
      <c r="G62">
        <v>-1082.7064836397897</v>
      </c>
      <c r="H62">
        <v>-30.469211542408043</v>
      </c>
      <c r="I62">
        <v>-372.12071677488086</v>
      </c>
      <c r="J62">
        <v>-720.49416324256936</v>
      </c>
      <c r="Q62" s="278" t="s">
        <v>197</v>
      </c>
      <c r="R62" s="75" t="s">
        <v>1144</v>
      </c>
      <c r="S62">
        <f t="shared" si="37"/>
        <v>0</v>
      </c>
      <c r="T62">
        <f t="shared" si="28"/>
        <v>-0.27224698831179089</v>
      </c>
      <c r="U62">
        <f t="shared" si="29"/>
        <v>0</v>
      </c>
      <c r="V62">
        <f t="shared" si="30"/>
        <v>0</v>
      </c>
      <c r="W62">
        <f t="shared" si="31"/>
        <v>0</v>
      </c>
      <c r="X62">
        <f t="shared" si="32"/>
        <v>0.4083704824676902</v>
      </c>
      <c r="Y62">
        <f t="shared" si="33"/>
        <v>0</v>
      </c>
      <c r="Z62">
        <f t="shared" si="34"/>
        <v>0</v>
      </c>
      <c r="AB62" t="s">
        <v>197</v>
      </c>
      <c r="AC62" s="75" t="s">
        <v>1144</v>
      </c>
      <c r="AD62">
        <f t="shared" si="38"/>
        <v>0</v>
      </c>
      <c r="AE62">
        <f t="shared" si="35"/>
        <v>0</v>
      </c>
      <c r="AF62">
        <f t="shared" si="36"/>
        <v>0</v>
      </c>
      <c r="AG62">
        <f t="shared" si="11"/>
        <v>-1082.7064836397897</v>
      </c>
      <c r="AH62">
        <f t="shared" si="12"/>
        <v>-1082.7064836397897</v>
      </c>
      <c r="AJ62" t="s">
        <v>197</v>
      </c>
      <c r="AK62" s="75" t="s">
        <v>1144</v>
      </c>
      <c r="AL62">
        <f t="shared" si="13"/>
        <v>-0.27224698831179089</v>
      </c>
      <c r="AM62">
        <f t="shared" si="14"/>
        <v>0.4083704824676902</v>
      </c>
      <c r="AN62">
        <f t="shared" si="15"/>
        <v>0.4083704824676902</v>
      </c>
      <c r="AO62">
        <f t="shared" si="16"/>
        <v>-15.744479694646893</v>
      </c>
      <c r="AP62">
        <f t="shared" si="17"/>
        <v>-30.469211542408043</v>
      </c>
      <c r="AR62" t="s">
        <v>197</v>
      </c>
      <c r="AS62" s="75" t="s">
        <v>1144</v>
      </c>
      <c r="AT62">
        <f t="shared" si="18"/>
        <v>0</v>
      </c>
      <c r="AU62">
        <f t="shared" si="19"/>
        <v>0</v>
      </c>
      <c r="AV62">
        <f t="shared" si="20"/>
        <v>0</v>
      </c>
      <c r="AW62">
        <f t="shared" si="21"/>
        <v>-372.12071677488086</v>
      </c>
      <c r="AX62">
        <f t="shared" si="22"/>
        <v>-372.12071677488086</v>
      </c>
      <c r="AZ62" t="s">
        <v>197</v>
      </c>
      <c r="BA62" s="75" t="s">
        <v>1144</v>
      </c>
      <c r="BB62">
        <f t="shared" si="23"/>
        <v>0</v>
      </c>
      <c r="BC62">
        <f t="shared" si="24"/>
        <v>0</v>
      </c>
      <c r="BD62">
        <f t="shared" si="25"/>
        <v>0</v>
      </c>
      <c r="BE62">
        <f t="shared" si="26"/>
        <v>-720.49416324256936</v>
      </c>
      <c r="BF62">
        <f t="shared" si="27"/>
        <v>-720.49416324256936</v>
      </c>
    </row>
    <row r="63" spans="1:58" x14ac:dyDescent="0.2">
      <c r="A63" s="278" t="s">
        <v>998</v>
      </c>
      <c r="B63" s="75" t="s">
        <v>1144</v>
      </c>
      <c r="C63">
        <v>-1082.7064836397897</v>
      </c>
      <c r="D63">
        <v>-21.525109603636377</v>
      </c>
      <c r="E63">
        <v>-372.12071677488086</v>
      </c>
      <c r="F63">
        <v>-720.29396438345111</v>
      </c>
      <c r="G63">
        <v>-1082.7064836397897</v>
      </c>
      <c r="H63">
        <v>-21.798266678923749</v>
      </c>
      <c r="I63">
        <v>-372.12071677488086</v>
      </c>
      <c r="J63">
        <v>-720.79446153124672</v>
      </c>
      <c r="Q63" s="278" t="s">
        <v>998</v>
      </c>
      <c r="R63" s="75" t="s">
        <v>1144</v>
      </c>
      <c r="S63">
        <f t="shared" si="37"/>
        <v>0</v>
      </c>
      <c r="T63">
        <f t="shared" si="28"/>
        <v>-5.0504275291334355E-3</v>
      </c>
      <c r="U63">
        <f t="shared" si="29"/>
        <v>0</v>
      </c>
      <c r="V63">
        <f t="shared" si="30"/>
        <v>-2.7786326292673132E-4</v>
      </c>
      <c r="W63">
        <f t="shared" si="31"/>
        <v>0</v>
      </c>
      <c r="X63">
        <f t="shared" si="32"/>
        <v>7.5756412937008112E-3</v>
      </c>
      <c r="Y63">
        <f t="shared" si="33"/>
        <v>0</v>
      </c>
      <c r="Z63">
        <f t="shared" si="34"/>
        <v>4.1679489439009693E-4</v>
      </c>
      <c r="AB63" t="s">
        <v>998</v>
      </c>
      <c r="AC63" s="75" t="s">
        <v>1144</v>
      </c>
      <c r="AD63">
        <f t="shared" si="38"/>
        <v>0</v>
      </c>
      <c r="AE63">
        <f t="shared" si="35"/>
        <v>0</v>
      </c>
      <c r="AF63">
        <f t="shared" si="36"/>
        <v>0</v>
      </c>
      <c r="AG63">
        <f t="shared" si="11"/>
        <v>-1082.7064836397897</v>
      </c>
      <c r="AH63">
        <f t="shared" si="12"/>
        <v>-1082.7064836397897</v>
      </c>
      <c r="AJ63" t="s">
        <v>998</v>
      </c>
      <c r="AK63" s="75" t="s">
        <v>1144</v>
      </c>
      <c r="AL63">
        <f t="shared" si="13"/>
        <v>-5.0504275291334355E-3</v>
      </c>
      <c r="AM63">
        <f t="shared" si="14"/>
        <v>7.5756412937008112E-3</v>
      </c>
      <c r="AN63">
        <f t="shared" si="15"/>
        <v>7.5756412937008112E-3</v>
      </c>
      <c r="AO63">
        <f t="shared" si="16"/>
        <v>-21.525109603636377</v>
      </c>
      <c r="AP63">
        <f t="shared" si="17"/>
        <v>-21.798266678923749</v>
      </c>
      <c r="AR63" t="s">
        <v>998</v>
      </c>
      <c r="AS63" s="75" t="s">
        <v>1144</v>
      </c>
      <c r="AT63">
        <f t="shared" si="18"/>
        <v>0</v>
      </c>
      <c r="AU63">
        <f t="shared" si="19"/>
        <v>0</v>
      </c>
      <c r="AV63">
        <f t="shared" si="20"/>
        <v>0</v>
      </c>
      <c r="AW63">
        <f t="shared" si="21"/>
        <v>-372.12071677488086</v>
      </c>
      <c r="AX63">
        <f t="shared" si="22"/>
        <v>-372.12071677488086</v>
      </c>
      <c r="AZ63" t="s">
        <v>998</v>
      </c>
      <c r="BA63" s="75" t="s">
        <v>1144</v>
      </c>
      <c r="BB63">
        <f t="shared" si="23"/>
        <v>-2.7786326292673132E-4</v>
      </c>
      <c r="BC63">
        <f t="shared" si="24"/>
        <v>4.1679489439009693E-4</v>
      </c>
      <c r="BD63">
        <f t="shared" si="25"/>
        <v>4.1679489439009693E-4</v>
      </c>
      <c r="BE63">
        <f t="shared" si="26"/>
        <v>-720.29396438345111</v>
      </c>
      <c r="BF63">
        <f t="shared" si="27"/>
        <v>-720.79446153124672</v>
      </c>
    </row>
    <row r="64" spans="1:58" x14ac:dyDescent="0.2">
      <c r="A64" s="278" t="s">
        <v>137</v>
      </c>
      <c r="B64" s="75" t="s">
        <v>1144</v>
      </c>
      <c r="C64">
        <v>-1082.7064807491029</v>
      </c>
      <c r="D64">
        <v>-21.223079258083413</v>
      </c>
      <c r="E64">
        <v>-372.12071677488086</v>
      </c>
      <c r="F64">
        <v>-720.38423226340069</v>
      </c>
      <c r="G64">
        <v>-1082.70648797582</v>
      </c>
      <c r="H64">
        <v>-22.251312197253309</v>
      </c>
      <c r="I64">
        <v>-372.12071677488086</v>
      </c>
      <c r="J64">
        <v>-720.65905971132224</v>
      </c>
      <c r="Q64" s="278" t="s">
        <v>137</v>
      </c>
      <c r="R64" s="75" t="s">
        <v>1144</v>
      </c>
      <c r="S64">
        <f t="shared" si="37"/>
        <v>-2.6698711467214373E-9</v>
      </c>
      <c r="T64">
        <f t="shared" si="28"/>
        <v>-1.9011098053681362E-2</v>
      </c>
      <c r="U64">
        <f t="shared" si="29"/>
        <v>0</v>
      </c>
      <c r="V64">
        <f t="shared" si="30"/>
        <v>-1.5257719600936712E-4</v>
      </c>
      <c r="W64">
        <f t="shared" si="31"/>
        <v>4.00480682508461E-9</v>
      </c>
      <c r="X64">
        <f t="shared" si="32"/>
        <v>2.8516647080527958E-2</v>
      </c>
      <c r="Y64">
        <f t="shared" si="33"/>
        <v>0</v>
      </c>
      <c r="Z64">
        <f t="shared" si="34"/>
        <v>2.2886579401389288E-4</v>
      </c>
      <c r="AB64" t="s">
        <v>137</v>
      </c>
      <c r="AC64" s="75" t="s">
        <v>1144</v>
      </c>
      <c r="AD64">
        <f t="shared" si="38"/>
        <v>-2.6698711467214373E-9</v>
      </c>
      <c r="AE64">
        <f t="shared" si="35"/>
        <v>4.00480682508461E-9</v>
      </c>
      <c r="AF64">
        <f t="shared" si="36"/>
        <v>4.00480682508461E-9</v>
      </c>
      <c r="AG64">
        <f t="shared" si="11"/>
        <v>-1082.7064807491029</v>
      </c>
      <c r="AH64">
        <f t="shared" si="12"/>
        <v>-1082.70648797582</v>
      </c>
      <c r="AJ64" t="s">
        <v>137</v>
      </c>
      <c r="AK64" s="75" t="s">
        <v>1144</v>
      </c>
      <c r="AL64">
        <f t="shared" si="13"/>
        <v>-1.9011098053681362E-2</v>
      </c>
      <c r="AM64">
        <f t="shared" si="14"/>
        <v>2.8516647080527958E-2</v>
      </c>
      <c r="AN64">
        <f t="shared" si="15"/>
        <v>2.8516647080527958E-2</v>
      </c>
      <c r="AO64">
        <f t="shared" si="16"/>
        <v>-21.223079258083413</v>
      </c>
      <c r="AP64">
        <f t="shared" si="17"/>
        <v>-22.251312197253309</v>
      </c>
      <c r="AR64" t="s">
        <v>137</v>
      </c>
      <c r="AS64" s="75" t="s">
        <v>1144</v>
      </c>
      <c r="AT64">
        <f t="shared" si="18"/>
        <v>0</v>
      </c>
      <c r="AU64">
        <f t="shared" si="19"/>
        <v>0</v>
      </c>
      <c r="AV64">
        <f t="shared" si="20"/>
        <v>0</v>
      </c>
      <c r="AW64">
        <f t="shared" si="21"/>
        <v>-372.12071677488086</v>
      </c>
      <c r="AX64">
        <f t="shared" si="22"/>
        <v>-372.12071677488086</v>
      </c>
      <c r="AZ64" t="s">
        <v>137</v>
      </c>
      <c r="BA64" s="75" t="s">
        <v>1144</v>
      </c>
      <c r="BB64">
        <f t="shared" si="23"/>
        <v>-1.5257719600936712E-4</v>
      </c>
      <c r="BC64">
        <f t="shared" si="24"/>
        <v>2.2886579401389288E-4</v>
      </c>
      <c r="BD64">
        <f t="shared" si="25"/>
        <v>2.2886579401389288E-4</v>
      </c>
      <c r="BE64">
        <f t="shared" si="26"/>
        <v>-720.38423226340069</v>
      </c>
      <c r="BF64">
        <f t="shared" si="27"/>
        <v>-720.65905971132224</v>
      </c>
    </row>
    <row r="65" spans="1:58" x14ac:dyDescent="0.2">
      <c r="A65" s="278" t="s">
        <v>993</v>
      </c>
      <c r="B65" s="75" t="s">
        <v>1144</v>
      </c>
      <c r="C65">
        <v>-1082.7064836397897</v>
      </c>
      <c r="D65">
        <v>-20.436722648042586</v>
      </c>
      <c r="E65">
        <v>-371.99433679428057</v>
      </c>
      <c r="F65">
        <v>-720.49416324256936</v>
      </c>
      <c r="G65">
        <v>-1082.7064836397897</v>
      </c>
      <c r="H65">
        <v>-23.43084711231462</v>
      </c>
      <c r="I65">
        <v>-372.31028674578135</v>
      </c>
      <c r="J65">
        <v>-720.49416324256936</v>
      </c>
      <c r="Q65" s="278" t="s">
        <v>993</v>
      </c>
      <c r="R65" s="75" t="s">
        <v>1144</v>
      </c>
      <c r="S65">
        <f t="shared" si="37"/>
        <v>0</v>
      </c>
      <c r="T65">
        <f t="shared" si="28"/>
        <v>-5.5358656202123345E-2</v>
      </c>
      <c r="U65">
        <f t="shared" si="29"/>
        <v>-3.3962092112368455E-4</v>
      </c>
      <c r="V65">
        <f t="shared" si="30"/>
        <v>0</v>
      </c>
      <c r="W65">
        <f t="shared" si="31"/>
        <v>0</v>
      </c>
      <c r="X65">
        <f t="shared" si="32"/>
        <v>8.3037984303194215E-2</v>
      </c>
      <c r="Y65">
        <f t="shared" si="33"/>
        <v>5.0943138168567956E-4</v>
      </c>
      <c r="Z65">
        <f t="shared" si="34"/>
        <v>0</v>
      </c>
      <c r="AB65" t="s">
        <v>993</v>
      </c>
      <c r="AC65" s="75" t="s">
        <v>1144</v>
      </c>
      <c r="AD65">
        <f t="shared" si="38"/>
        <v>0</v>
      </c>
      <c r="AE65">
        <f t="shared" si="35"/>
        <v>0</v>
      </c>
      <c r="AF65">
        <f t="shared" si="36"/>
        <v>0</v>
      </c>
      <c r="AG65">
        <f t="shared" si="11"/>
        <v>-1082.7064836397897</v>
      </c>
      <c r="AH65">
        <f t="shared" si="12"/>
        <v>-1082.7064836397897</v>
      </c>
      <c r="AJ65" t="s">
        <v>993</v>
      </c>
      <c r="AK65" s="75" t="s">
        <v>1144</v>
      </c>
      <c r="AL65">
        <f t="shared" si="13"/>
        <v>-5.5358656202123345E-2</v>
      </c>
      <c r="AM65">
        <f t="shared" si="14"/>
        <v>8.3037984303194215E-2</v>
      </c>
      <c r="AN65">
        <f t="shared" si="15"/>
        <v>8.3037984303194215E-2</v>
      </c>
      <c r="AO65">
        <f t="shared" si="16"/>
        <v>-20.436722648042586</v>
      </c>
      <c r="AP65">
        <f t="shared" si="17"/>
        <v>-23.43084711231462</v>
      </c>
      <c r="AR65" t="s">
        <v>993</v>
      </c>
      <c r="AS65" s="75" t="s">
        <v>1144</v>
      </c>
      <c r="AT65">
        <f t="shared" si="18"/>
        <v>-3.3962092112368455E-4</v>
      </c>
      <c r="AU65">
        <f t="shared" si="19"/>
        <v>5.0943138168567956E-4</v>
      </c>
      <c r="AV65">
        <f t="shared" si="20"/>
        <v>5.0943138168567956E-4</v>
      </c>
      <c r="AW65">
        <f t="shared" si="21"/>
        <v>-371.99433679428057</v>
      </c>
      <c r="AX65">
        <f t="shared" si="22"/>
        <v>-372.31028674578135</v>
      </c>
      <c r="AZ65" t="s">
        <v>993</v>
      </c>
      <c r="BA65" s="75" t="s">
        <v>1144</v>
      </c>
      <c r="BB65">
        <f t="shared" si="23"/>
        <v>0</v>
      </c>
      <c r="BC65">
        <f t="shared" si="24"/>
        <v>0</v>
      </c>
      <c r="BD65">
        <f t="shared" si="25"/>
        <v>0</v>
      </c>
      <c r="BE65">
        <f t="shared" si="26"/>
        <v>-720.49416324256936</v>
      </c>
      <c r="BF65">
        <f t="shared" si="27"/>
        <v>-720.49416324256936</v>
      </c>
    </row>
    <row r="66" spans="1:58" x14ac:dyDescent="0.2">
      <c r="A66" s="173" t="s">
        <v>580</v>
      </c>
      <c r="B66" s="75" t="s">
        <v>1144</v>
      </c>
      <c r="C66">
        <v>-932.61405447574191</v>
      </c>
      <c r="D66">
        <v>-21.63437243375132</v>
      </c>
      <c r="E66">
        <v>-372.12071677488086</v>
      </c>
      <c r="F66">
        <v>-720.49416324256936</v>
      </c>
      <c r="G66">
        <v>-1307.8451273858607</v>
      </c>
      <c r="H66">
        <v>-21.63437243375132</v>
      </c>
      <c r="I66">
        <v>-372.12071677488086</v>
      </c>
      <c r="J66">
        <v>-720.49416324256936</v>
      </c>
      <c r="Q66" s="173" t="s">
        <v>580</v>
      </c>
      <c r="R66" s="75" t="s">
        <v>1144</v>
      </c>
      <c r="S66">
        <f t="shared" si="37"/>
        <v>-0.13862707153971626</v>
      </c>
      <c r="T66">
        <f t="shared" si="28"/>
        <v>0</v>
      </c>
      <c r="U66">
        <f t="shared" si="29"/>
        <v>0</v>
      </c>
      <c r="V66">
        <f t="shared" si="30"/>
        <v>0</v>
      </c>
      <c r="W66">
        <f t="shared" si="31"/>
        <v>0.20794060730957381</v>
      </c>
      <c r="X66">
        <f t="shared" si="32"/>
        <v>0</v>
      </c>
      <c r="Y66">
        <f t="shared" si="33"/>
        <v>0</v>
      </c>
      <c r="Z66">
        <f t="shared" si="34"/>
        <v>0</v>
      </c>
      <c r="AB66" t="s">
        <v>580</v>
      </c>
      <c r="AC66" s="75" t="s">
        <v>1144</v>
      </c>
      <c r="AD66">
        <f t="shared" si="38"/>
        <v>-0.13862707153971626</v>
      </c>
      <c r="AE66">
        <f t="shared" si="35"/>
        <v>0.20794060730957381</v>
      </c>
      <c r="AF66">
        <f t="shared" si="36"/>
        <v>0.20794060730957381</v>
      </c>
      <c r="AG66">
        <f t="shared" si="11"/>
        <v>-932.61405447574191</v>
      </c>
      <c r="AH66">
        <f t="shared" si="12"/>
        <v>-1307.8451273858607</v>
      </c>
      <c r="AJ66" t="s">
        <v>580</v>
      </c>
      <c r="AK66" s="75" t="s">
        <v>1144</v>
      </c>
      <c r="AL66">
        <f t="shared" si="13"/>
        <v>0</v>
      </c>
      <c r="AM66">
        <f t="shared" si="14"/>
        <v>0</v>
      </c>
      <c r="AN66">
        <f t="shared" si="15"/>
        <v>0</v>
      </c>
      <c r="AO66">
        <f t="shared" si="16"/>
        <v>-21.63437243375132</v>
      </c>
      <c r="AP66">
        <f t="shared" si="17"/>
        <v>-21.63437243375132</v>
      </c>
      <c r="AR66" t="s">
        <v>580</v>
      </c>
      <c r="AS66" s="75" t="s">
        <v>1144</v>
      </c>
      <c r="AT66">
        <f t="shared" si="18"/>
        <v>0</v>
      </c>
      <c r="AU66">
        <f t="shared" si="19"/>
        <v>0</v>
      </c>
      <c r="AV66">
        <f t="shared" si="20"/>
        <v>0</v>
      </c>
      <c r="AW66">
        <f t="shared" si="21"/>
        <v>-372.12071677488086</v>
      </c>
      <c r="AX66">
        <f t="shared" si="22"/>
        <v>-372.12071677488086</v>
      </c>
      <c r="AZ66" t="s">
        <v>580</v>
      </c>
      <c r="BA66" s="75" t="s">
        <v>1144</v>
      </c>
      <c r="BB66">
        <f t="shared" si="23"/>
        <v>0</v>
      </c>
      <c r="BC66">
        <f t="shared" si="24"/>
        <v>0</v>
      </c>
      <c r="BD66">
        <f t="shared" si="25"/>
        <v>0</v>
      </c>
      <c r="BE66">
        <f t="shared" si="26"/>
        <v>-720.49416324256936</v>
      </c>
      <c r="BF66">
        <f t="shared" si="27"/>
        <v>-720.49416324256936</v>
      </c>
    </row>
    <row r="67" spans="1:58" x14ac:dyDescent="0.2">
      <c r="A67" s="173" t="s">
        <v>994</v>
      </c>
      <c r="B67" s="75" t="s">
        <v>1144</v>
      </c>
      <c r="C67">
        <v>-1082.7032215677664</v>
      </c>
      <c r="D67">
        <v>-21.63437243375132</v>
      </c>
      <c r="E67">
        <v>-372.12071677488086</v>
      </c>
      <c r="F67">
        <v>-720.49416324256936</v>
      </c>
      <c r="G67">
        <v>-1082.7113767478249</v>
      </c>
      <c r="H67">
        <v>-21.63437243375132</v>
      </c>
      <c r="I67">
        <v>-372.12071677488086</v>
      </c>
      <c r="J67">
        <v>-720.49416324256936</v>
      </c>
      <c r="Q67" s="173" t="s">
        <v>994</v>
      </c>
      <c r="R67" s="75" t="s">
        <v>1144</v>
      </c>
      <c r="S67">
        <f t="shared" si="37"/>
        <v>-3.0128867542416488E-6</v>
      </c>
      <c r="T67">
        <f t="shared" si="28"/>
        <v>0</v>
      </c>
      <c r="U67">
        <f t="shared" si="29"/>
        <v>0</v>
      </c>
      <c r="V67">
        <f t="shared" si="30"/>
        <v>0</v>
      </c>
      <c r="W67">
        <f t="shared" si="31"/>
        <v>4.5193301316774809E-6</v>
      </c>
      <c r="X67">
        <f t="shared" si="32"/>
        <v>0</v>
      </c>
      <c r="Y67">
        <f t="shared" si="33"/>
        <v>0</v>
      </c>
      <c r="Z67">
        <f t="shared" si="34"/>
        <v>0</v>
      </c>
      <c r="AB67" t="s">
        <v>994</v>
      </c>
      <c r="AC67" s="75" t="s">
        <v>1144</v>
      </c>
      <c r="AD67">
        <f t="shared" si="38"/>
        <v>-3.0128867542416488E-6</v>
      </c>
      <c r="AE67">
        <f t="shared" si="35"/>
        <v>4.5193301316774809E-6</v>
      </c>
      <c r="AF67">
        <f t="shared" si="36"/>
        <v>4.5193301316774809E-6</v>
      </c>
      <c r="AG67">
        <f t="shared" si="11"/>
        <v>-1082.7032215677664</v>
      </c>
      <c r="AH67">
        <f t="shared" si="12"/>
        <v>-1082.7113767478249</v>
      </c>
      <c r="AJ67" t="s">
        <v>994</v>
      </c>
      <c r="AK67" s="75" t="s">
        <v>1144</v>
      </c>
      <c r="AL67">
        <f t="shared" si="13"/>
        <v>0</v>
      </c>
      <c r="AM67">
        <f t="shared" si="14"/>
        <v>0</v>
      </c>
      <c r="AN67">
        <f t="shared" si="15"/>
        <v>0</v>
      </c>
      <c r="AO67">
        <f t="shared" si="16"/>
        <v>-21.63437243375132</v>
      </c>
      <c r="AP67">
        <f t="shared" si="17"/>
        <v>-21.63437243375132</v>
      </c>
      <c r="AR67" t="s">
        <v>994</v>
      </c>
      <c r="AS67" s="75" t="s">
        <v>1144</v>
      </c>
      <c r="AT67">
        <f t="shared" si="18"/>
        <v>0</v>
      </c>
      <c r="AU67">
        <f t="shared" si="19"/>
        <v>0</v>
      </c>
      <c r="AV67">
        <f t="shared" si="20"/>
        <v>0</v>
      </c>
      <c r="AW67">
        <f t="shared" si="21"/>
        <v>-372.12071677488086</v>
      </c>
      <c r="AX67">
        <f t="shared" si="22"/>
        <v>-372.12071677488086</v>
      </c>
      <c r="AZ67" t="s">
        <v>994</v>
      </c>
      <c r="BA67" s="75" t="s">
        <v>1144</v>
      </c>
      <c r="BB67">
        <f t="shared" si="23"/>
        <v>0</v>
      </c>
      <c r="BC67">
        <f t="shared" si="24"/>
        <v>0</v>
      </c>
      <c r="BD67">
        <f t="shared" si="25"/>
        <v>0</v>
      </c>
      <c r="BE67">
        <f t="shared" si="26"/>
        <v>-720.49416324256936</v>
      </c>
      <c r="BF67">
        <f t="shared" si="27"/>
        <v>-720.49416324256936</v>
      </c>
    </row>
    <row r="68" spans="1:58" x14ac:dyDescent="0.2">
      <c r="A68" s="173" t="s">
        <v>995</v>
      </c>
      <c r="B68" s="75" t="s">
        <v>1144</v>
      </c>
      <c r="C68">
        <v>-1082.6919296762326</v>
      </c>
      <c r="D68">
        <v>-21.63437243375132</v>
      </c>
      <c r="E68">
        <v>-372.12071677488086</v>
      </c>
      <c r="F68">
        <v>-720.44933472451885</v>
      </c>
      <c r="G68">
        <v>-1082.7283145851247</v>
      </c>
      <c r="H68">
        <v>-21.63437243375132</v>
      </c>
      <c r="I68">
        <v>-372.12071677488086</v>
      </c>
      <c r="J68">
        <v>-720.56140601964466</v>
      </c>
      <c r="Q68" s="173" t="s">
        <v>995</v>
      </c>
      <c r="R68" s="75" t="s">
        <v>1144</v>
      </c>
      <c r="S68">
        <f t="shared" si="37"/>
        <v>-1.3442205969030927E-5</v>
      </c>
      <c r="T68">
        <f t="shared" ref="T68:T73" si="39">(D68-$M$3)/$M$3</f>
        <v>0</v>
      </c>
      <c r="U68">
        <f t="shared" ref="U68:U73" si="40">(E68-$N$3)/$N$3</f>
        <v>0</v>
      </c>
      <c r="V68">
        <f t="shared" ref="V68:V73" si="41">(F68-$O$3)/$O$3</f>
        <v>-6.2219127284471396E-5</v>
      </c>
      <c r="W68">
        <f t="shared" ref="W68:W73" si="42">(G68-$L$3)/$L$3</f>
        <v>2.0163308953021376E-5</v>
      </c>
      <c r="X68">
        <f t="shared" ref="X68:X73" si="43">(H68-$M$3)/$M$3</f>
        <v>0</v>
      </c>
      <c r="Y68">
        <f t="shared" ref="Y68:Y73" si="44">(I68-$N$3)/$N$3</f>
        <v>0</v>
      </c>
      <c r="Z68">
        <f t="shared" ref="Z68:Z73" si="45">(J68-$O$3)/$O$3</f>
        <v>9.332869092607594E-5</v>
      </c>
      <c r="AB68" t="s">
        <v>995</v>
      </c>
      <c r="AC68" s="75" t="s">
        <v>1144</v>
      </c>
      <c r="AD68">
        <f t="shared" si="38"/>
        <v>-1.3442205969030927E-5</v>
      </c>
      <c r="AE68">
        <f t="shared" ref="AE68:AE73" si="46">W68</f>
        <v>2.0163308953021376E-5</v>
      </c>
      <c r="AF68">
        <f t="shared" ref="AF68:AF73" si="47">ABS(AE68)</f>
        <v>2.0163308953021376E-5</v>
      </c>
      <c r="AG68">
        <f t="shared" si="11"/>
        <v>-1082.6919296762326</v>
      </c>
      <c r="AH68">
        <f t="shared" si="12"/>
        <v>-1082.7283145851247</v>
      </c>
      <c r="AJ68" t="s">
        <v>995</v>
      </c>
      <c r="AK68" s="75" t="s">
        <v>1144</v>
      </c>
      <c r="AL68">
        <f t="shared" si="13"/>
        <v>0</v>
      </c>
      <c r="AM68">
        <f t="shared" si="14"/>
        <v>0</v>
      </c>
      <c r="AN68">
        <f t="shared" si="15"/>
        <v>0</v>
      </c>
      <c r="AO68">
        <f t="shared" si="16"/>
        <v>-21.63437243375132</v>
      </c>
      <c r="AP68">
        <f t="shared" si="17"/>
        <v>-21.63437243375132</v>
      </c>
      <c r="AR68" t="s">
        <v>995</v>
      </c>
      <c r="AS68" s="75" t="s">
        <v>1144</v>
      </c>
      <c r="AT68">
        <f t="shared" si="18"/>
        <v>0</v>
      </c>
      <c r="AU68">
        <f t="shared" si="19"/>
        <v>0</v>
      </c>
      <c r="AV68">
        <f t="shared" si="20"/>
        <v>0</v>
      </c>
      <c r="AW68">
        <f t="shared" si="21"/>
        <v>-372.12071677488086</v>
      </c>
      <c r="AX68">
        <f t="shared" si="22"/>
        <v>-372.12071677488086</v>
      </c>
      <c r="AZ68" t="s">
        <v>995</v>
      </c>
      <c r="BA68" s="75" t="s">
        <v>1144</v>
      </c>
      <c r="BB68">
        <f t="shared" si="23"/>
        <v>-6.2219127284471396E-5</v>
      </c>
      <c r="BC68">
        <f t="shared" si="24"/>
        <v>9.332869092607594E-5</v>
      </c>
      <c r="BD68">
        <f t="shared" si="25"/>
        <v>9.332869092607594E-5</v>
      </c>
      <c r="BE68">
        <f t="shared" si="26"/>
        <v>-720.44933472451885</v>
      </c>
      <c r="BF68">
        <f t="shared" si="27"/>
        <v>-720.56140601964466</v>
      </c>
    </row>
    <row r="69" spans="1:58" x14ac:dyDescent="0.2">
      <c r="A69" s="173" t="s">
        <v>903</v>
      </c>
      <c r="B69" s="75" t="s">
        <v>1144</v>
      </c>
      <c r="C69">
        <v>-1082.7064836397897</v>
      </c>
      <c r="D69">
        <v>-21.63437243375132</v>
      </c>
      <c r="E69">
        <v>-372.11948941389301</v>
      </c>
      <c r="F69">
        <v>-719.91286497993815</v>
      </c>
      <c r="G69">
        <v>-1082.7064836397897</v>
      </c>
      <c r="H69">
        <v>-21.63437243375132</v>
      </c>
      <c r="I69">
        <v>-372.12255781636259</v>
      </c>
      <c r="J69">
        <v>-721.36611063651617</v>
      </c>
      <c r="Q69" s="173" t="s">
        <v>903</v>
      </c>
      <c r="R69" s="75" t="s">
        <v>1144</v>
      </c>
      <c r="S69">
        <f t="shared" si="37"/>
        <v>0</v>
      </c>
      <c r="T69">
        <f t="shared" si="39"/>
        <v>0</v>
      </c>
      <c r="U69">
        <f t="shared" si="40"/>
        <v>-3.2982871754418238E-6</v>
      </c>
      <c r="V69">
        <f t="shared" si="41"/>
        <v>-8.0680495732968433E-4</v>
      </c>
      <c r="W69">
        <f t="shared" si="42"/>
        <v>0</v>
      </c>
      <c r="X69">
        <f t="shared" si="43"/>
        <v>0</v>
      </c>
      <c r="Y69">
        <f t="shared" si="44"/>
        <v>4.9474307630099799E-6</v>
      </c>
      <c r="Z69">
        <f t="shared" si="45"/>
        <v>1.2102074359945265E-3</v>
      </c>
      <c r="AB69" t="s">
        <v>903</v>
      </c>
      <c r="AC69" s="75" t="s">
        <v>1144</v>
      </c>
      <c r="AD69">
        <f t="shared" si="38"/>
        <v>0</v>
      </c>
      <c r="AE69">
        <f t="shared" si="46"/>
        <v>0</v>
      </c>
      <c r="AF69">
        <f t="shared" si="47"/>
        <v>0</v>
      </c>
      <c r="AG69">
        <f t="shared" ref="AG69:AG73" si="48">C69</f>
        <v>-1082.7064836397897</v>
      </c>
      <c r="AH69">
        <f t="shared" ref="AH69:AH73" si="49">G69</f>
        <v>-1082.7064836397897</v>
      </c>
      <c r="AJ69" t="s">
        <v>903</v>
      </c>
      <c r="AK69" s="75" t="s">
        <v>1144</v>
      </c>
      <c r="AL69">
        <f t="shared" ref="AL69:AL73" si="50">T69</f>
        <v>0</v>
      </c>
      <c r="AM69">
        <f t="shared" ref="AM69:AM73" si="51">X69</f>
        <v>0</v>
      </c>
      <c r="AN69">
        <f t="shared" ref="AN69:AN73" si="52">ABS(AM69)</f>
        <v>0</v>
      </c>
      <c r="AO69">
        <f t="shared" ref="AO69:AO73" si="53">D69</f>
        <v>-21.63437243375132</v>
      </c>
      <c r="AP69">
        <f t="shared" ref="AP69:AP73" si="54">H69</f>
        <v>-21.63437243375132</v>
      </c>
      <c r="AR69" t="s">
        <v>903</v>
      </c>
      <c r="AS69" s="75" t="s">
        <v>1144</v>
      </c>
      <c r="AT69">
        <f t="shared" ref="AT69:AT73" si="55">U69</f>
        <v>-3.2982871754418238E-6</v>
      </c>
      <c r="AU69">
        <f t="shared" ref="AU69:AU73" si="56">Y69</f>
        <v>4.9474307630099799E-6</v>
      </c>
      <c r="AV69">
        <f t="shared" ref="AV69:AV73" si="57">ABS(AU69)</f>
        <v>4.9474307630099799E-6</v>
      </c>
      <c r="AW69">
        <f t="shared" ref="AW69:AW73" si="58">E69</f>
        <v>-372.11948941389301</v>
      </c>
      <c r="AX69">
        <f t="shared" ref="AX69:AX73" si="59">I69</f>
        <v>-372.12255781636259</v>
      </c>
      <c r="AZ69" t="s">
        <v>903</v>
      </c>
      <c r="BA69" s="75" t="s">
        <v>1144</v>
      </c>
      <c r="BB69">
        <f t="shared" ref="BB69:BB73" si="60">V69</f>
        <v>-8.0680495732968433E-4</v>
      </c>
      <c r="BC69">
        <f t="shared" ref="BC69:BC73" si="61">Z69</f>
        <v>1.2102074359945265E-3</v>
      </c>
      <c r="BD69">
        <f t="shared" ref="BD69:BD73" si="62">ABS(BC69)</f>
        <v>1.2102074359945265E-3</v>
      </c>
      <c r="BE69">
        <f t="shared" ref="BE69:BE73" si="63">F69</f>
        <v>-719.91286497993815</v>
      </c>
      <c r="BF69">
        <f t="shared" ref="BF69:BF73" si="64">J69</f>
        <v>-721.36611063651617</v>
      </c>
    </row>
    <row r="70" spans="1:58" x14ac:dyDescent="0.2">
      <c r="A70" s="173" t="s">
        <v>997</v>
      </c>
      <c r="B70" s="75" t="s">
        <v>1144</v>
      </c>
      <c r="C70">
        <v>-1082.7064836397897</v>
      </c>
      <c r="D70">
        <v>-21.63437243375132</v>
      </c>
      <c r="E70">
        <v>-372.12071677488086</v>
      </c>
      <c r="F70">
        <v>-720.36280226987765</v>
      </c>
      <c r="G70">
        <v>-1082.7064836397897</v>
      </c>
      <c r="H70">
        <v>-21.63437243375132</v>
      </c>
      <c r="I70">
        <v>-372.12071677488086</v>
      </c>
      <c r="J70">
        <v>-720.69120470160692</v>
      </c>
      <c r="Q70" s="173" t="s">
        <v>997</v>
      </c>
      <c r="R70" s="75" t="s">
        <v>1144</v>
      </c>
      <c r="S70">
        <f t="shared" si="37"/>
        <v>0</v>
      </c>
      <c r="T70">
        <f t="shared" si="39"/>
        <v>0</v>
      </c>
      <c r="U70">
        <f t="shared" si="40"/>
        <v>0</v>
      </c>
      <c r="V70">
        <f t="shared" si="41"/>
        <v>-1.8232066183648446E-4</v>
      </c>
      <c r="W70">
        <f t="shared" si="42"/>
        <v>0</v>
      </c>
      <c r="X70">
        <f t="shared" si="43"/>
        <v>0</v>
      </c>
      <c r="Y70">
        <f t="shared" si="44"/>
        <v>0</v>
      </c>
      <c r="Z70">
        <f t="shared" si="45"/>
        <v>2.7348099275472667E-4</v>
      </c>
      <c r="AB70" t="s">
        <v>997</v>
      </c>
      <c r="AC70" s="75" t="s">
        <v>1144</v>
      </c>
      <c r="AD70">
        <f t="shared" si="38"/>
        <v>0</v>
      </c>
      <c r="AE70">
        <f t="shared" si="46"/>
        <v>0</v>
      </c>
      <c r="AF70">
        <f t="shared" si="47"/>
        <v>0</v>
      </c>
      <c r="AG70">
        <f t="shared" si="48"/>
        <v>-1082.7064836397897</v>
      </c>
      <c r="AH70">
        <f t="shared" si="49"/>
        <v>-1082.7064836397897</v>
      </c>
      <c r="AJ70" t="s">
        <v>997</v>
      </c>
      <c r="AK70" s="75" t="s">
        <v>1144</v>
      </c>
      <c r="AL70">
        <f t="shared" si="50"/>
        <v>0</v>
      </c>
      <c r="AM70">
        <f t="shared" si="51"/>
        <v>0</v>
      </c>
      <c r="AN70">
        <f t="shared" si="52"/>
        <v>0</v>
      </c>
      <c r="AO70">
        <f t="shared" si="53"/>
        <v>-21.63437243375132</v>
      </c>
      <c r="AP70">
        <f t="shared" si="54"/>
        <v>-21.63437243375132</v>
      </c>
      <c r="AR70" t="s">
        <v>997</v>
      </c>
      <c r="AS70" s="75" t="s">
        <v>1144</v>
      </c>
      <c r="AT70">
        <f t="shared" si="55"/>
        <v>0</v>
      </c>
      <c r="AU70">
        <f t="shared" si="56"/>
        <v>0</v>
      </c>
      <c r="AV70">
        <f t="shared" si="57"/>
        <v>0</v>
      </c>
      <c r="AW70">
        <f t="shared" si="58"/>
        <v>-372.12071677488086</v>
      </c>
      <c r="AX70">
        <f t="shared" si="59"/>
        <v>-372.12071677488086</v>
      </c>
      <c r="AZ70" t="s">
        <v>997</v>
      </c>
      <c r="BA70" s="75" t="s">
        <v>1144</v>
      </c>
      <c r="BB70">
        <f t="shared" si="60"/>
        <v>-1.8232066183648446E-4</v>
      </c>
      <c r="BC70">
        <f t="shared" si="61"/>
        <v>2.7348099275472667E-4</v>
      </c>
      <c r="BD70">
        <f t="shared" si="62"/>
        <v>2.7348099275472667E-4</v>
      </c>
      <c r="BE70">
        <f t="shared" si="63"/>
        <v>-720.36280226987765</v>
      </c>
      <c r="BF70">
        <f t="shared" si="64"/>
        <v>-720.69120470160692</v>
      </c>
    </row>
    <row r="71" spans="1:58" x14ac:dyDescent="0.2">
      <c r="A71" s="173" t="s">
        <v>585</v>
      </c>
      <c r="B71" s="75" t="s">
        <v>1144</v>
      </c>
      <c r="C71">
        <v>-1082.7064836397897</v>
      </c>
      <c r="D71">
        <v>-21.63437243375132</v>
      </c>
      <c r="E71">
        <v>-372.12071677488086</v>
      </c>
      <c r="F71">
        <v>-719.40215709976815</v>
      </c>
      <c r="G71">
        <v>-1082.7064836397897</v>
      </c>
      <c r="H71">
        <v>-21.63437243375132</v>
      </c>
      <c r="I71">
        <v>-372.12071677488086</v>
      </c>
      <c r="J71">
        <v>-722.13217245677083</v>
      </c>
      <c r="Q71" s="173" t="s">
        <v>585</v>
      </c>
      <c r="R71" s="75" t="s">
        <v>1144</v>
      </c>
      <c r="S71">
        <f t="shared" si="37"/>
        <v>0</v>
      </c>
      <c r="T71">
        <f t="shared" si="39"/>
        <v>0</v>
      </c>
      <c r="U71">
        <f t="shared" si="40"/>
        <v>0</v>
      </c>
      <c r="V71">
        <f t="shared" si="41"/>
        <v>-1.5156349607145449E-3</v>
      </c>
      <c r="W71">
        <f t="shared" si="42"/>
        <v>0</v>
      </c>
      <c r="X71">
        <f t="shared" si="43"/>
        <v>0</v>
      </c>
      <c r="Y71">
        <f t="shared" si="44"/>
        <v>0</v>
      </c>
      <c r="Z71">
        <f t="shared" si="45"/>
        <v>2.273452441071344E-3</v>
      </c>
      <c r="AB71" t="s">
        <v>585</v>
      </c>
      <c r="AC71" s="75" t="s">
        <v>1144</v>
      </c>
      <c r="AD71">
        <f t="shared" si="38"/>
        <v>0</v>
      </c>
      <c r="AE71">
        <f t="shared" si="46"/>
        <v>0</v>
      </c>
      <c r="AF71">
        <f t="shared" si="47"/>
        <v>0</v>
      </c>
      <c r="AG71">
        <f t="shared" si="48"/>
        <v>-1082.7064836397897</v>
      </c>
      <c r="AH71">
        <f t="shared" si="49"/>
        <v>-1082.7064836397897</v>
      </c>
      <c r="AJ71" t="s">
        <v>585</v>
      </c>
      <c r="AK71" s="75" t="s">
        <v>1144</v>
      </c>
      <c r="AL71">
        <f t="shared" si="50"/>
        <v>0</v>
      </c>
      <c r="AM71">
        <f t="shared" si="51"/>
        <v>0</v>
      </c>
      <c r="AN71">
        <f t="shared" si="52"/>
        <v>0</v>
      </c>
      <c r="AO71">
        <f t="shared" si="53"/>
        <v>-21.63437243375132</v>
      </c>
      <c r="AP71">
        <f t="shared" si="54"/>
        <v>-21.63437243375132</v>
      </c>
      <c r="AR71" t="s">
        <v>585</v>
      </c>
      <c r="AS71" s="75" t="s">
        <v>1144</v>
      </c>
      <c r="AT71">
        <f t="shared" si="55"/>
        <v>0</v>
      </c>
      <c r="AU71">
        <f t="shared" si="56"/>
        <v>0</v>
      </c>
      <c r="AV71">
        <f t="shared" si="57"/>
        <v>0</v>
      </c>
      <c r="AW71">
        <f t="shared" si="58"/>
        <v>-372.12071677488086</v>
      </c>
      <c r="AX71">
        <f t="shared" si="59"/>
        <v>-372.12071677488086</v>
      </c>
      <c r="AZ71" t="s">
        <v>585</v>
      </c>
      <c r="BA71" s="75" t="s">
        <v>1144</v>
      </c>
      <c r="BB71">
        <f t="shared" si="60"/>
        <v>-1.5156349607145449E-3</v>
      </c>
      <c r="BC71">
        <f t="shared" si="61"/>
        <v>2.273452441071344E-3</v>
      </c>
      <c r="BD71">
        <f t="shared" si="62"/>
        <v>2.273452441071344E-3</v>
      </c>
      <c r="BE71">
        <f t="shared" si="63"/>
        <v>-719.40215709976815</v>
      </c>
      <c r="BF71">
        <f t="shared" si="64"/>
        <v>-722.13217245677083</v>
      </c>
    </row>
    <row r="72" spans="1:58" x14ac:dyDescent="0.2">
      <c r="A72" s="173" t="s">
        <v>1062</v>
      </c>
      <c r="B72" s="75" t="s">
        <v>1144</v>
      </c>
      <c r="C72">
        <v>-1082.7064836397897</v>
      </c>
      <c r="D72">
        <v>-21.63437243375132</v>
      </c>
      <c r="E72">
        <v>-372.12071677488086</v>
      </c>
      <c r="F72">
        <v>-621.32315544389303</v>
      </c>
      <c r="G72">
        <v>-1082.7064836397897</v>
      </c>
      <c r="H72">
        <v>-21.63437243375132</v>
      </c>
      <c r="I72">
        <v>-372.12071677488086</v>
      </c>
      <c r="J72">
        <v>-869.25067494058362</v>
      </c>
      <c r="Q72" s="173" t="s">
        <v>1062</v>
      </c>
      <c r="R72" s="75" t="s">
        <v>1144</v>
      </c>
      <c r="S72">
        <f t="shared" si="37"/>
        <v>0</v>
      </c>
      <c r="T72">
        <f t="shared" si="39"/>
        <v>0</v>
      </c>
      <c r="U72">
        <f t="shared" si="40"/>
        <v>0</v>
      </c>
      <c r="V72">
        <f t="shared" si="41"/>
        <v>-0.13764304120433013</v>
      </c>
      <c r="W72">
        <f t="shared" si="42"/>
        <v>0</v>
      </c>
      <c r="X72">
        <f t="shared" si="43"/>
        <v>0</v>
      </c>
      <c r="Y72">
        <f t="shared" si="44"/>
        <v>0</v>
      </c>
      <c r="Z72">
        <f t="shared" si="45"/>
        <v>0.20646456180649486</v>
      </c>
      <c r="AB72" t="s">
        <v>1062</v>
      </c>
      <c r="AC72" s="75" t="s">
        <v>1144</v>
      </c>
      <c r="AD72">
        <f t="shared" si="38"/>
        <v>0</v>
      </c>
      <c r="AE72">
        <f t="shared" si="46"/>
        <v>0</v>
      </c>
      <c r="AF72">
        <f t="shared" si="47"/>
        <v>0</v>
      </c>
      <c r="AG72">
        <f t="shared" si="48"/>
        <v>-1082.7064836397897</v>
      </c>
      <c r="AH72">
        <f t="shared" si="49"/>
        <v>-1082.7064836397897</v>
      </c>
      <c r="AJ72" t="s">
        <v>1062</v>
      </c>
      <c r="AK72" s="75" t="s">
        <v>1144</v>
      </c>
      <c r="AL72">
        <f t="shared" si="50"/>
        <v>0</v>
      </c>
      <c r="AM72">
        <f t="shared" si="51"/>
        <v>0</v>
      </c>
      <c r="AN72">
        <f t="shared" si="52"/>
        <v>0</v>
      </c>
      <c r="AO72">
        <f t="shared" si="53"/>
        <v>-21.63437243375132</v>
      </c>
      <c r="AP72">
        <f t="shared" si="54"/>
        <v>-21.63437243375132</v>
      </c>
      <c r="AR72" t="s">
        <v>1062</v>
      </c>
      <c r="AS72" s="75" t="s">
        <v>1144</v>
      </c>
      <c r="AT72">
        <f t="shared" si="55"/>
        <v>0</v>
      </c>
      <c r="AU72">
        <f t="shared" si="56"/>
        <v>0</v>
      </c>
      <c r="AV72">
        <f t="shared" si="57"/>
        <v>0</v>
      </c>
      <c r="AW72">
        <f t="shared" si="58"/>
        <v>-372.12071677488086</v>
      </c>
      <c r="AX72">
        <f t="shared" si="59"/>
        <v>-372.12071677488086</v>
      </c>
      <c r="AZ72" t="s">
        <v>1062</v>
      </c>
      <c r="BA72" s="75" t="s">
        <v>1144</v>
      </c>
      <c r="BB72">
        <f t="shared" si="60"/>
        <v>-0.13764304120433013</v>
      </c>
      <c r="BC72">
        <f t="shared" si="61"/>
        <v>0.20646456180649486</v>
      </c>
      <c r="BD72">
        <f t="shared" si="62"/>
        <v>0.20646456180649486</v>
      </c>
      <c r="BE72">
        <f t="shared" si="63"/>
        <v>-621.32315544389303</v>
      </c>
      <c r="BF72">
        <f t="shared" si="64"/>
        <v>-869.25067494058362</v>
      </c>
    </row>
    <row r="73" spans="1:58" x14ac:dyDescent="0.2">
      <c r="A73" s="173" t="s">
        <v>1086</v>
      </c>
      <c r="B73" s="75" t="s">
        <v>1144</v>
      </c>
      <c r="C73">
        <v>-1082.7064836397897</v>
      </c>
      <c r="D73">
        <v>-21.63437243375132</v>
      </c>
      <c r="E73">
        <v>-366.24449088785769</v>
      </c>
      <c r="F73">
        <v>-720.49416324256936</v>
      </c>
      <c r="G73">
        <v>-1082.7064836397897</v>
      </c>
      <c r="H73">
        <v>-21.63437243375132</v>
      </c>
      <c r="I73">
        <v>-380.93505560541564</v>
      </c>
      <c r="J73">
        <v>-720.49416324256936</v>
      </c>
      <c r="Q73" s="173" t="s">
        <v>1086</v>
      </c>
      <c r="R73" s="75" t="s">
        <v>1144</v>
      </c>
      <c r="S73">
        <f t="shared" si="37"/>
        <v>0</v>
      </c>
      <c r="T73">
        <f t="shared" si="39"/>
        <v>0</v>
      </c>
      <c r="U73">
        <f t="shared" si="40"/>
        <v>-1.5791181791628292E-2</v>
      </c>
      <c r="V73">
        <f t="shared" si="41"/>
        <v>0</v>
      </c>
      <c r="W73">
        <f t="shared" si="42"/>
        <v>0</v>
      </c>
      <c r="X73">
        <f t="shared" si="43"/>
        <v>0</v>
      </c>
      <c r="Y73">
        <f t="shared" si="44"/>
        <v>2.3686772687442514E-2</v>
      </c>
      <c r="Z73">
        <f t="shared" si="45"/>
        <v>0</v>
      </c>
      <c r="AB73" t="s">
        <v>1086</v>
      </c>
      <c r="AC73" s="75" t="s">
        <v>1144</v>
      </c>
      <c r="AD73">
        <f t="shared" si="38"/>
        <v>0</v>
      </c>
      <c r="AE73">
        <f t="shared" si="46"/>
        <v>0</v>
      </c>
      <c r="AF73">
        <f t="shared" si="47"/>
        <v>0</v>
      </c>
      <c r="AG73">
        <f t="shared" si="48"/>
        <v>-1082.7064836397897</v>
      </c>
      <c r="AH73">
        <f t="shared" si="49"/>
        <v>-1082.7064836397897</v>
      </c>
      <c r="AJ73" t="s">
        <v>1086</v>
      </c>
      <c r="AK73" s="75" t="s">
        <v>1144</v>
      </c>
      <c r="AL73">
        <f t="shared" si="50"/>
        <v>0</v>
      </c>
      <c r="AM73">
        <f t="shared" si="51"/>
        <v>0</v>
      </c>
      <c r="AN73">
        <f t="shared" si="52"/>
        <v>0</v>
      </c>
      <c r="AO73">
        <f t="shared" si="53"/>
        <v>-21.63437243375132</v>
      </c>
      <c r="AP73">
        <f t="shared" si="54"/>
        <v>-21.63437243375132</v>
      </c>
      <c r="AR73" t="s">
        <v>1086</v>
      </c>
      <c r="AS73" s="75" t="s">
        <v>1144</v>
      </c>
      <c r="AT73">
        <f t="shared" si="55"/>
        <v>-1.5791181791628292E-2</v>
      </c>
      <c r="AU73">
        <f t="shared" si="56"/>
        <v>2.3686772687442514E-2</v>
      </c>
      <c r="AV73">
        <f t="shared" si="57"/>
        <v>2.3686772687442514E-2</v>
      </c>
      <c r="AW73">
        <f t="shared" si="58"/>
        <v>-366.24449088785769</v>
      </c>
      <c r="AX73">
        <f t="shared" si="59"/>
        <v>-380.93505560541564</v>
      </c>
      <c r="AZ73" t="s">
        <v>1086</v>
      </c>
      <c r="BA73" s="75" t="s">
        <v>1144</v>
      </c>
      <c r="BB73">
        <f t="shared" si="60"/>
        <v>0</v>
      </c>
      <c r="BC73">
        <f t="shared" si="61"/>
        <v>0</v>
      </c>
      <c r="BD73">
        <f t="shared" si="62"/>
        <v>0</v>
      </c>
      <c r="BE73">
        <f t="shared" si="63"/>
        <v>-720.49416324256936</v>
      </c>
      <c r="BF73">
        <f t="shared" si="64"/>
        <v>-720.49416324256936</v>
      </c>
    </row>
  </sheetData>
  <mergeCells count="13">
    <mergeCell ref="S1:V1"/>
    <mergeCell ref="W1:Z1"/>
    <mergeCell ref="AZ2:BF2"/>
    <mergeCell ref="L1:O1"/>
    <mergeCell ref="C1:F1"/>
    <mergeCell ref="G1:J1"/>
    <mergeCell ref="A1:A2"/>
    <mergeCell ref="B1:B2"/>
    <mergeCell ref="Q1:Q2"/>
    <mergeCell ref="R1:R2"/>
    <mergeCell ref="AB2:AH2"/>
    <mergeCell ref="AJ2:AP2"/>
    <mergeCell ref="AR2:AX2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F5A17-3B2F-9848-98AA-6ECFCEFD6B02}">
  <sheetPr codeName="Sheet16"/>
  <dimension ref="A1:P70"/>
  <sheetViews>
    <sheetView topLeftCell="I1" zoomScale="130" zoomScaleNormal="130" workbookViewId="0">
      <selection activeCell="AC13" sqref="AC13"/>
    </sheetView>
  </sheetViews>
  <sheetFormatPr baseColWidth="10" defaultRowHeight="15" x14ac:dyDescent="0.2"/>
  <cols>
    <col min="2" max="2" width="17.83203125" customWidth="1"/>
  </cols>
  <sheetData>
    <row r="1" spans="1:16" x14ac:dyDescent="0.2">
      <c r="A1" t="s">
        <v>580</v>
      </c>
      <c r="B1" t="s">
        <v>1144</v>
      </c>
      <c r="C1">
        <v>-0.13858675264911488</v>
      </c>
      <c r="D1">
        <v>0.20799714823811929</v>
      </c>
      <c r="E1">
        <v>0.20799714823811929</v>
      </c>
      <c r="F1">
        <v>-932.61405447574191</v>
      </c>
      <c r="G1">
        <v>-1307.8451273858607</v>
      </c>
      <c r="K1" s="109" t="s">
        <v>1001</v>
      </c>
      <c r="L1" s="109" t="s">
        <v>3</v>
      </c>
      <c r="M1" s="109" t="s">
        <v>1170</v>
      </c>
      <c r="N1" s="109" t="s">
        <v>1171</v>
      </c>
      <c r="O1" s="109" t="s">
        <v>1195</v>
      </c>
      <c r="P1" s="109" t="s">
        <v>1197</v>
      </c>
    </row>
    <row r="2" spans="1:16" x14ac:dyDescent="0.2">
      <c r="A2" t="s">
        <v>1</v>
      </c>
      <c r="B2" t="s">
        <v>15</v>
      </c>
      <c r="C2">
        <v>0.19956549927895598</v>
      </c>
      <c r="D2">
        <v>-0.19935607666754526</v>
      </c>
      <c r="E2">
        <v>0.19935607666754526</v>
      </c>
      <c r="F2">
        <v>-1298.7165536775922</v>
      </c>
      <c r="G2">
        <v>-866.82179293940067</v>
      </c>
      <c r="K2" t="s">
        <v>580</v>
      </c>
      <c r="L2" t="s">
        <v>1144</v>
      </c>
      <c r="M2" s="296">
        <v>0.13858675264911488</v>
      </c>
      <c r="N2" s="296">
        <v>-0.20799714823811929</v>
      </c>
      <c r="O2" s="560">
        <v>-932.61405447574191</v>
      </c>
      <c r="P2" s="560">
        <v>-1307.8451273858607</v>
      </c>
    </row>
    <row r="3" spans="1:16" x14ac:dyDescent="0.2">
      <c r="A3" t="s">
        <v>312</v>
      </c>
      <c r="B3" t="s">
        <v>1018</v>
      </c>
      <c r="C3">
        <v>0.1787277748020141</v>
      </c>
      <c r="D3">
        <v>-0.17863415939045471</v>
      </c>
      <c r="E3">
        <v>0.17863415939045471</v>
      </c>
      <c r="F3">
        <v>-1276.1564702678543</v>
      </c>
      <c r="G3">
        <v>-889.25649701172654</v>
      </c>
      <c r="K3" t="s">
        <v>1</v>
      </c>
      <c r="L3" t="s">
        <v>15</v>
      </c>
      <c r="M3" s="296">
        <v>-0.19956549927895598</v>
      </c>
      <c r="N3" s="296">
        <v>0.19935607666754526</v>
      </c>
      <c r="O3" s="560">
        <v>-1298.7165536775922</v>
      </c>
      <c r="P3" s="560">
        <v>-866.82179293940067</v>
      </c>
    </row>
    <row r="4" spans="1:16" x14ac:dyDescent="0.2">
      <c r="A4" t="s">
        <v>1092</v>
      </c>
      <c r="B4" t="s">
        <v>540</v>
      </c>
      <c r="C4">
        <v>-2.7740734201030796E-2</v>
      </c>
      <c r="D4">
        <v>4.1728120565992705E-2</v>
      </c>
      <c r="E4">
        <v>4.1728120565992705E-2</v>
      </c>
      <c r="F4">
        <v>-1052.6221400319785</v>
      </c>
      <c r="G4">
        <v>-1127.8329990515053</v>
      </c>
      <c r="K4" t="s">
        <v>312</v>
      </c>
      <c r="L4" t="s">
        <v>1018</v>
      </c>
      <c r="M4" s="296">
        <v>-0.1787277748020141</v>
      </c>
      <c r="N4" s="296">
        <v>0.17863415939045471</v>
      </c>
      <c r="O4" s="560">
        <v>-1276.1564702678543</v>
      </c>
      <c r="P4" s="560">
        <v>-889.25649701172654</v>
      </c>
    </row>
    <row r="5" spans="1:16" x14ac:dyDescent="0.2">
      <c r="A5" t="s">
        <v>701</v>
      </c>
      <c r="B5" t="s">
        <v>1099</v>
      </c>
      <c r="C5">
        <v>-2.4517554837938632E-2</v>
      </c>
      <c r="D5">
        <v>3.6893351521355512E-2</v>
      </c>
      <c r="E5">
        <v>3.6893351521355512E-2</v>
      </c>
      <c r="F5">
        <v>-1056.1117338864499</v>
      </c>
      <c r="G5">
        <v>-1122.5986082697993</v>
      </c>
      <c r="K5" t="s">
        <v>535</v>
      </c>
      <c r="L5" t="s">
        <v>540</v>
      </c>
      <c r="M5" s="296">
        <v>2.7740734201030796E-2</v>
      </c>
      <c r="N5" s="296">
        <v>-4.1728120565992705E-2</v>
      </c>
      <c r="O5" s="560">
        <v>-1052.6221400319785</v>
      </c>
      <c r="P5" s="560">
        <v>-1127.8329990515053</v>
      </c>
    </row>
    <row r="6" spans="1:16" x14ac:dyDescent="0.2">
      <c r="A6" t="s">
        <v>536</v>
      </c>
      <c r="B6" t="s">
        <v>1098</v>
      </c>
      <c r="C6">
        <v>-2.7344447493382707E-2</v>
      </c>
      <c r="D6">
        <v>2.8567743564310733E-2</v>
      </c>
      <c r="E6">
        <v>2.8567743564310733E-2</v>
      </c>
      <c r="F6">
        <v>-1053.0511821372527</v>
      </c>
      <c r="G6">
        <v>-1113.5848404682552</v>
      </c>
      <c r="K6" t="s">
        <v>1206</v>
      </c>
      <c r="L6" t="s">
        <v>1099</v>
      </c>
      <c r="M6" s="296">
        <v>2.4517554837938632E-2</v>
      </c>
      <c r="N6" s="296">
        <v>-3.6893351521355512E-2</v>
      </c>
      <c r="O6" s="560">
        <v>-1056.1117338864499</v>
      </c>
      <c r="P6" s="560">
        <v>-1122.5986082697993</v>
      </c>
    </row>
    <row r="7" spans="1:16" x14ac:dyDescent="0.2">
      <c r="A7" t="s">
        <v>1093</v>
      </c>
      <c r="B7" t="s">
        <v>540</v>
      </c>
      <c r="C7">
        <v>-2.2875973042134252E-2</v>
      </c>
      <c r="D7">
        <v>2.3853355743094624E-2</v>
      </c>
      <c r="E7">
        <v>2.3853355743094624E-2</v>
      </c>
      <c r="F7">
        <v>-1057.8890019503517</v>
      </c>
      <c r="G7">
        <v>-1108.4807811171404</v>
      </c>
      <c r="K7" t="s">
        <v>536</v>
      </c>
      <c r="L7" t="s">
        <v>1098</v>
      </c>
      <c r="M7" s="296">
        <v>2.7344447493382707E-2</v>
      </c>
      <c r="N7" s="296">
        <v>-2.8567743564310733E-2</v>
      </c>
      <c r="O7" s="560">
        <v>-1053.0511821372527</v>
      </c>
      <c r="P7" s="560">
        <v>-1113.5848404682552</v>
      </c>
    </row>
    <row r="8" spans="1:16" x14ac:dyDescent="0.2">
      <c r="A8" t="s">
        <v>313</v>
      </c>
      <c r="B8" t="s">
        <v>1018</v>
      </c>
      <c r="C8">
        <v>2.1366547703255228E-2</v>
      </c>
      <c r="D8">
        <v>-2.127293229169739E-2</v>
      </c>
      <c r="E8">
        <v>2.127293229169739E-2</v>
      </c>
      <c r="F8">
        <v>-1105.7884239519008</v>
      </c>
      <c r="G8">
        <v>-1059.6245433276783</v>
      </c>
      <c r="K8" t="s">
        <v>1093</v>
      </c>
      <c r="L8" t="s">
        <v>540</v>
      </c>
      <c r="M8" s="296">
        <v>2.2875973042134252E-2</v>
      </c>
      <c r="N8" s="296">
        <v>-2.3853355743094624E-2</v>
      </c>
      <c r="O8" s="560">
        <v>-1057.8890019503517</v>
      </c>
      <c r="P8" s="560">
        <v>-1108.4807811171404</v>
      </c>
    </row>
    <row r="9" spans="1:16" x14ac:dyDescent="0.2">
      <c r="A9" t="s">
        <v>702</v>
      </c>
      <c r="B9" t="s">
        <v>1099</v>
      </c>
      <c r="C9">
        <v>-1.7848143458985425E-3</v>
      </c>
      <c r="D9">
        <v>2.7942407832951652E-3</v>
      </c>
      <c r="E9">
        <v>2.7942407832951652E-3</v>
      </c>
      <c r="F9">
        <v>-1080.723467389302</v>
      </c>
      <c r="G9">
        <v>-1085.681008015521</v>
      </c>
      <c r="K9" t="s">
        <v>313</v>
      </c>
      <c r="L9" t="s">
        <v>1018</v>
      </c>
      <c r="M9" s="296">
        <v>-2.1366547703255228E-2</v>
      </c>
      <c r="N9" s="296">
        <v>2.127293229169739E-2</v>
      </c>
      <c r="O9" s="560">
        <v>-1105.7884239519008</v>
      </c>
      <c r="P9" s="560">
        <v>-1059.6245433276783</v>
      </c>
    </row>
    <row r="10" spans="1:16" x14ac:dyDescent="0.2">
      <c r="A10" t="s">
        <v>700</v>
      </c>
      <c r="B10" t="s">
        <v>1099</v>
      </c>
      <c r="C10">
        <v>-1.4448326274663951E-3</v>
      </c>
      <c r="D10">
        <v>2.2842682056470492E-3</v>
      </c>
      <c r="E10">
        <v>2.2842682056470492E-3</v>
      </c>
      <c r="F10">
        <v>-1081.0915505710382</v>
      </c>
      <c r="G10">
        <v>-1085.1288832429168</v>
      </c>
      <c r="K10" t="s">
        <v>29</v>
      </c>
      <c r="L10" t="s">
        <v>1099</v>
      </c>
      <c r="M10" s="296">
        <v>1.7848143458985425E-3</v>
      </c>
      <c r="N10" s="296">
        <v>-2.7942407832951652E-3</v>
      </c>
      <c r="O10" s="560">
        <v>-1080.723467389302</v>
      </c>
      <c r="P10" s="560">
        <v>-1085.681008015521</v>
      </c>
    </row>
    <row r="11" spans="1:16" x14ac:dyDescent="0.2">
      <c r="A11" t="s">
        <v>981</v>
      </c>
      <c r="B11" t="s">
        <v>1144</v>
      </c>
      <c r="C11">
        <v>-1.1465113677210743E-4</v>
      </c>
      <c r="D11">
        <v>2.8899596960530274E-4</v>
      </c>
      <c r="E11">
        <v>2.8899596960530274E-4</v>
      </c>
      <c r="F11">
        <v>-1082.5316792863093</v>
      </c>
      <c r="G11">
        <v>-1082.9686901700097</v>
      </c>
      <c r="K11" t="s">
        <v>1202</v>
      </c>
      <c r="L11" t="s">
        <v>1099</v>
      </c>
      <c r="M11" s="296">
        <v>1.4448326274663951E-3</v>
      </c>
      <c r="N11" s="296">
        <v>-2.2842682056470492E-3</v>
      </c>
      <c r="O11" s="560">
        <v>-1081.0915505710382</v>
      </c>
      <c r="P11" s="560">
        <v>-1085.1288832429168</v>
      </c>
    </row>
    <row r="12" spans="1:16" x14ac:dyDescent="0.2">
      <c r="A12" t="s">
        <v>1097</v>
      </c>
      <c r="B12" t="s">
        <v>1099</v>
      </c>
      <c r="C12">
        <v>1.5716004670598155E-4</v>
      </c>
      <c r="D12">
        <v>-1.1872080561151572E-4</v>
      </c>
      <c r="E12">
        <v>1.1872080561151572E-4</v>
      </c>
      <c r="F12">
        <v>-1082.8259572425109</v>
      </c>
      <c r="G12">
        <v>-1082.5272732357078</v>
      </c>
      <c r="K12" t="s">
        <v>981</v>
      </c>
      <c r="L12" t="s">
        <v>1144</v>
      </c>
      <c r="M12" s="296">
        <v>1.1465113677210743E-4</v>
      </c>
      <c r="N12" s="296">
        <v>-2.8899596960530274E-4</v>
      </c>
      <c r="O12" s="560">
        <v>-1082.5316792863093</v>
      </c>
      <c r="P12" s="560">
        <v>-1082.9686901700097</v>
      </c>
    </row>
    <row r="13" spans="1:16" x14ac:dyDescent="0.2">
      <c r="A13" t="s">
        <v>507</v>
      </c>
      <c r="B13" t="s">
        <v>1144</v>
      </c>
      <c r="C13">
        <v>6.3896408795655795E-6</v>
      </c>
      <c r="D13">
        <v>1.0743480312789824E-4</v>
      </c>
      <c r="E13">
        <v>1.0743480312789824E-4</v>
      </c>
      <c r="F13">
        <v>-1082.6627247871183</v>
      </c>
      <c r="G13">
        <v>-1082.7721219187963</v>
      </c>
      <c r="K13" t="s">
        <v>1097</v>
      </c>
      <c r="L13" t="s">
        <v>1099</v>
      </c>
      <c r="M13" s="296">
        <v>-1.5716004670598155E-4</v>
      </c>
      <c r="N13" s="296">
        <v>1.1872080561151572E-4</v>
      </c>
      <c r="O13" s="560">
        <v>-1082.8259572425109</v>
      </c>
      <c r="P13" s="560">
        <v>-1082.5272732357078</v>
      </c>
    </row>
    <row r="14" spans="1:16" x14ac:dyDescent="0.2">
      <c r="A14" t="s">
        <v>980</v>
      </c>
      <c r="B14" t="s">
        <v>1144</v>
      </c>
      <c r="C14">
        <v>2.5923372672393923E-5</v>
      </c>
      <c r="D14">
        <v>7.8134205438865729E-5</v>
      </c>
      <c r="E14">
        <v>7.8134205438865729E-5</v>
      </c>
      <c r="F14">
        <v>-1082.6838730952763</v>
      </c>
      <c r="G14">
        <v>-1082.7403994565595</v>
      </c>
    </row>
    <row r="15" spans="1:16" x14ac:dyDescent="0.2">
      <c r="A15" t="s">
        <v>995</v>
      </c>
      <c r="B15" t="s">
        <v>1144</v>
      </c>
      <c r="C15">
        <v>3.3364870611171704E-5</v>
      </c>
      <c r="D15">
        <v>6.6971958530279027E-5</v>
      </c>
      <c r="E15">
        <v>6.6971958530279027E-5</v>
      </c>
      <c r="F15">
        <v>-1082.6919296762326</v>
      </c>
      <c r="G15">
        <v>-1082.7283145851247</v>
      </c>
      <c r="M15" s="109" t="s">
        <v>1192</v>
      </c>
    </row>
    <row r="16" spans="1:16" x14ac:dyDescent="0.2">
      <c r="A16" t="s">
        <v>705</v>
      </c>
      <c r="B16" t="s">
        <v>1099</v>
      </c>
      <c r="C16">
        <v>3.4935329044001048E-5</v>
      </c>
      <c r="D16">
        <v>6.461627088145505E-5</v>
      </c>
      <c r="E16">
        <v>6.461627088145505E-5</v>
      </c>
      <c r="F16">
        <v>-1082.6936299421745</v>
      </c>
      <c r="G16">
        <v>-1082.7257641862122</v>
      </c>
      <c r="M16">
        <f>M2*-1</f>
        <v>-0.13858675264911488</v>
      </c>
      <c r="N16">
        <f>N2*-1</f>
        <v>0.20799714823811929</v>
      </c>
    </row>
    <row r="17" spans="1:14" x14ac:dyDescent="0.2">
      <c r="A17" t="s">
        <v>982</v>
      </c>
      <c r="B17" t="s">
        <v>1144</v>
      </c>
      <c r="C17">
        <v>3.9892175006789324E-5</v>
      </c>
      <c r="D17">
        <v>5.718100193716763E-5</v>
      </c>
      <c r="E17">
        <v>5.718100193716763E-5</v>
      </c>
      <c r="F17">
        <v>-1082.6989965002406</v>
      </c>
      <c r="G17">
        <v>-1082.7177143491131</v>
      </c>
      <c r="M17">
        <f t="shared" ref="M17:N17" si="0">M3*-1</f>
        <v>0.19956549927895598</v>
      </c>
      <c r="N17">
        <f t="shared" si="0"/>
        <v>-0.19935607666754526</v>
      </c>
    </row>
    <row r="18" spans="1:14" x14ac:dyDescent="0.2">
      <c r="A18" t="s">
        <v>704</v>
      </c>
      <c r="B18" t="s">
        <v>1099</v>
      </c>
      <c r="C18">
        <v>4.0267436436070463E-5</v>
      </c>
      <c r="D18">
        <v>5.661810979335093E-5</v>
      </c>
      <c r="E18">
        <v>5.661810979335093E-5</v>
      </c>
      <c r="F18">
        <v>-1082.6994027792061</v>
      </c>
      <c r="G18">
        <v>-1082.7171049306648</v>
      </c>
      <c r="M18">
        <f t="shared" ref="M18:N18" si="1">M4*-1</f>
        <v>0.1787277748020141</v>
      </c>
      <c r="N18">
        <f t="shared" si="1"/>
        <v>-0.17863415939045471</v>
      </c>
    </row>
    <row r="19" spans="1:14" x14ac:dyDescent="0.2">
      <c r="A19" t="s">
        <v>994</v>
      </c>
      <c r="B19" t="s">
        <v>1144</v>
      </c>
      <c r="C19">
        <v>4.3794677998466263E-5</v>
      </c>
      <c r="D19">
        <v>5.132724745017725E-5</v>
      </c>
      <c r="E19">
        <v>5.132724745017725E-5</v>
      </c>
      <c r="F19">
        <v>-1082.7032215677664</v>
      </c>
      <c r="G19">
        <v>-1082.7113767478249</v>
      </c>
      <c r="M19">
        <f t="shared" ref="M19:N19" si="2">M5*-1</f>
        <v>-2.7740734201030796E-2</v>
      </c>
      <c r="N19">
        <f t="shared" si="2"/>
        <v>4.1728120565992705E-2</v>
      </c>
    </row>
    <row r="20" spans="1:14" x14ac:dyDescent="0.2">
      <c r="A20" t="s">
        <v>979</v>
      </c>
      <c r="B20" t="s">
        <v>1144</v>
      </c>
      <c r="C20">
        <v>4.5107336497097507E-5</v>
      </c>
      <c r="D20">
        <v>4.9358259701600337E-5</v>
      </c>
      <c r="E20">
        <v>4.9358259701600337E-5</v>
      </c>
      <c r="F20">
        <v>-1082.7046427251125</v>
      </c>
      <c r="G20">
        <v>-1082.709245011805</v>
      </c>
      <c r="M20">
        <f t="shared" ref="M20:N20" si="3">M6*-1</f>
        <v>-2.4517554837938632E-2</v>
      </c>
      <c r="N20">
        <f t="shared" si="3"/>
        <v>3.6893351521355512E-2</v>
      </c>
    </row>
    <row r="21" spans="1:14" x14ac:dyDescent="0.2">
      <c r="A21" t="s">
        <v>663</v>
      </c>
      <c r="B21" t="s">
        <v>1144</v>
      </c>
      <c r="C21">
        <v>4.6570446680471904E-5</v>
      </c>
      <c r="D21">
        <v>4.7163594426748759E-5</v>
      </c>
      <c r="E21">
        <v>4.7163594426748759E-5</v>
      </c>
      <c r="F21">
        <v>-1082.7062267698489</v>
      </c>
      <c r="G21">
        <v>-1082.7068689447008</v>
      </c>
      <c r="M21">
        <f t="shared" ref="M21:N21" si="4">M7*-1</f>
        <v>-2.7344447493382707E-2</v>
      </c>
      <c r="N21">
        <f t="shared" si="4"/>
        <v>2.8567743564310733E-2</v>
      </c>
    </row>
    <row r="22" spans="1:14" x14ac:dyDescent="0.2">
      <c r="A22" t="s">
        <v>707</v>
      </c>
      <c r="B22" t="s">
        <v>1099</v>
      </c>
      <c r="C22">
        <v>4.6761724710458218E-5</v>
      </c>
      <c r="D22">
        <v>4.6876677381664279E-5</v>
      </c>
      <c r="E22">
        <v>4.6876677381664279E-5</v>
      </c>
      <c r="F22">
        <v>-1082.7064338581188</v>
      </c>
      <c r="G22">
        <v>-1082.7065583122958</v>
      </c>
      <c r="M22">
        <f t="shared" ref="M22:N22" si="5">M8*-1</f>
        <v>-2.2875973042134252E-2</v>
      </c>
      <c r="N22">
        <f t="shared" si="5"/>
        <v>2.3853355743094624E-2</v>
      </c>
    </row>
    <row r="23" spans="1:14" x14ac:dyDescent="0.2">
      <c r="A23" t="s">
        <v>706</v>
      </c>
      <c r="B23" t="s">
        <v>1099</v>
      </c>
      <c r="C23">
        <v>4.6800469909826754E-5</v>
      </c>
      <c r="D23">
        <v>4.6818559582821498E-5</v>
      </c>
      <c r="E23">
        <v>4.6818559582821498E-5</v>
      </c>
      <c r="F23">
        <v>-1082.7064758058339</v>
      </c>
      <c r="G23">
        <v>-1082.7064953907234</v>
      </c>
      <c r="M23">
        <f t="shared" ref="M23:N23" si="6">M9*-1</f>
        <v>2.1366547703255228E-2</v>
      </c>
      <c r="N23">
        <f t="shared" si="6"/>
        <v>-2.127293229169739E-2</v>
      </c>
    </row>
    <row r="24" spans="1:14" x14ac:dyDescent="0.2">
      <c r="A24" t="s">
        <v>137</v>
      </c>
      <c r="B24" t="s">
        <v>1144</v>
      </c>
      <c r="C24">
        <v>4.6805035782907389E-5</v>
      </c>
      <c r="D24">
        <v>4.6811710773305551E-5</v>
      </c>
      <c r="E24">
        <v>4.6811710773305551E-5</v>
      </c>
      <c r="F24">
        <v>-1082.7064807491029</v>
      </c>
      <c r="G24">
        <v>-1082.70648797582</v>
      </c>
      <c r="M24">
        <f t="shared" ref="M24:N24" si="7">M10*-1</f>
        <v>-1.7848143458985425E-3</v>
      </c>
      <c r="N24">
        <f t="shared" si="7"/>
        <v>2.7942407832951652E-3</v>
      </c>
    </row>
    <row r="25" spans="1:14" x14ac:dyDescent="0.2">
      <c r="A25" t="s">
        <v>703</v>
      </c>
      <c r="B25" t="s">
        <v>1099</v>
      </c>
      <c r="C25">
        <v>4.6807704162961245E-5</v>
      </c>
      <c r="D25">
        <v>4.6807708202804737E-5</v>
      </c>
      <c r="E25">
        <v>4.6807708202804737E-5</v>
      </c>
      <c r="F25">
        <v>-1082.70648363804</v>
      </c>
      <c r="G25">
        <v>-1082.7064836424138</v>
      </c>
      <c r="M25">
        <f t="shared" ref="M25:N25" si="8">M11*-1</f>
        <v>-1.4448326274663951E-3</v>
      </c>
      <c r="N25">
        <f t="shared" si="8"/>
        <v>2.2842682056470492E-3</v>
      </c>
    </row>
    <row r="26" spans="1:14" x14ac:dyDescent="0.2">
      <c r="A26" t="s">
        <v>699</v>
      </c>
      <c r="B26" t="s">
        <v>1099</v>
      </c>
      <c r="C26">
        <v>4.6807704996929766E-5</v>
      </c>
      <c r="D26">
        <v>4.6807706952166974E-5</v>
      </c>
      <c r="E26">
        <v>4.6807706952166974E-5</v>
      </c>
      <c r="F26">
        <v>-1082.7064836389429</v>
      </c>
      <c r="G26">
        <v>-1082.7064836410598</v>
      </c>
      <c r="M26">
        <f t="shared" ref="M26:N26" si="9">M12*-1</f>
        <v>-1.1465113677210743E-4</v>
      </c>
      <c r="N26">
        <f t="shared" si="9"/>
        <v>2.8899596960530274E-4</v>
      </c>
    </row>
    <row r="27" spans="1:14" x14ac:dyDescent="0.2">
      <c r="C27">
        <v>4.6807705779024648E-5</v>
      </c>
      <c r="D27">
        <v>4.6807705779024648E-5</v>
      </c>
      <c r="E27">
        <v>4.6807705779024648E-5</v>
      </c>
      <c r="F27">
        <v>-1082.7064836397897</v>
      </c>
      <c r="G27">
        <v>-1082.7064836397897</v>
      </c>
      <c r="M27">
        <f t="shared" ref="M27:N27" si="10">M13*-1</f>
        <v>1.5716004670598155E-4</v>
      </c>
      <c r="N27">
        <f t="shared" si="10"/>
        <v>-1.1872080561151572E-4</v>
      </c>
    </row>
    <row r="28" spans="1:14" x14ac:dyDescent="0.2">
      <c r="A28" t="s">
        <v>1094</v>
      </c>
      <c r="C28">
        <v>4.6807705779024648E-5</v>
      </c>
      <c r="D28">
        <v>4.6807705779024648E-5</v>
      </c>
      <c r="E28">
        <v>4.6807705779024648E-5</v>
      </c>
      <c r="F28">
        <v>-1082.7064836397897</v>
      </c>
      <c r="G28">
        <v>-1082.7064836397897</v>
      </c>
    </row>
    <row r="29" spans="1:14" x14ac:dyDescent="0.2">
      <c r="A29" t="s">
        <v>1096</v>
      </c>
      <c r="B29" t="s">
        <v>15</v>
      </c>
      <c r="C29">
        <v>4.6807705779024648E-5</v>
      </c>
      <c r="D29">
        <v>4.6807705779024648E-5</v>
      </c>
      <c r="E29">
        <v>4.6807705779024648E-5</v>
      </c>
      <c r="F29">
        <v>-1082.7064836397897</v>
      </c>
      <c r="G29">
        <v>-1082.7064836397897</v>
      </c>
    </row>
    <row r="30" spans="1:14" x14ac:dyDescent="0.2">
      <c r="C30">
        <v>4.6807705779024648E-5</v>
      </c>
      <c r="D30">
        <v>4.6807705779024648E-5</v>
      </c>
      <c r="E30">
        <v>4.6807705779024648E-5</v>
      </c>
      <c r="F30">
        <v>-1082.7064836397897</v>
      </c>
      <c r="G30">
        <v>-1082.7064836397897</v>
      </c>
    </row>
    <row r="31" spans="1:14" x14ac:dyDescent="0.2">
      <c r="A31" t="s">
        <v>1107</v>
      </c>
      <c r="C31">
        <v>4.6807705779024648E-5</v>
      </c>
      <c r="D31">
        <v>4.6807705779024648E-5</v>
      </c>
      <c r="E31">
        <v>4.6807705779024648E-5</v>
      </c>
      <c r="F31">
        <v>-1082.7064836397897</v>
      </c>
      <c r="G31">
        <v>-1082.7064836397897</v>
      </c>
    </row>
    <row r="32" spans="1:14" x14ac:dyDescent="0.2">
      <c r="A32" t="s">
        <v>970</v>
      </c>
      <c r="B32" t="s">
        <v>1099</v>
      </c>
      <c r="C32">
        <v>4.6807705779024648E-5</v>
      </c>
      <c r="D32">
        <v>4.6807705779024648E-5</v>
      </c>
      <c r="E32">
        <v>4.6807705779024648E-5</v>
      </c>
      <c r="F32">
        <v>-1082.7064836397897</v>
      </c>
      <c r="G32">
        <v>-1082.7064836397897</v>
      </c>
    </row>
    <row r="33" spans="1:7" x14ac:dyDescent="0.2">
      <c r="A33" t="s">
        <v>1100</v>
      </c>
      <c r="B33" t="s">
        <v>1099</v>
      </c>
      <c r="C33">
        <v>4.6807705779024648E-5</v>
      </c>
      <c r="D33">
        <v>4.6807705779024648E-5</v>
      </c>
      <c r="E33">
        <v>4.6807705779024648E-5</v>
      </c>
      <c r="F33">
        <v>-1082.7064836397897</v>
      </c>
      <c r="G33">
        <v>-1082.7064836397897</v>
      </c>
    </row>
    <row r="34" spans="1:7" x14ac:dyDescent="0.2">
      <c r="A34" t="s">
        <v>1101</v>
      </c>
      <c r="B34" t="s">
        <v>1099</v>
      </c>
      <c r="C34">
        <v>4.6807705779024648E-5</v>
      </c>
      <c r="D34">
        <v>4.6807705779024648E-5</v>
      </c>
      <c r="E34">
        <v>4.6807705779024648E-5</v>
      </c>
      <c r="F34">
        <v>-1082.7064836397897</v>
      </c>
      <c r="G34">
        <v>-1082.7064836397897</v>
      </c>
    </row>
    <row r="35" spans="1:7" x14ac:dyDescent="0.2">
      <c r="A35" t="s">
        <v>965</v>
      </c>
      <c r="B35" t="s">
        <v>1099</v>
      </c>
      <c r="C35">
        <v>4.6807705779024648E-5</v>
      </c>
      <c r="D35">
        <v>4.6807705779024648E-5</v>
      </c>
      <c r="E35">
        <v>4.6807705779024648E-5</v>
      </c>
      <c r="F35">
        <v>-1082.7064836397897</v>
      </c>
      <c r="G35">
        <v>-1082.7064836397897</v>
      </c>
    </row>
    <row r="36" spans="1:7" x14ac:dyDescent="0.2">
      <c r="A36" t="s">
        <v>547</v>
      </c>
      <c r="B36" t="s">
        <v>1099</v>
      </c>
      <c r="C36">
        <v>4.6807705779024648E-5</v>
      </c>
      <c r="D36">
        <v>4.6807705779024648E-5</v>
      </c>
      <c r="E36">
        <v>4.6807705779024648E-5</v>
      </c>
      <c r="F36">
        <v>-1082.7064836397897</v>
      </c>
      <c r="G36">
        <v>-1082.7064836397897</v>
      </c>
    </row>
    <row r="37" spans="1:7" x14ac:dyDescent="0.2">
      <c r="A37" t="s">
        <v>548</v>
      </c>
      <c r="B37" t="s">
        <v>1099</v>
      </c>
      <c r="C37">
        <v>4.6807705779024648E-5</v>
      </c>
      <c r="D37">
        <v>4.6807705779024648E-5</v>
      </c>
      <c r="E37">
        <v>4.6807705779024648E-5</v>
      </c>
      <c r="F37">
        <v>-1082.7064836397897</v>
      </c>
      <c r="G37">
        <v>-1082.7064836397897</v>
      </c>
    </row>
    <row r="38" spans="1:7" x14ac:dyDescent="0.2">
      <c r="A38" t="s">
        <v>549</v>
      </c>
      <c r="B38" t="s">
        <v>1099</v>
      </c>
      <c r="C38">
        <v>4.6807705779024648E-5</v>
      </c>
      <c r="D38">
        <v>4.6807705779024648E-5</v>
      </c>
      <c r="E38">
        <v>4.6807705779024648E-5</v>
      </c>
      <c r="F38">
        <v>-1082.7064836397897</v>
      </c>
      <c r="G38">
        <v>-1082.7064836397897</v>
      </c>
    </row>
    <row r="39" spans="1:7" x14ac:dyDescent="0.2">
      <c r="A39" t="s">
        <v>721</v>
      </c>
      <c r="B39" t="s">
        <v>1099</v>
      </c>
      <c r="C39">
        <v>4.6807705779024648E-5</v>
      </c>
      <c r="D39">
        <v>4.6807705779024648E-5</v>
      </c>
      <c r="E39">
        <v>4.6807705779024648E-5</v>
      </c>
      <c r="F39">
        <v>-1082.7064836397897</v>
      </c>
      <c r="G39">
        <v>-1082.7064836397897</v>
      </c>
    </row>
    <row r="40" spans="1:7" x14ac:dyDescent="0.2">
      <c r="A40" t="s">
        <v>723</v>
      </c>
      <c r="B40" t="s">
        <v>1099</v>
      </c>
      <c r="C40">
        <v>4.6807705779024648E-5</v>
      </c>
      <c r="D40">
        <v>4.6807705779024648E-5</v>
      </c>
      <c r="E40">
        <v>4.6807705779024648E-5</v>
      </c>
      <c r="F40">
        <v>-1082.7064836397897</v>
      </c>
      <c r="G40">
        <v>-1082.7064836397897</v>
      </c>
    </row>
    <row r="41" spans="1:7" x14ac:dyDescent="0.2">
      <c r="A41" t="s">
        <v>764</v>
      </c>
      <c r="B41" t="s">
        <v>1099</v>
      </c>
      <c r="C41">
        <v>4.6807705779024648E-5</v>
      </c>
      <c r="D41">
        <v>4.6807705779024648E-5</v>
      </c>
      <c r="E41">
        <v>4.6807705779024648E-5</v>
      </c>
      <c r="F41">
        <v>-1082.7064836397897</v>
      </c>
      <c r="G41">
        <v>-1082.7064836397897</v>
      </c>
    </row>
    <row r="42" spans="1:7" x14ac:dyDescent="0.2">
      <c r="A42" t="s">
        <v>759</v>
      </c>
      <c r="B42" t="s">
        <v>1099</v>
      </c>
      <c r="C42">
        <v>4.6807705779024648E-5</v>
      </c>
      <c r="D42">
        <v>4.6807705779024648E-5</v>
      </c>
      <c r="E42">
        <v>4.6807705779024648E-5</v>
      </c>
      <c r="F42">
        <v>-1082.7064836397897</v>
      </c>
      <c r="G42">
        <v>-1082.7064836397897</v>
      </c>
    </row>
    <row r="43" spans="1:7" x14ac:dyDescent="0.2">
      <c r="A43" t="s">
        <v>751</v>
      </c>
      <c r="B43" t="s">
        <v>1099</v>
      </c>
      <c r="C43">
        <v>4.6807705779024648E-5</v>
      </c>
      <c r="D43">
        <v>4.6807705779024648E-5</v>
      </c>
      <c r="E43">
        <v>4.6807705779024648E-5</v>
      </c>
      <c r="F43">
        <v>-1082.7064836397897</v>
      </c>
      <c r="G43">
        <v>-1082.7064836397897</v>
      </c>
    </row>
    <row r="44" spans="1:7" x14ac:dyDescent="0.2">
      <c r="A44" t="s">
        <v>752</v>
      </c>
      <c r="B44" t="s">
        <v>1099</v>
      </c>
      <c r="C44">
        <v>4.6807705779024648E-5</v>
      </c>
      <c r="D44">
        <v>4.6807705779024648E-5</v>
      </c>
      <c r="E44">
        <v>4.6807705779024648E-5</v>
      </c>
      <c r="F44">
        <v>-1082.7064836397897</v>
      </c>
      <c r="G44">
        <v>-1082.7064836397897</v>
      </c>
    </row>
    <row r="45" spans="1:7" x14ac:dyDescent="0.2">
      <c r="A45" t="s">
        <v>756</v>
      </c>
      <c r="B45" t="s">
        <v>1099</v>
      </c>
      <c r="C45">
        <v>4.6807705779024648E-5</v>
      </c>
      <c r="D45">
        <v>4.6807705779024648E-5</v>
      </c>
      <c r="E45">
        <v>4.6807705779024648E-5</v>
      </c>
      <c r="F45">
        <v>-1082.7064836397897</v>
      </c>
      <c r="G45">
        <v>-1082.7064836397897</v>
      </c>
    </row>
    <row r="46" spans="1:7" x14ac:dyDescent="0.2">
      <c r="A46" t="s">
        <v>790</v>
      </c>
      <c r="B46" t="s">
        <v>1099</v>
      </c>
      <c r="C46">
        <v>4.6807705779024648E-5</v>
      </c>
      <c r="D46">
        <v>4.6807705779024648E-5</v>
      </c>
      <c r="E46">
        <v>4.6807705779024648E-5</v>
      </c>
      <c r="F46">
        <v>-1082.7064836397897</v>
      </c>
      <c r="G46">
        <v>-1082.7064836397897</v>
      </c>
    </row>
    <row r="47" spans="1:7" x14ac:dyDescent="0.2">
      <c r="A47" t="s">
        <v>930</v>
      </c>
      <c r="B47" t="s">
        <v>1099</v>
      </c>
      <c r="C47">
        <v>4.6807705779024648E-5</v>
      </c>
      <c r="D47">
        <v>4.6807705779024648E-5</v>
      </c>
      <c r="E47">
        <v>4.6807705779024648E-5</v>
      </c>
      <c r="F47">
        <v>-1082.7064836397897</v>
      </c>
      <c r="G47">
        <v>-1082.7064836397897</v>
      </c>
    </row>
    <row r="48" spans="1:7" x14ac:dyDescent="0.2">
      <c r="C48">
        <v>4.6807705779024648E-5</v>
      </c>
      <c r="D48">
        <v>4.6807705779024648E-5</v>
      </c>
      <c r="E48">
        <v>4.6807705779024648E-5</v>
      </c>
      <c r="F48">
        <v>-1082.7064836397897</v>
      </c>
      <c r="G48">
        <v>-1082.7064836397897</v>
      </c>
    </row>
    <row r="49" spans="1:7" x14ac:dyDescent="0.2">
      <c r="A49" t="s">
        <v>1089</v>
      </c>
      <c r="C49">
        <v>4.6807705779024648E-5</v>
      </c>
      <c r="D49">
        <v>4.6807705779024648E-5</v>
      </c>
      <c r="E49">
        <v>4.6807705779024648E-5</v>
      </c>
      <c r="F49">
        <v>-1082.7064836397897</v>
      </c>
      <c r="G49">
        <v>-1082.7064836397897</v>
      </c>
    </row>
    <row r="50" spans="1:7" x14ac:dyDescent="0.2">
      <c r="A50" t="s">
        <v>983</v>
      </c>
      <c r="B50" t="s">
        <v>1144</v>
      </c>
      <c r="C50">
        <v>4.6807705779024648E-5</v>
      </c>
      <c r="D50">
        <v>4.6807705779024648E-5</v>
      </c>
      <c r="E50">
        <v>4.6807705779024648E-5</v>
      </c>
      <c r="F50">
        <v>-1082.7064836397897</v>
      </c>
      <c r="G50">
        <v>-1082.7064836397897</v>
      </c>
    </row>
    <row r="51" spans="1:7" x14ac:dyDescent="0.2">
      <c r="A51" t="s">
        <v>985</v>
      </c>
      <c r="B51" t="s">
        <v>1144</v>
      </c>
      <c r="C51">
        <v>4.6807705779024648E-5</v>
      </c>
      <c r="D51">
        <v>4.6807705779024648E-5</v>
      </c>
      <c r="E51">
        <v>4.6807705779024648E-5</v>
      </c>
      <c r="F51">
        <v>-1082.7064836397897</v>
      </c>
      <c r="G51">
        <v>-1082.7064836397897</v>
      </c>
    </row>
    <row r="52" spans="1:7" x14ac:dyDescent="0.2">
      <c r="A52" t="s">
        <v>505</v>
      </c>
      <c r="B52" t="s">
        <v>1144</v>
      </c>
      <c r="C52">
        <v>4.6807705779024648E-5</v>
      </c>
      <c r="D52">
        <v>4.6807705779024648E-5</v>
      </c>
      <c r="E52">
        <v>4.6807705779024648E-5</v>
      </c>
      <c r="F52">
        <v>-1082.7064836397897</v>
      </c>
      <c r="G52">
        <v>-1082.7064836397897</v>
      </c>
    </row>
    <row r="53" spans="1:7" x14ac:dyDescent="0.2">
      <c r="A53" t="s">
        <v>50</v>
      </c>
      <c r="B53" t="s">
        <v>1144</v>
      </c>
      <c r="C53">
        <v>4.6807705779024648E-5</v>
      </c>
      <c r="D53">
        <v>4.6807705779024648E-5</v>
      </c>
      <c r="E53">
        <v>4.6807705779024648E-5</v>
      </c>
      <c r="F53">
        <v>-1082.7064836397897</v>
      </c>
      <c r="G53">
        <v>-1082.7064836397897</v>
      </c>
    </row>
    <row r="54" spans="1:7" x14ac:dyDescent="0.2">
      <c r="A54" t="s">
        <v>10</v>
      </c>
      <c r="B54" t="s">
        <v>1144</v>
      </c>
      <c r="C54">
        <v>4.6807705779024648E-5</v>
      </c>
      <c r="D54">
        <v>4.6807705779024648E-5</v>
      </c>
      <c r="E54">
        <v>4.6807705779024648E-5</v>
      </c>
      <c r="F54">
        <v>-1082.7064836397897</v>
      </c>
      <c r="G54">
        <v>-1082.7064836397897</v>
      </c>
    </row>
    <row r="55" spans="1:7" x14ac:dyDescent="0.2">
      <c r="A55" t="s">
        <v>915</v>
      </c>
      <c r="B55" t="s">
        <v>1144</v>
      </c>
      <c r="C55">
        <v>4.6807705779024648E-5</v>
      </c>
      <c r="D55">
        <v>4.6807705779024648E-5</v>
      </c>
      <c r="E55">
        <v>4.6807705779024648E-5</v>
      </c>
      <c r="F55">
        <v>-1082.7064836397897</v>
      </c>
      <c r="G55">
        <v>-1082.7064836397897</v>
      </c>
    </row>
    <row r="56" spans="1:7" x14ac:dyDescent="0.2">
      <c r="C56">
        <v>4.6807705779024648E-5</v>
      </c>
      <c r="D56">
        <v>4.6807705779024648E-5</v>
      </c>
      <c r="E56">
        <v>4.6807705779024648E-5</v>
      </c>
      <c r="F56">
        <v>-1082.7064836397897</v>
      </c>
      <c r="G56">
        <v>-1082.7064836397897</v>
      </c>
    </row>
    <row r="57" spans="1:7" x14ac:dyDescent="0.2">
      <c r="A57" t="s">
        <v>1090</v>
      </c>
      <c r="C57">
        <v>4.6807705779024648E-5</v>
      </c>
      <c r="D57">
        <v>4.6807705779024648E-5</v>
      </c>
      <c r="E57">
        <v>4.6807705779024648E-5</v>
      </c>
      <c r="F57">
        <v>-1082.7064836397897</v>
      </c>
      <c r="G57">
        <v>-1082.7064836397897</v>
      </c>
    </row>
    <row r="58" spans="1:7" x14ac:dyDescent="0.2">
      <c r="A58" t="s">
        <v>990</v>
      </c>
      <c r="B58" t="s">
        <v>1144</v>
      </c>
      <c r="C58">
        <v>4.6807705779024648E-5</v>
      </c>
      <c r="D58">
        <v>4.6807705779024648E-5</v>
      </c>
      <c r="E58">
        <v>4.6807705779024648E-5</v>
      </c>
      <c r="F58">
        <v>-1082.7064836397897</v>
      </c>
      <c r="G58">
        <v>-1082.7064836397897</v>
      </c>
    </row>
    <row r="59" spans="1:7" x14ac:dyDescent="0.2">
      <c r="A59" t="s">
        <v>991</v>
      </c>
      <c r="B59" t="s">
        <v>1144</v>
      </c>
      <c r="C59">
        <v>4.6807705779024648E-5</v>
      </c>
      <c r="D59">
        <v>4.6807705779024648E-5</v>
      </c>
      <c r="E59">
        <v>4.6807705779024648E-5</v>
      </c>
      <c r="F59">
        <v>-1082.7064836397897</v>
      </c>
      <c r="G59">
        <v>-1082.7064836397897</v>
      </c>
    </row>
    <row r="60" spans="1:7" x14ac:dyDescent="0.2">
      <c r="A60" t="s">
        <v>197</v>
      </c>
      <c r="B60" t="s">
        <v>1144</v>
      </c>
      <c r="C60">
        <v>4.6807705779024648E-5</v>
      </c>
      <c r="D60">
        <v>4.6807705779024648E-5</v>
      </c>
      <c r="E60">
        <v>4.6807705779024648E-5</v>
      </c>
      <c r="F60">
        <v>-1082.7064836397897</v>
      </c>
      <c r="G60">
        <v>-1082.7064836397897</v>
      </c>
    </row>
    <row r="61" spans="1:7" x14ac:dyDescent="0.2">
      <c r="A61" t="s">
        <v>998</v>
      </c>
      <c r="B61" t="s">
        <v>1144</v>
      </c>
      <c r="C61">
        <v>4.6807705779024648E-5</v>
      </c>
      <c r="D61">
        <v>4.6807705779024648E-5</v>
      </c>
      <c r="E61">
        <v>4.6807705779024648E-5</v>
      </c>
      <c r="F61">
        <v>-1082.7064836397897</v>
      </c>
      <c r="G61">
        <v>-1082.7064836397897</v>
      </c>
    </row>
    <row r="62" spans="1:7" x14ac:dyDescent="0.2">
      <c r="A62" t="s">
        <v>993</v>
      </c>
      <c r="B62" t="s">
        <v>1144</v>
      </c>
      <c r="C62">
        <v>4.6807705779024648E-5</v>
      </c>
      <c r="D62">
        <v>4.6807705779024648E-5</v>
      </c>
      <c r="E62">
        <v>4.6807705779024648E-5</v>
      </c>
      <c r="F62">
        <v>-1082.7064836397897</v>
      </c>
      <c r="G62">
        <v>-1082.7064836397897</v>
      </c>
    </row>
    <row r="63" spans="1:7" x14ac:dyDescent="0.2">
      <c r="A63" t="s">
        <v>903</v>
      </c>
      <c r="B63" t="s">
        <v>1144</v>
      </c>
      <c r="C63">
        <v>4.6807705779024648E-5</v>
      </c>
      <c r="D63">
        <v>4.6807705779024648E-5</v>
      </c>
      <c r="E63">
        <v>4.6807705779024648E-5</v>
      </c>
      <c r="F63">
        <v>-1082.7064836397897</v>
      </c>
      <c r="G63">
        <v>-1082.7064836397897</v>
      </c>
    </row>
    <row r="64" spans="1:7" x14ac:dyDescent="0.2">
      <c r="A64" t="s">
        <v>997</v>
      </c>
      <c r="B64" t="s">
        <v>1144</v>
      </c>
      <c r="C64">
        <v>4.6807705779024648E-5</v>
      </c>
      <c r="D64">
        <v>4.6807705779024648E-5</v>
      </c>
      <c r="E64">
        <v>4.6807705779024648E-5</v>
      </c>
      <c r="F64">
        <v>-1082.7064836397897</v>
      </c>
      <c r="G64">
        <v>-1082.7064836397897</v>
      </c>
    </row>
    <row r="65" spans="1:7" x14ac:dyDescent="0.2">
      <c r="A65" t="s">
        <v>585</v>
      </c>
      <c r="B65" t="s">
        <v>1144</v>
      </c>
      <c r="C65">
        <v>4.6807705779024648E-5</v>
      </c>
      <c r="D65">
        <v>4.6807705779024648E-5</v>
      </c>
      <c r="E65">
        <v>4.6807705779024648E-5</v>
      </c>
      <c r="F65">
        <v>-1082.7064836397897</v>
      </c>
      <c r="G65">
        <v>-1082.7064836397897</v>
      </c>
    </row>
    <row r="66" spans="1:7" x14ac:dyDescent="0.2">
      <c r="A66" t="s">
        <v>1062</v>
      </c>
      <c r="B66" t="s">
        <v>1144</v>
      </c>
      <c r="C66">
        <v>4.6807705779024648E-5</v>
      </c>
      <c r="D66">
        <v>4.6807705779024648E-5</v>
      </c>
      <c r="E66">
        <v>4.6807705779024648E-5</v>
      </c>
      <c r="F66">
        <v>-1082.7064836397897</v>
      </c>
      <c r="G66">
        <v>-1082.7064836397897</v>
      </c>
    </row>
    <row r="67" spans="1:7" x14ac:dyDescent="0.2">
      <c r="A67" t="s">
        <v>1086</v>
      </c>
      <c r="B67" t="s">
        <v>1144</v>
      </c>
      <c r="C67">
        <v>4.6807705779024648E-5</v>
      </c>
      <c r="D67">
        <v>4.6807705779024648E-5</v>
      </c>
      <c r="E67">
        <v>4.6807705779024648E-5</v>
      </c>
      <c r="F67">
        <v>-1082.7064836397897</v>
      </c>
      <c r="G67">
        <v>-1082.7064836397897</v>
      </c>
    </row>
    <row r="68" spans="1:7" x14ac:dyDescent="0.2">
      <c r="A68" t="s">
        <v>948</v>
      </c>
      <c r="B68" t="s">
        <v>1099</v>
      </c>
      <c r="C68">
        <v>4.6808681061425196E-5</v>
      </c>
      <c r="D68">
        <v>4.6806242855213816E-5</v>
      </c>
      <c r="E68">
        <v>4.6806242855213816E-5</v>
      </c>
      <c r="F68">
        <v>-1082.7064846956848</v>
      </c>
      <c r="G68">
        <v>-1082.7064820559467</v>
      </c>
    </row>
    <row r="69" spans="1:7" x14ac:dyDescent="0.2">
      <c r="A69" t="s">
        <v>781</v>
      </c>
      <c r="B69" t="s">
        <v>1018</v>
      </c>
      <c r="C69">
        <v>5.5462151285228362E-5</v>
      </c>
      <c r="D69">
        <v>3.8153260272400914E-5</v>
      </c>
      <c r="E69">
        <v>3.8153260272400914E-5</v>
      </c>
      <c r="F69">
        <v>-1082.7158534254734</v>
      </c>
      <c r="G69">
        <v>-1082.6971138541055</v>
      </c>
    </row>
    <row r="70" spans="1:7" x14ac:dyDescent="0.2">
      <c r="A70" t="s">
        <v>745</v>
      </c>
      <c r="B70" t="s">
        <v>1099</v>
      </c>
      <c r="C70">
        <v>5.4345921345912381E-5</v>
      </c>
      <c r="D70">
        <v>3.5500382428483042E-5</v>
      </c>
      <c r="E70">
        <v>3.5500382428483042E-5</v>
      </c>
      <c r="F70">
        <v>-1082.7146449326476</v>
      </c>
      <c r="G70">
        <v>-1082.6942417005025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B2227-6552-7B45-BB84-102202FB0216}">
  <sheetPr codeName="Sheet17"/>
  <dimension ref="A1:S70"/>
  <sheetViews>
    <sheetView topLeftCell="B2" zoomScale="110" zoomScaleNormal="110" workbookViewId="0">
      <selection activeCell="Q31" sqref="Q31"/>
    </sheetView>
  </sheetViews>
  <sheetFormatPr baseColWidth="10" defaultRowHeight="15" x14ac:dyDescent="0.2"/>
  <cols>
    <col min="2" max="2" width="17.83203125" customWidth="1"/>
  </cols>
  <sheetData>
    <row r="1" spans="1:19" x14ac:dyDescent="0.2">
      <c r="A1" t="s">
        <v>721</v>
      </c>
      <c r="B1" t="s">
        <v>1099</v>
      </c>
      <c r="C1">
        <v>2.0307323999472979</v>
      </c>
      <c r="D1">
        <v>-2.869804248716731</v>
      </c>
      <c r="E1">
        <v>2.869804248716731</v>
      </c>
      <c r="F1">
        <v>-65.56799348749685</v>
      </c>
      <c r="G1">
        <v>40.452041494948368</v>
      </c>
      <c r="J1" s="109" t="s">
        <v>3</v>
      </c>
      <c r="L1" s="109" t="s">
        <v>1001</v>
      </c>
      <c r="M1" s="109" t="s">
        <v>1170</v>
      </c>
      <c r="N1" s="109" t="s">
        <v>1171</v>
      </c>
      <c r="O1" s="109" t="s">
        <v>1195</v>
      </c>
      <c r="P1" s="109" t="s">
        <v>1197</v>
      </c>
      <c r="R1" s="109" t="s">
        <v>1192</v>
      </c>
    </row>
    <row r="2" spans="1:19" x14ac:dyDescent="0.2">
      <c r="A2" t="s">
        <v>1092</v>
      </c>
      <c r="B2" t="s">
        <v>540</v>
      </c>
      <c r="C2">
        <v>1.2399279554350697</v>
      </c>
      <c r="D2">
        <v>-1.8598919331525905</v>
      </c>
      <c r="E2">
        <v>1.8598919331525905</v>
      </c>
      <c r="F2">
        <v>-48.459435612653458</v>
      </c>
      <c r="G2">
        <v>18.603222334601551</v>
      </c>
      <c r="J2" t="s">
        <v>1099</v>
      </c>
      <c r="L2" t="s">
        <v>721</v>
      </c>
      <c r="M2" s="296">
        <v>-2.0307323999472979</v>
      </c>
      <c r="N2" s="296">
        <v>2.869804248716731</v>
      </c>
      <c r="O2" s="559">
        <v>-65.56799348749685</v>
      </c>
      <c r="P2" s="559">
        <v>40.452041494948368</v>
      </c>
      <c r="R2">
        <f>M2*-1</f>
        <v>2.0307323999472979</v>
      </c>
      <c r="S2">
        <f>N2*-1</f>
        <v>-2.869804248716731</v>
      </c>
    </row>
    <row r="3" spans="1:19" x14ac:dyDescent="0.2">
      <c r="A3" t="s">
        <v>701</v>
      </c>
      <c r="B3" t="s">
        <v>1099</v>
      </c>
      <c r="C3">
        <v>-1.229282237549439</v>
      </c>
      <c r="D3">
        <v>1.8439233563241619</v>
      </c>
      <c r="E3">
        <v>1.8439233563241619</v>
      </c>
      <c r="F3">
        <v>4.9603773195884084</v>
      </c>
      <c r="G3">
        <v>-61.526497063761028</v>
      </c>
      <c r="J3" t="s">
        <v>540</v>
      </c>
      <c r="L3" t="s">
        <v>535</v>
      </c>
      <c r="M3" s="296">
        <v>-1.2399279554350697</v>
      </c>
      <c r="N3" s="296">
        <v>1.8598919331525905</v>
      </c>
      <c r="O3" s="559">
        <v>-48.459435612653458</v>
      </c>
      <c r="P3" s="559">
        <v>18.603222334601551</v>
      </c>
      <c r="R3">
        <f>M3*-1</f>
        <v>1.2399279554350697</v>
      </c>
      <c r="S3">
        <f>N3*-1</f>
        <v>-1.8598919331525905</v>
      </c>
    </row>
    <row r="4" spans="1:19" x14ac:dyDescent="0.2">
      <c r="A4" t="s">
        <v>1</v>
      </c>
      <c r="B4" t="s">
        <v>15</v>
      </c>
      <c r="C4">
        <v>-1.0040671598163222</v>
      </c>
      <c r="D4">
        <v>1.2779335245345096</v>
      </c>
      <c r="E4">
        <v>1.2779335245345096</v>
      </c>
      <c r="F4">
        <v>8.7990450213899785E-2</v>
      </c>
      <c r="G4">
        <v>-49.281662249107413</v>
      </c>
      <c r="J4" t="s">
        <v>1099</v>
      </c>
      <c r="L4" t="s">
        <v>1206</v>
      </c>
      <c r="M4" s="296">
        <v>1.229282237549439</v>
      </c>
      <c r="N4" s="296">
        <v>-1.8439233563241619</v>
      </c>
      <c r="O4" s="559">
        <v>4.9603773195884084</v>
      </c>
      <c r="P4" s="559">
        <v>-61.526497063761028</v>
      </c>
      <c r="R4">
        <f>M4*-1</f>
        <v>-1.229282237549439</v>
      </c>
      <c r="S4">
        <f>N4*-1</f>
        <v>1.8439233563241619</v>
      </c>
    </row>
    <row r="5" spans="1:19" x14ac:dyDescent="0.2">
      <c r="A5" t="s">
        <v>990</v>
      </c>
      <c r="B5" t="s">
        <v>1144</v>
      </c>
      <c r="C5">
        <v>-0.46896781728736359</v>
      </c>
      <c r="D5">
        <v>0.70345172593104377</v>
      </c>
      <c r="E5">
        <v>0.70345172593104377</v>
      </c>
      <c r="F5">
        <v>-11.488548015113063</v>
      </c>
      <c r="G5">
        <v>-36.853109061708707</v>
      </c>
      <c r="J5" t="s">
        <v>15</v>
      </c>
      <c r="L5" t="s">
        <v>1</v>
      </c>
      <c r="M5" s="296">
        <v>1.0040671598163222</v>
      </c>
      <c r="N5" s="296">
        <v>-1.2779335245345096</v>
      </c>
      <c r="O5" s="559">
        <v>8.7990450213899785E-2</v>
      </c>
      <c r="P5" s="559">
        <v>-49.281662249107413</v>
      </c>
      <c r="R5">
        <f>M5*-1</f>
        <v>-1.0040671598163222</v>
      </c>
      <c r="S5">
        <f>N5*-1</f>
        <v>1.2779335245345096</v>
      </c>
    </row>
    <row r="6" spans="1:19" x14ac:dyDescent="0.2">
      <c r="A6" t="s">
        <v>983</v>
      </c>
      <c r="B6" t="s">
        <v>1144</v>
      </c>
      <c r="C6">
        <v>-0.40078493541417382</v>
      </c>
      <c r="D6">
        <v>0.60117740312126311</v>
      </c>
      <c r="E6">
        <v>0.60117740312126311</v>
      </c>
      <c r="F6">
        <v>-12.963641875164123</v>
      </c>
      <c r="G6">
        <v>-34.640468271632201</v>
      </c>
      <c r="J6" t="s">
        <v>1144</v>
      </c>
      <c r="L6" t="s">
        <v>990</v>
      </c>
      <c r="M6" s="296">
        <v>0.46896781728736359</v>
      </c>
      <c r="N6" s="296">
        <v>-0.70345172593104377</v>
      </c>
      <c r="O6" s="559">
        <v>-11.488548015113063</v>
      </c>
      <c r="P6" s="559">
        <v>-36.853109061708707</v>
      </c>
      <c r="R6">
        <f>M6*-1</f>
        <v>-0.46896781728736359</v>
      </c>
      <c r="S6">
        <f>N6*-1</f>
        <v>0.70345172593104377</v>
      </c>
    </row>
    <row r="7" spans="1:19" x14ac:dyDescent="0.2">
      <c r="A7" t="s">
        <v>1100</v>
      </c>
      <c r="B7" t="s">
        <v>1099</v>
      </c>
      <c r="C7">
        <v>0.31532323583207977</v>
      </c>
      <c r="D7">
        <v>-0.4729848537481196</v>
      </c>
      <c r="E7">
        <v>0.4729848537481196</v>
      </c>
      <c r="F7">
        <v>-28.456192754758153</v>
      </c>
      <c r="G7">
        <v>-11.401641952241109</v>
      </c>
      <c r="J7" t="s">
        <v>1144</v>
      </c>
      <c r="L7" t="s">
        <v>983</v>
      </c>
      <c r="M7" s="296">
        <v>0.40078493541417382</v>
      </c>
      <c r="N7" s="296">
        <v>-0.60117740312126311</v>
      </c>
      <c r="O7" s="559">
        <v>-12.963641875164123</v>
      </c>
      <c r="P7" s="559">
        <v>-34.640468271632201</v>
      </c>
      <c r="R7">
        <f>M7*-1</f>
        <v>-0.40078493541417382</v>
      </c>
      <c r="S7">
        <f>N7*-1</f>
        <v>0.60117740312126311</v>
      </c>
    </row>
    <row r="8" spans="1:19" x14ac:dyDescent="0.2">
      <c r="A8" t="s">
        <v>723</v>
      </c>
      <c r="B8" t="s">
        <v>1099</v>
      </c>
      <c r="C8">
        <v>0.38859590184483778</v>
      </c>
      <c r="D8">
        <v>-0.41162596654531663</v>
      </c>
      <c r="E8">
        <v>0.41162596654531663</v>
      </c>
      <c r="F8">
        <v>-30.041400900492032</v>
      </c>
      <c r="G8">
        <v>-12.729102970107087</v>
      </c>
      <c r="J8" t="s">
        <v>1099</v>
      </c>
      <c r="L8" t="s">
        <v>1203</v>
      </c>
      <c r="M8" s="296">
        <v>-0.31532323583207977</v>
      </c>
      <c r="N8" s="296">
        <v>0.4729848537481196</v>
      </c>
      <c r="O8" s="559">
        <v>-28.456192754758153</v>
      </c>
      <c r="P8" s="559">
        <v>-11.401641952241109</v>
      </c>
      <c r="R8">
        <f>M8*-1</f>
        <v>0.31532323583207977</v>
      </c>
      <c r="S8">
        <f>N8*-1</f>
        <v>-0.4729848537481196</v>
      </c>
    </row>
    <row r="9" spans="1:19" x14ac:dyDescent="0.2">
      <c r="A9" t="s">
        <v>197</v>
      </c>
      <c r="B9" t="s">
        <v>1144</v>
      </c>
      <c r="C9">
        <v>-0.27224698831179139</v>
      </c>
      <c r="D9">
        <v>0.40837048246768926</v>
      </c>
      <c r="E9">
        <v>0.40837048246768926</v>
      </c>
      <c r="F9">
        <v>-15.744479694646893</v>
      </c>
      <c r="G9">
        <v>-30.469211542408043</v>
      </c>
      <c r="J9" t="s">
        <v>1099</v>
      </c>
      <c r="L9" t="s">
        <v>723</v>
      </c>
      <c r="M9" s="296">
        <v>-0.38859590184483778</v>
      </c>
      <c r="N9" s="296">
        <v>0.41162596654531663</v>
      </c>
      <c r="O9" s="559">
        <v>-30.041400900492032</v>
      </c>
      <c r="P9" s="559">
        <v>-12.729102970107087</v>
      </c>
      <c r="R9">
        <f>M9*-1</f>
        <v>0.38859590184483778</v>
      </c>
      <c r="S9">
        <f>N9*-1</f>
        <v>-0.41162596654531663</v>
      </c>
    </row>
    <row r="10" spans="1:19" x14ac:dyDescent="0.2">
      <c r="A10" t="s">
        <v>1093</v>
      </c>
      <c r="B10" t="s">
        <v>540</v>
      </c>
      <c r="C10">
        <v>0.29626408778080587</v>
      </c>
      <c r="D10">
        <v>-0.30793551051450596</v>
      </c>
      <c r="E10">
        <v>0.30793551051450596</v>
      </c>
      <c r="F10">
        <v>-28.043860047546886</v>
      </c>
      <c r="G10">
        <v>-14.972380913703162</v>
      </c>
      <c r="J10" t="s">
        <v>1144</v>
      </c>
      <c r="L10" t="s">
        <v>197</v>
      </c>
      <c r="M10" s="296">
        <v>0.27224698831179139</v>
      </c>
      <c r="N10" s="296">
        <v>-0.40837048246768926</v>
      </c>
      <c r="O10" s="559">
        <v>-15.744479694646893</v>
      </c>
      <c r="P10" s="559">
        <v>-30.469211542408043</v>
      </c>
      <c r="R10">
        <f>M10*-1</f>
        <v>-0.27224698831179139</v>
      </c>
      <c r="S10">
        <f>N10*-1</f>
        <v>0.40837048246768926</v>
      </c>
    </row>
    <row r="11" spans="1:19" x14ac:dyDescent="0.2">
      <c r="A11" t="s">
        <v>50</v>
      </c>
      <c r="B11" t="s">
        <v>1144</v>
      </c>
      <c r="C11">
        <v>-0.12171243049662649</v>
      </c>
      <c r="D11">
        <v>0.18256864574494072</v>
      </c>
      <c r="E11">
        <v>0.18256864574494072</v>
      </c>
      <c r="F11">
        <v>-19.001200382570243</v>
      </c>
      <c r="G11">
        <v>-25.584130510522993</v>
      </c>
      <c r="J11" t="s">
        <v>540</v>
      </c>
      <c r="L11" t="s">
        <v>1093</v>
      </c>
      <c r="M11" s="296">
        <v>-0.29626408778080587</v>
      </c>
      <c r="N11" s="296">
        <v>0.30793551051450596</v>
      </c>
      <c r="O11" s="559">
        <v>-28.043860047546886</v>
      </c>
      <c r="P11" s="559">
        <v>-14.972380913703162</v>
      </c>
      <c r="R11">
        <f>M11*-1</f>
        <v>0.29626408778080587</v>
      </c>
      <c r="S11">
        <f>N11*-1</f>
        <v>-0.30793551051450596</v>
      </c>
    </row>
    <row r="12" spans="1:19" x14ac:dyDescent="0.2">
      <c r="A12" t="s">
        <v>313</v>
      </c>
      <c r="B12" t="s">
        <v>1018</v>
      </c>
      <c r="C12">
        <v>0.1547391750293923</v>
      </c>
      <c r="D12">
        <v>-0.15473917502938836</v>
      </c>
      <c r="E12">
        <v>0.15473917502938836</v>
      </c>
      <c r="F12">
        <v>-24.982057376428642</v>
      </c>
      <c r="G12">
        <v>-18.286687491074112</v>
      </c>
      <c r="J12" t="s">
        <v>1144</v>
      </c>
      <c r="L12" t="s">
        <v>1204</v>
      </c>
      <c r="M12" s="296">
        <v>0.12171243049662649</v>
      </c>
      <c r="N12" s="296">
        <v>-0.18256864574494072</v>
      </c>
      <c r="O12" s="559">
        <v>-19.001200382570243</v>
      </c>
      <c r="P12" s="559">
        <v>-25.584130510522993</v>
      </c>
      <c r="R12">
        <f>M12*-1</f>
        <v>-0.12171243049662649</v>
      </c>
      <c r="S12">
        <f>N12*-1</f>
        <v>0.18256864574494072</v>
      </c>
    </row>
    <row r="13" spans="1:19" x14ac:dyDescent="0.2">
      <c r="A13" t="s">
        <v>702</v>
      </c>
      <c r="B13" t="s">
        <v>1099</v>
      </c>
      <c r="C13">
        <v>-9.1660447122282149E-2</v>
      </c>
      <c r="D13">
        <v>0.13749067068342191</v>
      </c>
      <c r="E13">
        <v>0.13749067068342191</v>
      </c>
      <c r="F13">
        <v>-19.651356183263712</v>
      </c>
      <c r="G13">
        <v>-24.60889680948274</v>
      </c>
      <c r="J13" t="s">
        <v>1018</v>
      </c>
      <c r="L13" t="s">
        <v>313</v>
      </c>
      <c r="M13" s="296">
        <v>-0.1547391750293923</v>
      </c>
      <c r="N13" s="296">
        <v>0.15473917502938836</v>
      </c>
      <c r="O13" s="559">
        <v>-24.982057376428642</v>
      </c>
      <c r="P13" s="559">
        <v>-18.286687491074112</v>
      </c>
      <c r="R13">
        <f>M13*-1</f>
        <v>0.1547391750293923</v>
      </c>
      <c r="S13">
        <f>N13*-1</f>
        <v>-0.15473917502938836</v>
      </c>
    </row>
    <row r="14" spans="1:19" x14ac:dyDescent="0.2">
      <c r="A14" t="s">
        <v>700</v>
      </c>
      <c r="B14" t="s">
        <v>1099</v>
      </c>
      <c r="C14">
        <v>-7.464663343930035E-2</v>
      </c>
      <c r="D14">
        <v>0.11196995015894692</v>
      </c>
      <c r="E14">
        <v>0.11196995015894692</v>
      </c>
      <c r="F14">
        <v>-20.019439364999794</v>
      </c>
      <c r="G14">
        <v>-24.056772036878566</v>
      </c>
      <c r="J14" t="s">
        <v>1099</v>
      </c>
      <c r="L14" t="s">
        <v>29</v>
      </c>
      <c r="M14" s="296">
        <v>9.1660447122282149E-2</v>
      </c>
      <c r="N14" s="296">
        <v>-0.13749067068342191</v>
      </c>
      <c r="O14" s="559">
        <v>-19.651356183263712</v>
      </c>
      <c r="P14" s="559">
        <v>-24.60889680948274</v>
      </c>
      <c r="R14">
        <f t="shared" ref="R14:R29" si="0">M14*-1</f>
        <v>-9.1660447122282149E-2</v>
      </c>
      <c r="S14">
        <f t="shared" ref="S14:S29" si="1">N14*-1</f>
        <v>0.13749067068342191</v>
      </c>
    </row>
    <row r="15" spans="1:19" x14ac:dyDescent="0.2">
      <c r="A15" t="s">
        <v>993</v>
      </c>
      <c r="B15" t="s">
        <v>1144</v>
      </c>
      <c r="C15">
        <v>-5.5358656202123963E-2</v>
      </c>
      <c r="D15">
        <v>8.3037984303193493E-2</v>
      </c>
      <c r="E15">
        <v>8.3037984303193493E-2</v>
      </c>
      <c r="F15">
        <v>-20.436722648042586</v>
      </c>
      <c r="G15">
        <v>-23.43084711231462</v>
      </c>
      <c r="J15" t="s">
        <v>1099</v>
      </c>
      <c r="L15" t="s">
        <v>1193</v>
      </c>
      <c r="M15" s="296">
        <v>7.464663343930035E-2</v>
      </c>
      <c r="N15" s="296">
        <v>-0.11196995015894692</v>
      </c>
      <c r="O15" s="559">
        <v>-20.019439364999794</v>
      </c>
      <c r="P15" s="559">
        <v>-24.056772036878566</v>
      </c>
      <c r="R15">
        <f t="shared" si="0"/>
        <v>-7.464663343930035E-2</v>
      </c>
      <c r="S15">
        <f t="shared" si="1"/>
        <v>0.11196995015894692</v>
      </c>
    </row>
    <row r="16" spans="1:19" x14ac:dyDescent="0.2">
      <c r="A16" t="s">
        <v>536</v>
      </c>
      <c r="B16" t="s">
        <v>1098</v>
      </c>
      <c r="C16">
        <v>7.5421363438020847E-2</v>
      </c>
      <c r="D16">
        <v>-7.805933598868596E-2</v>
      </c>
      <c r="E16">
        <v>7.805933598868596E-2</v>
      </c>
      <c r="F16">
        <v>-23.266066299830793</v>
      </c>
      <c r="G16">
        <v>-19.945607687040773</v>
      </c>
      <c r="J16" t="s">
        <v>1144</v>
      </c>
      <c r="L16" t="s">
        <v>993</v>
      </c>
      <c r="M16" s="296">
        <v>5.5358656202123963E-2</v>
      </c>
      <c r="N16" s="296">
        <v>-8.3037984303193493E-2</v>
      </c>
      <c r="O16" s="559">
        <v>-20.436722648042586</v>
      </c>
      <c r="P16" s="559">
        <v>-23.43084711231462</v>
      </c>
      <c r="R16">
        <f t="shared" si="0"/>
        <v>-5.5358656202123963E-2</v>
      </c>
      <c r="S16">
        <f t="shared" si="1"/>
        <v>8.3037984303193493E-2</v>
      </c>
    </row>
    <row r="17" spans="1:19" x14ac:dyDescent="0.2">
      <c r="A17" t="s">
        <v>991</v>
      </c>
      <c r="B17" t="s">
        <v>1144</v>
      </c>
      <c r="C17">
        <v>-3.8604142570545362E-2</v>
      </c>
      <c r="D17">
        <v>5.7906213855816402E-2</v>
      </c>
      <c r="E17">
        <v>5.7906213855816402E-2</v>
      </c>
      <c r="F17">
        <v>-20.799196035894521</v>
      </c>
      <c r="G17">
        <v>-22.887137030536518</v>
      </c>
      <c r="J17" t="s">
        <v>1098</v>
      </c>
      <c r="L17" t="s">
        <v>536</v>
      </c>
      <c r="M17" s="296">
        <v>-7.5421363438020847E-2</v>
      </c>
      <c r="N17" s="296">
        <v>7.805933598868596E-2</v>
      </c>
      <c r="O17" s="559">
        <v>-23.266066299830793</v>
      </c>
      <c r="P17" s="559">
        <v>-19.945607687040773</v>
      </c>
      <c r="R17">
        <f t="shared" si="0"/>
        <v>7.5421363438020847E-2</v>
      </c>
      <c r="S17">
        <f t="shared" si="1"/>
        <v>-7.805933598868596E-2</v>
      </c>
    </row>
    <row r="18" spans="1:19" x14ac:dyDescent="0.2">
      <c r="A18" t="s">
        <v>312</v>
      </c>
      <c r="B18" t="s">
        <v>1018</v>
      </c>
      <c r="C18">
        <v>4.7332145059887587E-2</v>
      </c>
      <c r="D18">
        <v>-4.7332145059877734E-2</v>
      </c>
      <c r="E18">
        <v>4.7332145059877734E-2</v>
      </c>
      <c r="F18">
        <v>-22.658373688065286</v>
      </c>
      <c r="G18">
        <v>-20.610371179437596</v>
      </c>
      <c r="J18" t="s">
        <v>1144</v>
      </c>
      <c r="L18" t="s">
        <v>991</v>
      </c>
      <c r="M18" s="296">
        <v>3.8604142570545362E-2</v>
      </c>
      <c r="N18" s="296">
        <v>-5.7906213855816402E-2</v>
      </c>
      <c r="O18" s="559">
        <v>-20.799196035894521</v>
      </c>
      <c r="P18" s="559">
        <v>-22.887137030536518</v>
      </c>
      <c r="R18">
        <f t="shared" si="0"/>
        <v>-3.8604142570545362E-2</v>
      </c>
      <c r="S18">
        <f t="shared" si="1"/>
        <v>5.7906213855816402E-2</v>
      </c>
    </row>
    <row r="19" spans="1:19" x14ac:dyDescent="0.2">
      <c r="A19" t="s">
        <v>1096</v>
      </c>
      <c r="B19" t="s">
        <v>15</v>
      </c>
      <c r="C19">
        <v>-3.7241098553669846E-2</v>
      </c>
      <c r="D19">
        <v>3.7238903593139673E-2</v>
      </c>
      <c r="E19">
        <v>3.7238903593139673E-2</v>
      </c>
      <c r="F19">
        <v>-20.828684637799203</v>
      </c>
      <c r="G19">
        <v>-22.440012743109879</v>
      </c>
      <c r="J19" t="s">
        <v>1018</v>
      </c>
      <c r="L19" t="s">
        <v>312</v>
      </c>
      <c r="M19" s="296">
        <v>-4.7332145059887587E-2</v>
      </c>
      <c r="N19" s="296">
        <v>4.7332145059877734E-2</v>
      </c>
      <c r="O19" s="559">
        <v>-22.658373688065286</v>
      </c>
      <c r="P19" s="559">
        <v>-20.610371179437596</v>
      </c>
      <c r="R19">
        <f t="shared" si="0"/>
        <v>4.7332145059887587E-2</v>
      </c>
      <c r="S19">
        <f t="shared" si="1"/>
        <v>-4.7332145059877734E-2</v>
      </c>
    </row>
    <row r="20" spans="1:19" x14ac:dyDescent="0.2">
      <c r="A20" t="s">
        <v>137</v>
      </c>
      <c r="B20" t="s">
        <v>1144</v>
      </c>
      <c r="C20">
        <v>-1.9011098053682007E-2</v>
      </c>
      <c r="D20">
        <v>2.8516647080527282E-2</v>
      </c>
      <c r="E20">
        <v>2.8516647080527282E-2</v>
      </c>
      <c r="F20">
        <v>-21.223079258083413</v>
      </c>
      <c r="G20">
        <v>-22.251312197253309</v>
      </c>
      <c r="J20" t="s">
        <v>15</v>
      </c>
      <c r="L20" t="s">
        <v>1096</v>
      </c>
      <c r="M20" s="296">
        <v>3.7241098553669846E-2</v>
      </c>
      <c r="N20" s="296">
        <v>-3.7238903593139673E-2</v>
      </c>
      <c r="O20" s="559">
        <v>-20.828684637799203</v>
      </c>
      <c r="P20" s="559">
        <v>-22.440012743109879</v>
      </c>
      <c r="R20">
        <f t="shared" si="0"/>
        <v>-3.7241098553669846E-2</v>
      </c>
      <c r="S20">
        <f t="shared" si="1"/>
        <v>3.7238903593139673E-2</v>
      </c>
    </row>
    <row r="21" spans="1:19" x14ac:dyDescent="0.2">
      <c r="A21" t="s">
        <v>505</v>
      </c>
      <c r="B21" t="s">
        <v>1144</v>
      </c>
      <c r="C21">
        <v>-1.4705113909078377E-2</v>
      </c>
      <c r="D21">
        <v>2.2057670863619868E-2</v>
      </c>
      <c r="E21">
        <v>2.2057670863619868E-2</v>
      </c>
      <c r="F21">
        <v>-21.316236522761596</v>
      </c>
      <c r="G21">
        <v>-22.111576300235992</v>
      </c>
      <c r="J21" t="s">
        <v>1144</v>
      </c>
      <c r="L21" t="s">
        <v>137</v>
      </c>
      <c r="M21" s="296">
        <v>1.9011098053682007E-2</v>
      </c>
      <c r="N21" s="296">
        <v>-2.8516647080527282E-2</v>
      </c>
      <c r="O21" s="559">
        <v>-21.223079258083413</v>
      </c>
      <c r="P21" s="559">
        <v>-22.251312197253309</v>
      </c>
      <c r="R21">
        <f t="shared" si="0"/>
        <v>-1.9011098053682007E-2</v>
      </c>
      <c r="S21">
        <f t="shared" si="1"/>
        <v>2.8516647080527282E-2</v>
      </c>
    </row>
    <row r="22" spans="1:19" x14ac:dyDescent="0.2">
      <c r="A22" t="s">
        <v>1097</v>
      </c>
      <c r="B22" t="s">
        <v>1099</v>
      </c>
      <c r="C22">
        <v>5.5223974296977063E-3</v>
      </c>
      <c r="D22">
        <v>-8.2835961445462316E-3</v>
      </c>
      <c r="E22">
        <v>8.2835961445462316E-3</v>
      </c>
      <c r="F22">
        <v>-21.753846036472606</v>
      </c>
      <c r="G22">
        <v>-21.455162029669435</v>
      </c>
      <c r="J22" t="s">
        <v>1144</v>
      </c>
      <c r="L22" t="s">
        <v>505</v>
      </c>
      <c r="M22" s="296">
        <v>1.4705113909078377E-2</v>
      </c>
      <c r="N22" s="296">
        <v>-2.2057670863619868E-2</v>
      </c>
      <c r="O22" s="559">
        <v>-21.316236522761596</v>
      </c>
      <c r="P22" s="559">
        <v>-22.111576300235992</v>
      </c>
      <c r="R22">
        <f t="shared" si="0"/>
        <v>-1.4705113909078377E-2</v>
      </c>
      <c r="S22">
        <f t="shared" si="1"/>
        <v>2.2057670863619868E-2</v>
      </c>
    </row>
    <row r="23" spans="1:19" x14ac:dyDescent="0.2">
      <c r="A23" t="s">
        <v>998</v>
      </c>
      <c r="B23" t="s">
        <v>1144</v>
      </c>
      <c r="C23">
        <v>-5.0504275291340895E-3</v>
      </c>
      <c r="D23">
        <v>7.5756412937001485E-3</v>
      </c>
      <c r="E23">
        <v>7.5756412937001485E-3</v>
      </c>
      <c r="F23">
        <v>-21.525109603636377</v>
      </c>
      <c r="G23">
        <v>-21.798266678923749</v>
      </c>
      <c r="J23" t="s">
        <v>1099</v>
      </c>
      <c r="L23" t="s">
        <v>1097</v>
      </c>
      <c r="M23" s="296">
        <v>-5.5223974296977063E-3</v>
      </c>
      <c r="N23" s="296">
        <v>8.2835961445462316E-3</v>
      </c>
      <c r="O23" s="559">
        <v>-21.753846036472606</v>
      </c>
      <c r="P23" s="559">
        <v>-21.455162029669435</v>
      </c>
      <c r="R23">
        <f t="shared" si="0"/>
        <v>5.5223974296977063E-3</v>
      </c>
      <c r="S23">
        <f t="shared" si="1"/>
        <v>-8.2835961445462316E-3</v>
      </c>
    </row>
    <row r="24" spans="1:19" x14ac:dyDescent="0.2">
      <c r="A24" t="s">
        <v>663</v>
      </c>
      <c r="B24" t="s">
        <v>1144</v>
      </c>
      <c r="C24">
        <v>-4.4240008002710681E-3</v>
      </c>
      <c r="D24">
        <v>6.6360012004069305E-3</v>
      </c>
      <c r="E24">
        <v>6.6360012004069305E-3</v>
      </c>
      <c r="F24">
        <v>-21.538661952791056</v>
      </c>
      <c r="G24">
        <v>-21.777938155191759</v>
      </c>
      <c r="J24" t="s">
        <v>1144</v>
      </c>
      <c r="L24" t="s">
        <v>998</v>
      </c>
      <c r="M24" s="296">
        <v>5.0504275291340895E-3</v>
      </c>
      <c r="N24" s="296">
        <v>-7.5756412937001485E-3</v>
      </c>
      <c r="O24" s="559">
        <v>-21.525109603636377</v>
      </c>
      <c r="P24" s="559">
        <v>-21.798266678923749</v>
      </c>
      <c r="R24">
        <f t="shared" si="0"/>
        <v>-5.0504275291340895E-3</v>
      </c>
      <c r="S24">
        <f t="shared" si="1"/>
        <v>7.5756412937001485E-3</v>
      </c>
    </row>
    <row r="25" spans="1:19" x14ac:dyDescent="0.2">
      <c r="A25" t="s">
        <v>985</v>
      </c>
      <c r="B25" t="s">
        <v>1144</v>
      </c>
      <c r="C25">
        <v>-3.4103950775705993E-3</v>
      </c>
      <c r="D25">
        <v>5.1155926163555703E-3</v>
      </c>
      <c r="E25">
        <v>5.1155926163555703E-3</v>
      </c>
      <c r="F25">
        <v>-21.56059067649694</v>
      </c>
      <c r="G25">
        <v>-21.745045069632919</v>
      </c>
      <c r="J25" t="s">
        <v>1144</v>
      </c>
      <c r="L25" t="s">
        <v>663</v>
      </c>
      <c r="M25" s="296">
        <v>4.4240008002710681E-3</v>
      </c>
      <c r="N25" s="296">
        <v>-6.6360012004069305E-3</v>
      </c>
      <c r="O25" s="559">
        <v>-21.538661952791056</v>
      </c>
      <c r="P25" s="559">
        <v>-21.777938155191759</v>
      </c>
      <c r="R25">
        <f t="shared" si="0"/>
        <v>-4.4240008002710681E-3</v>
      </c>
      <c r="S25">
        <f t="shared" si="1"/>
        <v>6.6360012004069305E-3</v>
      </c>
    </row>
    <row r="26" spans="1:19" x14ac:dyDescent="0.2">
      <c r="A26" t="s">
        <v>980</v>
      </c>
      <c r="B26" t="s">
        <v>1144</v>
      </c>
      <c r="C26">
        <v>-2.0437413210453201E-3</v>
      </c>
      <c r="D26">
        <v>3.0656119815676516E-3</v>
      </c>
      <c r="E26">
        <v>3.0656119815676516E-3</v>
      </c>
      <c r="F26">
        <v>-21.590157372853593</v>
      </c>
      <c r="G26">
        <v>-21.700695025097939</v>
      </c>
      <c r="J26" t="s">
        <v>1144</v>
      </c>
      <c r="L26" t="s">
        <v>985</v>
      </c>
      <c r="M26" s="296">
        <v>3.4103950775705993E-3</v>
      </c>
      <c r="N26" s="296">
        <v>-5.1155926163555703E-3</v>
      </c>
      <c r="O26" s="559">
        <v>-21.56059067649694</v>
      </c>
      <c r="P26" s="559">
        <v>-21.745045069632919</v>
      </c>
      <c r="R26">
        <f t="shared" si="0"/>
        <v>-3.4103950775705993E-3</v>
      </c>
      <c r="S26">
        <f t="shared" si="1"/>
        <v>5.1155926163555703E-3</v>
      </c>
    </row>
    <row r="27" spans="1:19" x14ac:dyDescent="0.2">
      <c r="A27" t="s">
        <v>781</v>
      </c>
      <c r="B27" t="s">
        <v>1018</v>
      </c>
      <c r="C27">
        <v>-2.0713201863142455E-3</v>
      </c>
      <c r="D27">
        <v>2.0713201863193365E-3</v>
      </c>
      <c r="E27">
        <v>2.0713201863193365E-3</v>
      </c>
      <c r="F27">
        <v>-21.589560721411065</v>
      </c>
      <c r="G27">
        <v>-21.679184146091714</v>
      </c>
      <c r="J27" t="s">
        <v>1144</v>
      </c>
      <c r="L27" t="s">
        <v>980</v>
      </c>
      <c r="M27" s="296">
        <v>2.0437413210453201E-3</v>
      </c>
      <c r="N27" s="296">
        <v>-3.0656119815676516E-3</v>
      </c>
      <c r="O27" s="559">
        <v>-21.590157372853593</v>
      </c>
      <c r="P27" s="559">
        <v>-21.700695025097939</v>
      </c>
      <c r="R27">
        <f t="shared" si="0"/>
        <v>-2.0437413210453201E-3</v>
      </c>
      <c r="S27">
        <f t="shared" si="1"/>
        <v>3.0656119815676516E-3</v>
      </c>
    </row>
    <row r="28" spans="1:19" x14ac:dyDescent="0.2">
      <c r="A28" t="s">
        <v>705</v>
      </c>
      <c r="B28" t="s">
        <v>1099</v>
      </c>
      <c r="C28">
        <v>-5.9413313949708635E-4</v>
      </c>
      <c r="D28">
        <v>8.9119970924464431E-4</v>
      </c>
      <c r="E28">
        <v>8.9119970924464431E-4</v>
      </c>
      <c r="F28">
        <v>-21.62151873613622</v>
      </c>
      <c r="G28">
        <v>-21.653652980173984</v>
      </c>
      <c r="J28" t="s">
        <v>1018</v>
      </c>
      <c r="L28" t="s">
        <v>781</v>
      </c>
      <c r="M28" s="296">
        <v>2.0713201863142455E-3</v>
      </c>
      <c r="N28" s="296">
        <v>-2.0713201863193365E-3</v>
      </c>
      <c r="O28" s="559">
        <v>-21.589560721411065</v>
      </c>
      <c r="P28" s="559">
        <v>-21.679184146091714</v>
      </c>
      <c r="R28">
        <f t="shared" si="0"/>
        <v>-2.0713201863142455E-3</v>
      </c>
      <c r="S28">
        <f t="shared" si="1"/>
        <v>2.0713201863193365E-3</v>
      </c>
    </row>
    <row r="29" spans="1:19" x14ac:dyDescent="0.2">
      <c r="A29" t="s">
        <v>507</v>
      </c>
      <c r="B29" t="s">
        <v>1144</v>
      </c>
      <c r="C29">
        <v>-5.7487179197895173E-4</v>
      </c>
      <c r="D29">
        <v>8.6230768796941287E-4</v>
      </c>
      <c r="E29">
        <v>8.6230768796941287E-4</v>
      </c>
      <c r="F29">
        <v>-21.621935443302004</v>
      </c>
      <c r="G29">
        <v>-21.653027919425352</v>
      </c>
      <c r="M29" s="296"/>
      <c r="N29" s="296"/>
    </row>
    <row r="30" spans="1:19" x14ac:dyDescent="0.2">
      <c r="A30" t="s">
        <v>745</v>
      </c>
      <c r="B30" t="s">
        <v>1099</v>
      </c>
      <c r="C30">
        <v>3.7723732837529087E-4</v>
      </c>
      <c r="D30">
        <v>-5.6585599256474262E-4</v>
      </c>
      <c r="E30">
        <v>5.6585599256474262E-4</v>
      </c>
      <c r="F30">
        <v>-21.642533726609319</v>
      </c>
      <c r="G30">
        <v>-21.622130494464319</v>
      </c>
    </row>
    <row r="31" spans="1:19" x14ac:dyDescent="0.2">
      <c r="A31" t="s">
        <v>759</v>
      </c>
      <c r="B31" t="s">
        <v>1099</v>
      </c>
      <c r="C31">
        <v>3.7723732837529087E-4</v>
      </c>
      <c r="D31">
        <v>-5.6585599256474262E-4</v>
      </c>
      <c r="E31">
        <v>5.6585599256474262E-4</v>
      </c>
      <c r="F31">
        <v>-21.642533726609319</v>
      </c>
      <c r="G31">
        <v>-21.622130494464319</v>
      </c>
    </row>
    <row r="32" spans="1:19" x14ac:dyDescent="0.2">
      <c r="A32" t="s">
        <v>704</v>
      </c>
      <c r="B32" t="s">
        <v>1099</v>
      </c>
      <c r="C32">
        <v>-3.2101850322889969E-4</v>
      </c>
      <c r="D32">
        <v>4.8152775484236422E-4</v>
      </c>
      <c r="E32">
        <v>4.8152775484236422E-4</v>
      </c>
      <c r="F32">
        <v>-21.627427399894355</v>
      </c>
      <c r="G32">
        <v>-21.644789984536782</v>
      </c>
    </row>
    <row r="33" spans="1:7" x14ac:dyDescent="0.2">
      <c r="A33" t="s">
        <v>10</v>
      </c>
      <c r="B33" t="s">
        <v>1144</v>
      </c>
      <c r="C33">
        <v>-4.7921741137534276E-5</v>
      </c>
      <c r="D33">
        <v>7.1882611705972985E-5</v>
      </c>
      <c r="E33">
        <v>7.1882611705972985E-5</v>
      </c>
      <c r="F33">
        <v>-21.633335676955891</v>
      </c>
      <c r="G33">
        <v>-21.635927568944492</v>
      </c>
    </row>
    <row r="34" spans="1:7" x14ac:dyDescent="0.2">
      <c r="A34" t="s">
        <v>982</v>
      </c>
      <c r="B34" t="s">
        <v>1144</v>
      </c>
      <c r="C34">
        <v>-2.9318884442168594E-5</v>
      </c>
      <c r="D34">
        <v>4.3978326660296995E-5</v>
      </c>
      <c r="E34">
        <v>4.3978326660296995E-5</v>
      </c>
      <c r="F34">
        <v>-21.63373813808597</v>
      </c>
      <c r="G34">
        <v>-21.635323877249316</v>
      </c>
    </row>
    <row r="35" spans="1:7" x14ac:dyDescent="0.2">
      <c r="A35" t="s">
        <v>707</v>
      </c>
      <c r="B35" t="s">
        <v>1099</v>
      </c>
      <c r="C35">
        <v>-2.3010452918958798E-6</v>
      </c>
      <c r="D35">
        <v>3.451567936365874E-6</v>
      </c>
      <c r="E35">
        <v>3.451567936365874E-6</v>
      </c>
      <c r="F35">
        <v>-21.634322652080503</v>
      </c>
      <c r="G35">
        <v>-21.63444710625755</v>
      </c>
    </row>
    <row r="36" spans="1:7" x14ac:dyDescent="0.2">
      <c r="A36" t="s">
        <v>703</v>
      </c>
      <c r="B36" t="s">
        <v>1099</v>
      </c>
      <c r="C36">
        <v>-8.0866608418886363E-11</v>
      </c>
      <c r="D36">
        <v>1.2129859889900749E-10</v>
      </c>
      <c r="E36">
        <v>1.2129859889900749E-10</v>
      </c>
      <c r="F36">
        <v>-21.634372432001836</v>
      </c>
      <c r="G36">
        <v>-21.634372436375553</v>
      </c>
    </row>
    <row r="37" spans="1:7" x14ac:dyDescent="0.2">
      <c r="A37" t="s">
        <v>699</v>
      </c>
      <c r="B37" t="s">
        <v>1099</v>
      </c>
      <c r="C37">
        <v>-3.9139280827222351E-11</v>
      </c>
      <c r="D37">
        <v>5.8707279079180969E-11</v>
      </c>
      <c r="E37">
        <v>5.8707279079180969E-11</v>
      </c>
      <c r="F37">
        <v>-21.634372432904581</v>
      </c>
      <c r="G37">
        <v>-21.634372435021429</v>
      </c>
    </row>
    <row r="38" spans="1:7" x14ac:dyDescent="0.2">
      <c r="C38">
        <v>-6.5686466102580103E-16</v>
      </c>
      <c r="D38">
        <v>-6.5686466102580103E-16</v>
      </c>
      <c r="E38">
        <v>6.5686466102580103E-16</v>
      </c>
      <c r="F38">
        <v>-21.63437243375132</v>
      </c>
      <c r="G38">
        <v>-21.63437243375132</v>
      </c>
    </row>
    <row r="39" spans="1:7" x14ac:dyDescent="0.2">
      <c r="A39" t="s">
        <v>1094</v>
      </c>
      <c r="C39">
        <v>-6.5686466102580103E-16</v>
      </c>
      <c r="D39">
        <v>-6.5686466102580103E-16</v>
      </c>
      <c r="E39">
        <v>6.5686466102580103E-16</v>
      </c>
      <c r="F39">
        <v>-21.63437243375132</v>
      </c>
      <c r="G39">
        <v>-21.63437243375132</v>
      </c>
    </row>
    <row r="40" spans="1:7" x14ac:dyDescent="0.2">
      <c r="C40">
        <v>-6.5686466102580103E-16</v>
      </c>
      <c r="D40">
        <v>-6.5686466102580103E-16</v>
      </c>
      <c r="E40">
        <v>6.5686466102580103E-16</v>
      </c>
      <c r="F40">
        <v>-21.63437243375132</v>
      </c>
      <c r="G40">
        <v>-21.63437243375132</v>
      </c>
    </row>
    <row r="41" spans="1:7" x14ac:dyDescent="0.2">
      <c r="A41" t="s">
        <v>1107</v>
      </c>
      <c r="C41">
        <v>-6.5686466102580103E-16</v>
      </c>
      <c r="D41">
        <v>-6.5686466102580103E-16</v>
      </c>
      <c r="E41">
        <v>6.5686466102580103E-16</v>
      </c>
      <c r="F41">
        <v>-21.63437243375132</v>
      </c>
      <c r="G41">
        <v>-21.63437243375132</v>
      </c>
    </row>
    <row r="42" spans="1:7" x14ac:dyDescent="0.2">
      <c r="A42" t="s">
        <v>970</v>
      </c>
      <c r="B42" t="s">
        <v>1099</v>
      </c>
      <c r="C42">
        <v>-6.5686466102580103E-16</v>
      </c>
      <c r="D42">
        <v>-6.5686466102580103E-16</v>
      </c>
      <c r="E42">
        <v>6.5686466102580103E-16</v>
      </c>
      <c r="F42">
        <v>-21.63437243375132</v>
      </c>
      <c r="G42">
        <v>-21.63437243375132</v>
      </c>
    </row>
    <row r="43" spans="1:7" x14ac:dyDescent="0.2">
      <c r="A43" t="s">
        <v>1101</v>
      </c>
      <c r="B43" t="s">
        <v>1099</v>
      </c>
      <c r="C43">
        <v>-6.5686466102580103E-16</v>
      </c>
      <c r="D43">
        <v>-6.5686466102580103E-16</v>
      </c>
      <c r="E43">
        <v>6.5686466102580103E-16</v>
      </c>
      <c r="F43">
        <v>-21.63437243375132</v>
      </c>
      <c r="G43">
        <v>-21.63437243375132</v>
      </c>
    </row>
    <row r="44" spans="1:7" x14ac:dyDescent="0.2">
      <c r="A44" t="s">
        <v>965</v>
      </c>
      <c r="B44" t="s">
        <v>1099</v>
      </c>
      <c r="C44">
        <v>-6.5686466102580103E-16</v>
      </c>
      <c r="D44">
        <v>-6.5686466102580103E-16</v>
      </c>
      <c r="E44">
        <v>6.5686466102580103E-16</v>
      </c>
      <c r="F44">
        <v>-21.63437243375132</v>
      </c>
      <c r="G44">
        <v>-21.63437243375132</v>
      </c>
    </row>
    <row r="45" spans="1:7" x14ac:dyDescent="0.2">
      <c r="A45" t="s">
        <v>547</v>
      </c>
      <c r="B45" t="s">
        <v>1099</v>
      </c>
      <c r="C45">
        <v>-6.5686466102580103E-16</v>
      </c>
      <c r="D45">
        <v>-6.5686466102580103E-16</v>
      </c>
      <c r="E45">
        <v>6.5686466102580103E-16</v>
      </c>
      <c r="F45">
        <v>-21.63437243375132</v>
      </c>
      <c r="G45">
        <v>-21.63437243375132</v>
      </c>
    </row>
    <row r="46" spans="1:7" x14ac:dyDescent="0.2">
      <c r="A46" t="s">
        <v>548</v>
      </c>
      <c r="B46" t="s">
        <v>1099</v>
      </c>
      <c r="C46">
        <v>-6.5686466102580103E-16</v>
      </c>
      <c r="D46">
        <v>-6.5686466102580103E-16</v>
      </c>
      <c r="E46">
        <v>6.5686466102580103E-16</v>
      </c>
      <c r="F46">
        <v>-21.63437243375132</v>
      </c>
      <c r="G46">
        <v>-21.63437243375132</v>
      </c>
    </row>
    <row r="47" spans="1:7" x14ac:dyDescent="0.2">
      <c r="A47" t="s">
        <v>549</v>
      </c>
      <c r="B47" t="s">
        <v>1099</v>
      </c>
      <c r="C47">
        <v>-6.5686466102580103E-16</v>
      </c>
      <c r="D47">
        <v>-6.5686466102580103E-16</v>
      </c>
      <c r="E47">
        <v>6.5686466102580103E-16</v>
      </c>
      <c r="F47">
        <v>-21.63437243375132</v>
      </c>
      <c r="G47">
        <v>-21.63437243375132</v>
      </c>
    </row>
    <row r="48" spans="1:7" x14ac:dyDescent="0.2">
      <c r="A48" t="s">
        <v>764</v>
      </c>
      <c r="B48" t="s">
        <v>1099</v>
      </c>
      <c r="C48">
        <v>-6.5686466102580103E-16</v>
      </c>
      <c r="D48">
        <v>-6.5686466102580103E-16</v>
      </c>
      <c r="E48">
        <v>6.5686466102580103E-16</v>
      </c>
      <c r="F48">
        <v>-21.63437243375132</v>
      </c>
      <c r="G48">
        <v>-21.63437243375132</v>
      </c>
    </row>
    <row r="49" spans="1:7" x14ac:dyDescent="0.2">
      <c r="A49" t="s">
        <v>948</v>
      </c>
      <c r="B49" t="s">
        <v>1099</v>
      </c>
      <c r="C49">
        <v>-6.5686466102580103E-16</v>
      </c>
      <c r="D49">
        <v>-6.5686466102580103E-16</v>
      </c>
      <c r="E49">
        <v>6.5686466102580103E-16</v>
      </c>
      <c r="F49">
        <v>-21.63437243375132</v>
      </c>
      <c r="G49">
        <v>-21.63437243375132</v>
      </c>
    </row>
    <row r="50" spans="1:7" x14ac:dyDescent="0.2">
      <c r="A50" t="s">
        <v>752</v>
      </c>
      <c r="B50" t="s">
        <v>1099</v>
      </c>
      <c r="C50">
        <v>-6.5686466102580103E-16</v>
      </c>
      <c r="D50">
        <v>-6.5686466102580103E-16</v>
      </c>
      <c r="E50">
        <v>6.5686466102580103E-16</v>
      </c>
      <c r="F50">
        <v>-21.63437243375132</v>
      </c>
      <c r="G50">
        <v>-21.63437243375132</v>
      </c>
    </row>
    <row r="51" spans="1:7" x14ac:dyDescent="0.2">
      <c r="A51" t="s">
        <v>790</v>
      </c>
      <c r="B51" t="s">
        <v>1099</v>
      </c>
      <c r="C51">
        <v>-6.5686466102580103E-16</v>
      </c>
      <c r="D51">
        <v>-6.5686466102580103E-16</v>
      </c>
      <c r="E51">
        <v>6.5686466102580103E-16</v>
      </c>
      <c r="F51">
        <v>-21.63437243375132</v>
      </c>
      <c r="G51">
        <v>-21.63437243375132</v>
      </c>
    </row>
    <row r="52" spans="1:7" x14ac:dyDescent="0.2">
      <c r="A52" t="s">
        <v>930</v>
      </c>
      <c r="B52" t="s">
        <v>1099</v>
      </c>
      <c r="C52">
        <v>-6.5686466102580103E-16</v>
      </c>
      <c r="D52">
        <v>-6.5686466102580103E-16</v>
      </c>
      <c r="E52">
        <v>6.5686466102580103E-16</v>
      </c>
      <c r="F52">
        <v>-21.63437243375132</v>
      </c>
      <c r="G52">
        <v>-21.63437243375132</v>
      </c>
    </row>
    <row r="53" spans="1:7" x14ac:dyDescent="0.2">
      <c r="C53">
        <v>-6.5686466102580103E-16</v>
      </c>
      <c r="D53">
        <v>-6.5686466102580103E-16</v>
      </c>
      <c r="E53">
        <v>6.5686466102580103E-16</v>
      </c>
      <c r="F53">
        <v>-21.63437243375132</v>
      </c>
      <c r="G53">
        <v>-21.63437243375132</v>
      </c>
    </row>
    <row r="54" spans="1:7" x14ac:dyDescent="0.2">
      <c r="A54" t="s">
        <v>1089</v>
      </c>
      <c r="C54">
        <v>-6.5686466102580103E-16</v>
      </c>
      <c r="D54">
        <v>-6.5686466102580103E-16</v>
      </c>
      <c r="E54">
        <v>6.5686466102580103E-16</v>
      </c>
      <c r="F54">
        <v>-21.63437243375132</v>
      </c>
      <c r="G54">
        <v>-21.63437243375132</v>
      </c>
    </row>
    <row r="55" spans="1:7" x14ac:dyDescent="0.2">
      <c r="A55" t="s">
        <v>979</v>
      </c>
      <c r="B55" t="s">
        <v>1144</v>
      </c>
      <c r="C55">
        <v>-6.5686466102580103E-16</v>
      </c>
      <c r="D55">
        <v>-6.5686466102580103E-16</v>
      </c>
      <c r="E55">
        <v>6.5686466102580103E-16</v>
      </c>
      <c r="F55">
        <v>-21.63437243375132</v>
      </c>
      <c r="G55">
        <v>-21.63437243375132</v>
      </c>
    </row>
    <row r="56" spans="1:7" x14ac:dyDescent="0.2">
      <c r="A56" t="s">
        <v>981</v>
      </c>
      <c r="B56" t="s">
        <v>1144</v>
      </c>
      <c r="C56">
        <v>-6.5686466102580103E-16</v>
      </c>
      <c r="D56">
        <v>-6.5686466102580103E-16</v>
      </c>
      <c r="E56">
        <v>6.5686466102580103E-16</v>
      </c>
      <c r="F56">
        <v>-21.63437243375132</v>
      </c>
      <c r="G56">
        <v>-21.63437243375132</v>
      </c>
    </row>
    <row r="57" spans="1:7" x14ac:dyDescent="0.2">
      <c r="A57" t="s">
        <v>915</v>
      </c>
      <c r="B57" t="s">
        <v>1144</v>
      </c>
      <c r="C57">
        <v>-6.5686466102580103E-16</v>
      </c>
      <c r="D57">
        <v>-6.5686466102580103E-16</v>
      </c>
      <c r="E57">
        <v>6.5686466102580103E-16</v>
      </c>
      <c r="F57">
        <v>-21.63437243375132</v>
      </c>
      <c r="G57">
        <v>-21.63437243375132</v>
      </c>
    </row>
    <row r="58" spans="1:7" x14ac:dyDescent="0.2">
      <c r="C58">
        <v>-6.5686466102580103E-16</v>
      </c>
      <c r="D58">
        <v>-6.5686466102580103E-16</v>
      </c>
      <c r="E58">
        <v>6.5686466102580103E-16</v>
      </c>
      <c r="F58">
        <v>-21.63437243375132</v>
      </c>
      <c r="G58">
        <v>-21.63437243375132</v>
      </c>
    </row>
    <row r="59" spans="1:7" x14ac:dyDescent="0.2">
      <c r="A59" t="s">
        <v>1090</v>
      </c>
      <c r="C59">
        <v>-6.5686466102580103E-16</v>
      </c>
      <c r="D59">
        <v>-6.5686466102580103E-16</v>
      </c>
      <c r="E59">
        <v>6.5686466102580103E-16</v>
      </c>
      <c r="F59">
        <v>-21.63437243375132</v>
      </c>
      <c r="G59">
        <v>-21.63437243375132</v>
      </c>
    </row>
    <row r="60" spans="1:7" x14ac:dyDescent="0.2">
      <c r="A60" t="s">
        <v>580</v>
      </c>
      <c r="B60" t="s">
        <v>1144</v>
      </c>
      <c r="C60">
        <v>-6.5686466102580103E-16</v>
      </c>
      <c r="D60">
        <v>-6.5686466102580103E-16</v>
      </c>
      <c r="E60">
        <v>6.5686466102580103E-16</v>
      </c>
      <c r="F60">
        <v>-21.63437243375132</v>
      </c>
      <c r="G60">
        <v>-21.63437243375132</v>
      </c>
    </row>
    <row r="61" spans="1:7" x14ac:dyDescent="0.2">
      <c r="A61" t="s">
        <v>994</v>
      </c>
      <c r="B61" t="s">
        <v>1144</v>
      </c>
      <c r="C61">
        <v>-6.5686466102580103E-16</v>
      </c>
      <c r="D61">
        <v>-6.5686466102580103E-16</v>
      </c>
      <c r="E61">
        <v>6.5686466102580103E-16</v>
      </c>
      <c r="F61">
        <v>-21.63437243375132</v>
      </c>
      <c r="G61">
        <v>-21.63437243375132</v>
      </c>
    </row>
    <row r="62" spans="1:7" x14ac:dyDescent="0.2">
      <c r="A62" t="s">
        <v>995</v>
      </c>
      <c r="B62" t="s">
        <v>1144</v>
      </c>
      <c r="C62">
        <v>-6.5686466102580103E-16</v>
      </c>
      <c r="D62">
        <v>-6.5686466102580103E-16</v>
      </c>
      <c r="E62">
        <v>6.5686466102580103E-16</v>
      </c>
      <c r="F62">
        <v>-21.63437243375132</v>
      </c>
      <c r="G62">
        <v>-21.63437243375132</v>
      </c>
    </row>
    <row r="63" spans="1:7" x14ac:dyDescent="0.2">
      <c r="A63" t="s">
        <v>903</v>
      </c>
      <c r="B63" t="s">
        <v>1144</v>
      </c>
      <c r="C63">
        <v>-6.5686466102580103E-16</v>
      </c>
      <c r="D63">
        <v>-6.5686466102580103E-16</v>
      </c>
      <c r="E63">
        <v>6.5686466102580103E-16</v>
      </c>
      <c r="F63">
        <v>-21.63437243375132</v>
      </c>
      <c r="G63">
        <v>-21.63437243375132</v>
      </c>
    </row>
    <row r="64" spans="1:7" x14ac:dyDescent="0.2">
      <c r="A64" t="s">
        <v>997</v>
      </c>
      <c r="B64" t="s">
        <v>1144</v>
      </c>
      <c r="C64">
        <v>-6.5686466102580103E-16</v>
      </c>
      <c r="D64">
        <v>-6.5686466102580103E-16</v>
      </c>
      <c r="E64">
        <v>6.5686466102580103E-16</v>
      </c>
      <c r="F64">
        <v>-21.63437243375132</v>
      </c>
      <c r="G64">
        <v>-21.63437243375132</v>
      </c>
    </row>
    <row r="65" spans="1:7" x14ac:dyDescent="0.2">
      <c r="A65" t="s">
        <v>585</v>
      </c>
      <c r="B65" t="s">
        <v>1144</v>
      </c>
      <c r="C65">
        <v>-6.5686466102580103E-16</v>
      </c>
      <c r="D65">
        <v>-6.5686466102580103E-16</v>
      </c>
      <c r="E65">
        <v>6.5686466102580103E-16</v>
      </c>
      <c r="F65">
        <v>-21.63437243375132</v>
      </c>
      <c r="G65">
        <v>-21.63437243375132</v>
      </c>
    </row>
    <row r="66" spans="1:7" x14ac:dyDescent="0.2">
      <c r="A66" t="s">
        <v>1062</v>
      </c>
      <c r="B66" t="s">
        <v>1144</v>
      </c>
      <c r="C66">
        <v>-6.5686466102580103E-16</v>
      </c>
      <c r="D66">
        <v>-6.5686466102580103E-16</v>
      </c>
      <c r="E66">
        <v>6.5686466102580103E-16</v>
      </c>
      <c r="F66">
        <v>-21.63437243375132</v>
      </c>
      <c r="G66">
        <v>-21.63437243375132</v>
      </c>
    </row>
    <row r="67" spans="1:7" x14ac:dyDescent="0.2">
      <c r="A67" t="s">
        <v>1086</v>
      </c>
      <c r="B67" t="s">
        <v>1144</v>
      </c>
      <c r="C67">
        <v>-6.5686466102580103E-16</v>
      </c>
      <c r="D67">
        <v>-6.5686466102580103E-16</v>
      </c>
      <c r="E67">
        <v>6.5686466102580103E-16</v>
      </c>
      <c r="F67">
        <v>-21.63437243375132</v>
      </c>
      <c r="G67">
        <v>-21.63437243375132</v>
      </c>
    </row>
    <row r="68" spans="1:7" x14ac:dyDescent="0.2">
      <c r="A68" t="s">
        <v>706</v>
      </c>
      <c r="B68" t="s">
        <v>1099</v>
      </c>
      <c r="C68">
        <v>-6.5686466102580103E-16</v>
      </c>
      <c r="D68">
        <v>-3.2843233051290052E-16</v>
      </c>
      <c r="E68">
        <v>3.2843233051290052E-16</v>
      </c>
      <c r="F68">
        <v>-21.63437243375132</v>
      </c>
      <c r="G68">
        <v>-21.634372433751327</v>
      </c>
    </row>
    <row r="69" spans="1:7" x14ac:dyDescent="0.2">
      <c r="A69" t="s">
        <v>751</v>
      </c>
      <c r="B69" t="s">
        <v>1099</v>
      </c>
      <c r="C69">
        <v>-6.5686466102580103E-16</v>
      </c>
      <c r="D69">
        <v>-3.2843233051290052E-16</v>
      </c>
      <c r="E69">
        <v>3.2843233051290052E-16</v>
      </c>
      <c r="F69">
        <v>-21.63437243375132</v>
      </c>
      <c r="G69">
        <v>-21.634372433751327</v>
      </c>
    </row>
    <row r="70" spans="1:7" x14ac:dyDescent="0.2">
      <c r="A70" t="s">
        <v>756</v>
      </c>
      <c r="B70" t="s">
        <v>1099</v>
      </c>
      <c r="C70">
        <v>-6.5686466102580103E-16</v>
      </c>
      <c r="D70">
        <v>-3.2843233051290052E-16</v>
      </c>
      <c r="E70">
        <v>3.2843233051290052E-16</v>
      </c>
      <c r="F70">
        <v>-21.63437243375132</v>
      </c>
      <c r="G70">
        <v>-21.634372433751327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E65CE-0EE7-C84C-BAD5-FE36176AA4FC}">
  <sheetPr codeName="Sheet18"/>
  <dimension ref="A1:S70"/>
  <sheetViews>
    <sheetView topLeftCell="E1" zoomScale="130" zoomScaleNormal="130" workbookViewId="0">
      <selection activeCell="R27" sqref="R27"/>
    </sheetView>
  </sheetViews>
  <sheetFormatPr baseColWidth="10" defaultRowHeight="15" x14ac:dyDescent="0.2"/>
  <sheetData>
    <row r="1" spans="1:19" x14ac:dyDescent="0.2">
      <c r="A1" t="s">
        <v>1</v>
      </c>
      <c r="B1" t="s">
        <v>15</v>
      </c>
      <c r="C1">
        <v>0.25010877733638309</v>
      </c>
      <c r="D1">
        <v>-0.22735794941952336</v>
      </c>
      <c r="E1">
        <v>0.22735794941952336</v>
      </c>
      <c r="F1">
        <v>-465.19137426898482</v>
      </c>
      <c r="G1">
        <v>-287.51611367242072</v>
      </c>
      <c r="J1" s="109" t="s">
        <v>3</v>
      </c>
      <c r="L1" s="109" t="s">
        <v>1001</v>
      </c>
      <c r="M1" s="109" t="s">
        <v>1170</v>
      </c>
      <c r="N1" s="109" t="s">
        <v>1171</v>
      </c>
      <c r="O1" s="109" t="s">
        <v>1195</v>
      </c>
      <c r="P1" s="109" t="s">
        <v>1197</v>
      </c>
      <c r="R1" s="109" t="s">
        <v>1192</v>
      </c>
    </row>
    <row r="2" spans="1:19" x14ac:dyDescent="0.2">
      <c r="A2" t="s">
        <v>312</v>
      </c>
      <c r="B2" t="s">
        <v>1018</v>
      </c>
      <c r="C2">
        <v>0.1917808872514854</v>
      </c>
      <c r="D2">
        <v>-0.19178088725148523</v>
      </c>
      <c r="E2">
        <v>0.19178088725148523</v>
      </c>
      <c r="F2">
        <v>-443.48635800262622</v>
      </c>
      <c r="G2">
        <v>-300.75507554713556</v>
      </c>
      <c r="J2" t="s">
        <v>15</v>
      </c>
      <c r="L2" t="s">
        <v>1</v>
      </c>
      <c r="M2" s="296">
        <v>-0.25010877733638309</v>
      </c>
      <c r="N2" s="296">
        <v>0.22735794941952336</v>
      </c>
      <c r="O2" s="560">
        <v>-465.19137426898482</v>
      </c>
      <c r="P2" s="560">
        <v>-287.51611367242072</v>
      </c>
      <c r="R2">
        <f>M2*-1</f>
        <v>0.25010877733638309</v>
      </c>
      <c r="S2">
        <f>N2*-1</f>
        <v>-0.22735794941952336</v>
      </c>
    </row>
    <row r="3" spans="1:19" x14ac:dyDescent="0.2">
      <c r="A3" t="s">
        <v>1092</v>
      </c>
      <c r="B3" t="s">
        <v>540</v>
      </c>
      <c r="C3">
        <v>-8.0845294230634135E-2</v>
      </c>
      <c r="D3">
        <v>0.12126794134595112</v>
      </c>
      <c r="E3">
        <v>0.12126794134595112</v>
      </c>
      <c r="F3">
        <v>-342.03650793790115</v>
      </c>
      <c r="G3">
        <v>-417.2470300303504</v>
      </c>
      <c r="J3" t="s">
        <v>1018</v>
      </c>
      <c r="L3" t="s">
        <v>312</v>
      </c>
      <c r="M3" s="296">
        <v>-0.1917808872514854</v>
      </c>
      <c r="N3" s="296">
        <v>0.19178088725148523</v>
      </c>
      <c r="O3" s="560">
        <v>-443.48635800262622</v>
      </c>
      <c r="P3" s="560">
        <v>-300.75507554713556</v>
      </c>
      <c r="R3">
        <f>M3*-1</f>
        <v>0.1917808872514854</v>
      </c>
      <c r="S3">
        <f>N3*-1</f>
        <v>-0.19178088725148523</v>
      </c>
    </row>
    <row r="4" spans="1:19" x14ac:dyDescent="0.2">
      <c r="A4" t="s">
        <v>701</v>
      </c>
      <c r="B4" t="s">
        <v>1099</v>
      </c>
      <c r="C4">
        <v>-7.1468070855696425E-2</v>
      </c>
      <c r="D4">
        <v>0.10720210628354487</v>
      </c>
      <c r="E4">
        <v>0.10720210628354487</v>
      </c>
      <c r="F4">
        <v>-345.52596702154113</v>
      </c>
      <c r="G4">
        <v>-412.01284140489054</v>
      </c>
      <c r="J4" t="s">
        <v>540</v>
      </c>
      <c r="L4" t="s">
        <v>535</v>
      </c>
      <c r="M4" s="296">
        <v>8.0845294230634135E-2</v>
      </c>
      <c r="N4" s="296">
        <v>-0.12126794134595112</v>
      </c>
      <c r="O4" s="560">
        <v>-342.03650793790115</v>
      </c>
      <c r="P4" s="560">
        <v>-417.2470300303504</v>
      </c>
      <c r="R4">
        <f>M4*-1</f>
        <v>-8.0845294230634135E-2</v>
      </c>
      <c r="S4">
        <f>N4*-1</f>
        <v>0.12126794134595112</v>
      </c>
    </row>
    <row r="5" spans="1:19" x14ac:dyDescent="0.2">
      <c r="A5" t="s">
        <v>663</v>
      </c>
      <c r="B5" t="s">
        <v>1144</v>
      </c>
      <c r="C5">
        <v>-2.1090855017073709E-2</v>
      </c>
      <c r="D5">
        <v>3.1636282525610564E-2</v>
      </c>
      <c r="E5">
        <v>3.1636282525610564E-2</v>
      </c>
      <c r="F5">
        <v>-364.2723726885323</v>
      </c>
      <c r="G5">
        <v>-383.8932329044037</v>
      </c>
      <c r="J5" t="s">
        <v>1099</v>
      </c>
      <c r="L5" t="s">
        <v>1206</v>
      </c>
      <c r="M5" s="296">
        <v>7.1468070855696425E-2</v>
      </c>
      <c r="N5" s="296">
        <v>-0.10720210628354487</v>
      </c>
      <c r="O5" s="560">
        <v>-345.52596702154113</v>
      </c>
      <c r="P5" s="560">
        <v>-412.01284140489054</v>
      </c>
      <c r="R5">
        <f>M5*-1</f>
        <v>-7.1468070855696425E-2</v>
      </c>
      <c r="S5">
        <f>N5*-1</f>
        <v>0.10720210628354487</v>
      </c>
    </row>
    <row r="6" spans="1:19" x14ac:dyDescent="0.2">
      <c r="A6" t="s">
        <v>507</v>
      </c>
      <c r="B6" t="s">
        <v>1144</v>
      </c>
      <c r="C6">
        <v>-1.7322901430454427E-2</v>
      </c>
      <c r="D6">
        <v>2.5984352145681563E-2</v>
      </c>
      <c r="E6">
        <v>2.5984352145681563E-2</v>
      </c>
      <c r="F6">
        <v>-365.67450627795955</v>
      </c>
      <c r="G6">
        <v>-381.7900325202628</v>
      </c>
      <c r="J6" t="s">
        <v>1144</v>
      </c>
      <c r="L6" t="s">
        <v>663</v>
      </c>
      <c r="M6" s="296">
        <v>2.1090855017073709E-2</v>
      </c>
      <c r="N6" s="296">
        <v>-3.1636282525610564E-2</v>
      </c>
      <c r="O6" s="560">
        <v>-364.2723726885323</v>
      </c>
      <c r="P6" s="560">
        <v>-383.8932329044037</v>
      </c>
      <c r="R6">
        <f>M6*-1</f>
        <v>-2.1090855017073709E-2</v>
      </c>
      <c r="S6">
        <f>N6*-1</f>
        <v>3.1636282525610564E-2</v>
      </c>
    </row>
    <row r="7" spans="1:19" x14ac:dyDescent="0.2">
      <c r="A7" t="s">
        <v>1086</v>
      </c>
      <c r="B7" t="s">
        <v>1144</v>
      </c>
      <c r="C7">
        <v>-1.5791181791628292E-2</v>
      </c>
      <c r="D7">
        <v>2.3686772687442514E-2</v>
      </c>
      <c r="E7">
        <v>2.3686772687442514E-2</v>
      </c>
      <c r="F7">
        <v>-366.24449088785769</v>
      </c>
      <c r="G7">
        <v>-380.93505560541564</v>
      </c>
      <c r="J7" t="s">
        <v>1144</v>
      </c>
      <c r="L7" t="s">
        <v>507</v>
      </c>
      <c r="M7" s="296">
        <v>1.7322901430454427E-2</v>
      </c>
      <c r="N7" s="296">
        <v>-2.5984352145681563E-2</v>
      </c>
      <c r="O7" s="560">
        <v>-365.67450627795955</v>
      </c>
      <c r="P7" s="560">
        <v>-381.7900325202628</v>
      </c>
      <c r="R7">
        <f>M7*-1</f>
        <v>-1.7322901430454427E-2</v>
      </c>
      <c r="S7">
        <f>N7*-1</f>
        <v>2.5984352145681563E-2</v>
      </c>
    </row>
    <row r="8" spans="1:19" x14ac:dyDescent="0.2">
      <c r="A8" t="s">
        <v>982</v>
      </c>
      <c r="B8" t="s">
        <v>1144</v>
      </c>
      <c r="C8">
        <v>-1.3756999003621956E-2</v>
      </c>
      <c r="D8">
        <v>2.0635498505432628E-2</v>
      </c>
      <c r="E8">
        <v>2.0635498505432628E-2</v>
      </c>
      <c r="F8">
        <v>-367.00145244498174</v>
      </c>
      <c r="G8">
        <v>-379.79961326972943</v>
      </c>
      <c r="J8" t="s">
        <v>1144</v>
      </c>
      <c r="L8" t="s">
        <v>1086</v>
      </c>
      <c r="M8" s="296">
        <v>1.5791181791628292E-2</v>
      </c>
      <c r="N8" s="296">
        <v>-2.3686772687442514E-2</v>
      </c>
      <c r="O8" s="560">
        <v>-366.24449088785769</v>
      </c>
      <c r="P8" s="560">
        <v>-380.93505560541564</v>
      </c>
      <c r="R8">
        <f>M8*-1</f>
        <v>-1.5791181791628292E-2</v>
      </c>
      <c r="S8">
        <f>N8*-1</f>
        <v>2.3686772687442514E-2</v>
      </c>
    </row>
    <row r="9" spans="1:19" x14ac:dyDescent="0.2">
      <c r="A9" t="s">
        <v>536</v>
      </c>
      <c r="B9" t="s">
        <v>1098</v>
      </c>
      <c r="C9">
        <v>-1.7144907339925679E-2</v>
      </c>
      <c r="D9">
        <v>1.7872283104657626E-2</v>
      </c>
      <c r="E9">
        <v>1.7872283104657626E-2</v>
      </c>
      <c r="F9">
        <v>-365.7407415665088</v>
      </c>
      <c r="G9">
        <v>-378.77136357418965</v>
      </c>
      <c r="J9" t="s">
        <v>1144</v>
      </c>
      <c r="L9" t="s">
        <v>982</v>
      </c>
      <c r="M9" s="296">
        <v>1.3756999003621956E-2</v>
      </c>
      <c r="N9" s="296">
        <v>-2.0635498505432628E-2</v>
      </c>
      <c r="O9" s="560">
        <v>-367.00145244498174</v>
      </c>
      <c r="P9" s="560">
        <v>-379.79961326972943</v>
      </c>
      <c r="R9">
        <f>M9*-1</f>
        <v>-1.3756999003621956E-2</v>
      </c>
      <c r="S9">
        <f>N9*-1</f>
        <v>2.0635498505432628E-2</v>
      </c>
    </row>
    <row r="10" spans="1:19" x14ac:dyDescent="0.2">
      <c r="A10" t="s">
        <v>548</v>
      </c>
      <c r="B10" t="s">
        <v>1099</v>
      </c>
      <c r="C10">
        <v>-9.0343997579171997E-3</v>
      </c>
      <c r="D10">
        <v>1.35515996368758E-2</v>
      </c>
      <c r="E10">
        <v>1.35515996368758E-2</v>
      </c>
      <c r="F10">
        <v>-368.7588294613339</v>
      </c>
      <c r="G10">
        <v>-377.1635477452013</v>
      </c>
      <c r="J10" t="s">
        <v>1098</v>
      </c>
      <c r="L10" t="s">
        <v>536</v>
      </c>
      <c r="M10" s="296">
        <v>1.7144907339925679E-2</v>
      </c>
      <c r="N10" s="296">
        <v>-1.7872283104657626E-2</v>
      </c>
      <c r="O10" s="560">
        <v>-365.7407415665088</v>
      </c>
      <c r="P10" s="560">
        <v>-378.77136357418965</v>
      </c>
      <c r="R10">
        <f>M10*-1</f>
        <v>-1.7144907339925679E-2</v>
      </c>
      <c r="S10">
        <f>N10*-1</f>
        <v>1.7872283104657626E-2</v>
      </c>
    </row>
    <row r="11" spans="1:19" x14ac:dyDescent="0.2">
      <c r="A11" t="s">
        <v>313</v>
      </c>
      <c r="B11" t="s">
        <v>1018</v>
      </c>
      <c r="C11">
        <v>8.2080716060537462E-3</v>
      </c>
      <c r="D11">
        <v>-8.2080716060538988E-3</v>
      </c>
      <c r="E11">
        <v>8.2080716060538988E-3</v>
      </c>
      <c r="F11">
        <v>-375.17511026426513</v>
      </c>
      <c r="G11">
        <v>-369.06632328549654</v>
      </c>
      <c r="J11" t="s">
        <v>1099</v>
      </c>
      <c r="L11" t="s">
        <v>548</v>
      </c>
      <c r="M11" s="296">
        <v>9.0343997579171997E-3</v>
      </c>
      <c r="N11" s="296">
        <v>-1.35515996368758E-2</v>
      </c>
      <c r="O11" s="560">
        <v>-368.7588294613339</v>
      </c>
      <c r="P11" s="560">
        <v>-377.1635477452013</v>
      </c>
      <c r="R11">
        <f>M11*-1</f>
        <v>-9.0343997579171997E-3</v>
      </c>
      <c r="S11">
        <f>N11*-1</f>
        <v>1.35515996368758E-2</v>
      </c>
    </row>
    <row r="12" spans="1:19" x14ac:dyDescent="0.2">
      <c r="A12" t="s">
        <v>702</v>
      </c>
      <c r="B12" t="s">
        <v>1099</v>
      </c>
      <c r="C12">
        <v>-5.3289595582696409E-3</v>
      </c>
      <c r="D12">
        <v>7.993439337404231E-3</v>
      </c>
      <c r="E12">
        <v>7.993439337404231E-3</v>
      </c>
      <c r="F12">
        <v>-370.13770052439321</v>
      </c>
      <c r="G12">
        <v>-375.09524115061225</v>
      </c>
      <c r="J12" t="s">
        <v>1018</v>
      </c>
      <c r="L12" t="s">
        <v>313</v>
      </c>
      <c r="M12" s="296">
        <v>-8.2080716060537462E-3</v>
      </c>
      <c r="N12" s="296">
        <v>8.2080716060538988E-3</v>
      </c>
      <c r="O12" s="560">
        <v>-375.17511026426513</v>
      </c>
      <c r="P12" s="560">
        <v>-369.06632328549654</v>
      </c>
      <c r="R12">
        <f>M12*-1</f>
        <v>8.2080716060537462E-3</v>
      </c>
      <c r="S12">
        <f>N12*-1</f>
        <v>-8.2080716060538988E-3</v>
      </c>
    </row>
    <row r="13" spans="1:19" x14ac:dyDescent="0.2">
      <c r="A13" t="s">
        <v>547</v>
      </c>
      <c r="B13" t="s">
        <v>1099</v>
      </c>
      <c r="C13">
        <v>-4.9304151759788431E-3</v>
      </c>
      <c r="D13">
        <v>7.3956227639682647E-3</v>
      </c>
      <c r="E13">
        <v>7.3956227639682647E-3</v>
      </c>
      <c r="F13">
        <v>-370.28600714559786</v>
      </c>
      <c r="G13">
        <v>-374.87278121880536</v>
      </c>
      <c r="J13" t="s">
        <v>1099</v>
      </c>
      <c r="L13" t="s">
        <v>1205</v>
      </c>
      <c r="M13" s="296">
        <v>5.3289595582696409E-3</v>
      </c>
      <c r="N13" s="296">
        <v>-7.993439337404231E-3</v>
      </c>
      <c r="O13" s="560">
        <v>-370.13770052439321</v>
      </c>
      <c r="P13" s="560">
        <v>-375.09524115061225</v>
      </c>
      <c r="R13">
        <f>M13*-1</f>
        <v>-5.3289595582696409E-3</v>
      </c>
      <c r="S13">
        <f>N13*-1</f>
        <v>7.993439337404231E-3</v>
      </c>
    </row>
    <row r="14" spans="1:19" x14ac:dyDescent="0.2">
      <c r="A14" t="s">
        <v>700</v>
      </c>
      <c r="B14" t="s">
        <v>1099</v>
      </c>
      <c r="C14">
        <v>-4.33980962615546E-3</v>
      </c>
      <c r="D14">
        <v>6.5097144392331904E-3</v>
      </c>
      <c r="E14">
        <v>6.5097144392331904E-3</v>
      </c>
      <c r="F14">
        <v>-370.50578370612936</v>
      </c>
      <c r="G14">
        <v>-374.54311637800811</v>
      </c>
      <c r="J14" t="s">
        <v>1099</v>
      </c>
      <c r="L14" t="s">
        <v>547</v>
      </c>
      <c r="M14" s="296">
        <v>4.9304151759788431E-3</v>
      </c>
      <c r="N14" s="296">
        <v>-7.3956227639682647E-3</v>
      </c>
      <c r="O14" s="560">
        <v>-370.28600714559786</v>
      </c>
      <c r="P14" s="560">
        <v>-374.87278121880536</v>
      </c>
      <c r="R14">
        <f t="shared" ref="R14:S28" si="0">M14*-1</f>
        <v>-4.9304151759788431E-3</v>
      </c>
      <c r="S14">
        <f t="shared" si="0"/>
        <v>7.3956227639682647E-3</v>
      </c>
    </row>
    <row r="15" spans="1:19" x14ac:dyDescent="0.2">
      <c r="A15" t="s">
        <v>549</v>
      </c>
      <c r="B15" t="s">
        <v>1099</v>
      </c>
      <c r="C15">
        <v>-2.1428545473595657E-3</v>
      </c>
      <c r="D15">
        <v>3.214281821039272E-3</v>
      </c>
      <c r="E15">
        <v>3.214281821039272E-3</v>
      </c>
      <c r="F15">
        <v>-371.32331620477311</v>
      </c>
      <c r="G15">
        <v>-373.31681763004246</v>
      </c>
      <c r="J15" t="s">
        <v>1099</v>
      </c>
      <c r="L15" t="s">
        <v>1202</v>
      </c>
      <c r="M15" s="296">
        <v>4.33980962615546E-3</v>
      </c>
      <c r="N15" s="296">
        <v>-6.5097144392331904E-3</v>
      </c>
      <c r="O15" s="560">
        <v>-370.50578370612936</v>
      </c>
      <c r="P15" s="560">
        <v>-374.54311637800811</v>
      </c>
      <c r="R15">
        <f t="shared" si="0"/>
        <v>-4.33980962615546E-3</v>
      </c>
      <c r="S15">
        <f t="shared" si="0"/>
        <v>6.5097144392331904E-3</v>
      </c>
    </row>
    <row r="16" spans="1:19" x14ac:dyDescent="0.2">
      <c r="A16" t="s">
        <v>1093</v>
      </c>
      <c r="B16" t="s">
        <v>540</v>
      </c>
      <c r="C16">
        <v>-2.6252954979034833E-3</v>
      </c>
      <c r="D16">
        <v>2.7001398965580481E-3</v>
      </c>
      <c r="E16">
        <v>2.7001398965580481E-3</v>
      </c>
      <c r="F16">
        <v>-371.14378993245515</v>
      </c>
      <c r="G16">
        <v>-373.1254947685805</v>
      </c>
      <c r="J16" t="s">
        <v>1099</v>
      </c>
      <c r="L16" t="s">
        <v>549</v>
      </c>
      <c r="M16" s="296">
        <v>2.1428545473595657E-3</v>
      </c>
      <c r="N16" s="296">
        <v>-3.214281821039272E-3</v>
      </c>
      <c r="O16" s="560">
        <v>-371.32331620477311</v>
      </c>
      <c r="P16" s="560">
        <v>-373.31681763004246</v>
      </c>
      <c r="R16">
        <f t="shared" si="0"/>
        <v>-2.1428545473595657E-3</v>
      </c>
      <c r="S16">
        <f t="shared" si="0"/>
        <v>3.214281821039272E-3</v>
      </c>
    </row>
    <row r="17" spans="1:19" x14ac:dyDescent="0.2">
      <c r="A17" t="s">
        <v>1096</v>
      </c>
      <c r="B17" t="s">
        <v>15</v>
      </c>
      <c r="C17">
        <v>2.4346247232466E-3</v>
      </c>
      <c r="D17">
        <v>-2.434752333969573E-3</v>
      </c>
      <c r="E17">
        <v>2.434752333969573E-3</v>
      </c>
      <c r="F17">
        <v>-373.02669107197323</v>
      </c>
      <c r="G17">
        <v>-371.21469499119479</v>
      </c>
      <c r="J17" t="s">
        <v>540</v>
      </c>
      <c r="L17" t="s">
        <v>1093</v>
      </c>
      <c r="M17" s="296">
        <v>2.6252954979034833E-3</v>
      </c>
      <c r="N17" s="296">
        <v>-2.7001398965580481E-3</v>
      </c>
      <c r="O17" s="560">
        <v>-371.14378993245515</v>
      </c>
      <c r="P17" s="560">
        <v>-373.1254947685805</v>
      </c>
      <c r="R17">
        <f t="shared" si="0"/>
        <v>-2.6252954979034833E-3</v>
      </c>
      <c r="S17">
        <f t="shared" si="0"/>
        <v>2.7001398965580481E-3</v>
      </c>
    </row>
    <row r="18" spans="1:19" x14ac:dyDescent="0.2">
      <c r="A18" t="s">
        <v>980</v>
      </c>
      <c r="B18" t="s">
        <v>1144</v>
      </c>
      <c r="C18">
        <v>-1.1900922237976449E-3</v>
      </c>
      <c r="D18">
        <v>1.7851383356965438E-3</v>
      </c>
      <c r="E18">
        <v>1.7851383356965438E-3</v>
      </c>
      <c r="F18">
        <v>-371.67785880353307</v>
      </c>
      <c r="G18">
        <v>-372.78500373190258</v>
      </c>
      <c r="J18" t="s">
        <v>15</v>
      </c>
      <c r="L18" t="s">
        <v>1096</v>
      </c>
      <c r="M18" s="296">
        <v>-2.4346247232466E-3</v>
      </c>
      <c r="N18" s="296">
        <v>2.434752333969573E-3</v>
      </c>
      <c r="O18" s="560">
        <v>-373.02669107197323</v>
      </c>
      <c r="P18" s="560">
        <v>-371.21469499119479</v>
      </c>
      <c r="R18">
        <f t="shared" si="0"/>
        <v>2.4346247232466E-3</v>
      </c>
      <c r="S18">
        <f t="shared" si="0"/>
        <v>-2.434752333969573E-3</v>
      </c>
    </row>
    <row r="19" spans="1:19" x14ac:dyDescent="0.2">
      <c r="A19" t="s">
        <v>993</v>
      </c>
      <c r="B19" t="s">
        <v>1144</v>
      </c>
      <c r="C19">
        <v>-3.3962092112368455E-4</v>
      </c>
      <c r="D19">
        <v>5.0943138168567956E-4</v>
      </c>
      <c r="E19">
        <v>5.0943138168567956E-4</v>
      </c>
      <c r="F19">
        <v>-371.99433679428057</v>
      </c>
      <c r="G19">
        <v>-372.31028674578135</v>
      </c>
      <c r="J19" t="s">
        <v>1144</v>
      </c>
      <c r="L19" t="s">
        <v>980</v>
      </c>
      <c r="M19" s="296">
        <v>1.1900922237976449E-3</v>
      </c>
      <c r="N19" s="296">
        <v>-1.7851383356965438E-3</v>
      </c>
      <c r="O19" s="560">
        <v>-371.67785880353307</v>
      </c>
      <c r="P19" s="560">
        <v>-372.78500373190258</v>
      </c>
      <c r="R19">
        <f t="shared" si="0"/>
        <v>-1.1900922237976449E-3</v>
      </c>
      <c r="S19">
        <f t="shared" si="0"/>
        <v>1.7851383356965438E-3</v>
      </c>
    </row>
    <row r="20" spans="1:19" x14ac:dyDescent="0.2">
      <c r="A20" t="s">
        <v>1097</v>
      </c>
      <c r="B20" t="s">
        <v>1099</v>
      </c>
      <c r="C20">
        <v>3.2106141189013933E-4</v>
      </c>
      <c r="D20">
        <v>-4.8159211783505625E-4</v>
      </c>
      <c r="E20">
        <v>4.8159211783505625E-4</v>
      </c>
      <c r="F20">
        <v>-372.24019037760218</v>
      </c>
      <c r="G20">
        <v>-371.94150637079895</v>
      </c>
      <c r="J20" t="s">
        <v>1144</v>
      </c>
      <c r="L20" t="s">
        <v>993</v>
      </c>
      <c r="M20" s="296">
        <v>3.3962092112368455E-4</v>
      </c>
      <c r="N20" s="296">
        <v>-5.0943138168567956E-4</v>
      </c>
      <c r="O20" s="560">
        <v>-371.99433679428057</v>
      </c>
      <c r="P20" s="560">
        <v>-372.31028674578135</v>
      </c>
      <c r="R20">
        <f t="shared" si="0"/>
        <v>-3.3962092112368455E-4</v>
      </c>
      <c r="S20">
        <f t="shared" si="0"/>
        <v>5.0943138168567956E-4</v>
      </c>
    </row>
    <row r="21" spans="1:19" x14ac:dyDescent="0.2">
      <c r="A21" t="s">
        <v>979</v>
      </c>
      <c r="B21" t="s">
        <v>1144</v>
      </c>
      <c r="C21">
        <v>-1.3486278547854608E-4</v>
      </c>
      <c r="D21">
        <v>2.0229417821797187E-4</v>
      </c>
      <c r="E21">
        <v>2.0229417821797187E-4</v>
      </c>
      <c r="F21">
        <v>-372.07053153848233</v>
      </c>
      <c r="G21">
        <v>-372.19599462947872</v>
      </c>
      <c r="M21" s="296"/>
      <c r="N21" s="296"/>
      <c r="O21" s="559"/>
      <c r="P21" s="559"/>
    </row>
    <row r="22" spans="1:19" x14ac:dyDescent="0.2">
      <c r="A22" t="s">
        <v>981</v>
      </c>
      <c r="B22" t="s">
        <v>1144</v>
      </c>
      <c r="C22">
        <v>-1.0750969220246832E-4</v>
      </c>
      <c r="D22">
        <v>1.6126453830385523E-4</v>
      </c>
      <c r="E22">
        <v>1.6126453830385523E-4</v>
      </c>
      <c r="F22">
        <v>-372.08071019115823</v>
      </c>
      <c r="G22">
        <v>-372.18072665046486</v>
      </c>
      <c r="M22" s="296"/>
      <c r="N22" s="296"/>
      <c r="O22" s="559"/>
      <c r="P22" s="559"/>
    </row>
    <row r="23" spans="1:19" x14ac:dyDescent="0.2">
      <c r="A23" t="s">
        <v>705</v>
      </c>
      <c r="B23" t="s">
        <v>1099</v>
      </c>
      <c r="C23">
        <v>-3.4541741525517157E-5</v>
      </c>
      <c r="D23">
        <v>5.1812612288122986E-5</v>
      </c>
      <c r="E23">
        <v>5.1812612288122986E-5</v>
      </c>
      <c r="F23">
        <v>-372.10786307726573</v>
      </c>
      <c r="G23">
        <v>-372.1399973213035</v>
      </c>
      <c r="M23" s="296"/>
      <c r="N23" s="296"/>
      <c r="O23" s="559"/>
      <c r="P23" s="559"/>
    </row>
    <row r="24" spans="1:19" x14ac:dyDescent="0.2">
      <c r="A24" t="s">
        <v>745</v>
      </c>
      <c r="B24" t="s">
        <v>1099</v>
      </c>
      <c r="C24">
        <v>2.3618907037668149E-5</v>
      </c>
      <c r="D24">
        <v>-3.5428360556654981E-5</v>
      </c>
      <c r="E24">
        <v>3.5428360556654981E-5</v>
      </c>
      <c r="F24">
        <v>-372.12950585949716</v>
      </c>
      <c r="G24">
        <v>-372.10753314795636</v>
      </c>
      <c r="M24" s="296"/>
      <c r="N24" s="296"/>
      <c r="O24" s="559"/>
      <c r="P24" s="559"/>
    </row>
    <row r="25" spans="1:19" x14ac:dyDescent="0.2">
      <c r="A25" t="s">
        <v>759</v>
      </c>
      <c r="B25" t="s">
        <v>1099</v>
      </c>
      <c r="C25">
        <v>2.3618907037668149E-5</v>
      </c>
      <c r="D25">
        <v>-3.5428360556654981E-5</v>
      </c>
      <c r="E25">
        <v>3.5428360556654981E-5</v>
      </c>
      <c r="F25">
        <v>-372.12950585949716</v>
      </c>
      <c r="G25">
        <v>-372.10753314795636</v>
      </c>
      <c r="M25" s="296"/>
      <c r="N25" s="296"/>
      <c r="O25" s="559"/>
      <c r="P25" s="559"/>
    </row>
    <row r="26" spans="1:19" x14ac:dyDescent="0.2">
      <c r="A26" t="s">
        <v>704</v>
      </c>
      <c r="B26" t="s">
        <v>1099</v>
      </c>
      <c r="C26">
        <v>-1.8663389443042265E-5</v>
      </c>
      <c r="D26">
        <v>2.7995084164334263E-5</v>
      </c>
      <c r="E26">
        <v>2.7995084164334263E-5</v>
      </c>
      <c r="F26">
        <v>-372.11377174102387</v>
      </c>
      <c r="G26">
        <v>-372.13113432566627</v>
      </c>
      <c r="M26" s="296"/>
      <c r="N26" s="296"/>
      <c r="O26" s="559"/>
      <c r="P26" s="559"/>
    </row>
    <row r="27" spans="1:19" x14ac:dyDescent="0.2">
      <c r="A27" t="s">
        <v>781</v>
      </c>
      <c r="B27" t="s">
        <v>1018</v>
      </c>
      <c r="C27">
        <v>1.1041136819053835E-5</v>
      </c>
      <c r="D27">
        <v>-1.1041136819206589E-5</v>
      </c>
      <c r="E27">
        <v>1.1041136819206589E-5</v>
      </c>
      <c r="F27">
        <v>-372.12482541062798</v>
      </c>
      <c r="G27">
        <v>-372.11660813913369</v>
      </c>
      <c r="M27" s="296"/>
      <c r="N27" s="296"/>
      <c r="O27" s="559"/>
      <c r="P27" s="559"/>
    </row>
    <row r="28" spans="1:19" x14ac:dyDescent="0.2">
      <c r="A28" t="s">
        <v>903</v>
      </c>
      <c r="B28" t="s">
        <v>1144</v>
      </c>
      <c r="C28">
        <v>-3.2982871754418238E-6</v>
      </c>
      <c r="D28">
        <v>4.9474307630099799E-6</v>
      </c>
      <c r="E28">
        <v>4.9474307630099799E-6</v>
      </c>
      <c r="F28">
        <v>-372.11948941389301</v>
      </c>
      <c r="G28">
        <v>-372.12255781636259</v>
      </c>
      <c r="M28" s="296"/>
      <c r="N28" s="296"/>
      <c r="O28" s="559"/>
      <c r="P28" s="559"/>
    </row>
    <row r="29" spans="1:19" x14ac:dyDescent="0.2">
      <c r="A29" t="s">
        <v>707</v>
      </c>
      <c r="B29" t="s">
        <v>1099</v>
      </c>
      <c r="C29">
        <v>-1.3377828359979101E-7</v>
      </c>
      <c r="D29">
        <v>2.0066742555244184E-7</v>
      </c>
      <c r="E29">
        <v>2.0066742555244184E-7</v>
      </c>
      <c r="F29">
        <v>-372.12066699321008</v>
      </c>
      <c r="G29">
        <v>-372.12079144738709</v>
      </c>
    </row>
    <row r="30" spans="1:19" x14ac:dyDescent="0.2">
      <c r="A30" t="s">
        <v>706</v>
      </c>
      <c r="B30" t="s">
        <v>1099</v>
      </c>
      <c r="C30">
        <v>-2.1052189390936982E-8</v>
      </c>
      <c r="D30">
        <v>3.1578284086405471E-8</v>
      </c>
      <c r="E30">
        <v>3.1578284086405471E-8</v>
      </c>
      <c r="F30">
        <v>-372.12070894092506</v>
      </c>
      <c r="G30">
        <v>-372.12072852581457</v>
      </c>
    </row>
    <row r="31" spans="1:19" x14ac:dyDescent="0.2">
      <c r="A31" t="s">
        <v>991</v>
      </c>
      <c r="B31" t="s">
        <v>1144</v>
      </c>
      <c r="C31">
        <v>-7.0698308471565218E-10</v>
      </c>
      <c r="D31">
        <v>1.0604747798287976E-9</v>
      </c>
      <c r="E31">
        <v>1.0604747798287976E-9</v>
      </c>
      <c r="F31">
        <v>-372.12071651179781</v>
      </c>
      <c r="G31">
        <v>-372.1207171695055</v>
      </c>
    </row>
    <row r="32" spans="1:19" x14ac:dyDescent="0.2">
      <c r="A32" t="s">
        <v>703</v>
      </c>
      <c r="B32" t="s">
        <v>1099</v>
      </c>
      <c r="C32">
        <v>-4.7015032134218624E-12</v>
      </c>
      <c r="D32">
        <v>7.0519493094944526E-12</v>
      </c>
      <c r="E32">
        <v>7.0519493094944526E-12</v>
      </c>
      <c r="F32">
        <v>-372.12071677313133</v>
      </c>
      <c r="G32">
        <v>-372.12071677750504</v>
      </c>
    </row>
    <row r="33" spans="1:7" x14ac:dyDescent="0.2">
      <c r="A33" t="s">
        <v>699</v>
      </c>
      <c r="B33" t="s">
        <v>1099</v>
      </c>
      <c r="C33">
        <v>-2.2754432343599995E-12</v>
      </c>
      <c r="D33">
        <v>3.413164851539999E-12</v>
      </c>
      <c r="E33">
        <v>3.413164851539999E-12</v>
      </c>
      <c r="F33">
        <v>-372.12071677403412</v>
      </c>
      <c r="G33">
        <v>-372.12071677615097</v>
      </c>
    </row>
    <row r="34" spans="1:7" x14ac:dyDescent="0.2">
      <c r="C34">
        <v>0</v>
      </c>
      <c r="D34">
        <v>0</v>
      </c>
      <c r="E34">
        <v>0</v>
      </c>
      <c r="F34">
        <v>-372.12071677488086</v>
      </c>
      <c r="G34">
        <v>-372.12071677488086</v>
      </c>
    </row>
    <row r="35" spans="1:7" x14ac:dyDescent="0.2">
      <c r="A35" t="s">
        <v>1094</v>
      </c>
      <c r="C35">
        <v>0</v>
      </c>
      <c r="D35">
        <v>0</v>
      </c>
      <c r="E35">
        <v>0</v>
      </c>
      <c r="F35">
        <v>-372.12071677488086</v>
      </c>
      <c r="G35">
        <v>-372.12071677488086</v>
      </c>
    </row>
    <row r="36" spans="1:7" x14ac:dyDescent="0.2">
      <c r="C36">
        <v>0</v>
      </c>
      <c r="D36">
        <v>0</v>
      </c>
      <c r="E36">
        <v>0</v>
      </c>
      <c r="F36">
        <v>-372.12071677488086</v>
      </c>
      <c r="G36">
        <v>-372.12071677488086</v>
      </c>
    </row>
    <row r="37" spans="1:7" x14ac:dyDescent="0.2">
      <c r="A37" t="s">
        <v>1107</v>
      </c>
      <c r="C37">
        <v>0</v>
      </c>
      <c r="D37">
        <v>0</v>
      </c>
      <c r="E37">
        <v>0</v>
      </c>
      <c r="F37">
        <v>-372.12071677488086</v>
      </c>
      <c r="G37">
        <v>-372.12071677488086</v>
      </c>
    </row>
    <row r="38" spans="1:7" x14ac:dyDescent="0.2">
      <c r="A38" t="s">
        <v>970</v>
      </c>
      <c r="B38" t="s">
        <v>1099</v>
      </c>
      <c r="C38">
        <v>0</v>
      </c>
      <c r="D38">
        <v>0</v>
      </c>
      <c r="E38">
        <v>0</v>
      </c>
      <c r="F38">
        <v>-372.12071677488086</v>
      </c>
      <c r="G38">
        <v>-372.12071677488086</v>
      </c>
    </row>
    <row r="39" spans="1:7" x14ac:dyDescent="0.2">
      <c r="A39" t="s">
        <v>1100</v>
      </c>
      <c r="B39" t="s">
        <v>1099</v>
      </c>
      <c r="C39">
        <v>0</v>
      </c>
      <c r="D39">
        <v>0</v>
      </c>
      <c r="E39">
        <v>0</v>
      </c>
      <c r="F39">
        <v>-372.12071677488086</v>
      </c>
      <c r="G39">
        <v>-372.12071677488086</v>
      </c>
    </row>
    <row r="40" spans="1:7" x14ac:dyDescent="0.2">
      <c r="A40" t="s">
        <v>1101</v>
      </c>
      <c r="B40" t="s">
        <v>1099</v>
      </c>
      <c r="C40">
        <v>0</v>
      </c>
      <c r="D40">
        <v>0</v>
      </c>
      <c r="E40">
        <v>0</v>
      </c>
      <c r="F40">
        <v>-372.12071677488086</v>
      </c>
      <c r="G40">
        <v>-372.12071677488086</v>
      </c>
    </row>
    <row r="41" spans="1:7" x14ac:dyDescent="0.2">
      <c r="A41" t="s">
        <v>965</v>
      </c>
      <c r="B41" t="s">
        <v>1099</v>
      </c>
      <c r="C41">
        <v>0</v>
      </c>
      <c r="D41">
        <v>0</v>
      </c>
      <c r="E41">
        <v>0</v>
      </c>
      <c r="F41">
        <v>-372.12071677488086</v>
      </c>
      <c r="G41">
        <v>-372.12071677488086</v>
      </c>
    </row>
    <row r="42" spans="1:7" x14ac:dyDescent="0.2">
      <c r="A42" t="s">
        <v>721</v>
      </c>
      <c r="B42" t="s">
        <v>1099</v>
      </c>
      <c r="C42">
        <v>0</v>
      </c>
      <c r="D42">
        <v>0</v>
      </c>
      <c r="E42">
        <v>0</v>
      </c>
      <c r="F42">
        <v>-372.12071677488086</v>
      </c>
      <c r="G42">
        <v>-372.12071677488086</v>
      </c>
    </row>
    <row r="43" spans="1:7" x14ac:dyDescent="0.2">
      <c r="A43" t="s">
        <v>723</v>
      </c>
      <c r="B43" t="s">
        <v>1099</v>
      </c>
      <c r="C43">
        <v>0</v>
      </c>
      <c r="D43">
        <v>0</v>
      </c>
      <c r="E43">
        <v>0</v>
      </c>
      <c r="F43">
        <v>-372.12071677488086</v>
      </c>
      <c r="G43">
        <v>-372.12071677488086</v>
      </c>
    </row>
    <row r="44" spans="1:7" x14ac:dyDescent="0.2">
      <c r="A44" t="s">
        <v>764</v>
      </c>
      <c r="B44" t="s">
        <v>1099</v>
      </c>
      <c r="C44">
        <v>0</v>
      </c>
      <c r="D44">
        <v>0</v>
      </c>
      <c r="E44">
        <v>0</v>
      </c>
      <c r="F44">
        <v>-372.12071677488086</v>
      </c>
      <c r="G44">
        <v>-372.12071677488086</v>
      </c>
    </row>
    <row r="45" spans="1:7" x14ac:dyDescent="0.2">
      <c r="A45" t="s">
        <v>948</v>
      </c>
      <c r="B45" t="s">
        <v>1099</v>
      </c>
      <c r="C45">
        <v>0</v>
      </c>
      <c r="D45">
        <v>0</v>
      </c>
      <c r="E45">
        <v>0</v>
      </c>
      <c r="F45">
        <v>-372.12071677488086</v>
      </c>
      <c r="G45">
        <v>-372.12071677488086</v>
      </c>
    </row>
    <row r="46" spans="1:7" x14ac:dyDescent="0.2">
      <c r="A46" t="s">
        <v>751</v>
      </c>
      <c r="B46" t="s">
        <v>1099</v>
      </c>
      <c r="C46">
        <v>0</v>
      </c>
      <c r="D46">
        <v>0</v>
      </c>
      <c r="E46">
        <v>0</v>
      </c>
      <c r="F46">
        <v>-372.12071677488086</v>
      </c>
      <c r="G46">
        <v>-372.12071677488086</v>
      </c>
    </row>
    <row r="47" spans="1:7" x14ac:dyDescent="0.2">
      <c r="A47" t="s">
        <v>752</v>
      </c>
      <c r="B47" t="s">
        <v>1099</v>
      </c>
      <c r="C47">
        <v>0</v>
      </c>
      <c r="D47">
        <v>0</v>
      </c>
      <c r="E47">
        <v>0</v>
      </c>
      <c r="F47">
        <v>-372.12071677488086</v>
      </c>
      <c r="G47">
        <v>-372.12071677488086</v>
      </c>
    </row>
    <row r="48" spans="1:7" x14ac:dyDescent="0.2">
      <c r="A48" t="s">
        <v>756</v>
      </c>
      <c r="B48" t="s">
        <v>1099</v>
      </c>
      <c r="C48">
        <v>0</v>
      </c>
      <c r="D48">
        <v>0</v>
      </c>
      <c r="E48">
        <v>0</v>
      </c>
      <c r="F48">
        <v>-372.12071677488086</v>
      </c>
      <c r="G48">
        <v>-372.12071677488086</v>
      </c>
    </row>
    <row r="49" spans="1:7" x14ac:dyDescent="0.2">
      <c r="A49" t="s">
        <v>790</v>
      </c>
      <c r="B49" t="s">
        <v>1099</v>
      </c>
      <c r="C49">
        <v>0</v>
      </c>
      <c r="D49">
        <v>0</v>
      </c>
      <c r="E49">
        <v>0</v>
      </c>
      <c r="F49">
        <v>-372.12071677488086</v>
      </c>
      <c r="G49">
        <v>-372.12071677488086</v>
      </c>
    </row>
    <row r="50" spans="1:7" x14ac:dyDescent="0.2">
      <c r="A50" t="s">
        <v>930</v>
      </c>
      <c r="B50" t="s">
        <v>1099</v>
      </c>
      <c r="C50">
        <v>0</v>
      </c>
      <c r="D50">
        <v>0</v>
      </c>
      <c r="E50">
        <v>0</v>
      </c>
      <c r="F50">
        <v>-372.12071677488086</v>
      </c>
      <c r="G50">
        <v>-372.12071677488086</v>
      </c>
    </row>
    <row r="51" spans="1:7" x14ac:dyDescent="0.2">
      <c r="C51">
        <v>0</v>
      </c>
      <c r="D51">
        <v>0</v>
      </c>
      <c r="E51">
        <v>0</v>
      </c>
      <c r="F51">
        <v>-372.12071677488086</v>
      </c>
      <c r="G51">
        <v>-372.12071677488086</v>
      </c>
    </row>
    <row r="52" spans="1:7" x14ac:dyDescent="0.2">
      <c r="A52" t="s">
        <v>1089</v>
      </c>
      <c r="C52">
        <v>0</v>
      </c>
      <c r="D52">
        <v>0</v>
      </c>
      <c r="E52">
        <v>0</v>
      </c>
      <c r="F52">
        <v>-372.12071677488086</v>
      </c>
      <c r="G52">
        <v>-372.12071677488086</v>
      </c>
    </row>
    <row r="53" spans="1:7" x14ac:dyDescent="0.2">
      <c r="A53" t="s">
        <v>983</v>
      </c>
      <c r="B53" t="s">
        <v>1144</v>
      </c>
      <c r="C53">
        <v>0</v>
      </c>
      <c r="D53">
        <v>0</v>
      </c>
      <c r="E53">
        <v>0</v>
      </c>
      <c r="F53">
        <v>-372.12071677488086</v>
      </c>
      <c r="G53">
        <v>-372.12071677488086</v>
      </c>
    </row>
    <row r="54" spans="1:7" x14ac:dyDescent="0.2">
      <c r="A54" t="s">
        <v>985</v>
      </c>
      <c r="B54" t="s">
        <v>1144</v>
      </c>
      <c r="C54">
        <v>0</v>
      </c>
      <c r="D54">
        <v>0</v>
      </c>
      <c r="E54">
        <v>0</v>
      </c>
      <c r="F54">
        <v>-372.12071677488086</v>
      </c>
      <c r="G54">
        <v>-372.12071677488086</v>
      </c>
    </row>
    <row r="55" spans="1:7" x14ac:dyDescent="0.2">
      <c r="A55" t="s">
        <v>505</v>
      </c>
      <c r="B55" t="s">
        <v>1144</v>
      </c>
      <c r="C55">
        <v>0</v>
      </c>
      <c r="D55">
        <v>0</v>
      </c>
      <c r="E55">
        <v>0</v>
      </c>
      <c r="F55">
        <v>-372.12071677488086</v>
      </c>
      <c r="G55">
        <v>-372.12071677488086</v>
      </c>
    </row>
    <row r="56" spans="1:7" x14ac:dyDescent="0.2">
      <c r="A56" t="s">
        <v>50</v>
      </c>
      <c r="B56" t="s">
        <v>1144</v>
      </c>
      <c r="C56">
        <v>0</v>
      </c>
      <c r="D56">
        <v>0</v>
      </c>
      <c r="E56">
        <v>0</v>
      </c>
      <c r="F56">
        <v>-372.12071677488086</v>
      </c>
      <c r="G56">
        <v>-372.12071677488086</v>
      </c>
    </row>
    <row r="57" spans="1:7" x14ac:dyDescent="0.2">
      <c r="A57" t="s">
        <v>10</v>
      </c>
      <c r="B57" t="s">
        <v>1144</v>
      </c>
      <c r="C57">
        <v>0</v>
      </c>
      <c r="D57">
        <v>0</v>
      </c>
      <c r="E57">
        <v>0</v>
      </c>
      <c r="F57">
        <v>-372.12071677488086</v>
      </c>
      <c r="G57">
        <v>-372.12071677488086</v>
      </c>
    </row>
    <row r="58" spans="1:7" x14ac:dyDescent="0.2">
      <c r="A58" t="s">
        <v>915</v>
      </c>
      <c r="B58" t="s">
        <v>1144</v>
      </c>
      <c r="C58">
        <v>0</v>
      </c>
      <c r="D58">
        <v>0</v>
      </c>
      <c r="E58">
        <v>0</v>
      </c>
      <c r="F58">
        <v>-372.12071677488086</v>
      </c>
      <c r="G58">
        <v>-372.12071677488086</v>
      </c>
    </row>
    <row r="59" spans="1:7" x14ac:dyDescent="0.2">
      <c r="C59">
        <v>0</v>
      </c>
      <c r="D59">
        <v>0</v>
      </c>
      <c r="E59">
        <v>0</v>
      </c>
      <c r="F59">
        <v>-372.12071677488086</v>
      </c>
      <c r="G59">
        <v>-372.12071677488086</v>
      </c>
    </row>
    <row r="60" spans="1:7" x14ac:dyDescent="0.2">
      <c r="A60" t="s">
        <v>1090</v>
      </c>
      <c r="C60">
        <v>0</v>
      </c>
      <c r="D60">
        <v>0</v>
      </c>
      <c r="E60">
        <v>0</v>
      </c>
      <c r="F60">
        <v>-372.12071677488086</v>
      </c>
      <c r="G60">
        <v>-372.12071677488086</v>
      </c>
    </row>
    <row r="61" spans="1:7" x14ac:dyDescent="0.2">
      <c r="A61" t="s">
        <v>990</v>
      </c>
      <c r="B61" t="s">
        <v>1144</v>
      </c>
      <c r="C61">
        <v>0</v>
      </c>
      <c r="D61">
        <v>0</v>
      </c>
      <c r="E61">
        <v>0</v>
      </c>
      <c r="F61">
        <v>-372.12071677488086</v>
      </c>
      <c r="G61">
        <v>-372.12071677488086</v>
      </c>
    </row>
    <row r="62" spans="1:7" x14ac:dyDescent="0.2">
      <c r="A62" t="s">
        <v>197</v>
      </c>
      <c r="B62" t="s">
        <v>1144</v>
      </c>
      <c r="C62">
        <v>0</v>
      </c>
      <c r="D62">
        <v>0</v>
      </c>
      <c r="E62">
        <v>0</v>
      </c>
      <c r="F62">
        <v>-372.12071677488086</v>
      </c>
      <c r="G62">
        <v>-372.12071677488086</v>
      </c>
    </row>
    <row r="63" spans="1:7" x14ac:dyDescent="0.2">
      <c r="A63" t="s">
        <v>998</v>
      </c>
      <c r="B63" t="s">
        <v>1144</v>
      </c>
      <c r="C63">
        <v>0</v>
      </c>
      <c r="D63">
        <v>0</v>
      </c>
      <c r="E63">
        <v>0</v>
      </c>
      <c r="F63">
        <v>-372.12071677488086</v>
      </c>
      <c r="G63">
        <v>-372.12071677488086</v>
      </c>
    </row>
    <row r="64" spans="1:7" x14ac:dyDescent="0.2">
      <c r="A64" t="s">
        <v>137</v>
      </c>
      <c r="B64" t="s">
        <v>1144</v>
      </c>
      <c r="C64">
        <v>0</v>
      </c>
      <c r="D64">
        <v>0</v>
      </c>
      <c r="E64">
        <v>0</v>
      </c>
      <c r="F64">
        <v>-372.12071677488086</v>
      </c>
      <c r="G64">
        <v>-372.12071677488086</v>
      </c>
    </row>
    <row r="65" spans="1:7" x14ac:dyDescent="0.2">
      <c r="A65" t="s">
        <v>580</v>
      </c>
      <c r="B65" t="s">
        <v>1144</v>
      </c>
      <c r="C65">
        <v>0</v>
      </c>
      <c r="D65">
        <v>0</v>
      </c>
      <c r="E65">
        <v>0</v>
      </c>
      <c r="F65">
        <v>-372.12071677488086</v>
      </c>
      <c r="G65">
        <v>-372.12071677488086</v>
      </c>
    </row>
    <row r="66" spans="1:7" x14ac:dyDescent="0.2">
      <c r="A66" t="s">
        <v>994</v>
      </c>
      <c r="B66" t="s">
        <v>1144</v>
      </c>
      <c r="C66">
        <v>0</v>
      </c>
      <c r="D66">
        <v>0</v>
      </c>
      <c r="E66">
        <v>0</v>
      </c>
      <c r="F66">
        <v>-372.12071677488086</v>
      </c>
      <c r="G66">
        <v>-372.12071677488086</v>
      </c>
    </row>
    <row r="67" spans="1:7" x14ac:dyDescent="0.2">
      <c r="A67" t="s">
        <v>995</v>
      </c>
      <c r="B67" t="s">
        <v>1144</v>
      </c>
      <c r="C67">
        <v>0</v>
      </c>
      <c r="D67">
        <v>0</v>
      </c>
      <c r="E67">
        <v>0</v>
      </c>
      <c r="F67">
        <v>-372.12071677488086</v>
      </c>
      <c r="G67">
        <v>-372.12071677488086</v>
      </c>
    </row>
    <row r="68" spans="1:7" x14ac:dyDescent="0.2">
      <c r="A68" t="s">
        <v>997</v>
      </c>
      <c r="B68" t="s">
        <v>1144</v>
      </c>
      <c r="C68">
        <v>0</v>
      </c>
      <c r="D68">
        <v>0</v>
      </c>
      <c r="E68">
        <v>0</v>
      </c>
      <c r="F68">
        <v>-372.12071677488086</v>
      </c>
      <c r="G68">
        <v>-372.12071677488086</v>
      </c>
    </row>
    <row r="69" spans="1:7" x14ac:dyDescent="0.2">
      <c r="A69" t="s">
        <v>585</v>
      </c>
      <c r="B69" t="s">
        <v>1144</v>
      </c>
      <c r="C69">
        <v>0</v>
      </c>
      <c r="D69">
        <v>0</v>
      </c>
      <c r="E69">
        <v>0</v>
      </c>
      <c r="F69">
        <v>-372.12071677488086</v>
      </c>
      <c r="G69">
        <v>-372.12071677488086</v>
      </c>
    </row>
    <row r="70" spans="1:7" x14ac:dyDescent="0.2">
      <c r="A70" t="s">
        <v>1062</v>
      </c>
      <c r="B70" t="s">
        <v>1144</v>
      </c>
      <c r="C70">
        <v>0</v>
      </c>
      <c r="D70">
        <v>0</v>
      </c>
      <c r="E70">
        <v>0</v>
      </c>
      <c r="F70">
        <v>-372.12071677488086</v>
      </c>
      <c r="G70">
        <v>-372.12071677488086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244C9-E752-294E-82E8-2B9F1E3B2BEE}">
  <sheetPr codeName="Sheet19"/>
  <dimension ref="A1:S70"/>
  <sheetViews>
    <sheetView zoomScale="120" zoomScaleNormal="120" workbookViewId="0">
      <selection activeCell="AE23" sqref="AE23"/>
    </sheetView>
  </sheetViews>
  <sheetFormatPr baseColWidth="10" defaultRowHeight="15" x14ac:dyDescent="0.2"/>
  <sheetData>
    <row r="1" spans="1:19" x14ac:dyDescent="0.2">
      <c r="A1" t="s">
        <v>1062</v>
      </c>
      <c r="B1" t="s">
        <v>1144</v>
      </c>
      <c r="C1">
        <v>-0.13764304120433013</v>
      </c>
      <c r="D1">
        <v>0.20646456180649486</v>
      </c>
      <c r="E1">
        <v>0.20646456180649486</v>
      </c>
      <c r="F1">
        <v>-621.32315544389303</v>
      </c>
      <c r="G1">
        <v>-869.25067494058362</v>
      </c>
      <c r="J1" s="109" t="s">
        <v>3</v>
      </c>
      <c r="L1" s="109" t="s">
        <v>1001</v>
      </c>
      <c r="M1" s="109" t="s">
        <v>1170</v>
      </c>
      <c r="N1" s="109" t="s">
        <v>1171</v>
      </c>
      <c r="O1" s="109" t="s">
        <v>1195</v>
      </c>
      <c r="P1" s="109" t="s">
        <v>1197</v>
      </c>
      <c r="R1" s="109" t="s">
        <v>1192</v>
      </c>
    </row>
    <row r="2" spans="1:19" x14ac:dyDescent="0.2">
      <c r="A2" t="s">
        <v>312</v>
      </c>
      <c r="B2" t="s">
        <v>1018</v>
      </c>
      <c r="C2">
        <v>0.18447403816240068</v>
      </c>
      <c r="D2">
        <v>-0.18447403816240149</v>
      </c>
      <c r="E2">
        <v>0.18447403816240149</v>
      </c>
      <c r="F2">
        <v>-853.40663100836605</v>
      </c>
      <c r="G2">
        <v>-587.5816954767721</v>
      </c>
      <c r="J2" t="s">
        <v>1144</v>
      </c>
      <c r="L2" t="s">
        <v>1062</v>
      </c>
      <c r="M2" s="296">
        <v>0.13764304120433013</v>
      </c>
      <c r="N2" s="296">
        <v>-0.20646456180649486</v>
      </c>
      <c r="O2" s="297">
        <v>-621.32315544389303</v>
      </c>
      <c r="P2" s="297">
        <v>-869.25067494058362</v>
      </c>
      <c r="R2">
        <f>M2*-1</f>
        <v>-0.13764304120433013</v>
      </c>
      <c r="S2">
        <f>N2*-1</f>
        <v>0.20646456180649486</v>
      </c>
    </row>
    <row r="3" spans="1:19" x14ac:dyDescent="0.2">
      <c r="A3" t="s">
        <v>1</v>
      </c>
      <c r="B3" t="s">
        <v>15</v>
      </c>
      <c r="C3">
        <v>0.1785268378470129</v>
      </c>
      <c r="D3">
        <v>-0.17433992671903717</v>
      </c>
      <c r="E3">
        <v>0.17433992671903717</v>
      </c>
      <c r="F3">
        <v>-849.12170789349477</v>
      </c>
      <c r="G3">
        <v>-594.88326362136581</v>
      </c>
      <c r="J3" t="s">
        <v>1018</v>
      </c>
      <c r="L3" t="s">
        <v>312</v>
      </c>
      <c r="M3" s="296">
        <v>-0.18447403816240068</v>
      </c>
      <c r="N3" s="296">
        <v>0.18447403816240149</v>
      </c>
      <c r="O3" s="297">
        <v>-853.40663100836605</v>
      </c>
      <c r="P3" s="297">
        <v>-587.5816954767721</v>
      </c>
      <c r="R3">
        <f t="shared" ref="R3:S11" si="0">M3*-1</f>
        <v>0.18447403816240068</v>
      </c>
      <c r="S3">
        <f t="shared" si="0"/>
        <v>-0.18447403816240149</v>
      </c>
    </row>
    <row r="4" spans="1:19" x14ac:dyDescent="0.2">
      <c r="A4" t="s">
        <v>548</v>
      </c>
      <c r="B4" t="s">
        <v>1099</v>
      </c>
      <c r="C4">
        <v>-1.4502831336269478E-2</v>
      </c>
      <c r="D4">
        <v>2.1754247004404061E-2</v>
      </c>
      <c r="E4">
        <v>2.1754247004404061E-2</v>
      </c>
      <c r="F4">
        <v>-710.04495791429576</v>
      </c>
      <c r="G4">
        <v>-736.16797123497963</v>
      </c>
      <c r="J4" t="s">
        <v>15</v>
      </c>
      <c r="L4" t="s">
        <v>1</v>
      </c>
      <c r="M4" s="296">
        <v>-0.1785268378470129</v>
      </c>
      <c r="N4" s="296">
        <v>0.17433992671903717</v>
      </c>
      <c r="O4" s="297">
        <v>-849.12170789349477</v>
      </c>
      <c r="P4" s="297">
        <v>-594.88326362136581</v>
      </c>
      <c r="R4">
        <f t="shared" si="0"/>
        <v>0.1785268378470129</v>
      </c>
      <c r="S4">
        <f t="shared" si="0"/>
        <v>-0.17433992671903717</v>
      </c>
    </row>
    <row r="5" spans="1:19" x14ac:dyDescent="0.2">
      <c r="A5" t="s">
        <v>313</v>
      </c>
      <c r="B5" t="s">
        <v>1018</v>
      </c>
      <c r="C5">
        <v>1.5517643818742186E-2</v>
      </c>
      <c r="D5">
        <v>-1.5517643818742344E-2</v>
      </c>
      <c r="E5">
        <v>1.5517643818742344E-2</v>
      </c>
      <c r="F5">
        <v>-731.67453504125024</v>
      </c>
      <c r="G5">
        <v>-709.31379144388836</v>
      </c>
      <c r="J5" t="s">
        <v>1099</v>
      </c>
      <c r="L5" t="s">
        <v>548</v>
      </c>
      <c r="M5" s="296">
        <v>1.4502831336269478E-2</v>
      </c>
      <c r="N5" s="296">
        <v>-2.1754247004404061E-2</v>
      </c>
      <c r="O5" s="297">
        <v>-710.04495791429576</v>
      </c>
      <c r="P5" s="297">
        <v>-736.16797123497963</v>
      </c>
      <c r="R5">
        <f t="shared" si="0"/>
        <v>-1.4502831336269478E-2</v>
      </c>
      <c r="S5">
        <f t="shared" si="0"/>
        <v>2.1754247004404061E-2</v>
      </c>
    </row>
    <row r="6" spans="1:19" x14ac:dyDescent="0.2">
      <c r="A6" t="s">
        <v>547</v>
      </c>
      <c r="B6" t="s">
        <v>1099</v>
      </c>
      <c r="C6">
        <v>-7.9147460408026393E-3</v>
      </c>
      <c r="D6">
        <v>1.1872119061203723E-2</v>
      </c>
      <c r="E6">
        <v>1.1872119061203723E-2</v>
      </c>
      <c r="F6">
        <v>-714.79163491662382</v>
      </c>
      <c r="G6">
        <v>-729.04795573148749</v>
      </c>
      <c r="J6" t="s">
        <v>1018</v>
      </c>
      <c r="L6" t="s">
        <v>313</v>
      </c>
      <c r="M6" s="296">
        <v>-1.5517643818742186E-2</v>
      </c>
      <c r="N6" s="296">
        <v>1.5517643818742344E-2</v>
      </c>
      <c r="O6" s="297">
        <v>-731.67453504125024</v>
      </c>
      <c r="P6" s="297">
        <v>-709.31379144388836</v>
      </c>
      <c r="R6">
        <f t="shared" si="0"/>
        <v>1.5517643818742186E-2</v>
      </c>
      <c r="S6">
        <f t="shared" si="0"/>
        <v>-1.5517643818742344E-2</v>
      </c>
    </row>
    <row r="7" spans="1:19" x14ac:dyDescent="0.2">
      <c r="A7" t="s">
        <v>549</v>
      </c>
      <c r="B7" t="s">
        <v>1099</v>
      </c>
      <c r="C7">
        <v>-3.4399029167687368E-3</v>
      </c>
      <c r="D7">
        <v>5.1598543751529471E-3</v>
      </c>
      <c r="E7">
        <v>5.1598543751529471E-3</v>
      </c>
      <c r="F7">
        <v>-718.01573326891639</v>
      </c>
      <c r="G7">
        <v>-724.21180820304869</v>
      </c>
      <c r="J7" t="s">
        <v>1099</v>
      </c>
      <c r="L7" t="s">
        <v>547</v>
      </c>
      <c r="M7" s="296">
        <v>7.9147460408026393E-3</v>
      </c>
      <c r="N7" s="296">
        <v>-1.1872119061203723E-2</v>
      </c>
      <c r="O7" s="297">
        <v>-714.79163491662382</v>
      </c>
      <c r="P7" s="297">
        <v>-729.04795573148749</v>
      </c>
      <c r="R7">
        <f t="shared" si="0"/>
        <v>-7.9147460408026393E-3</v>
      </c>
      <c r="S7">
        <f t="shared" si="0"/>
        <v>1.1872119061203723E-2</v>
      </c>
    </row>
    <row r="8" spans="1:19" x14ac:dyDescent="0.2">
      <c r="A8" t="s">
        <v>585</v>
      </c>
      <c r="B8" t="s">
        <v>1144</v>
      </c>
      <c r="C8">
        <v>-1.5156349607145449E-3</v>
      </c>
      <c r="D8">
        <v>2.273452441071344E-3</v>
      </c>
      <c r="E8">
        <v>2.273452441071344E-3</v>
      </c>
      <c r="F8">
        <v>-719.40215709976815</v>
      </c>
      <c r="G8">
        <v>-722.13217245677083</v>
      </c>
      <c r="J8" t="s">
        <v>1099</v>
      </c>
      <c r="L8" t="s">
        <v>549</v>
      </c>
      <c r="M8" s="296">
        <v>3.4399029167687368E-3</v>
      </c>
      <c r="N8" s="296">
        <v>-5.1598543751529471E-3</v>
      </c>
      <c r="O8" s="297">
        <v>-718.01573326891639</v>
      </c>
      <c r="P8" s="297">
        <v>-724.21180820304869</v>
      </c>
      <c r="R8">
        <f t="shared" si="0"/>
        <v>-3.4399029167687368E-3</v>
      </c>
      <c r="S8">
        <f t="shared" si="0"/>
        <v>5.1598543751529471E-3</v>
      </c>
    </row>
    <row r="9" spans="1:19" x14ac:dyDescent="0.2">
      <c r="A9" t="s">
        <v>903</v>
      </c>
      <c r="B9" t="s">
        <v>1144</v>
      </c>
      <c r="C9">
        <v>-8.0680495732968433E-4</v>
      </c>
      <c r="D9">
        <v>1.2102074359945265E-3</v>
      </c>
      <c r="E9">
        <v>1.2102074359945265E-3</v>
      </c>
      <c r="F9">
        <v>-719.91286497993815</v>
      </c>
      <c r="G9">
        <v>-721.36611063651617</v>
      </c>
      <c r="J9" t="s">
        <v>1144</v>
      </c>
      <c r="L9" t="s">
        <v>585</v>
      </c>
      <c r="M9" s="296">
        <v>1.5156349607145449E-3</v>
      </c>
      <c r="N9" s="296">
        <v>-2.273452441071344E-3</v>
      </c>
      <c r="O9" s="297">
        <v>-719.40215709976815</v>
      </c>
      <c r="P9" s="297">
        <v>-722.13217245677083</v>
      </c>
      <c r="R9">
        <f t="shared" si="0"/>
        <v>-1.5156349607145449E-3</v>
      </c>
      <c r="S9">
        <f t="shared" si="0"/>
        <v>2.273452441071344E-3</v>
      </c>
    </row>
    <row r="10" spans="1:19" x14ac:dyDescent="0.2">
      <c r="A10" t="s">
        <v>701</v>
      </c>
      <c r="B10" t="s">
        <v>1099</v>
      </c>
      <c r="C10">
        <v>-5.7171037727807501E-4</v>
      </c>
      <c r="D10">
        <v>8.5756556591719128E-4</v>
      </c>
      <c r="E10">
        <v>8.5756556591719128E-4</v>
      </c>
      <c r="F10">
        <v>-720.0822492526753</v>
      </c>
      <c r="G10">
        <v>-721.1120342274105</v>
      </c>
      <c r="J10" t="s">
        <v>1144</v>
      </c>
      <c r="L10" t="s">
        <v>903</v>
      </c>
      <c r="M10" s="296">
        <v>8.0680495732968433E-4</v>
      </c>
      <c r="N10" s="296">
        <v>-1.2102074359945265E-3</v>
      </c>
      <c r="O10" s="297">
        <v>-719.91286497993815</v>
      </c>
      <c r="P10" s="297">
        <v>-721.36611063651617</v>
      </c>
      <c r="R10">
        <f t="shared" si="0"/>
        <v>-8.0680495732968433E-4</v>
      </c>
      <c r="S10">
        <f t="shared" si="0"/>
        <v>1.2102074359945265E-3</v>
      </c>
    </row>
    <row r="11" spans="1:19" x14ac:dyDescent="0.2">
      <c r="A11" t="s">
        <v>998</v>
      </c>
      <c r="B11" t="s">
        <v>1144</v>
      </c>
      <c r="C11">
        <v>-2.7786326292673132E-4</v>
      </c>
      <c r="D11">
        <v>4.1679489439009693E-4</v>
      </c>
      <c r="E11">
        <v>4.1679489439009693E-4</v>
      </c>
      <c r="F11">
        <v>-720.29396438345111</v>
      </c>
      <c r="G11">
        <v>-720.79446153124672</v>
      </c>
      <c r="J11" t="s">
        <v>1099</v>
      </c>
      <c r="L11" t="s">
        <v>1206</v>
      </c>
      <c r="M11" s="296">
        <v>5.7171037727807501E-4</v>
      </c>
      <c r="N11" s="296">
        <v>-8.5756556591719128E-4</v>
      </c>
      <c r="O11" s="297">
        <v>-720.0822492526753</v>
      </c>
      <c r="P11" s="297">
        <v>-721.1120342274105</v>
      </c>
      <c r="R11">
        <f t="shared" si="0"/>
        <v>-5.7171037727807501E-4</v>
      </c>
      <c r="S11">
        <f t="shared" si="0"/>
        <v>8.5756556591719128E-4</v>
      </c>
    </row>
    <row r="12" spans="1:19" x14ac:dyDescent="0.2">
      <c r="A12" t="s">
        <v>997</v>
      </c>
      <c r="B12" t="s">
        <v>1144</v>
      </c>
      <c r="C12">
        <v>-1.8232066183648446E-4</v>
      </c>
      <c r="D12">
        <v>2.7348099275472667E-4</v>
      </c>
      <c r="E12">
        <v>2.7348099275472667E-4</v>
      </c>
      <c r="F12">
        <v>-720.36280226987765</v>
      </c>
      <c r="G12">
        <v>-720.69120470160692</v>
      </c>
    </row>
    <row r="13" spans="1:19" x14ac:dyDescent="0.2">
      <c r="A13" t="s">
        <v>137</v>
      </c>
      <c r="B13" t="s">
        <v>1144</v>
      </c>
      <c r="C13">
        <v>-1.5257719600936712E-4</v>
      </c>
      <c r="D13">
        <v>2.2886579401389288E-4</v>
      </c>
      <c r="E13">
        <v>2.2886579401389288E-4</v>
      </c>
      <c r="F13">
        <v>-720.38423226340069</v>
      </c>
      <c r="G13">
        <v>-720.65905971132224</v>
      </c>
    </row>
    <row r="14" spans="1:19" x14ac:dyDescent="0.2">
      <c r="A14" t="s">
        <v>702</v>
      </c>
      <c r="B14" t="s">
        <v>1099</v>
      </c>
      <c r="C14">
        <v>-7.3074861943388475E-5</v>
      </c>
      <c r="D14">
        <v>1.096122929152405E-4</v>
      </c>
      <c r="E14">
        <v>1.096122929152405E-4</v>
      </c>
      <c r="F14">
        <v>-720.44151323105939</v>
      </c>
      <c r="G14">
        <v>-720.57313825983442</v>
      </c>
    </row>
    <row r="15" spans="1:19" x14ac:dyDescent="0.2">
      <c r="A15" t="s">
        <v>995</v>
      </c>
      <c r="B15" t="s">
        <v>1144</v>
      </c>
      <c r="C15">
        <v>-6.2219127284471396E-5</v>
      </c>
      <c r="D15">
        <v>9.332869092607594E-5</v>
      </c>
      <c r="E15">
        <v>9.332869092607594E-5</v>
      </c>
      <c r="F15">
        <v>-720.44933472451885</v>
      </c>
      <c r="G15">
        <v>-720.56140601964466</v>
      </c>
    </row>
    <row r="16" spans="1:19" x14ac:dyDescent="0.2">
      <c r="A16" t="s">
        <v>965</v>
      </c>
      <c r="B16" t="s">
        <v>1099</v>
      </c>
      <c r="C16">
        <v>5.1090686030250152E-5</v>
      </c>
      <c r="D16">
        <v>-7.6636029045454114E-5</v>
      </c>
      <c r="E16">
        <v>7.6636029045454114E-5</v>
      </c>
      <c r="F16">
        <v>-720.53097378365021</v>
      </c>
      <c r="G16">
        <v>-720.43894743094802</v>
      </c>
    </row>
    <row r="17" spans="1:7" x14ac:dyDescent="0.2">
      <c r="A17" t="s">
        <v>700</v>
      </c>
      <c r="B17" t="s">
        <v>1099</v>
      </c>
      <c r="C17">
        <v>-1.265236429350625E-5</v>
      </c>
      <c r="D17">
        <v>1.8978546440338271E-5</v>
      </c>
      <c r="E17">
        <v>1.8978546440338271E-5</v>
      </c>
      <c r="F17">
        <v>-720.48504728794467</v>
      </c>
      <c r="G17">
        <v>-720.50783717450645</v>
      </c>
    </row>
    <row r="18" spans="1:7" x14ac:dyDescent="0.2">
      <c r="A18" t="s">
        <v>745</v>
      </c>
      <c r="B18" t="s">
        <v>1099</v>
      </c>
      <c r="C18">
        <v>1.1327354577334996E-5</v>
      </c>
      <c r="D18">
        <v>-1.6991031866160281E-5</v>
      </c>
      <c r="E18">
        <v>1.6991031866160281E-5</v>
      </c>
      <c r="F18">
        <v>-720.50232453542731</v>
      </c>
      <c r="G18">
        <v>-720.48192130328232</v>
      </c>
    </row>
    <row r="19" spans="1:7" x14ac:dyDescent="0.2">
      <c r="A19" t="s">
        <v>759</v>
      </c>
      <c r="B19" t="s">
        <v>1099</v>
      </c>
      <c r="C19">
        <v>1.1327354577334996E-5</v>
      </c>
      <c r="D19">
        <v>-1.6991031866160281E-5</v>
      </c>
      <c r="E19">
        <v>1.6991031866160281E-5</v>
      </c>
      <c r="F19">
        <v>-720.50232453542731</v>
      </c>
      <c r="G19">
        <v>-720.48192130328232</v>
      </c>
    </row>
    <row r="20" spans="1:7" x14ac:dyDescent="0.2">
      <c r="A20" t="s">
        <v>781</v>
      </c>
      <c r="B20" t="s">
        <v>1018</v>
      </c>
      <c r="C20">
        <v>8.3180188551989732E-6</v>
      </c>
      <c r="D20">
        <v>-8.3180188550411829E-6</v>
      </c>
      <c r="E20">
        <v>8.3180188550411829E-6</v>
      </c>
      <c r="F20">
        <v>-720.50015632660427</v>
      </c>
      <c r="G20">
        <v>-720.48817015853456</v>
      </c>
    </row>
    <row r="21" spans="1:7" x14ac:dyDescent="0.2">
      <c r="A21" t="s">
        <v>982</v>
      </c>
      <c r="B21" t="s">
        <v>1144</v>
      </c>
      <c r="C21">
        <v>-2.8611693024938241E-6</v>
      </c>
      <c r="D21">
        <v>4.2917539537407365E-6</v>
      </c>
      <c r="E21">
        <v>4.2917539537407365E-6</v>
      </c>
      <c r="F21">
        <v>-720.49210178678686</v>
      </c>
      <c r="G21">
        <v>-720.4972554262431</v>
      </c>
    </row>
    <row r="22" spans="1:7" x14ac:dyDescent="0.2">
      <c r="A22" t="s">
        <v>1092</v>
      </c>
      <c r="B22" t="s">
        <v>540</v>
      </c>
      <c r="C22">
        <v>3.7092938726877971E-6</v>
      </c>
      <c r="D22">
        <v>-3.7092938726877971E-6</v>
      </c>
      <c r="E22">
        <v>3.7092938726877971E-6</v>
      </c>
      <c r="F22">
        <v>-720.49683576715438</v>
      </c>
      <c r="G22">
        <v>-720.49149071798433</v>
      </c>
    </row>
    <row r="23" spans="1:7" x14ac:dyDescent="0.2">
      <c r="A23" t="s">
        <v>507</v>
      </c>
      <c r="B23" t="s">
        <v>1144</v>
      </c>
      <c r="C23">
        <v>-1.596713663076384E-7</v>
      </c>
      <c r="D23">
        <v>2.3950704961924768E-7</v>
      </c>
      <c r="E23">
        <v>2.3950704961924768E-7</v>
      </c>
      <c r="F23">
        <v>-720.4940482002819</v>
      </c>
      <c r="G23">
        <v>-720.49433580600066</v>
      </c>
    </row>
    <row r="24" spans="1:7" x14ac:dyDescent="0.2">
      <c r="A24" t="s">
        <v>707</v>
      </c>
      <c r="B24" t="s">
        <v>1099</v>
      </c>
      <c r="C24">
        <v>-6.1516899565705537E-8</v>
      </c>
      <c r="D24">
        <v>9.2275349269663268E-8</v>
      </c>
      <c r="E24">
        <v>9.2275349269663268E-8</v>
      </c>
      <c r="F24">
        <v>-720.49411892000228</v>
      </c>
      <c r="G24">
        <v>-720.49422972641992</v>
      </c>
    </row>
    <row r="25" spans="1:7" x14ac:dyDescent="0.2">
      <c r="A25" t="s">
        <v>980</v>
      </c>
      <c r="B25" t="s">
        <v>1144</v>
      </c>
      <c r="C25">
        <v>-5.4265326429030653E-8</v>
      </c>
      <c r="D25">
        <v>8.1397989801336074E-8</v>
      </c>
      <c r="E25">
        <v>8.1397989801336074E-8</v>
      </c>
      <c r="F25">
        <v>-720.4941241447184</v>
      </c>
      <c r="G25">
        <v>-720.49422188934591</v>
      </c>
    </row>
    <row r="26" spans="1:7" x14ac:dyDescent="0.2">
      <c r="A26" t="s">
        <v>705</v>
      </c>
      <c r="B26" t="s">
        <v>1099</v>
      </c>
      <c r="C26">
        <v>-1.1024856435906019E-8</v>
      </c>
      <c r="D26">
        <v>1.6537284890544162E-8</v>
      </c>
      <c r="E26">
        <v>1.6537284890544162E-8</v>
      </c>
      <c r="F26">
        <v>-720.49415529922464</v>
      </c>
      <c r="G26">
        <v>-720.4941751575866</v>
      </c>
    </row>
    <row r="27" spans="1:7" x14ac:dyDescent="0.2">
      <c r="A27" t="s">
        <v>981</v>
      </c>
      <c r="B27" t="s">
        <v>1144</v>
      </c>
      <c r="C27">
        <v>-9.4724757316910774E-9</v>
      </c>
      <c r="D27">
        <v>1.4208713755326706E-8</v>
      </c>
      <c r="E27">
        <v>1.4208713755326706E-8</v>
      </c>
      <c r="F27">
        <v>-720.49415641770588</v>
      </c>
      <c r="G27">
        <v>-720.49417347986468</v>
      </c>
    </row>
    <row r="28" spans="1:7" x14ac:dyDescent="0.2">
      <c r="A28" t="s">
        <v>663</v>
      </c>
      <c r="B28" t="s">
        <v>1144</v>
      </c>
      <c r="C28">
        <v>-4.1847840708125207E-9</v>
      </c>
      <c r="D28">
        <v>6.27717626400887E-9</v>
      </c>
      <c r="E28">
        <v>6.27717626400887E-9</v>
      </c>
      <c r="F28">
        <v>-720.49416022745686</v>
      </c>
      <c r="G28">
        <v>-720.49416776523822</v>
      </c>
    </row>
    <row r="29" spans="1:7" x14ac:dyDescent="0.2">
      <c r="A29" t="s">
        <v>979</v>
      </c>
      <c r="B29" t="s">
        <v>1144</v>
      </c>
      <c r="C29">
        <v>-1.4670309408598384E-9</v>
      </c>
      <c r="D29">
        <v>2.200546569079846E-9</v>
      </c>
      <c r="E29">
        <v>2.200546569079846E-9</v>
      </c>
      <c r="F29">
        <v>-720.49416218558213</v>
      </c>
      <c r="G29">
        <v>-720.49416482805032</v>
      </c>
    </row>
    <row r="30" spans="1:7" x14ac:dyDescent="0.2">
      <c r="A30" t="s">
        <v>915</v>
      </c>
      <c r="B30" t="s">
        <v>1144</v>
      </c>
      <c r="C30">
        <v>-8.4794089779735343E-10</v>
      </c>
      <c r="D30">
        <v>1.2719115044861186E-9</v>
      </c>
      <c r="E30">
        <v>1.2719115044861186E-9</v>
      </c>
      <c r="F30">
        <v>-720.49416263163289</v>
      </c>
      <c r="G30">
        <v>-720.49416415897417</v>
      </c>
    </row>
    <row r="31" spans="1:7" x14ac:dyDescent="0.2">
      <c r="A31" t="s">
        <v>706</v>
      </c>
      <c r="B31" t="s">
        <v>1099</v>
      </c>
      <c r="C31">
        <v>-5.1922516947394846E-10</v>
      </c>
      <c r="D31">
        <v>7.7883783310596686E-10</v>
      </c>
      <c r="E31">
        <v>7.7883783310596686E-10</v>
      </c>
      <c r="F31">
        <v>-720.49416286847065</v>
      </c>
      <c r="G31">
        <v>-720.49416380371747</v>
      </c>
    </row>
    <row r="32" spans="1:7" x14ac:dyDescent="0.2">
      <c r="A32" t="s">
        <v>703</v>
      </c>
      <c r="B32" t="s">
        <v>1099</v>
      </c>
      <c r="C32">
        <v>-7.8895044208249187E-16</v>
      </c>
      <c r="D32">
        <v>1.4201107957484854E-15</v>
      </c>
      <c r="E32">
        <v>1.4201107957484854E-15</v>
      </c>
      <c r="F32">
        <v>-720.49416324256879</v>
      </c>
      <c r="G32">
        <v>-720.49416324257038</v>
      </c>
    </row>
    <row r="33" spans="1:7" x14ac:dyDescent="0.2">
      <c r="C33">
        <v>0</v>
      </c>
      <c r="D33">
        <v>0</v>
      </c>
      <c r="E33">
        <v>0</v>
      </c>
      <c r="F33">
        <v>-720.49416324256936</v>
      </c>
      <c r="G33">
        <v>-720.49416324256936</v>
      </c>
    </row>
    <row r="34" spans="1:7" x14ac:dyDescent="0.2">
      <c r="A34" t="s">
        <v>1094</v>
      </c>
      <c r="C34">
        <v>0</v>
      </c>
      <c r="D34">
        <v>0</v>
      </c>
      <c r="E34">
        <v>0</v>
      </c>
      <c r="F34">
        <v>-720.49416324256936</v>
      </c>
      <c r="G34">
        <v>-720.49416324256936</v>
      </c>
    </row>
    <row r="35" spans="1:7" x14ac:dyDescent="0.2">
      <c r="A35" t="s">
        <v>1093</v>
      </c>
      <c r="B35" t="s">
        <v>540</v>
      </c>
      <c r="C35">
        <v>0</v>
      </c>
      <c r="D35">
        <v>0</v>
      </c>
      <c r="E35">
        <v>0</v>
      </c>
      <c r="F35">
        <v>-720.49416324256936</v>
      </c>
      <c r="G35">
        <v>-720.49416324256936</v>
      </c>
    </row>
    <row r="36" spans="1:7" x14ac:dyDescent="0.2">
      <c r="A36" t="s">
        <v>536</v>
      </c>
      <c r="B36" t="s">
        <v>1098</v>
      </c>
      <c r="C36">
        <v>0</v>
      </c>
      <c r="D36">
        <v>0</v>
      </c>
      <c r="E36">
        <v>0</v>
      </c>
      <c r="F36">
        <v>-720.49416324256936</v>
      </c>
      <c r="G36">
        <v>-720.49416324256936</v>
      </c>
    </row>
    <row r="37" spans="1:7" x14ac:dyDescent="0.2">
      <c r="A37" t="s">
        <v>1096</v>
      </c>
      <c r="B37" t="s">
        <v>15</v>
      </c>
      <c r="C37">
        <v>0</v>
      </c>
      <c r="D37">
        <v>0</v>
      </c>
      <c r="E37">
        <v>0</v>
      </c>
      <c r="F37">
        <v>-720.49416324256936</v>
      </c>
      <c r="G37">
        <v>-720.49416324256936</v>
      </c>
    </row>
    <row r="38" spans="1:7" x14ac:dyDescent="0.2">
      <c r="C38">
        <v>0</v>
      </c>
      <c r="D38">
        <v>0</v>
      </c>
      <c r="E38">
        <v>0</v>
      </c>
      <c r="F38">
        <v>-720.49416324256936</v>
      </c>
      <c r="G38">
        <v>-720.49416324256936</v>
      </c>
    </row>
    <row r="39" spans="1:7" x14ac:dyDescent="0.2">
      <c r="A39" t="s">
        <v>1107</v>
      </c>
      <c r="C39">
        <v>0</v>
      </c>
      <c r="D39">
        <v>0</v>
      </c>
      <c r="E39">
        <v>0</v>
      </c>
      <c r="F39">
        <v>-720.49416324256936</v>
      </c>
      <c r="G39">
        <v>-720.49416324256936</v>
      </c>
    </row>
    <row r="40" spans="1:7" x14ac:dyDescent="0.2">
      <c r="A40" t="s">
        <v>1097</v>
      </c>
      <c r="B40" t="s">
        <v>1099</v>
      </c>
      <c r="C40">
        <v>0</v>
      </c>
      <c r="D40">
        <v>0</v>
      </c>
      <c r="E40">
        <v>0</v>
      </c>
      <c r="F40">
        <v>-720.49416324256936</v>
      </c>
      <c r="G40">
        <v>-720.49416324256936</v>
      </c>
    </row>
    <row r="41" spans="1:7" x14ac:dyDescent="0.2">
      <c r="A41" t="s">
        <v>970</v>
      </c>
      <c r="B41" t="s">
        <v>1099</v>
      </c>
      <c r="C41">
        <v>0</v>
      </c>
      <c r="D41">
        <v>0</v>
      </c>
      <c r="E41">
        <v>0</v>
      </c>
      <c r="F41">
        <v>-720.49416324256936</v>
      </c>
      <c r="G41">
        <v>-720.49416324256936</v>
      </c>
    </row>
    <row r="42" spans="1:7" x14ac:dyDescent="0.2">
      <c r="A42" t="s">
        <v>1100</v>
      </c>
      <c r="B42" t="s">
        <v>1099</v>
      </c>
      <c r="C42">
        <v>0</v>
      </c>
      <c r="D42">
        <v>0</v>
      </c>
      <c r="E42">
        <v>0</v>
      </c>
      <c r="F42">
        <v>-720.49416324256936</v>
      </c>
      <c r="G42">
        <v>-720.49416324256936</v>
      </c>
    </row>
    <row r="43" spans="1:7" x14ac:dyDescent="0.2">
      <c r="A43" t="s">
        <v>1101</v>
      </c>
      <c r="B43" t="s">
        <v>1099</v>
      </c>
      <c r="C43">
        <v>0</v>
      </c>
      <c r="D43">
        <v>0</v>
      </c>
      <c r="E43">
        <v>0</v>
      </c>
      <c r="F43">
        <v>-720.49416324256936</v>
      </c>
      <c r="G43">
        <v>-720.49416324256936</v>
      </c>
    </row>
    <row r="44" spans="1:7" x14ac:dyDescent="0.2">
      <c r="A44" t="s">
        <v>721</v>
      </c>
      <c r="B44" t="s">
        <v>1099</v>
      </c>
      <c r="C44">
        <v>0</v>
      </c>
      <c r="D44">
        <v>0</v>
      </c>
      <c r="E44">
        <v>0</v>
      </c>
      <c r="F44">
        <v>-720.49416324256936</v>
      </c>
      <c r="G44">
        <v>-720.49416324256936</v>
      </c>
    </row>
    <row r="45" spans="1:7" x14ac:dyDescent="0.2">
      <c r="A45" t="s">
        <v>723</v>
      </c>
      <c r="B45" t="s">
        <v>1099</v>
      </c>
      <c r="C45">
        <v>0</v>
      </c>
      <c r="D45">
        <v>0</v>
      </c>
      <c r="E45">
        <v>0</v>
      </c>
      <c r="F45">
        <v>-720.49416324256936</v>
      </c>
      <c r="G45">
        <v>-720.49416324256936</v>
      </c>
    </row>
    <row r="46" spans="1:7" x14ac:dyDescent="0.2">
      <c r="A46" t="s">
        <v>699</v>
      </c>
      <c r="B46" t="s">
        <v>1099</v>
      </c>
      <c r="C46">
        <v>0</v>
      </c>
      <c r="D46">
        <v>0</v>
      </c>
      <c r="E46">
        <v>0</v>
      </c>
      <c r="F46">
        <v>-720.49416324256936</v>
      </c>
      <c r="G46">
        <v>-720.49416324256936</v>
      </c>
    </row>
    <row r="47" spans="1:7" x14ac:dyDescent="0.2">
      <c r="A47" t="s">
        <v>704</v>
      </c>
      <c r="B47" t="s">
        <v>1099</v>
      </c>
      <c r="C47">
        <v>0</v>
      </c>
      <c r="D47">
        <v>0</v>
      </c>
      <c r="E47">
        <v>0</v>
      </c>
      <c r="F47">
        <v>-720.49416324256936</v>
      </c>
      <c r="G47">
        <v>-720.49416324256936</v>
      </c>
    </row>
    <row r="48" spans="1:7" x14ac:dyDescent="0.2">
      <c r="A48" t="s">
        <v>764</v>
      </c>
      <c r="B48" t="s">
        <v>1099</v>
      </c>
      <c r="C48">
        <v>0</v>
      </c>
      <c r="D48">
        <v>0</v>
      </c>
      <c r="E48">
        <v>0</v>
      </c>
      <c r="F48">
        <v>-720.49416324256936</v>
      </c>
      <c r="G48">
        <v>-720.49416324256936</v>
      </c>
    </row>
    <row r="49" spans="1:7" x14ac:dyDescent="0.2">
      <c r="A49" t="s">
        <v>948</v>
      </c>
      <c r="B49" t="s">
        <v>1099</v>
      </c>
      <c r="C49">
        <v>0</v>
      </c>
      <c r="D49">
        <v>0</v>
      </c>
      <c r="E49">
        <v>0</v>
      </c>
      <c r="F49">
        <v>-720.49416324256936</v>
      </c>
      <c r="G49">
        <v>-720.49416324256936</v>
      </c>
    </row>
    <row r="50" spans="1:7" x14ac:dyDescent="0.2">
      <c r="A50" t="s">
        <v>751</v>
      </c>
      <c r="B50" t="s">
        <v>1099</v>
      </c>
      <c r="C50">
        <v>0</v>
      </c>
      <c r="D50">
        <v>0</v>
      </c>
      <c r="E50">
        <v>0</v>
      </c>
      <c r="F50">
        <v>-720.49416324256936</v>
      </c>
      <c r="G50">
        <v>-720.49416324256936</v>
      </c>
    </row>
    <row r="51" spans="1:7" x14ac:dyDescent="0.2">
      <c r="A51" t="s">
        <v>752</v>
      </c>
      <c r="B51" t="s">
        <v>1099</v>
      </c>
      <c r="C51">
        <v>0</v>
      </c>
      <c r="D51">
        <v>0</v>
      </c>
      <c r="E51">
        <v>0</v>
      </c>
      <c r="F51">
        <v>-720.49416324256936</v>
      </c>
      <c r="G51">
        <v>-720.49416324256936</v>
      </c>
    </row>
    <row r="52" spans="1:7" x14ac:dyDescent="0.2">
      <c r="A52" t="s">
        <v>756</v>
      </c>
      <c r="B52" t="s">
        <v>1099</v>
      </c>
      <c r="C52">
        <v>0</v>
      </c>
      <c r="D52">
        <v>0</v>
      </c>
      <c r="E52">
        <v>0</v>
      </c>
      <c r="F52">
        <v>-720.49416324256936</v>
      </c>
      <c r="G52">
        <v>-720.49416324256936</v>
      </c>
    </row>
    <row r="53" spans="1:7" x14ac:dyDescent="0.2">
      <c r="A53" t="s">
        <v>790</v>
      </c>
      <c r="B53" t="s">
        <v>1099</v>
      </c>
      <c r="C53">
        <v>0</v>
      </c>
      <c r="D53">
        <v>0</v>
      </c>
      <c r="E53">
        <v>0</v>
      </c>
      <c r="F53">
        <v>-720.49416324256936</v>
      </c>
      <c r="G53">
        <v>-720.49416324256936</v>
      </c>
    </row>
    <row r="54" spans="1:7" x14ac:dyDescent="0.2">
      <c r="A54" t="s">
        <v>930</v>
      </c>
      <c r="B54" t="s">
        <v>1099</v>
      </c>
      <c r="C54">
        <v>0</v>
      </c>
      <c r="D54">
        <v>0</v>
      </c>
      <c r="E54">
        <v>0</v>
      </c>
      <c r="F54">
        <v>-720.49416324256936</v>
      </c>
      <c r="G54">
        <v>-720.49416324256936</v>
      </c>
    </row>
    <row r="55" spans="1:7" x14ac:dyDescent="0.2">
      <c r="C55">
        <v>0</v>
      </c>
      <c r="D55">
        <v>0</v>
      </c>
      <c r="E55">
        <v>0</v>
      </c>
      <c r="F55">
        <v>-720.49416324256936</v>
      </c>
      <c r="G55">
        <v>-720.49416324256936</v>
      </c>
    </row>
    <row r="56" spans="1:7" x14ac:dyDescent="0.2">
      <c r="A56" t="s">
        <v>1089</v>
      </c>
      <c r="C56">
        <v>0</v>
      </c>
      <c r="D56">
        <v>0</v>
      </c>
      <c r="E56">
        <v>0</v>
      </c>
      <c r="F56">
        <v>-720.49416324256936</v>
      </c>
      <c r="G56">
        <v>-720.49416324256936</v>
      </c>
    </row>
    <row r="57" spans="1:7" x14ac:dyDescent="0.2">
      <c r="A57" t="s">
        <v>983</v>
      </c>
      <c r="B57" t="s">
        <v>1144</v>
      </c>
      <c r="C57">
        <v>0</v>
      </c>
      <c r="D57">
        <v>0</v>
      </c>
      <c r="E57">
        <v>0</v>
      </c>
      <c r="F57">
        <v>-720.49416324256936</v>
      </c>
      <c r="G57">
        <v>-720.49416324256936</v>
      </c>
    </row>
    <row r="58" spans="1:7" x14ac:dyDescent="0.2">
      <c r="A58" t="s">
        <v>985</v>
      </c>
      <c r="B58" t="s">
        <v>1144</v>
      </c>
      <c r="C58">
        <v>0</v>
      </c>
      <c r="D58">
        <v>0</v>
      </c>
      <c r="E58">
        <v>0</v>
      </c>
      <c r="F58">
        <v>-720.49416324256936</v>
      </c>
      <c r="G58">
        <v>-720.49416324256936</v>
      </c>
    </row>
    <row r="59" spans="1:7" x14ac:dyDescent="0.2">
      <c r="A59" t="s">
        <v>505</v>
      </c>
      <c r="B59" t="s">
        <v>1144</v>
      </c>
      <c r="C59">
        <v>0</v>
      </c>
      <c r="D59">
        <v>0</v>
      </c>
      <c r="E59">
        <v>0</v>
      </c>
      <c r="F59">
        <v>-720.49416324256936</v>
      </c>
      <c r="G59">
        <v>-720.49416324256936</v>
      </c>
    </row>
    <row r="60" spans="1:7" x14ac:dyDescent="0.2">
      <c r="A60" t="s">
        <v>50</v>
      </c>
      <c r="B60" t="s">
        <v>1144</v>
      </c>
      <c r="C60">
        <v>0</v>
      </c>
      <c r="D60">
        <v>0</v>
      </c>
      <c r="E60">
        <v>0</v>
      </c>
      <c r="F60">
        <v>-720.49416324256936</v>
      </c>
      <c r="G60">
        <v>-720.49416324256936</v>
      </c>
    </row>
    <row r="61" spans="1:7" x14ac:dyDescent="0.2">
      <c r="A61" t="s">
        <v>10</v>
      </c>
      <c r="B61" t="s">
        <v>1144</v>
      </c>
      <c r="C61">
        <v>0</v>
      </c>
      <c r="D61">
        <v>0</v>
      </c>
      <c r="E61">
        <v>0</v>
      </c>
      <c r="F61">
        <v>-720.49416324256936</v>
      </c>
      <c r="G61">
        <v>-720.49416324256936</v>
      </c>
    </row>
    <row r="62" spans="1:7" x14ac:dyDescent="0.2">
      <c r="C62">
        <v>0</v>
      </c>
      <c r="D62">
        <v>0</v>
      </c>
      <c r="E62">
        <v>0</v>
      </c>
      <c r="F62">
        <v>-720.49416324256936</v>
      </c>
      <c r="G62">
        <v>-720.49416324256936</v>
      </c>
    </row>
    <row r="63" spans="1:7" x14ac:dyDescent="0.2">
      <c r="A63" t="s">
        <v>1090</v>
      </c>
      <c r="C63">
        <v>0</v>
      </c>
      <c r="D63">
        <v>0</v>
      </c>
      <c r="E63">
        <v>0</v>
      </c>
      <c r="F63">
        <v>-720.49416324256936</v>
      </c>
      <c r="G63">
        <v>-720.49416324256936</v>
      </c>
    </row>
    <row r="64" spans="1:7" x14ac:dyDescent="0.2">
      <c r="A64" t="s">
        <v>990</v>
      </c>
      <c r="B64" t="s">
        <v>1144</v>
      </c>
      <c r="C64">
        <v>0</v>
      </c>
      <c r="D64">
        <v>0</v>
      </c>
      <c r="E64">
        <v>0</v>
      </c>
      <c r="F64">
        <v>-720.49416324256936</v>
      </c>
      <c r="G64">
        <v>-720.49416324256936</v>
      </c>
    </row>
    <row r="65" spans="1:7" x14ac:dyDescent="0.2">
      <c r="A65" t="s">
        <v>991</v>
      </c>
      <c r="B65" t="s">
        <v>1144</v>
      </c>
      <c r="C65">
        <v>0</v>
      </c>
      <c r="D65">
        <v>0</v>
      </c>
      <c r="E65">
        <v>0</v>
      </c>
      <c r="F65">
        <v>-720.49416324256936</v>
      </c>
      <c r="G65">
        <v>-720.49416324256936</v>
      </c>
    </row>
    <row r="66" spans="1:7" x14ac:dyDescent="0.2">
      <c r="A66" t="s">
        <v>197</v>
      </c>
      <c r="B66" t="s">
        <v>1144</v>
      </c>
      <c r="C66">
        <v>0</v>
      </c>
      <c r="D66">
        <v>0</v>
      </c>
      <c r="E66">
        <v>0</v>
      </c>
      <c r="F66">
        <v>-720.49416324256936</v>
      </c>
      <c r="G66">
        <v>-720.49416324256936</v>
      </c>
    </row>
    <row r="67" spans="1:7" x14ac:dyDescent="0.2">
      <c r="A67" t="s">
        <v>993</v>
      </c>
      <c r="B67" t="s">
        <v>1144</v>
      </c>
      <c r="C67">
        <v>0</v>
      </c>
      <c r="D67">
        <v>0</v>
      </c>
      <c r="E67">
        <v>0</v>
      </c>
      <c r="F67">
        <v>-720.49416324256936</v>
      </c>
      <c r="G67">
        <v>-720.49416324256936</v>
      </c>
    </row>
    <row r="68" spans="1:7" x14ac:dyDescent="0.2">
      <c r="A68" t="s">
        <v>580</v>
      </c>
      <c r="B68" t="s">
        <v>1144</v>
      </c>
      <c r="C68">
        <v>0</v>
      </c>
      <c r="D68">
        <v>0</v>
      </c>
      <c r="E68">
        <v>0</v>
      </c>
      <c r="F68">
        <v>-720.49416324256936</v>
      </c>
      <c r="G68">
        <v>-720.49416324256936</v>
      </c>
    </row>
    <row r="69" spans="1:7" x14ac:dyDescent="0.2">
      <c r="A69" t="s">
        <v>994</v>
      </c>
      <c r="B69" t="s">
        <v>1144</v>
      </c>
      <c r="C69">
        <v>0</v>
      </c>
      <c r="D69">
        <v>0</v>
      </c>
      <c r="E69">
        <v>0</v>
      </c>
      <c r="F69">
        <v>-720.49416324256936</v>
      </c>
      <c r="G69">
        <v>-720.49416324256936</v>
      </c>
    </row>
    <row r="70" spans="1:7" x14ac:dyDescent="0.2">
      <c r="A70" t="s">
        <v>1086</v>
      </c>
      <c r="B70" t="s">
        <v>1144</v>
      </c>
      <c r="C70">
        <v>0</v>
      </c>
      <c r="D70">
        <v>0</v>
      </c>
      <c r="E70">
        <v>0</v>
      </c>
      <c r="F70">
        <v>-720.49416324256936</v>
      </c>
      <c r="G70">
        <v>-720.49416324256936</v>
      </c>
    </row>
  </sheetData>
  <sortState xmlns:xlrd2="http://schemas.microsoft.com/office/spreadsheetml/2017/richdata2" ref="A1:G70">
    <sortCondition descending="1" ref="E1:E70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Variables</vt:lpstr>
      <vt:lpstr>PSI_EtOH</vt:lpstr>
      <vt:lpstr>PSI_OC</vt:lpstr>
      <vt:lpstr>PSI_PC</vt:lpstr>
      <vt:lpstr>PSI_Coal</vt:lpstr>
      <vt:lpstr>QSIA-EtOH</vt:lpstr>
      <vt:lpstr>QSIA-OC</vt:lpstr>
      <vt:lpstr>QSIA-PC</vt:lpstr>
      <vt:lpstr>QSIA-Coal</vt:lpstr>
      <vt:lpstr>Figures</vt:lpstr>
      <vt:lpstr>Sensitivity</vt:lpstr>
      <vt:lpstr>EtOH</vt:lpstr>
      <vt:lpstr>OCHC</vt:lpstr>
      <vt:lpstr>PCHC</vt:lpstr>
      <vt:lpstr>Coal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Smith Pittman</dc:creator>
  <cp:lastModifiedBy>Smith Pittman</cp:lastModifiedBy>
  <dcterms:created xsi:type="dcterms:W3CDTF">2024-04-18T19:23:46Z</dcterms:created>
  <dcterms:modified xsi:type="dcterms:W3CDTF">2026-08-31T18:11:15Z</dcterms:modified>
</cp:coreProperties>
</file>