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1.xml" ContentType="application/vnd.openxmlformats-officedocument.drawing+xml"/>
  <Override PartName="/xl/ctrlProps/ctrlProp1.xml" ContentType="application/vnd.ms-excel.controlproperties+xml"/>
  <Override PartName="/xl/drawings/drawing1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1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1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16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2.xml" ContentType="application/vnd.openxmlformats-officedocument.spreadsheetml.comments+xml"/>
  <Override PartName="/xl/drawings/drawing17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omments3.xml" ContentType="application/vnd.openxmlformats-officedocument.spreadsheetml.comments+xml"/>
  <Override PartName="/xl/drawings/drawing18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omments4.xml" ContentType="application/vnd.openxmlformats-officedocument.spreadsheetml.comments+xml"/>
  <Override PartName="/xl/drawings/drawing19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omments5.xml" ContentType="application/vnd.openxmlformats-officedocument.spreadsheetml.comments+xml"/>
  <Override PartName="/xl/drawings/drawing20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omments6.xml" ContentType="application/vnd.openxmlformats-officedocument.spreadsheetml.comments+xml"/>
  <Override PartName="/xl/drawings/drawing21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omments7.xml" ContentType="application/vnd.openxmlformats-officedocument.spreadsheetml.comments+xml"/>
  <Override PartName="/xl/drawings/drawing22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omments8.xml" ContentType="application/vnd.openxmlformats-officedocument.spreadsheetml.comments+xml"/>
  <Override PartName="/xl/drawings/drawing23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omments9.xml" ContentType="application/vnd.openxmlformats-officedocument.spreadsheetml.comments+xml"/>
  <Override PartName="/xl/drawings/drawing24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10.xml" ContentType="application/vnd.openxmlformats-officedocument.spreadsheetml.comments+xml"/>
  <Override PartName="/xl/drawings/drawing25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omments11.xml" ContentType="application/vnd.openxmlformats-officedocument.spreadsheetml.comments+xml"/>
  <Override PartName="/xl/drawings/drawing26.xml" ContentType="application/vnd.openxmlformats-officedocument.drawing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omments12.xml" ContentType="application/vnd.openxmlformats-officedocument.spreadsheetml.comments+xml"/>
  <Override PartName="/xl/drawings/drawing27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omments13.xml" ContentType="application/vnd.openxmlformats-officedocument.spreadsheetml.comments+xml"/>
  <Override PartName="/xl/drawings/drawing28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omments14.xml" ContentType="application/vnd.openxmlformats-officedocument.spreadsheetml.comments+xml"/>
  <Override PartName="/xl/drawings/drawing29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omments15.xml" ContentType="application/vnd.openxmlformats-officedocument.spreadsheetml.comments+xml"/>
  <Override PartName="/xl/drawings/drawing30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omments16.xml" ContentType="application/vnd.openxmlformats-officedocument.spreadsheetml.comments+xml"/>
  <Override PartName="/xl/drawings/drawing31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omments17.xml" ContentType="application/vnd.openxmlformats-officedocument.spreadsheetml.comments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-12" yWindow="48" windowWidth="9600" windowHeight="11700" tabRatio="848" firstSheet="11" activeTab="11"/>
  </bookViews>
  <sheets>
    <sheet name="Template Reference" sheetId="34" state="hidden" r:id="rId1"/>
    <sheet name="Building Block Data" sheetId="76" state="hidden" r:id="rId2"/>
    <sheet name="OnTheMap" sheetId="88" state="hidden" r:id="rId3"/>
    <sheet name="Demographics 55+" sheetId="35" state="hidden" r:id="rId4"/>
    <sheet name="Demographics 62+" sheetId="53" state="hidden" r:id="rId5"/>
    <sheet name="Demographics 65+" sheetId="6" state="hidden" r:id="rId6"/>
    <sheet name="Demographics 75+" sheetId="61" state="hidden" r:id="rId7"/>
    <sheet name="Demographic Charts 55+" sheetId="83" state="hidden" r:id="rId8"/>
    <sheet name="Demographic Charts 62+" sheetId="86" state="hidden" r:id="rId9"/>
    <sheet name="Demographic Charts 65+" sheetId="84" state="hidden" r:id="rId10"/>
    <sheet name="Demographic Charts 75+" sheetId="85" state="hidden" r:id="rId11"/>
    <sheet name="Wages by Occupation" sheetId="72" r:id="rId12"/>
    <sheet name="Supply 55+" sheetId="36" state="hidden" r:id="rId13"/>
    <sheet name="Supply 62+" sheetId="54" state="hidden" r:id="rId14"/>
    <sheet name="Supply 65+" sheetId="8" state="hidden" r:id="rId15"/>
    <sheet name="Supply 75+" sheetId="62" state="hidden" r:id="rId16"/>
    <sheet name="Income Distribution 55+" sheetId="37" state="hidden" r:id="rId17"/>
    <sheet name="30% AMI Demand 55+" sheetId="38" state="hidden" r:id="rId18"/>
    <sheet name="40% AMI Demand 55+" sheetId="39" state="hidden" r:id="rId19"/>
    <sheet name="50% AMI Demand 55+" sheetId="40" state="hidden" r:id="rId20"/>
    <sheet name="60% AMI Demand 55+" sheetId="41" state="hidden" r:id="rId21"/>
    <sheet name="Income Distribution 62+" sheetId="55" state="hidden" r:id="rId22"/>
    <sheet name="30% AMI Demand 62+" sheetId="56" state="hidden" r:id="rId23"/>
    <sheet name="40% AMI Demand 62+" sheetId="57" state="hidden" r:id="rId24"/>
    <sheet name="50% AMI Demand 62+" sheetId="58" state="hidden" r:id="rId25"/>
    <sheet name="60% AMI Demand 62+" sheetId="59" state="hidden" r:id="rId26"/>
    <sheet name="Income Distribution 65+" sheetId="9" state="hidden" r:id="rId27"/>
    <sheet name="30% AMI Demand 65+" sheetId="10" state="hidden" r:id="rId28"/>
    <sheet name="40% AMI Demand 65+" sheetId="30" state="hidden" r:id="rId29"/>
    <sheet name="50% AMI Demand 65+" sheetId="31" state="hidden" r:id="rId30"/>
    <sheet name="60% AMI Demand 65+" sheetId="32" state="hidden" r:id="rId31"/>
    <sheet name="Income Distribution 75+" sheetId="63" state="hidden" r:id="rId32"/>
    <sheet name="30% AMI Demand 75+" sheetId="64" state="hidden" r:id="rId33"/>
    <sheet name="40% AMI Demand 75+" sheetId="65" state="hidden" r:id="rId34"/>
    <sheet name="50% AMI Demand 75+" sheetId="66" state="hidden" r:id="rId35"/>
    <sheet name="60% AMI Demand 75+" sheetId="67" state="hidden" r:id="rId36"/>
    <sheet name="Annual Demand 55+" sheetId="42" state="hidden" r:id="rId37"/>
    <sheet name="Annual Demand 62+" sheetId="60" state="hidden" r:id="rId38"/>
    <sheet name="Annual Demand 65+" sheetId="14" state="hidden" r:id="rId39"/>
    <sheet name="Annual Demand 75+" sheetId="68" state="hidden" r:id="rId40"/>
    <sheet name="Penetration Rate 55+" sheetId="90" state="hidden" r:id="rId41"/>
    <sheet name="Penetration Rate 62+" sheetId="91" state="hidden" r:id="rId42"/>
    <sheet name="Penetration Rate 65+" sheetId="92" state="hidden" r:id="rId43"/>
    <sheet name="Penetration Rate 75+" sheetId="93" state="hidden" r:id="rId44"/>
    <sheet name="ESRI_MAPINFO_SHEET" sheetId="102" state="veryHidden" r:id="rId45"/>
  </sheets>
  <definedNames>
    <definedName name="_xlnm._FilterDatabase" localSheetId="11" hidden="1">'Wages by Occupation'!$A$2:$D$26</definedName>
    <definedName name="_Order1" hidden="1">255</definedName>
    <definedName name="_Order2" hidden="1">255</definedName>
    <definedName name="_Regression_Int" hidden="1">1</definedName>
    <definedName name="Area">#REF!</definedName>
    <definedName name="Change_Employment_Industry_PMA">#REF!</definedName>
    <definedName name="Commuting_Patterns">#REF!</definedName>
    <definedName name="Crime_Risk">#REF!</definedName>
    <definedName name="Demand_Family">#REF!</definedName>
    <definedName name="Employment_by_industry">#REF!</definedName>
    <definedName name="ESRI_BY">'Template Reference'!$B$2</definedName>
    <definedName name="ESRI_CY">'Template Reference'!$C$2</definedName>
    <definedName name="ESRI_FY">'Template Reference'!$D$2</definedName>
    <definedName name="ESRI_IY">'Template Reference'!$E$2</definedName>
    <definedName name="HISTA_BY">'Template Reference'!$B$3</definedName>
    <definedName name="HISTA_Cohort_Ref">'Template Reference'!$L$2:$L$13</definedName>
    <definedName name="HISTA_CY">'Template Reference'!$C$3</definedName>
    <definedName name="HISTA_FY">'Template Reference'!$D$3</definedName>
    <definedName name="HISTA_IY">'Template Reference'!$E$3</definedName>
    <definedName name="Household_Income_PMA">#REF!</definedName>
    <definedName name="Household_Income_SMA">#REF!</definedName>
    <definedName name="Households_55">'Demographics 55+'!$A$16:$G$23</definedName>
    <definedName name="Households_65">'Demographics 65+'!$A$15:$G$21</definedName>
    <definedName name="Households_Family">#REF!</definedName>
    <definedName name="IndustryLookup">#REF!</definedName>
    <definedName name="Laus_Lookup">#REF!</definedName>
    <definedName name="Median_HH_Income_Family">#REF!</definedName>
    <definedName name="Neighborhood_Analysis">#REF!</definedName>
    <definedName name="Novo_Cohort_Ref">'Template Reference'!$M$2:$M$13</definedName>
    <definedName name="Occupation_Lookup" localSheetId="11">'Wages by Occupation'!$G$4:$P$1000</definedName>
    <definedName name="PMA_Name">'Template Reference'!$B$13</definedName>
    <definedName name="Population_55">'Demographics 55+'!$A$6:$G$13</definedName>
    <definedName name="Population_65">'Demographics 65+'!$A$6:$G$12</definedName>
    <definedName name="Population_Family">#REF!</definedName>
    <definedName name="Renter_HH_Income_by_Size_PMA">#REF!</definedName>
    <definedName name="Renter_HH_Income_by_Size_SMA">#REF!</definedName>
    <definedName name="Renter_HH_Income_PMA">#REF!</definedName>
    <definedName name="Renter_HH_Income_SMA">#REF!</definedName>
    <definedName name="RenterOverburned">'Template Reference'!$O$2:$O$3</definedName>
    <definedName name="SMA_EmploymentData">#REF!</definedName>
    <definedName name="SMA_EmploymentData_Employment">#REF!</definedName>
    <definedName name="SMA_EmploymentData_Month">#REF!</definedName>
    <definedName name="SMA_EmploymentData_UnemploymentRate">#REF!</definedName>
    <definedName name="SMA_EmploymentData_Year">#REF!</definedName>
    <definedName name="SMA_Name">'Template Reference'!$C$13</definedName>
    <definedName name="Source_BLS">'Template Reference'!$B$9</definedName>
    <definedName name="Source_Date">'Template Reference'!$B$10</definedName>
    <definedName name="Source_ESRI">'Template Reference'!$B$7</definedName>
    <definedName name="Source_HISTA">'Template Reference'!$B$8</definedName>
    <definedName name="Source_Industry">'Template Reference'!$B$11</definedName>
    <definedName name="Source_Novogradac">'Template Reference'!$B$6</definedName>
    <definedName name="Tenure_PMA">#REF!</definedName>
    <definedName name="Tenure_SMA">#REF!</definedName>
    <definedName name="USA_EmploymentData">#REF!</definedName>
    <definedName name="USA_EmploymentData_Employment">#REF!</definedName>
    <definedName name="USA_EmploymentData_Month">#REF!</definedName>
    <definedName name="USA_EmploymentData_Year">#REF!</definedName>
    <definedName name="USA_Name">'Template Reference'!$D$13</definedName>
    <definedName name="USA_UnemploymentData_Month">#REF!</definedName>
    <definedName name="USA_UnemploymentData_UnemploymentRate">#REF!</definedName>
    <definedName name="USA_UnemploymentData_Year">#REF!</definedName>
    <definedName name="Wages_by_Occupation">'Wages by Occupation'!$A$1:$D$26</definedName>
  </definedNames>
  <calcPr calcId="145621"/>
</workbook>
</file>

<file path=xl/calcChain.xml><?xml version="1.0" encoding="utf-8"?>
<calcChain xmlns="http://schemas.openxmlformats.org/spreadsheetml/2006/main">
  <c r="B11" i="34" l="1"/>
  <c r="B7" i="34"/>
  <c r="A26" i="72" l="1"/>
  <c r="Q5" i="63" l="1"/>
  <c r="Q6" i="63"/>
  <c r="Q7" i="63"/>
  <c r="Q8" i="63"/>
  <c r="Q9" i="63"/>
  <c r="Q10" i="63"/>
  <c r="Q11" i="63"/>
  <c r="Q12" i="63"/>
  <c r="Q13" i="63"/>
  <c r="Q14" i="63"/>
  <c r="Q15" i="63"/>
  <c r="Q16" i="63"/>
  <c r="Q5" i="9"/>
  <c r="Q6" i="9"/>
  <c r="Q7" i="9"/>
  <c r="Q8" i="9"/>
  <c r="Q9" i="9"/>
  <c r="Q10" i="9"/>
  <c r="Q11" i="9"/>
  <c r="Q12" i="9"/>
  <c r="Q13" i="9"/>
  <c r="Q14" i="9"/>
  <c r="Q15" i="9"/>
  <c r="Q16" i="9"/>
  <c r="Q5" i="55"/>
  <c r="Q6" i="55"/>
  <c r="Q7" i="55"/>
  <c r="Q8" i="55"/>
  <c r="Q9" i="55"/>
  <c r="Q10" i="55"/>
  <c r="Q11" i="55"/>
  <c r="Q12" i="55"/>
  <c r="Q13" i="55"/>
  <c r="Q14" i="55"/>
  <c r="Q15" i="55"/>
  <c r="Q16" i="55"/>
  <c r="Q5" i="37"/>
  <c r="Q6" i="37"/>
  <c r="Q7" i="37"/>
  <c r="Q8" i="37"/>
  <c r="Q9" i="37"/>
  <c r="Q10" i="37"/>
  <c r="Q11" i="37"/>
  <c r="Q12" i="37"/>
  <c r="Q13" i="37"/>
  <c r="Q14" i="37"/>
  <c r="Q15" i="37"/>
  <c r="Q16" i="37"/>
  <c r="B12" i="62"/>
  <c r="B12" i="36"/>
  <c r="B10" i="62"/>
  <c r="B7" i="8"/>
  <c r="B133" i="61"/>
  <c r="B86" i="61"/>
  <c r="B83" i="35"/>
  <c r="B112" i="53"/>
  <c r="A1" i="61"/>
  <c r="B1" i="61"/>
  <c r="D1" i="61"/>
  <c r="B13" i="34"/>
  <c r="B7" i="61" s="1"/>
  <c r="A9" i="61"/>
  <c r="F9" i="61"/>
  <c r="A10" i="61"/>
  <c r="F10" i="61"/>
  <c r="G10" i="61" s="1"/>
  <c r="A11" i="61"/>
  <c r="D91" i="6"/>
  <c r="A12" i="61"/>
  <c r="D12" i="53"/>
  <c r="A19" i="61"/>
  <c r="B19" i="61"/>
  <c r="D19" i="61"/>
  <c r="F19" i="61"/>
  <c r="A20" i="61"/>
  <c r="A21" i="61"/>
  <c r="A22" i="61"/>
  <c r="A30" i="61"/>
  <c r="F19" i="6"/>
  <c r="D19" i="6"/>
  <c r="B19" i="6"/>
  <c r="F9" i="6"/>
  <c r="G10" i="6" s="1"/>
  <c r="B1" i="35"/>
  <c r="F10" i="35"/>
  <c r="D1" i="6"/>
  <c r="B1" i="6"/>
  <c r="A1" i="6"/>
  <c r="A22" i="6"/>
  <c r="A21" i="6"/>
  <c r="A20" i="6"/>
  <c r="A19" i="6"/>
  <c r="A12" i="6"/>
  <c r="A11" i="6"/>
  <c r="A10" i="6"/>
  <c r="A9" i="6"/>
  <c r="D1" i="53"/>
  <c r="B1" i="53"/>
  <c r="A1" i="53"/>
  <c r="A23" i="53"/>
  <c r="A22" i="53"/>
  <c r="A21" i="53"/>
  <c r="A20" i="53"/>
  <c r="A19" i="53"/>
  <c r="A12" i="53"/>
  <c r="A11" i="53"/>
  <c r="A10" i="53"/>
  <c r="A9" i="53"/>
  <c r="D1" i="35"/>
  <c r="A1" i="35"/>
  <c r="A22" i="35"/>
  <c r="A21" i="35"/>
  <c r="A20" i="35"/>
  <c r="A19" i="35"/>
  <c r="A13" i="35"/>
  <c r="A12" i="35"/>
  <c r="A11" i="35"/>
  <c r="A10" i="35"/>
  <c r="A9" i="35"/>
  <c r="A5" i="42"/>
  <c r="A3" i="42"/>
  <c r="A5" i="60"/>
  <c r="A3" i="60"/>
  <c r="A5" i="68"/>
  <c r="A3" i="68"/>
  <c r="A5" i="14"/>
  <c r="A3" i="14"/>
  <c r="H2" i="34"/>
  <c r="I2" i="34" s="1"/>
  <c r="J2" i="34"/>
  <c r="O37" i="6"/>
  <c r="I119" i="6" a="1"/>
  <c r="I122" i="6"/>
  <c r="I127" i="6"/>
  <c r="N117" i="6"/>
  <c r="L117" i="6"/>
  <c r="J117" i="6"/>
  <c r="B8" i="34"/>
  <c r="I112" i="6"/>
  <c r="I99" i="6" a="1"/>
  <c r="I102" i="6"/>
  <c r="I101" i="6"/>
  <c r="I106" i="6"/>
  <c r="I110" i="6"/>
  <c r="N97" i="6"/>
  <c r="L97" i="6"/>
  <c r="J97" i="6"/>
  <c r="V38" i="6"/>
  <c r="O40" i="6" a="1"/>
  <c r="O43" i="6"/>
  <c r="O40" i="6"/>
  <c r="O51" i="6"/>
  <c r="B2" i="93"/>
  <c r="B5" i="93"/>
  <c r="B6" i="93"/>
  <c r="B7" i="93" s="1"/>
  <c r="B2" i="92"/>
  <c r="B5" i="92"/>
  <c r="B6" i="92"/>
  <c r="B7" i="92" s="1"/>
  <c r="B2" i="91"/>
  <c r="B5" i="91"/>
  <c r="B6" i="91"/>
  <c r="B7" i="91" s="1"/>
  <c r="B2" i="90"/>
  <c r="B6" i="90"/>
  <c r="B7" i="90" s="1"/>
  <c r="B5" i="90"/>
  <c r="E129" i="85"/>
  <c r="A129" i="85"/>
  <c r="E134" i="85"/>
  <c r="A134" i="85"/>
  <c r="E133" i="85"/>
  <c r="A133" i="85"/>
  <c r="E132" i="85"/>
  <c r="A132" i="85"/>
  <c r="E131" i="85"/>
  <c r="A131" i="85"/>
  <c r="E130" i="85"/>
  <c r="A130" i="85"/>
  <c r="A129" i="84"/>
  <c r="E129" i="84"/>
  <c r="E134" i="84"/>
  <c r="A134" i="84"/>
  <c r="E133" i="84"/>
  <c r="A133" i="84"/>
  <c r="E132" i="84"/>
  <c r="A132" i="84"/>
  <c r="E131" i="84"/>
  <c r="A131" i="84"/>
  <c r="E130" i="84"/>
  <c r="A130" i="84"/>
  <c r="A129" i="86"/>
  <c r="E129" i="86"/>
  <c r="E131" i="86"/>
  <c r="E132" i="86"/>
  <c r="E133" i="86"/>
  <c r="E134" i="86"/>
  <c r="E130" i="86"/>
  <c r="A131" i="86"/>
  <c r="A132" i="86"/>
  <c r="A133" i="86"/>
  <c r="A134" i="86"/>
  <c r="A130" i="86"/>
  <c r="F88" i="86"/>
  <c r="A88" i="86"/>
  <c r="A98" i="86"/>
  <c r="F98" i="86" s="1"/>
  <c r="A97" i="86"/>
  <c r="F97" i="86" s="1"/>
  <c r="A96" i="86"/>
  <c r="F96" i="86" s="1"/>
  <c r="A95" i="86"/>
  <c r="F95" i="86"/>
  <c r="A94" i="86"/>
  <c r="F94" i="86" s="1"/>
  <c r="A93" i="86"/>
  <c r="F93" i="86"/>
  <c r="A92" i="86"/>
  <c r="F92" i="86" s="1"/>
  <c r="A91" i="86"/>
  <c r="F91" i="86" s="1"/>
  <c r="A90" i="86"/>
  <c r="F90" i="86" s="1"/>
  <c r="E129" i="83"/>
  <c r="A129" i="83"/>
  <c r="E134" i="83"/>
  <c r="A134" i="83"/>
  <c r="E133" i="83"/>
  <c r="A133" i="83"/>
  <c r="E132" i="83"/>
  <c r="A132" i="83"/>
  <c r="E131" i="83"/>
  <c r="A131" i="83"/>
  <c r="E130" i="83"/>
  <c r="A130" i="83"/>
  <c r="A98" i="83"/>
  <c r="F98" i="83" s="1"/>
  <c r="A97" i="83"/>
  <c r="F97" i="83" s="1"/>
  <c r="A96" i="83"/>
  <c r="F96" i="83" s="1"/>
  <c r="A95" i="83"/>
  <c r="F95" i="83" s="1"/>
  <c r="A94" i="83"/>
  <c r="F94" i="83" s="1"/>
  <c r="A93" i="83"/>
  <c r="F93" i="83" s="1"/>
  <c r="A92" i="83"/>
  <c r="F92" i="83" s="1"/>
  <c r="A91" i="83"/>
  <c r="F91" i="83" s="1"/>
  <c r="A90" i="83"/>
  <c r="F90" i="83" s="1"/>
  <c r="F88" i="83"/>
  <c r="A88" i="83"/>
  <c r="I4" i="86"/>
  <c r="A4" i="86"/>
  <c r="A54" i="86"/>
  <c r="A53" i="86"/>
  <c r="A52" i="86"/>
  <c r="I7" i="86" a="1"/>
  <c r="I10" i="86"/>
  <c r="A7" i="86" a="1"/>
  <c r="A11" i="86"/>
  <c r="I4" i="85"/>
  <c r="A4" i="85"/>
  <c r="A54" i="85"/>
  <c r="A53" i="85"/>
  <c r="A52" i="85"/>
  <c r="I7" i="85" a="1"/>
  <c r="A7" i="85" a="1"/>
  <c r="A15" i="85"/>
  <c r="I4" i="84"/>
  <c r="A4" i="84"/>
  <c r="A54" i="84"/>
  <c r="A53" i="84"/>
  <c r="A52" i="84"/>
  <c r="I7" i="84" a="1"/>
  <c r="A7" i="84" a="1"/>
  <c r="I4" i="83"/>
  <c r="A4" i="83"/>
  <c r="A54" i="83"/>
  <c r="A53" i="83"/>
  <c r="A52" i="83"/>
  <c r="I7" i="83" a="1"/>
  <c r="I17" i="83"/>
  <c r="A7" i="83" a="1"/>
  <c r="A17" i="83"/>
  <c r="A9" i="83"/>
  <c r="R4" i="62"/>
  <c r="Q4" i="62"/>
  <c r="P4" i="62"/>
  <c r="R4" i="8"/>
  <c r="Q4" i="8"/>
  <c r="P4" i="8"/>
  <c r="R4" i="54"/>
  <c r="Q4" i="54"/>
  <c r="P4" i="54"/>
  <c r="R4" i="36"/>
  <c r="Q4" i="36"/>
  <c r="P4" i="36"/>
  <c r="O53" i="6"/>
  <c r="P16" i="63"/>
  <c r="P15" i="63"/>
  <c r="P14" i="63"/>
  <c r="P13" i="63"/>
  <c r="P12" i="63"/>
  <c r="P11" i="63"/>
  <c r="P10" i="63"/>
  <c r="P9" i="63"/>
  <c r="P8" i="63"/>
  <c r="P7" i="63"/>
  <c r="P6" i="63"/>
  <c r="P5" i="63"/>
  <c r="M16" i="63"/>
  <c r="M15" i="63"/>
  <c r="M14" i="63"/>
  <c r="M13" i="63"/>
  <c r="M12" i="63"/>
  <c r="M11" i="63"/>
  <c r="M10" i="63"/>
  <c r="M9" i="63"/>
  <c r="M8" i="63"/>
  <c r="M7" i="63"/>
  <c r="M6" i="63"/>
  <c r="M5" i="63"/>
  <c r="J16" i="63"/>
  <c r="J15" i="63"/>
  <c r="J14" i="63"/>
  <c r="J13" i="63"/>
  <c r="J12" i="63"/>
  <c r="J11" i="63"/>
  <c r="J10" i="63"/>
  <c r="J9" i="63"/>
  <c r="J8" i="63"/>
  <c r="J7" i="63"/>
  <c r="J6" i="63"/>
  <c r="J5" i="63"/>
  <c r="G16" i="63"/>
  <c r="G15" i="63"/>
  <c r="G14" i="63"/>
  <c r="G13" i="63"/>
  <c r="G12" i="63"/>
  <c r="G11" i="63"/>
  <c r="G10" i="63"/>
  <c r="G9" i="63"/>
  <c r="G8" i="63"/>
  <c r="G7" i="63"/>
  <c r="G6" i="63"/>
  <c r="G5" i="63"/>
  <c r="D16" i="63"/>
  <c r="D15" i="63"/>
  <c r="D14" i="63"/>
  <c r="D13" i="63"/>
  <c r="D12" i="63"/>
  <c r="D11" i="63"/>
  <c r="D10" i="63"/>
  <c r="D9" i="63"/>
  <c r="D8" i="63"/>
  <c r="D7" i="63"/>
  <c r="D6" i="63"/>
  <c r="D5" i="63"/>
  <c r="P16" i="37"/>
  <c r="P15" i="37"/>
  <c r="P14" i="37"/>
  <c r="P13" i="37"/>
  <c r="P12" i="37"/>
  <c r="P11" i="37"/>
  <c r="P10" i="37"/>
  <c r="P9" i="37"/>
  <c r="P8" i="37"/>
  <c r="P7" i="37"/>
  <c r="P6" i="37"/>
  <c r="P5" i="37"/>
  <c r="M16" i="37"/>
  <c r="M15" i="37"/>
  <c r="M14" i="37"/>
  <c r="M13" i="37"/>
  <c r="M12" i="37"/>
  <c r="M11" i="37"/>
  <c r="M10" i="37"/>
  <c r="M9" i="37"/>
  <c r="M8" i="37"/>
  <c r="M7" i="37"/>
  <c r="M6" i="37"/>
  <c r="M5" i="37"/>
  <c r="J16" i="37"/>
  <c r="J15" i="37"/>
  <c r="J14" i="37"/>
  <c r="J13" i="37"/>
  <c r="J12" i="37"/>
  <c r="J11" i="37"/>
  <c r="J10" i="37"/>
  <c r="J9" i="37"/>
  <c r="J8" i="37"/>
  <c r="J7" i="37"/>
  <c r="J6" i="37"/>
  <c r="J5" i="37"/>
  <c r="G16" i="37"/>
  <c r="G15" i="37"/>
  <c r="G14" i="37"/>
  <c r="G13" i="37"/>
  <c r="G12" i="37"/>
  <c r="G11" i="37"/>
  <c r="G10" i="37"/>
  <c r="G9" i="37"/>
  <c r="G8" i="37"/>
  <c r="G7" i="37"/>
  <c r="G6" i="37"/>
  <c r="G5" i="37"/>
  <c r="D16" i="37"/>
  <c r="D15" i="37"/>
  <c r="D14" i="37"/>
  <c r="D13" i="37"/>
  <c r="D12" i="37"/>
  <c r="D11" i="37"/>
  <c r="D10" i="37"/>
  <c r="D9" i="37"/>
  <c r="D8" i="37"/>
  <c r="D7" i="37"/>
  <c r="D6" i="37"/>
  <c r="D5" i="37"/>
  <c r="P16" i="9"/>
  <c r="P15" i="9"/>
  <c r="P14" i="9"/>
  <c r="P13" i="9"/>
  <c r="P12" i="9"/>
  <c r="P11" i="9"/>
  <c r="P10" i="9"/>
  <c r="P9" i="9"/>
  <c r="P8" i="9"/>
  <c r="P7" i="9"/>
  <c r="P6" i="9"/>
  <c r="P5" i="9"/>
  <c r="M16" i="9"/>
  <c r="M15" i="9"/>
  <c r="M14" i="9"/>
  <c r="M13" i="9"/>
  <c r="M12" i="9"/>
  <c r="M11" i="9"/>
  <c r="M10" i="9"/>
  <c r="M9" i="9"/>
  <c r="M8" i="9"/>
  <c r="M7" i="9"/>
  <c r="M6" i="9"/>
  <c r="M5" i="9"/>
  <c r="J16" i="9"/>
  <c r="J15" i="9"/>
  <c r="J14" i="9"/>
  <c r="J13" i="9"/>
  <c r="J12" i="9"/>
  <c r="J11" i="9"/>
  <c r="J10" i="9"/>
  <c r="J9" i="9"/>
  <c r="J8" i="9"/>
  <c r="J7" i="9"/>
  <c r="J6" i="9"/>
  <c r="J5" i="9"/>
  <c r="G16" i="9"/>
  <c r="G15" i="9"/>
  <c r="G14" i="9"/>
  <c r="G13" i="9"/>
  <c r="G12" i="9"/>
  <c r="G11" i="9"/>
  <c r="G10" i="9"/>
  <c r="G9" i="9"/>
  <c r="G8" i="9"/>
  <c r="G7" i="9"/>
  <c r="G6" i="9"/>
  <c r="G5" i="9"/>
  <c r="D16" i="9"/>
  <c r="D15" i="9"/>
  <c r="D14" i="9"/>
  <c r="D13" i="9"/>
  <c r="D12" i="9"/>
  <c r="D11" i="9"/>
  <c r="D10" i="9"/>
  <c r="D9" i="9"/>
  <c r="D8" i="9"/>
  <c r="D7" i="9"/>
  <c r="D6" i="9"/>
  <c r="D5" i="9"/>
  <c r="P16" i="55"/>
  <c r="P15" i="55"/>
  <c r="P14" i="55"/>
  <c r="P13" i="55"/>
  <c r="P12" i="55"/>
  <c r="P11" i="55"/>
  <c r="P10" i="55"/>
  <c r="P9" i="55"/>
  <c r="P8" i="55"/>
  <c r="P7" i="55"/>
  <c r="P6" i="55"/>
  <c r="P5" i="55"/>
  <c r="M16" i="55"/>
  <c r="M15" i="55"/>
  <c r="M14" i="55"/>
  <c r="M13" i="55"/>
  <c r="M12" i="55"/>
  <c r="M11" i="55"/>
  <c r="M10" i="55"/>
  <c r="M9" i="55"/>
  <c r="M8" i="55"/>
  <c r="M7" i="55"/>
  <c r="M6" i="55"/>
  <c r="M5" i="55"/>
  <c r="J16" i="55"/>
  <c r="J15" i="55"/>
  <c r="J14" i="55"/>
  <c r="J13" i="55"/>
  <c r="J12" i="55"/>
  <c r="J11" i="55"/>
  <c r="J10" i="55"/>
  <c r="J9" i="55"/>
  <c r="J8" i="55"/>
  <c r="J7" i="55"/>
  <c r="J6" i="55"/>
  <c r="J5" i="55"/>
  <c r="G16" i="55"/>
  <c r="G15" i="55"/>
  <c r="G14" i="55"/>
  <c r="G13" i="55"/>
  <c r="G12" i="55"/>
  <c r="G11" i="55"/>
  <c r="G10" i="55"/>
  <c r="G9" i="55"/>
  <c r="G8" i="55"/>
  <c r="G7" i="55"/>
  <c r="G6" i="55"/>
  <c r="G5" i="55"/>
  <c r="D16" i="55"/>
  <c r="D15" i="55"/>
  <c r="D14" i="55"/>
  <c r="D13" i="55"/>
  <c r="D12" i="55"/>
  <c r="D11" i="55"/>
  <c r="D10" i="55"/>
  <c r="D9" i="55"/>
  <c r="D8" i="55"/>
  <c r="D7" i="55"/>
  <c r="D6" i="55"/>
  <c r="D5" i="55"/>
  <c r="A134" i="6"/>
  <c r="A159" i="61" a="1"/>
  <c r="A162" i="61"/>
  <c r="D13" i="34"/>
  <c r="F7" i="61" s="1"/>
  <c r="A156" i="61"/>
  <c r="A140" i="61" a="1"/>
  <c r="A137" i="61"/>
  <c r="I36" i="35" a="1"/>
  <c r="I38" i="35"/>
  <c r="A38" i="35" a="1"/>
  <c r="A38" i="35"/>
  <c r="A57" i="35" a="1"/>
  <c r="A60" i="35"/>
  <c r="I77" i="35" a="1"/>
  <c r="I87" i="35"/>
  <c r="I96" i="35" a="1"/>
  <c r="I106" i="35"/>
  <c r="A160" i="35" a="1"/>
  <c r="A169" i="35"/>
  <c r="A141" i="35" a="1"/>
  <c r="A145" i="35"/>
  <c r="I85" i="35"/>
  <c r="D83" i="61"/>
  <c r="D112" i="53"/>
  <c r="G90" i="83"/>
  <c r="D101" i="6"/>
  <c r="B28" i="76"/>
  <c r="N16" i="63"/>
  <c r="N15" i="63"/>
  <c r="N14" i="63"/>
  <c r="N13" i="63"/>
  <c r="N12" i="63"/>
  <c r="N11" i="63"/>
  <c r="N10" i="63"/>
  <c r="N9" i="63"/>
  <c r="N8" i="63"/>
  <c r="N7" i="63"/>
  <c r="N6" i="63"/>
  <c r="N5" i="63"/>
  <c r="K16" i="63"/>
  <c r="K15" i="63"/>
  <c r="K14" i="63"/>
  <c r="K13" i="63"/>
  <c r="K12" i="63"/>
  <c r="K11" i="63"/>
  <c r="K10" i="63"/>
  <c r="K9" i="63"/>
  <c r="K8" i="63"/>
  <c r="K7" i="63"/>
  <c r="K6" i="63"/>
  <c r="K5" i="63"/>
  <c r="H16" i="63"/>
  <c r="H15" i="63"/>
  <c r="H14" i="63"/>
  <c r="H13" i="63"/>
  <c r="H12" i="63"/>
  <c r="H11" i="63"/>
  <c r="H10" i="63"/>
  <c r="H9" i="63"/>
  <c r="H8" i="63"/>
  <c r="H7" i="63"/>
  <c r="H6" i="63"/>
  <c r="H5" i="63"/>
  <c r="E6" i="63"/>
  <c r="E7" i="63"/>
  <c r="E8" i="63"/>
  <c r="E5" i="63"/>
  <c r="E9" i="63"/>
  <c r="E10" i="63"/>
  <c r="E11" i="63"/>
  <c r="E12" i="63"/>
  <c r="E13" i="63"/>
  <c r="E14" i="63"/>
  <c r="E15" i="63"/>
  <c r="E16" i="63"/>
  <c r="A5" i="63" a="1"/>
  <c r="E56" i="62"/>
  <c r="E44" i="62"/>
  <c r="J57" i="62"/>
  <c r="J45" i="62"/>
  <c r="H57" i="62"/>
  <c r="H45" i="62"/>
  <c r="F57" i="62"/>
  <c r="F45" i="62"/>
  <c r="I77" i="61" a="1"/>
  <c r="I58" i="61" a="1"/>
  <c r="I64" i="61"/>
  <c r="I39" i="61" a="1"/>
  <c r="I42" i="61"/>
  <c r="A57" i="61" a="1"/>
  <c r="A38" i="61" a="1"/>
  <c r="E56" i="8"/>
  <c r="E44" i="8"/>
  <c r="J57" i="8"/>
  <c r="J45" i="8"/>
  <c r="H57" i="8"/>
  <c r="H45" i="8"/>
  <c r="F57" i="8"/>
  <c r="F45" i="8"/>
  <c r="N16" i="9"/>
  <c r="N15" i="9"/>
  <c r="N14" i="9"/>
  <c r="N13" i="9"/>
  <c r="N12" i="9"/>
  <c r="N11" i="9"/>
  <c r="N10" i="9"/>
  <c r="N9" i="9"/>
  <c r="N8" i="9"/>
  <c r="N7" i="9"/>
  <c r="N6" i="9"/>
  <c r="N5" i="9"/>
  <c r="K16" i="9"/>
  <c r="K15" i="9"/>
  <c r="K14" i="9"/>
  <c r="K13" i="9"/>
  <c r="K12" i="9"/>
  <c r="K11" i="9"/>
  <c r="K10" i="9"/>
  <c r="K9" i="9"/>
  <c r="K8" i="9"/>
  <c r="K7" i="9"/>
  <c r="K6" i="9"/>
  <c r="K5" i="9"/>
  <c r="H16" i="9"/>
  <c r="H15" i="9"/>
  <c r="H14" i="9"/>
  <c r="H13" i="9"/>
  <c r="H12" i="9"/>
  <c r="H11" i="9"/>
  <c r="H10" i="9"/>
  <c r="H9" i="9"/>
  <c r="H8" i="9"/>
  <c r="H7" i="9"/>
  <c r="H6" i="9"/>
  <c r="H5" i="9"/>
  <c r="E6" i="9"/>
  <c r="E7" i="9"/>
  <c r="E5" i="9"/>
  <c r="E8" i="9"/>
  <c r="E9" i="9"/>
  <c r="E10" i="9"/>
  <c r="E11" i="9"/>
  <c r="E12" i="9"/>
  <c r="E13" i="9"/>
  <c r="E14" i="9"/>
  <c r="E15" i="9"/>
  <c r="E16" i="9"/>
  <c r="A5" i="9" a="1"/>
  <c r="A159" i="6" a="1"/>
  <c r="A140" i="6" a="1"/>
  <c r="A151" i="6"/>
  <c r="A156" i="6"/>
  <c r="A137" i="6"/>
  <c r="I78" i="6" a="1"/>
  <c r="I86" i="6"/>
  <c r="I59" i="6" a="1"/>
  <c r="I66" i="6"/>
  <c r="I40" i="6" a="1"/>
  <c r="I47" i="6"/>
  <c r="A56" i="6" a="1"/>
  <c r="A64" i="6"/>
  <c r="A37" i="6" a="1"/>
  <c r="A43" i="6"/>
  <c r="A160" i="53" a="1"/>
  <c r="A165" i="53"/>
  <c r="A141" i="53" a="1"/>
  <c r="A149" i="53"/>
  <c r="N16" i="55"/>
  <c r="N15" i="55"/>
  <c r="N14" i="55"/>
  <c r="N13" i="55"/>
  <c r="N12" i="55"/>
  <c r="N11" i="55"/>
  <c r="N10" i="55"/>
  <c r="N9" i="55"/>
  <c r="N8" i="55"/>
  <c r="N7" i="55"/>
  <c r="N6" i="55"/>
  <c r="N5" i="55"/>
  <c r="K16" i="55"/>
  <c r="K15" i="55"/>
  <c r="K14" i="55"/>
  <c r="K13" i="55"/>
  <c r="K12" i="55"/>
  <c r="K11" i="55"/>
  <c r="K10" i="55"/>
  <c r="K9" i="55"/>
  <c r="K8" i="55"/>
  <c r="K7" i="55"/>
  <c r="K6" i="55"/>
  <c r="K5" i="55"/>
  <c r="H16" i="55"/>
  <c r="H15" i="55"/>
  <c r="H14" i="55"/>
  <c r="H13" i="55"/>
  <c r="H12" i="55"/>
  <c r="H11" i="55"/>
  <c r="H10" i="55"/>
  <c r="H9" i="55"/>
  <c r="H8" i="55"/>
  <c r="H7" i="55"/>
  <c r="H6" i="55"/>
  <c r="H5" i="55"/>
  <c r="E6" i="55"/>
  <c r="E7" i="55"/>
  <c r="E8" i="55"/>
  <c r="E9" i="55"/>
  <c r="E10" i="55"/>
  <c r="E11" i="55"/>
  <c r="E12" i="55"/>
  <c r="E13" i="55"/>
  <c r="E14" i="55"/>
  <c r="E15" i="55"/>
  <c r="E16" i="55"/>
  <c r="A5" i="55" a="1"/>
  <c r="E56" i="54"/>
  <c r="E44" i="54"/>
  <c r="J57" i="54"/>
  <c r="J45" i="54"/>
  <c r="H57" i="54"/>
  <c r="H45" i="54"/>
  <c r="F57" i="54"/>
  <c r="F45" i="54"/>
  <c r="A157" i="53"/>
  <c r="A138" i="53"/>
  <c r="I78" i="53" a="1"/>
  <c r="I59" i="53" a="1"/>
  <c r="I39" i="53" a="1"/>
  <c r="A57" i="53" a="1"/>
  <c r="A38" i="53" a="1"/>
  <c r="A9" i="55"/>
  <c r="N16" i="37"/>
  <c r="N15" i="37"/>
  <c r="N14" i="37"/>
  <c r="N13" i="37"/>
  <c r="N12" i="37"/>
  <c r="N11" i="37"/>
  <c r="N10" i="37"/>
  <c r="N9" i="37"/>
  <c r="N8" i="37"/>
  <c r="N7" i="37"/>
  <c r="N6" i="37"/>
  <c r="N5" i="37"/>
  <c r="K16" i="37"/>
  <c r="K15" i="37"/>
  <c r="K14" i="37"/>
  <c r="K13" i="37"/>
  <c r="K12" i="37"/>
  <c r="K11" i="37"/>
  <c r="K10" i="37"/>
  <c r="K9" i="37"/>
  <c r="K8" i="37"/>
  <c r="K7" i="37"/>
  <c r="K6" i="37"/>
  <c r="K5" i="37"/>
  <c r="H16" i="37"/>
  <c r="H15" i="37"/>
  <c r="H14" i="37"/>
  <c r="H13" i="37"/>
  <c r="H12" i="37"/>
  <c r="H11" i="37"/>
  <c r="H10" i="37"/>
  <c r="H9" i="37"/>
  <c r="H8" i="37"/>
  <c r="H7" i="37"/>
  <c r="H6" i="37"/>
  <c r="H5" i="37"/>
  <c r="E16" i="37"/>
  <c r="E6" i="37"/>
  <c r="E7" i="37"/>
  <c r="E8" i="37"/>
  <c r="E9" i="37"/>
  <c r="E10" i="37"/>
  <c r="E11" i="37"/>
  <c r="E12" i="37"/>
  <c r="E13" i="37"/>
  <c r="E14" i="37"/>
  <c r="E15" i="37"/>
  <c r="J95" i="35"/>
  <c r="K95" i="35"/>
  <c r="L95" i="35"/>
  <c r="M95" i="35"/>
  <c r="N95" i="35"/>
  <c r="J76" i="35"/>
  <c r="K76" i="35"/>
  <c r="L76" i="35"/>
  <c r="M76" i="35"/>
  <c r="N76" i="35"/>
  <c r="F104" i="6"/>
  <c r="C13" i="34"/>
  <c r="D27" i="61" s="1"/>
  <c r="F31" i="35"/>
  <c r="D25" i="72"/>
  <c r="C25" i="72"/>
  <c r="B25" i="72"/>
  <c r="D24" i="72"/>
  <c r="C24" i="72"/>
  <c r="B24" i="72"/>
  <c r="D23" i="72"/>
  <c r="C23" i="72"/>
  <c r="B23" i="72"/>
  <c r="D22" i="72"/>
  <c r="C22" i="72"/>
  <c r="B22" i="72"/>
  <c r="D21" i="72"/>
  <c r="C21" i="72"/>
  <c r="B21" i="72"/>
  <c r="D20" i="72"/>
  <c r="C20" i="72"/>
  <c r="B20" i="72"/>
  <c r="D19" i="72"/>
  <c r="C19" i="72"/>
  <c r="B19" i="72"/>
  <c r="D18" i="72"/>
  <c r="C18" i="72"/>
  <c r="B18" i="72"/>
  <c r="D17" i="72"/>
  <c r="C17" i="72"/>
  <c r="B17" i="72"/>
  <c r="D16" i="72"/>
  <c r="C16" i="72"/>
  <c r="B16" i="72"/>
  <c r="D15" i="72"/>
  <c r="C15" i="72"/>
  <c r="B15" i="72"/>
  <c r="D14" i="72"/>
  <c r="C14" i="72"/>
  <c r="B14" i="72"/>
  <c r="D13" i="72"/>
  <c r="C13" i="72"/>
  <c r="B13" i="72"/>
  <c r="D12" i="72"/>
  <c r="C12" i="72"/>
  <c r="B12" i="72"/>
  <c r="D11" i="72"/>
  <c r="C11" i="72"/>
  <c r="B11" i="72"/>
  <c r="D10" i="72"/>
  <c r="C10" i="72"/>
  <c r="B10" i="72"/>
  <c r="D9" i="72"/>
  <c r="C9" i="72"/>
  <c r="B9" i="72"/>
  <c r="D8" i="72"/>
  <c r="C8" i="72"/>
  <c r="B8" i="72"/>
  <c r="D7" i="72"/>
  <c r="C7" i="72"/>
  <c r="B7" i="72"/>
  <c r="D6" i="72"/>
  <c r="C6" i="72"/>
  <c r="B6" i="72"/>
  <c r="D5" i="72"/>
  <c r="C5" i="72"/>
  <c r="B5" i="72"/>
  <c r="D4" i="72"/>
  <c r="C4" i="72"/>
  <c r="B4" i="72"/>
  <c r="D3" i="72"/>
  <c r="C3" i="72"/>
  <c r="B3" i="72"/>
  <c r="E31" i="62"/>
  <c r="E19" i="62"/>
  <c r="E12" i="62"/>
  <c r="E3" i="62"/>
  <c r="A54" i="61"/>
  <c r="A35" i="61"/>
  <c r="A29" i="68"/>
  <c r="A16" i="68"/>
  <c r="A90" i="67"/>
  <c r="B90" i="67"/>
  <c r="A89" i="67"/>
  <c r="B89" i="67"/>
  <c r="A88" i="67"/>
  <c r="B88" i="67"/>
  <c r="A87" i="67"/>
  <c r="B87" i="67"/>
  <c r="A86" i="67"/>
  <c r="B86" i="67"/>
  <c r="A85" i="67"/>
  <c r="B85" i="67"/>
  <c r="A84" i="67"/>
  <c r="B84" i="67"/>
  <c r="A83" i="67"/>
  <c r="B83" i="67"/>
  <c r="A82" i="67"/>
  <c r="B82" i="67"/>
  <c r="A81" i="67"/>
  <c r="B81" i="67"/>
  <c r="A80" i="67"/>
  <c r="B80" i="67"/>
  <c r="A79" i="67"/>
  <c r="B79" i="67"/>
  <c r="A78" i="67"/>
  <c r="B78" i="67"/>
  <c r="A77" i="67"/>
  <c r="B77" i="67"/>
  <c r="A76" i="67"/>
  <c r="B76" i="67"/>
  <c r="A75" i="67"/>
  <c r="B75" i="67"/>
  <c r="A74" i="67"/>
  <c r="B74" i="67"/>
  <c r="A73" i="67"/>
  <c r="B73" i="67"/>
  <c r="A72" i="67"/>
  <c r="B72" i="67"/>
  <c r="A71" i="67"/>
  <c r="B71" i="67"/>
  <c r="A70" i="67"/>
  <c r="B70" i="67"/>
  <c r="A69" i="67"/>
  <c r="B69" i="67"/>
  <c r="A68" i="67"/>
  <c r="B68" i="67"/>
  <c r="A67" i="67"/>
  <c r="B67" i="67"/>
  <c r="A66" i="67"/>
  <c r="B66" i="67"/>
  <c r="A65" i="67"/>
  <c r="B65" i="67"/>
  <c r="A64" i="67"/>
  <c r="B64" i="67"/>
  <c r="A63" i="67"/>
  <c r="B63" i="67"/>
  <c r="A62" i="67"/>
  <c r="B62" i="67"/>
  <c r="A61" i="67"/>
  <c r="B61" i="67"/>
  <c r="H57" i="67"/>
  <c r="I57" i="67"/>
  <c r="H56" i="67"/>
  <c r="I56" i="67"/>
  <c r="H55" i="67"/>
  <c r="I55" i="67"/>
  <c r="H54" i="67"/>
  <c r="I54" i="67"/>
  <c r="H53" i="67"/>
  <c r="I53" i="67"/>
  <c r="B37" i="67"/>
  <c r="B46" i="67" s="1"/>
  <c r="B36" i="67"/>
  <c r="B45" i="67" s="1"/>
  <c r="A26" i="67"/>
  <c r="A36" i="67" s="1"/>
  <c r="A45" i="67" s="1"/>
  <c r="B35" i="67"/>
  <c r="B44" i="67" s="1"/>
  <c r="B34" i="67"/>
  <c r="B43" i="67" s="1"/>
  <c r="A24" i="67"/>
  <c r="A34" i="67" s="1"/>
  <c r="A43" i="67" s="1"/>
  <c r="B33" i="67"/>
  <c r="B42" i="67" s="1"/>
  <c r="B32" i="67"/>
  <c r="B41" i="67" s="1"/>
  <c r="A22" i="67"/>
  <c r="A32" i="67" s="1"/>
  <c r="A41" i="67" s="1"/>
  <c r="A27" i="67"/>
  <c r="A37" i="67" s="1"/>
  <c r="A46" i="67" s="1"/>
  <c r="A25" i="67"/>
  <c r="A35" i="67" s="1"/>
  <c r="A44" i="67" s="1"/>
  <c r="A23" i="67"/>
  <c r="A33" i="67" s="1"/>
  <c r="A42" i="67" s="1"/>
  <c r="B12" i="67"/>
  <c r="A2" i="67"/>
  <c r="A90" i="66"/>
  <c r="B90" i="66"/>
  <c r="A89" i="66"/>
  <c r="B89" i="66"/>
  <c r="A88" i="66"/>
  <c r="B88" i="66"/>
  <c r="A87" i="66"/>
  <c r="B87" i="66"/>
  <c r="A86" i="66"/>
  <c r="B86" i="66"/>
  <c r="A85" i="66"/>
  <c r="B85" i="66"/>
  <c r="A84" i="66"/>
  <c r="B84" i="66"/>
  <c r="A83" i="66"/>
  <c r="B83" i="66"/>
  <c r="A82" i="66"/>
  <c r="B82" i="66"/>
  <c r="A81" i="66"/>
  <c r="B81" i="66"/>
  <c r="A80" i="66"/>
  <c r="B80" i="66"/>
  <c r="A79" i="66"/>
  <c r="B79" i="66"/>
  <c r="A78" i="66"/>
  <c r="B78" i="66"/>
  <c r="A77" i="66"/>
  <c r="B77" i="66"/>
  <c r="A76" i="66"/>
  <c r="B76" i="66"/>
  <c r="A75" i="66"/>
  <c r="B75" i="66"/>
  <c r="A74" i="66"/>
  <c r="B74" i="66"/>
  <c r="A73" i="66"/>
  <c r="B73" i="66"/>
  <c r="A72" i="66"/>
  <c r="B72" i="66"/>
  <c r="A71" i="66"/>
  <c r="B71" i="66"/>
  <c r="A70" i="66"/>
  <c r="B70" i="66"/>
  <c r="A69" i="66"/>
  <c r="B69" i="66"/>
  <c r="A68" i="66"/>
  <c r="B68" i="66"/>
  <c r="A67" i="66"/>
  <c r="B67" i="66"/>
  <c r="A66" i="66"/>
  <c r="B66" i="66"/>
  <c r="A65" i="66"/>
  <c r="B65" i="66"/>
  <c r="A64" i="66"/>
  <c r="B64" i="66"/>
  <c r="A63" i="66"/>
  <c r="B63" i="66"/>
  <c r="A62" i="66"/>
  <c r="B62" i="66"/>
  <c r="A61" i="66"/>
  <c r="B61" i="66"/>
  <c r="H57" i="66"/>
  <c r="I57" i="66"/>
  <c r="H56" i="66"/>
  <c r="I56" i="66"/>
  <c r="H55" i="66"/>
  <c r="I55" i="66"/>
  <c r="H54" i="66"/>
  <c r="I54" i="66"/>
  <c r="H53" i="66"/>
  <c r="I53" i="66"/>
  <c r="B37" i="66"/>
  <c r="B46" i="66" s="1"/>
  <c r="B36" i="66"/>
  <c r="B45" i="66" s="1"/>
  <c r="A26" i="66"/>
  <c r="A36" i="66" s="1"/>
  <c r="A45" i="66" s="1"/>
  <c r="B35" i="66"/>
  <c r="B44" i="66"/>
  <c r="B34" i="66"/>
  <c r="B43" i="66" s="1"/>
  <c r="A24" i="66"/>
  <c r="A34" i="66" s="1"/>
  <c r="A43" i="66" s="1"/>
  <c r="B33" i="66"/>
  <c r="B32" i="66"/>
  <c r="B41" i="66" s="1"/>
  <c r="A22" i="66"/>
  <c r="A32" i="66" s="1"/>
  <c r="A41" i="66" s="1"/>
  <c r="A27" i="66"/>
  <c r="A37" i="66" s="1"/>
  <c r="A46" i="66" s="1"/>
  <c r="A25" i="66"/>
  <c r="A35" i="66" s="1"/>
  <c r="A44" i="66" s="1"/>
  <c r="A23" i="66"/>
  <c r="A33" i="66" s="1"/>
  <c r="A42" i="66" s="1"/>
  <c r="B12" i="66"/>
  <c r="A2" i="66"/>
  <c r="A90" i="65"/>
  <c r="B90" i="65"/>
  <c r="A89" i="65"/>
  <c r="B89" i="65"/>
  <c r="A88" i="65"/>
  <c r="B88" i="65"/>
  <c r="A87" i="65"/>
  <c r="B87" i="65"/>
  <c r="A86" i="65"/>
  <c r="B86" i="65"/>
  <c r="A85" i="65"/>
  <c r="B85" i="65"/>
  <c r="A84" i="65"/>
  <c r="B84" i="65"/>
  <c r="A83" i="65"/>
  <c r="B83" i="65"/>
  <c r="A82" i="65"/>
  <c r="B82" i="65"/>
  <c r="A81" i="65"/>
  <c r="B81" i="65"/>
  <c r="A80" i="65"/>
  <c r="B80" i="65"/>
  <c r="A79" i="65"/>
  <c r="B79" i="65"/>
  <c r="A78" i="65"/>
  <c r="B78" i="65"/>
  <c r="A77" i="65"/>
  <c r="B77" i="65"/>
  <c r="A76" i="65"/>
  <c r="B76" i="65"/>
  <c r="A75" i="65"/>
  <c r="B75" i="65"/>
  <c r="A74" i="65"/>
  <c r="B74" i="65"/>
  <c r="A73" i="65"/>
  <c r="B73" i="65"/>
  <c r="A72" i="65"/>
  <c r="B72" i="65"/>
  <c r="A71" i="65"/>
  <c r="B71" i="65"/>
  <c r="A70" i="65"/>
  <c r="B70" i="65"/>
  <c r="A69" i="65"/>
  <c r="B69" i="65"/>
  <c r="A68" i="65"/>
  <c r="B68" i="65"/>
  <c r="A67" i="65"/>
  <c r="B67" i="65"/>
  <c r="A66" i="65"/>
  <c r="B66" i="65"/>
  <c r="A65" i="65"/>
  <c r="B65" i="65"/>
  <c r="A64" i="65"/>
  <c r="B64" i="65"/>
  <c r="A63" i="65"/>
  <c r="B63" i="65"/>
  <c r="A62" i="65"/>
  <c r="B62" i="65"/>
  <c r="A61" i="65"/>
  <c r="B61" i="65"/>
  <c r="H57" i="65"/>
  <c r="I57" i="65"/>
  <c r="H56" i="65"/>
  <c r="I56" i="65"/>
  <c r="H55" i="65"/>
  <c r="I55" i="65"/>
  <c r="H54" i="65"/>
  <c r="I54" i="65"/>
  <c r="H53" i="65"/>
  <c r="I53" i="65"/>
  <c r="B37" i="65"/>
  <c r="B46" i="65" s="1"/>
  <c r="B36" i="65"/>
  <c r="B45" i="65"/>
  <c r="A26" i="65"/>
  <c r="A36" i="65" s="1"/>
  <c r="A45" i="65" s="1"/>
  <c r="B35" i="65"/>
  <c r="B44" i="65" s="1"/>
  <c r="B34" i="65"/>
  <c r="A24" i="65"/>
  <c r="A34" i="65" s="1"/>
  <c r="A43" i="65" s="1"/>
  <c r="B33" i="65"/>
  <c r="B32" i="65"/>
  <c r="B41" i="65" s="1"/>
  <c r="A22" i="65"/>
  <c r="A32" i="65" s="1"/>
  <c r="A41" i="65" s="1"/>
  <c r="A27" i="65"/>
  <c r="A37" i="65" s="1"/>
  <c r="A46" i="65" s="1"/>
  <c r="A25" i="65"/>
  <c r="A35" i="65"/>
  <c r="A44" i="65" s="1"/>
  <c r="A23" i="65"/>
  <c r="A33" i="65" s="1"/>
  <c r="A42" i="65" s="1"/>
  <c r="B12" i="65"/>
  <c r="A2" i="65"/>
  <c r="A90" i="64"/>
  <c r="B90" i="64"/>
  <c r="A89" i="64"/>
  <c r="B89" i="64"/>
  <c r="A88" i="64"/>
  <c r="B88" i="64"/>
  <c r="A87" i="64"/>
  <c r="B87" i="64"/>
  <c r="A86" i="64"/>
  <c r="B86" i="64"/>
  <c r="A85" i="64"/>
  <c r="B85" i="64"/>
  <c r="A84" i="64"/>
  <c r="B84" i="64"/>
  <c r="A83" i="64"/>
  <c r="B83" i="64"/>
  <c r="A82" i="64"/>
  <c r="B82" i="64"/>
  <c r="A81" i="64"/>
  <c r="B81" i="64"/>
  <c r="A80" i="64"/>
  <c r="B80" i="64"/>
  <c r="A79" i="64"/>
  <c r="B79" i="64"/>
  <c r="A78" i="64"/>
  <c r="B78" i="64"/>
  <c r="A77" i="64"/>
  <c r="B77" i="64"/>
  <c r="A76" i="64"/>
  <c r="B76" i="64"/>
  <c r="A75" i="64"/>
  <c r="B75" i="64"/>
  <c r="A74" i="64"/>
  <c r="B74" i="64"/>
  <c r="A73" i="64"/>
  <c r="B73" i="64"/>
  <c r="A72" i="64"/>
  <c r="B72" i="64"/>
  <c r="A71" i="64"/>
  <c r="B71" i="64"/>
  <c r="A70" i="64"/>
  <c r="B70" i="64"/>
  <c r="A69" i="64"/>
  <c r="B69" i="64"/>
  <c r="A68" i="64"/>
  <c r="B68" i="64"/>
  <c r="A67" i="64"/>
  <c r="B67" i="64"/>
  <c r="A66" i="64"/>
  <c r="B66" i="64"/>
  <c r="A65" i="64"/>
  <c r="B65" i="64"/>
  <c r="A64" i="64"/>
  <c r="B64" i="64"/>
  <c r="A63" i="64"/>
  <c r="B63" i="64"/>
  <c r="A62" i="64"/>
  <c r="B62" i="64"/>
  <c r="A61" i="64"/>
  <c r="B61" i="64"/>
  <c r="H57" i="64"/>
  <c r="I57" i="64"/>
  <c r="H56" i="64"/>
  <c r="I56" i="64"/>
  <c r="H55" i="64"/>
  <c r="I55" i="64"/>
  <c r="H54" i="64"/>
  <c r="I54" i="64"/>
  <c r="H53" i="64"/>
  <c r="I53" i="64"/>
  <c r="B37" i="64"/>
  <c r="B46" i="64" s="1"/>
  <c r="B36" i="64"/>
  <c r="B45" i="64" s="1"/>
  <c r="A26" i="64"/>
  <c r="A36" i="64" s="1"/>
  <c r="A45" i="64" s="1"/>
  <c r="B35" i="64"/>
  <c r="B34" i="64"/>
  <c r="B43" i="64" s="1"/>
  <c r="A24" i="64"/>
  <c r="A34" i="64" s="1"/>
  <c r="A43" i="64" s="1"/>
  <c r="B33" i="64"/>
  <c r="B42" i="64" s="1"/>
  <c r="B32" i="64"/>
  <c r="B41" i="64" s="1"/>
  <c r="A22" i="64"/>
  <c r="A32" i="64" s="1"/>
  <c r="A41" i="64" s="1"/>
  <c r="A27" i="64"/>
  <c r="A37" i="64" s="1"/>
  <c r="A46" i="64" s="1"/>
  <c r="A25" i="64"/>
  <c r="A35" i="64" s="1"/>
  <c r="A44" i="64" s="1"/>
  <c r="A23" i="64"/>
  <c r="A33" i="64" s="1"/>
  <c r="A42" i="64" s="1"/>
  <c r="B12" i="64"/>
  <c r="A2" i="64"/>
  <c r="H29" i="63"/>
  <c r="F29" i="63"/>
  <c r="D29" i="63"/>
  <c r="B29" i="63"/>
  <c r="A29" i="63"/>
  <c r="H28" i="63"/>
  <c r="F28" i="37"/>
  <c r="B28" i="63"/>
  <c r="A28" i="63"/>
  <c r="H27" i="63"/>
  <c r="D27" i="63"/>
  <c r="B27" i="63"/>
  <c r="A27" i="63"/>
  <c r="F26" i="63"/>
  <c r="D26" i="63"/>
  <c r="B26" i="63"/>
  <c r="A26" i="63"/>
  <c r="H25" i="63"/>
  <c r="F25" i="63"/>
  <c r="D25" i="63"/>
  <c r="A25" i="63"/>
  <c r="H24" i="63"/>
  <c r="F24" i="63"/>
  <c r="D24" i="37"/>
  <c r="B24" i="63"/>
  <c r="A24" i="63"/>
  <c r="N4" i="63"/>
  <c r="Q4" i="63"/>
  <c r="M4" i="63"/>
  <c r="P4" i="63"/>
  <c r="L4" i="63"/>
  <c r="O4" i="63"/>
  <c r="H4" i="63"/>
  <c r="G4" i="63"/>
  <c r="F4" i="63"/>
  <c r="L3" i="63"/>
  <c r="I3" i="63"/>
  <c r="F3" i="63"/>
  <c r="C3" i="63"/>
  <c r="A2" i="63"/>
  <c r="J32" i="62"/>
  <c r="H32" i="62"/>
  <c r="F32" i="62"/>
  <c r="J20" i="62"/>
  <c r="H20" i="62"/>
  <c r="F20" i="62"/>
  <c r="E16" i="62"/>
  <c r="E15" i="62"/>
  <c r="E14" i="62"/>
  <c r="E7" i="62"/>
  <c r="E6" i="62"/>
  <c r="E5" i="62"/>
  <c r="A3" i="62"/>
  <c r="A133" i="61"/>
  <c r="A132" i="61"/>
  <c r="A131" i="61"/>
  <c r="A124" i="61"/>
  <c r="A123" i="61"/>
  <c r="A122" i="61"/>
  <c r="A115" i="61"/>
  <c r="A114" i="61"/>
  <c r="A113" i="61"/>
  <c r="A105" i="61"/>
  <c r="A104" i="61"/>
  <c r="A103" i="61"/>
  <c r="A73" i="61"/>
  <c r="L37" i="61"/>
  <c r="J37" i="61"/>
  <c r="A31" i="61"/>
  <c r="I21" i="61"/>
  <c r="K20" i="61"/>
  <c r="K19" i="61"/>
  <c r="K18" i="61"/>
  <c r="K17" i="61"/>
  <c r="K16" i="61"/>
  <c r="K15" i="61"/>
  <c r="K14" i="61"/>
  <c r="K13" i="61"/>
  <c r="K12" i="61"/>
  <c r="K11" i="61"/>
  <c r="K10" i="61"/>
  <c r="A29" i="60"/>
  <c r="A16" i="60"/>
  <c r="A90" i="59"/>
  <c r="B90" i="59"/>
  <c r="A89" i="59"/>
  <c r="B89" i="59"/>
  <c r="A88" i="59"/>
  <c r="B88" i="59"/>
  <c r="A87" i="59"/>
  <c r="B87" i="59"/>
  <c r="A86" i="59"/>
  <c r="B86" i="59"/>
  <c r="A85" i="59"/>
  <c r="B85" i="59"/>
  <c r="A84" i="59"/>
  <c r="B84" i="59"/>
  <c r="A83" i="59"/>
  <c r="B83" i="59"/>
  <c r="A82" i="59"/>
  <c r="B82" i="59"/>
  <c r="A81" i="59"/>
  <c r="B81" i="59"/>
  <c r="A80" i="59"/>
  <c r="B80" i="59"/>
  <c r="A79" i="59"/>
  <c r="B79" i="59"/>
  <c r="A78" i="59"/>
  <c r="B78" i="59"/>
  <c r="A77" i="59"/>
  <c r="B77" i="59"/>
  <c r="A76" i="59"/>
  <c r="B76" i="59"/>
  <c r="A75" i="59"/>
  <c r="B75" i="59"/>
  <c r="A74" i="59"/>
  <c r="B74" i="59"/>
  <c r="A73" i="59"/>
  <c r="B73" i="59"/>
  <c r="A72" i="59"/>
  <c r="B72" i="59"/>
  <c r="A71" i="59"/>
  <c r="B71" i="59"/>
  <c r="A70" i="59"/>
  <c r="B70" i="59"/>
  <c r="A69" i="59"/>
  <c r="B69" i="59"/>
  <c r="A68" i="59"/>
  <c r="B68" i="59"/>
  <c r="A67" i="59"/>
  <c r="B67" i="59"/>
  <c r="A66" i="59"/>
  <c r="B66" i="59"/>
  <c r="A65" i="59"/>
  <c r="B65" i="59"/>
  <c r="A64" i="59"/>
  <c r="B64" i="59"/>
  <c r="A63" i="59"/>
  <c r="B63" i="59"/>
  <c r="A62" i="59"/>
  <c r="B62" i="59"/>
  <c r="A61" i="59"/>
  <c r="B61" i="59"/>
  <c r="H57" i="59"/>
  <c r="I57" i="59"/>
  <c r="H56" i="59"/>
  <c r="I56" i="59"/>
  <c r="H55" i="59"/>
  <c r="I55" i="59"/>
  <c r="H54" i="59"/>
  <c r="I54" i="59"/>
  <c r="H53" i="59"/>
  <c r="I53" i="59"/>
  <c r="B37" i="59"/>
  <c r="B36" i="59"/>
  <c r="B45" i="59" s="1"/>
  <c r="B35" i="59"/>
  <c r="B44" i="59" s="1"/>
  <c r="B34" i="59"/>
  <c r="B33" i="59"/>
  <c r="B42" i="59" s="1"/>
  <c r="B32" i="59"/>
  <c r="B41" i="59" s="1"/>
  <c r="A27" i="59"/>
  <c r="A37" i="59" s="1"/>
  <c r="A46" i="59" s="1"/>
  <c r="A26" i="59"/>
  <c r="A36" i="59" s="1"/>
  <c r="A45" i="59" s="1"/>
  <c r="A25" i="59"/>
  <c r="A35" i="59" s="1"/>
  <c r="A44" i="59" s="1"/>
  <c r="A24" i="59"/>
  <c r="A34" i="59" s="1"/>
  <c r="A43" i="59" s="1"/>
  <c r="A23" i="59"/>
  <c r="A33" i="59" s="1"/>
  <c r="A42" i="59" s="1"/>
  <c r="A22" i="59"/>
  <c r="A32" i="59"/>
  <c r="A41" i="59" s="1"/>
  <c r="B12" i="59"/>
  <c r="A2" i="59"/>
  <c r="A90" i="58"/>
  <c r="B90" i="58"/>
  <c r="A89" i="58"/>
  <c r="B89" i="58"/>
  <c r="A88" i="58"/>
  <c r="B88" i="58"/>
  <c r="A87" i="58"/>
  <c r="B87" i="58"/>
  <c r="A86" i="58"/>
  <c r="B86" i="58"/>
  <c r="A85" i="58"/>
  <c r="B85" i="58"/>
  <c r="A84" i="58"/>
  <c r="B84" i="58"/>
  <c r="A83" i="58"/>
  <c r="B83" i="58"/>
  <c r="A82" i="58"/>
  <c r="B82" i="58"/>
  <c r="A81" i="58"/>
  <c r="B81" i="58"/>
  <c r="A80" i="58"/>
  <c r="B80" i="58"/>
  <c r="A79" i="58"/>
  <c r="B79" i="58"/>
  <c r="A78" i="58"/>
  <c r="B78" i="58"/>
  <c r="A77" i="58"/>
  <c r="B77" i="58"/>
  <c r="A76" i="58"/>
  <c r="B76" i="58"/>
  <c r="A75" i="58"/>
  <c r="B75" i="58"/>
  <c r="A74" i="58"/>
  <c r="B74" i="58"/>
  <c r="A73" i="58"/>
  <c r="B73" i="58"/>
  <c r="A72" i="58"/>
  <c r="B72" i="58"/>
  <c r="A71" i="58"/>
  <c r="B71" i="58"/>
  <c r="A70" i="58"/>
  <c r="B70" i="58"/>
  <c r="A69" i="58"/>
  <c r="B69" i="58"/>
  <c r="A68" i="58"/>
  <c r="B68" i="58"/>
  <c r="A67" i="58"/>
  <c r="B67" i="58"/>
  <c r="A66" i="58"/>
  <c r="B66" i="58"/>
  <c r="A65" i="58"/>
  <c r="B65" i="58"/>
  <c r="A64" i="58"/>
  <c r="B64" i="58"/>
  <c r="A63" i="58"/>
  <c r="B63" i="58"/>
  <c r="A62" i="58"/>
  <c r="B62" i="58"/>
  <c r="A61" i="58"/>
  <c r="B61" i="58"/>
  <c r="H57" i="58"/>
  <c r="I57" i="58"/>
  <c r="H56" i="58"/>
  <c r="I56" i="58"/>
  <c r="H55" i="58"/>
  <c r="I55" i="58"/>
  <c r="H54" i="58"/>
  <c r="I54" i="58"/>
  <c r="H53" i="58"/>
  <c r="I53" i="58"/>
  <c r="B37" i="58"/>
  <c r="B46" i="58" s="1"/>
  <c r="B36" i="58"/>
  <c r="B45" i="58" s="1"/>
  <c r="B35" i="58"/>
  <c r="B44" i="58" s="1"/>
  <c r="B34" i="58"/>
  <c r="B43" i="58" s="1"/>
  <c r="B33" i="58"/>
  <c r="B42" i="58" s="1"/>
  <c r="B32" i="58"/>
  <c r="B41" i="58" s="1"/>
  <c r="A27" i="58"/>
  <c r="A37" i="58" s="1"/>
  <c r="A46" i="58" s="1"/>
  <c r="A26" i="58"/>
  <c r="A36" i="58" s="1"/>
  <c r="A45" i="58" s="1"/>
  <c r="A25" i="58"/>
  <c r="A35" i="58" s="1"/>
  <c r="A44" i="58" s="1"/>
  <c r="A24" i="58"/>
  <c r="A34" i="58" s="1"/>
  <c r="A43" i="58" s="1"/>
  <c r="A23" i="58"/>
  <c r="A33" i="58" s="1"/>
  <c r="A42" i="58" s="1"/>
  <c r="A22" i="58"/>
  <c r="A32" i="58" s="1"/>
  <c r="A41" i="58" s="1"/>
  <c r="B12" i="58"/>
  <c r="A2" i="58"/>
  <c r="A90" i="57"/>
  <c r="B90" i="57"/>
  <c r="A89" i="57"/>
  <c r="B89" i="57"/>
  <c r="A88" i="57"/>
  <c r="B88" i="57"/>
  <c r="A87" i="57"/>
  <c r="B87" i="57"/>
  <c r="A86" i="57"/>
  <c r="B86" i="57"/>
  <c r="A85" i="57"/>
  <c r="B85" i="57"/>
  <c r="A84" i="57"/>
  <c r="B84" i="57"/>
  <c r="A83" i="57"/>
  <c r="B83" i="57"/>
  <c r="A82" i="57"/>
  <c r="B82" i="57"/>
  <c r="A81" i="57"/>
  <c r="B81" i="57"/>
  <c r="A80" i="57"/>
  <c r="B80" i="57"/>
  <c r="A79" i="57"/>
  <c r="B79" i="57"/>
  <c r="A78" i="57"/>
  <c r="B78" i="57"/>
  <c r="A77" i="57"/>
  <c r="B77" i="57"/>
  <c r="A76" i="57"/>
  <c r="B76" i="57"/>
  <c r="A75" i="57"/>
  <c r="B75" i="57"/>
  <c r="A74" i="57"/>
  <c r="B74" i="57"/>
  <c r="A73" i="57"/>
  <c r="B73" i="57"/>
  <c r="A72" i="57"/>
  <c r="B72" i="57"/>
  <c r="A71" i="57"/>
  <c r="B71" i="57"/>
  <c r="A70" i="57"/>
  <c r="B70" i="57"/>
  <c r="A69" i="57"/>
  <c r="B69" i="57"/>
  <c r="A68" i="57"/>
  <c r="B68" i="57"/>
  <c r="A67" i="57"/>
  <c r="B67" i="57"/>
  <c r="A66" i="57"/>
  <c r="B66" i="57"/>
  <c r="A65" i="57"/>
  <c r="B65" i="57"/>
  <c r="A64" i="57"/>
  <c r="B64" i="57"/>
  <c r="A63" i="57"/>
  <c r="B63" i="57"/>
  <c r="A62" i="57"/>
  <c r="B62" i="57"/>
  <c r="A61" i="57"/>
  <c r="B61" i="57"/>
  <c r="H57" i="57"/>
  <c r="I57" i="57"/>
  <c r="H56" i="57"/>
  <c r="I56" i="57"/>
  <c r="H55" i="57"/>
  <c r="I55" i="57"/>
  <c r="H54" i="57"/>
  <c r="I54" i="57"/>
  <c r="H53" i="57"/>
  <c r="I53" i="57"/>
  <c r="B37" i="57"/>
  <c r="B46" i="57" s="1"/>
  <c r="B36" i="57"/>
  <c r="B45" i="57" s="1"/>
  <c r="B35" i="57"/>
  <c r="B44" i="57" s="1"/>
  <c r="B34" i="57"/>
  <c r="B33" i="57"/>
  <c r="B42" i="57" s="1"/>
  <c r="B32" i="57"/>
  <c r="B41" i="57" s="1"/>
  <c r="A27" i="57"/>
  <c r="A37" i="57" s="1"/>
  <c r="A46" i="57" s="1"/>
  <c r="A26" i="57"/>
  <c r="A36" i="57" s="1"/>
  <c r="A45" i="57" s="1"/>
  <c r="A25" i="57"/>
  <c r="A35" i="57" s="1"/>
  <c r="A44" i="57" s="1"/>
  <c r="A24" i="57"/>
  <c r="A34" i="57" s="1"/>
  <c r="A43" i="57" s="1"/>
  <c r="A23" i="57"/>
  <c r="A33" i="57" s="1"/>
  <c r="A42" i="57" s="1"/>
  <c r="A22" i="57"/>
  <c r="A32" i="57" s="1"/>
  <c r="A41" i="57" s="1"/>
  <c r="B12" i="57"/>
  <c r="A2" i="57"/>
  <c r="A90" i="56"/>
  <c r="B90" i="56"/>
  <c r="A89" i="56"/>
  <c r="B89" i="56"/>
  <c r="A88" i="56"/>
  <c r="B88" i="56"/>
  <c r="A87" i="56"/>
  <c r="B87" i="56"/>
  <c r="A86" i="56"/>
  <c r="B86" i="56"/>
  <c r="A85" i="56"/>
  <c r="B85" i="56"/>
  <c r="A84" i="56"/>
  <c r="B84" i="56"/>
  <c r="A83" i="56"/>
  <c r="B83" i="56"/>
  <c r="A82" i="56"/>
  <c r="B82" i="56"/>
  <c r="A81" i="56"/>
  <c r="B81" i="56"/>
  <c r="A80" i="56"/>
  <c r="B80" i="56"/>
  <c r="A79" i="56"/>
  <c r="B79" i="56"/>
  <c r="A78" i="56"/>
  <c r="B78" i="56"/>
  <c r="A77" i="56"/>
  <c r="B77" i="56"/>
  <c r="A76" i="56"/>
  <c r="B76" i="56"/>
  <c r="A75" i="56"/>
  <c r="B75" i="56"/>
  <c r="A74" i="56"/>
  <c r="B74" i="56"/>
  <c r="A73" i="56"/>
  <c r="B73" i="56"/>
  <c r="A72" i="56"/>
  <c r="B72" i="56"/>
  <c r="A71" i="56"/>
  <c r="B71" i="56"/>
  <c r="A70" i="56"/>
  <c r="B70" i="56"/>
  <c r="A69" i="56"/>
  <c r="B69" i="56"/>
  <c r="A68" i="56"/>
  <c r="B68" i="56"/>
  <c r="A67" i="56"/>
  <c r="B67" i="56"/>
  <c r="A66" i="56"/>
  <c r="B66" i="56"/>
  <c r="A65" i="56"/>
  <c r="B65" i="56"/>
  <c r="A64" i="56"/>
  <c r="B64" i="56"/>
  <c r="A63" i="56"/>
  <c r="B63" i="56"/>
  <c r="A62" i="56"/>
  <c r="B62" i="56"/>
  <c r="A61" i="56"/>
  <c r="B61" i="56"/>
  <c r="H57" i="56"/>
  <c r="I57" i="56"/>
  <c r="H56" i="56"/>
  <c r="I56" i="56"/>
  <c r="H55" i="56"/>
  <c r="I55" i="56"/>
  <c r="H54" i="56"/>
  <c r="I54" i="56"/>
  <c r="H53" i="56"/>
  <c r="I53" i="56"/>
  <c r="B37" i="56"/>
  <c r="B46" i="56"/>
  <c r="B36" i="56"/>
  <c r="B45" i="56" s="1"/>
  <c r="B35" i="56"/>
  <c r="B44" i="56" s="1"/>
  <c r="B34" i="56"/>
  <c r="B33" i="56"/>
  <c r="B42" i="56" s="1"/>
  <c r="B32" i="56"/>
  <c r="B41" i="56" s="1"/>
  <c r="A27" i="56"/>
  <c r="A37" i="56" s="1"/>
  <c r="A46" i="56" s="1"/>
  <c r="A26" i="56"/>
  <c r="A36" i="56" s="1"/>
  <c r="A45" i="56" s="1"/>
  <c r="A25" i="56"/>
  <c r="A35" i="56" s="1"/>
  <c r="A44" i="56" s="1"/>
  <c r="A24" i="56"/>
  <c r="A34" i="56" s="1"/>
  <c r="A43" i="56" s="1"/>
  <c r="A23" i="56"/>
  <c r="A33" i="56" s="1"/>
  <c r="A42" i="56" s="1"/>
  <c r="A22" i="56"/>
  <c r="A32" i="56" s="1"/>
  <c r="A41" i="56" s="1"/>
  <c r="B12" i="56"/>
  <c r="A2" i="56"/>
  <c r="A29" i="55"/>
  <c r="A28" i="55"/>
  <c r="A27" i="55"/>
  <c r="A26" i="55"/>
  <c r="A25" i="55"/>
  <c r="A24" i="55"/>
  <c r="E5" i="55"/>
  <c r="M4" i="55"/>
  <c r="P4" i="55"/>
  <c r="N4" i="55"/>
  <c r="Q4" i="55"/>
  <c r="L4" i="55"/>
  <c r="O4" i="55"/>
  <c r="H4" i="55"/>
  <c r="G4" i="55"/>
  <c r="F4" i="55"/>
  <c r="L3" i="55"/>
  <c r="I3" i="55"/>
  <c r="F3" i="55"/>
  <c r="C3" i="55"/>
  <c r="A2" i="55"/>
  <c r="E31" i="54"/>
  <c r="E19" i="54"/>
  <c r="E12" i="54"/>
  <c r="E3" i="54"/>
  <c r="J32" i="54"/>
  <c r="H32" i="54"/>
  <c r="F32" i="54"/>
  <c r="J20" i="54"/>
  <c r="H20" i="54"/>
  <c r="F20" i="54"/>
  <c r="E16" i="54"/>
  <c r="E15" i="54"/>
  <c r="E14" i="54"/>
  <c r="E7" i="54"/>
  <c r="E6" i="54"/>
  <c r="E5" i="54"/>
  <c r="A3" i="54"/>
  <c r="A54" i="53"/>
  <c r="A35" i="53"/>
  <c r="A134" i="53"/>
  <c r="A133" i="53"/>
  <c r="A132" i="53"/>
  <c r="A125" i="53"/>
  <c r="A124" i="53"/>
  <c r="A123" i="53"/>
  <c r="A115" i="53"/>
  <c r="A114" i="53"/>
  <c r="A113" i="53"/>
  <c r="A105" i="53"/>
  <c r="A104" i="53"/>
  <c r="A103" i="53"/>
  <c r="A73" i="53"/>
  <c r="L37" i="53"/>
  <c r="J37" i="53"/>
  <c r="A31" i="53"/>
  <c r="A30" i="53"/>
  <c r="K20" i="53"/>
  <c r="K19" i="53"/>
  <c r="K18" i="53"/>
  <c r="K17" i="53"/>
  <c r="K16" i="53"/>
  <c r="K15" i="53"/>
  <c r="K14" i="53"/>
  <c r="K13" i="53"/>
  <c r="K12" i="53"/>
  <c r="K11" i="53"/>
  <c r="K10" i="53"/>
  <c r="E56" i="36"/>
  <c r="E44" i="36"/>
  <c r="E31" i="36"/>
  <c r="E19" i="36"/>
  <c r="E12" i="36"/>
  <c r="E3" i="36"/>
  <c r="A54" i="35"/>
  <c r="A35" i="35"/>
  <c r="A16" i="42"/>
  <c r="A90" i="41"/>
  <c r="B90" i="41"/>
  <c r="A89" i="41"/>
  <c r="B89" i="41"/>
  <c r="A88" i="41"/>
  <c r="B88" i="41"/>
  <c r="A87" i="41"/>
  <c r="B87" i="41"/>
  <c r="A86" i="41"/>
  <c r="B86" i="41"/>
  <c r="A85" i="41"/>
  <c r="B85" i="41"/>
  <c r="A84" i="41"/>
  <c r="B84" i="41"/>
  <c r="A83" i="41"/>
  <c r="B83" i="41"/>
  <c r="A82" i="41"/>
  <c r="B82" i="41"/>
  <c r="A81" i="41"/>
  <c r="B81" i="41"/>
  <c r="A80" i="41"/>
  <c r="B80" i="41"/>
  <c r="A79" i="41"/>
  <c r="B79" i="41"/>
  <c r="A78" i="41"/>
  <c r="B78" i="41"/>
  <c r="A77" i="41"/>
  <c r="B77" i="41"/>
  <c r="A76" i="41"/>
  <c r="B76" i="41"/>
  <c r="A75" i="41"/>
  <c r="B75" i="41"/>
  <c r="A74" i="41"/>
  <c r="B74" i="41"/>
  <c r="A73" i="41"/>
  <c r="B73" i="41"/>
  <c r="A72" i="41"/>
  <c r="B72" i="41"/>
  <c r="A71" i="41"/>
  <c r="B71" i="41"/>
  <c r="A70" i="41"/>
  <c r="B70" i="41"/>
  <c r="A69" i="41"/>
  <c r="B69" i="41"/>
  <c r="A68" i="41"/>
  <c r="B68" i="41"/>
  <c r="A67" i="41"/>
  <c r="B67" i="41"/>
  <c r="A66" i="41"/>
  <c r="B66" i="41"/>
  <c r="A65" i="41"/>
  <c r="B65" i="41"/>
  <c r="A64" i="41"/>
  <c r="B64" i="41"/>
  <c r="A63" i="41"/>
  <c r="B63" i="41"/>
  <c r="A62" i="41"/>
  <c r="B62" i="41"/>
  <c r="A61" i="41"/>
  <c r="B61" i="41"/>
  <c r="H57" i="41"/>
  <c r="I57" i="41"/>
  <c r="H56" i="41"/>
  <c r="I56" i="41"/>
  <c r="H55" i="41"/>
  <c r="I55" i="41"/>
  <c r="H54" i="41"/>
  <c r="I54" i="41"/>
  <c r="H53" i="41"/>
  <c r="I53" i="41"/>
  <c r="B37" i="41"/>
  <c r="B46" i="41" s="1"/>
  <c r="B35" i="41"/>
  <c r="B44" i="41" s="1"/>
  <c r="B33" i="41"/>
  <c r="B42" i="41" s="1"/>
  <c r="B32" i="41"/>
  <c r="B38" i="41" s="1"/>
  <c r="B47" i="41" s="1"/>
  <c r="B34" i="41"/>
  <c r="B43" i="41" s="1"/>
  <c r="B36" i="41"/>
  <c r="B45" i="41" s="1"/>
  <c r="A27" i="41"/>
  <c r="A37" i="41" s="1"/>
  <c r="A46" i="41" s="1"/>
  <c r="A25" i="41"/>
  <c r="A35" i="41" s="1"/>
  <c r="A44" i="41" s="1"/>
  <c r="A23" i="41"/>
  <c r="A33" i="41" s="1"/>
  <c r="A42" i="41" s="1"/>
  <c r="A26" i="41"/>
  <c r="A36" i="41" s="1"/>
  <c r="A45" i="41" s="1"/>
  <c r="A24" i="41"/>
  <c r="A34" i="41" s="1"/>
  <c r="A43" i="41" s="1"/>
  <c r="A22" i="41"/>
  <c r="A32" i="41" s="1"/>
  <c r="A41" i="41" s="1"/>
  <c r="B12" i="41"/>
  <c r="A2" i="41"/>
  <c r="A90" i="40"/>
  <c r="B90" i="40"/>
  <c r="A89" i="40"/>
  <c r="B89" i="40"/>
  <c r="A88" i="40"/>
  <c r="B88" i="40"/>
  <c r="A87" i="40"/>
  <c r="B87" i="40"/>
  <c r="A86" i="40"/>
  <c r="B86" i="40"/>
  <c r="A85" i="40"/>
  <c r="B85" i="40"/>
  <c r="A84" i="40"/>
  <c r="B84" i="40"/>
  <c r="A83" i="40"/>
  <c r="B83" i="40"/>
  <c r="A82" i="40"/>
  <c r="B82" i="40"/>
  <c r="A81" i="40"/>
  <c r="B81" i="40"/>
  <c r="A80" i="40"/>
  <c r="B80" i="40"/>
  <c r="A79" i="40"/>
  <c r="B79" i="40"/>
  <c r="A78" i="40"/>
  <c r="B78" i="40"/>
  <c r="A77" i="40"/>
  <c r="B77" i="40"/>
  <c r="A76" i="40"/>
  <c r="B76" i="40"/>
  <c r="A75" i="40"/>
  <c r="B75" i="40"/>
  <c r="A74" i="40"/>
  <c r="B74" i="40"/>
  <c r="A73" i="40"/>
  <c r="B73" i="40"/>
  <c r="A72" i="40"/>
  <c r="B72" i="40"/>
  <c r="A71" i="40"/>
  <c r="B71" i="40"/>
  <c r="A70" i="40"/>
  <c r="B70" i="40"/>
  <c r="A69" i="40"/>
  <c r="B69" i="40"/>
  <c r="A68" i="40"/>
  <c r="B68" i="40"/>
  <c r="A67" i="40"/>
  <c r="B67" i="40"/>
  <c r="A66" i="40"/>
  <c r="B66" i="40"/>
  <c r="A65" i="40"/>
  <c r="B65" i="40"/>
  <c r="A64" i="40"/>
  <c r="B64" i="40"/>
  <c r="A63" i="40"/>
  <c r="B63" i="40"/>
  <c r="A62" i="40"/>
  <c r="B62" i="40"/>
  <c r="A61" i="40"/>
  <c r="B61" i="40"/>
  <c r="H57" i="40"/>
  <c r="I57" i="40"/>
  <c r="H56" i="40"/>
  <c r="I56" i="40"/>
  <c r="H55" i="40"/>
  <c r="I55" i="40"/>
  <c r="H54" i="40"/>
  <c r="I54" i="40"/>
  <c r="H53" i="40"/>
  <c r="I53" i="40"/>
  <c r="B37" i="40"/>
  <c r="B46" i="40" s="1"/>
  <c r="B36" i="40"/>
  <c r="B45" i="40" s="1"/>
  <c r="B35" i="40"/>
  <c r="B44" i="40" s="1"/>
  <c r="B34" i="40"/>
  <c r="B43" i="40"/>
  <c r="B33" i="40"/>
  <c r="B42" i="40" s="1"/>
  <c r="B32" i="40"/>
  <c r="B41" i="40" s="1"/>
  <c r="A27" i="40"/>
  <c r="A37" i="40" s="1"/>
  <c r="A46" i="40" s="1"/>
  <c r="A26" i="40"/>
  <c r="A36" i="40" s="1"/>
  <c r="A45" i="40" s="1"/>
  <c r="A25" i="40"/>
  <c r="A35" i="40" s="1"/>
  <c r="A44" i="40" s="1"/>
  <c r="A24" i="40"/>
  <c r="A34" i="40" s="1"/>
  <c r="A43" i="40" s="1"/>
  <c r="A23" i="40"/>
  <c r="A33" i="40" s="1"/>
  <c r="A42" i="40" s="1"/>
  <c r="A22" i="40"/>
  <c r="A32" i="40" s="1"/>
  <c r="A41" i="40" s="1"/>
  <c r="B12" i="40"/>
  <c r="A2" i="40"/>
  <c r="A90" i="39"/>
  <c r="B90" i="39"/>
  <c r="A89" i="39"/>
  <c r="B89" i="39"/>
  <c r="A88" i="39"/>
  <c r="B88" i="39"/>
  <c r="A87" i="39"/>
  <c r="B87" i="39"/>
  <c r="A86" i="39"/>
  <c r="B86" i="39"/>
  <c r="A85" i="39"/>
  <c r="B85" i="39"/>
  <c r="A84" i="39"/>
  <c r="B84" i="39"/>
  <c r="A83" i="39"/>
  <c r="B83" i="39"/>
  <c r="A82" i="39"/>
  <c r="B82" i="39"/>
  <c r="A81" i="39"/>
  <c r="B81" i="39"/>
  <c r="A80" i="39"/>
  <c r="B80" i="39"/>
  <c r="A79" i="39"/>
  <c r="B79" i="39"/>
  <c r="A78" i="39"/>
  <c r="B78" i="39"/>
  <c r="A77" i="39"/>
  <c r="B77" i="39"/>
  <c r="A76" i="39"/>
  <c r="B76" i="39"/>
  <c r="A75" i="39"/>
  <c r="B75" i="39"/>
  <c r="A74" i="39"/>
  <c r="B74" i="39"/>
  <c r="A73" i="39"/>
  <c r="B73" i="39"/>
  <c r="A72" i="39"/>
  <c r="B72" i="39"/>
  <c r="A71" i="39"/>
  <c r="B71" i="39"/>
  <c r="A70" i="39"/>
  <c r="B70" i="39"/>
  <c r="A69" i="39"/>
  <c r="B69" i="39"/>
  <c r="A68" i="39"/>
  <c r="B68" i="39"/>
  <c r="A67" i="39"/>
  <c r="B67" i="39"/>
  <c r="A66" i="39"/>
  <c r="B66" i="39"/>
  <c r="A65" i="39"/>
  <c r="B65" i="39"/>
  <c r="A64" i="39"/>
  <c r="B64" i="39"/>
  <c r="A63" i="39"/>
  <c r="B63" i="39"/>
  <c r="A62" i="39"/>
  <c r="B62" i="39"/>
  <c r="A61" i="39"/>
  <c r="B61" i="39"/>
  <c r="H57" i="39"/>
  <c r="I57" i="39"/>
  <c r="H56" i="39"/>
  <c r="I56" i="39"/>
  <c r="H55" i="39"/>
  <c r="I55" i="39"/>
  <c r="H54" i="39"/>
  <c r="I54" i="39"/>
  <c r="H53" i="39"/>
  <c r="I53" i="39"/>
  <c r="B37" i="39"/>
  <c r="B46" i="39" s="1"/>
  <c r="B35" i="39"/>
  <c r="B44" i="39" s="1"/>
  <c r="B33" i="39"/>
  <c r="B32" i="39"/>
  <c r="B38" i="39" s="1"/>
  <c r="B47" i="39" s="1"/>
  <c r="B34" i="39"/>
  <c r="B43" i="39" s="1"/>
  <c r="B36" i="39"/>
  <c r="B45" i="39" s="1"/>
  <c r="A27" i="39"/>
  <c r="A37" i="39" s="1"/>
  <c r="A46" i="39" s="1"/>
  <c r="A25" i="39"/>
  <c r="A35" i="39" s="1"/>
  <c r="A44" i="39" s="1"/>
  <c r="A23" i="39"/>
  <c r="A33" i="39" s="1"/>
  <c r="A42" i="39" s="1"/>
  <c r="A26" i="39"/>
  <c r="A36" i="39" s="1"/>
  <c r="A45" i="39" s="1"/>
  <c r="A24" i="39"/>
  <c r="A34" i="39" s="1"/>
  <c r="A43" i="39" s="1"/>
  <c r="A22" i="39"/>
  <c r="A32" i="39" s="1"/>
  <c r="A41" i="39" s="1"/>
  <c r="B12" i="39"/>
  <c r="A2" i="39"/>
  <c r="A90" i="38"/>
  <c r="B90" i="38"/>
  <c r="A89" i="38"/>
  <c r="B89" i="38"/>
  <c r="A88" i="38"/>
  <c r="B88" i="38"/>
  <c r="A87" i="38"/>
  <c r="B87" i="38"/>
  <c r="A86" i="38"/>
  <c r="B86" i="38"/>
  <c r="A85" i="38"/>
  <c r="B85" i="38"/>
  <c r="A84" i="38"/>
  <c r="B84" i="38"/>
  <c r="A83" i="38"/>
  <c r="B83" i="38"/>
  <c r="A82" i="38"/>
  <c r="B82" i="38"/>
  <c r="A81" i="38"/>
  <c r="B81" i="38"/>
  <c r="A80" i="38"/>
  <c r="B80" i="38"/>
  <c r="A79" i="38"/>
  <c r="B79" i="38"/>
  <c r="A78" i="38"/>
  <c r="B78" i="38"/>
  <c r="A77" i="38"/>
  <c r="B77" i="38"/>
  <c r="A76" i="38"/>
  <c r="B76" i="38"/>
  <c r="A75" i="38"/>
  <c r="B75" i="38"/>
  <c r="A74" i="38"/>
  <c r="B74" i="38"/>
  <c r="A73" i="38"/>
  <c r="B73" i="38"/>
  <c r="A72" i="38"/>
  <c r="B72" i="38"/>
  <c r="A71" i="38"/>
  <c r="B71" i="38"/>
  <c r="A70" i="38"/>
  <c r="B70" i="38"/>
  <c r="A69" i="38"/>
  <c r="B69" i="38"/>
  <c r="A68" i="38"/>
  <c r="B68" i="38"/>
  <c r="A67" i="38"/>
  <c r="B67" i="38"/>
  <c r="A66" i="38"/>
  <c r="B66" i="38"/>
  <c r="A65" i="38"/>
  <c r="B65" i="38"/>
  <c r="A64" i="38"/>
  <c r="B64" i="38"/>
  <c r="A63" i="38"/>
  <c r="B63" i="38"/>
  <c r="A62" i="38"/>
  <c r="B62" i="38"/>
  <c r="A61" i="38"/>
  <c r="B61" i="38"/>
  <c r="H57" i="38"/>
  <c r="I57" i="38"/>
  <c r="H56" i="38"/>
  <c r="I56" i="38"/>
  <c r="H55" i="38"/>
  <c r="I55" i="38"/>
  <c r="H54" i="38"/>
  <c r="I54" i="38"/>
  <c r="H53" i="38"/>
  <c r="I53" i="38"/>
  <c r="B37" i="38"/>
  <c r="B46" i="38" s="1"/>
  <c r="B36" i="38"/>
  <c r="B45" i="38"/>
  <c r="B35" i="38"/>
  <c r="B44" i="38" s="1"/>
  <c r="B34" i="38"/>
  <c r="B43" i="38" s="1"/>
  <c r="B33" i="38"/>
  <c r="B32" i="38"/>
  <c r="B41" i="38" s="1"/>
  <c r="A27" i="38"/>
  <c r="A37" i="38" s="1"/>
  <c r="A46" i="38" s="1"/>
  <c r="A26" i="38"/>
  <c r="A36" i="38" s="1"/>
  <c r="A45" i="38" s="1"/>
  <c r="A25" i="38"/>
  <c r="A35" i="38" s="1"/>
  <c r="A44" i="38" s="1"/>
  <c r="A24" i="38"/>
  <c r="A34" i="38" s="1"/>
  <c r="A43" i="38" s="1"/>
  <c r="A23" i="38"/>
  <c r="A33" i="38" s="1"/>
  <c r="A42" i="38" s="1"/>
  <c r="A22" i="38"/>
  <c r="A32" i="38" s="1"/>
  <c r="A41" i="38" s="1"/>
  <c r="B12" i="38"/>
  <c r="A2" i="38"/>
  <c r="A29" i="37"/>
  <c r="A28" i="37"/>
  <c r="A27" i="37"/>
  <c r="A26" i="37"/>
  <c r="A25" i="37"/>
  <c r="A24" i="37"/>
  <c r="E5" i="37"/>
  <c r="N4" i="37"/>
  <c r="Q4" i="37"/>
  <c r="M4" i="37"/>
  <c r="P4" i="37"/>
  <c r="L4" i="37"/>
  <c r="O4" i="37"/>
  <c r="H4" i="37"/>
  <c r="G4" i="37"/>
  <c r="F4" i="37"/>
  <c r="L3" i="37"/>
  <c r="I3" i="37"/>
  <c r="F3" i="37"/>
  <c r="C3" i="37"/>
  <c r="A2" i="37"/>
  <c r="J57" i="36"/>
  <c r="H57" i="36"/>
  <c r="F57" i="36"/>
  <c r="J45" i="36"/>
  <c r="H45" i="36"/>
  <c r="F45" i="36"/>
  <c r="J32" i="36"/>
  <c r="H32" i="36"/>
  <c r="F32" i="36"/>
  <c r="J20" i="36"/>
  <c r="H20" i="36"/>
  <c r="F20" i="36"/>
  <c r="E16" i="36"/>
  <c r="E15" i="36"/>
  <c r="E14" i="36"/>
  <c r="E7" i="36"/>
  <c r="E6" i="36"/>
  <c r="E5" i="36"/>
  <c r="A3" i="36"/>
  <c r="A157" i="35"/>
  <c r="A138" i="35"/>
  <c r="A134" i="35"/>
  <c r="A133" i="35"/>
  <c r="A132" i="35"/>
  <c r="A125" i="35"/>
  <c r="A124" i="35"/>
  <c r="A123" i="35"/>
  <c r="A115" i="35"/>
  <c r="A114" i="35"/>
  <c r="A113" i="35"/>
  <c r="A105" i="35"/>
  <c r="A104" i="35"/>
  <c r="A103" i="35"/>
  <c r="A73" i="35"/>
  <c r="F55" i="35"/>
  <c r="L34" i="35"/>
  <c r="J34" i="35"/>
  <c r="A31" i="35"/>
  <c r="A30" i="35"/>
  <c r="K20" i="35"/>
  <c r="K19" i="35"/>
  <c r="K18" i="35"/>
  <c r="K17" i="35"/>
  <c r="K16" i="35"/>
  <c r="K15" i="35"/>
  <c r="K14" i="35"/>
  <c r="K13" i="35"/>
  <c r="K12" i="35"/>
  <c r="K11" i="35"/>
  <c r="K10" i="35"/>
  <c r="A3" i="8"/>
  <c r="E31" i="8"/>
  <c r="E19" i="8"/>
  <c r="E12" i="8"/>
  <c r="E3" i="8"/>
  <c r="A2" i="10"/>
  <c r="A2" i="30"/>
  <c r="A2" i="31"/>
  <c r="A2" i="32"/>
  <c r="A2" i="9"/>
  <c r="J32" i="8"/>
  <c r="H32" i="8"/>
  <c r="F32" i="8"/>
  <c r="J20" i="8"/>
  <c r="H20" i="8"/>
  <c r="F20" i="8"/>
  <c r="E16" i="8"/>
  <c r="E15" i="8"/>
  <c r="E14" i="8"/>
  <c r="E7" i="8"/>
  <c r="E6" i="8"/>
  <c r="E5" i="8"/>
  <c r="A72" i="6"/>
  <c r="A53" i="6"/>
  <c r="L38" i="6"/>
  <c r="J38" i="6"/>
  <c r="A34" i="6"/>
  <c r="A30" i="6"/>
  <c r="A29" i="6"/>
  <c r="A133" i="6"/>
  <c r="A132" i="6"/>
  <c r="A131" i="6"/>
  <c r="A124" i="6"/>
  <c r="A123" i="6"/>
  <c r="A122" i="6"/>
  <c r="A114" i="6"/>
  <c r="A113" i="6"/>
  <c r="A112" i="6"/>
  <c r="A104" i="6"/>
  <c r="A103" i="6"/>
  <c r="A102" i="6"/>
  <c r="K20" i="6"/>
  <c r="K19" i="6"/>
  <c r="K18" i="6"/>
  <c r="K17" i="6"/>
  <c r="K16" i="6"/>
  <c r="K15" i="6"/>
  <c r="K14" i="6"/>
  <c r="K13" i="6"/>
  <c r="K12" i="6"/>
  <c r="K11" i="6"/>
  <c r="K10" i="6"/>
  <c r="I21" i="53"/>
  <c r="B24" i="55"/>
  <c r="B24" i="37"/>
  <c r="B26" i="55"/>
  <c r="B26" i="37"/>
  <c r="B28" i="55"/>
  <c r="B28" i="37"/>
  <c r="C20" i="60"/>
  <c r="C21" i="60" s="1"/>
  <c r="C20" i="42"/>
  <c r="C21" i="42" s="1"/>
  <c r="B25" i="55"/>
  <c r="B27" i="55"/>
  <c r="B27" i="37"/>
  <c r="B29" i="55"/>
  <c r="B29" i="37"/>
  <c r="D25" i="55"/>
  <c r="D25" i="37"/>
  <c r="D26" i="55"/>
  <c r="D26" i="37"/>
  <c r="D27" i="55"/>
  <c r="D27" i="37"/>
  <c r="D28" i="55"/>
  <c r="D29" i="55"/>
  <c r="D29" i="37"/>
  <c r="F24" i="55"/>
  <c r="F24" i="37"/>
  <c r="F25" i="55"/>
  <c r="F25" i="37"/>
  <c r="F26" i="55"/>
  <c r="F26" i="37"/>
  <c r="F29" i="55"/>
  <c r="F29" i="37"/>
  <c r="H24" i="55"/>
  <c r="H24" i="37"/>
  <c r="H25" i="55"/>
  <c r="H25" i="37"/>
  <c r="H26" i="37"/>
  <c r="H27" i="55"/>
  <c r="H27" i="37"/>
  <c r="H28" i="55"/>
  <c r="H28" i="37"/>
  <c r="H29" i="55"/>
  <c r="H29" i="37"/>
  <c r="I21" i="35"/>
  <c r="A29" i="42"/>
  <c r="A29" i="14"/>
  <c r="I21" i="6"/>
  <c r="H29" i="9"/>
  <c r="H28" i="9"/>
  <c r="H27" i="9"/>
  <c r="H25" i="9"/>
  <c r="H24" i="9"/>
  <c r="F29" i="9"/>
  <c r="F26" i="9"/>
  <c r="F25" i="9"/>
  <c r="F24" i="9"/>
  <c r="D29" i="9"/>
  <c r="D28" i="9"/>
  <c r="D27" i="9"/>
  <c r="D26" i="9"/>
  <c r="D25" i="9"/>
  <c r="B29" i="9"/>
  <c r="B28" i="9"/>
  <c r="B27" i="9"/>
  <c r="B26" i="9"/>
  <c r="B24" i="9"/>
  <c r="B33" i="32"/>
  <c r="B42" i="32" s="1"/>
  <c r="B34" i="32"/>
  <c r="B43" i="32" s="1"/>
  <c r="B35" i="32"/>
  <c r="B44" i="32" s="1"/>
  <c r="B36" i="32"/>
  <c r="B45" i="32" s="1"/>
  <c r="B37" i="32"/>
  <c r="B46" i="32" s="1"/>
  <c r="B32" i="32"/>
  <c r="B38" i="32" s="1"/>
  <c r="B47" i="32" s="1"/>
  <c r="B33" i="31"/>
  <c r="B42" i="31" s="1"/>
  <c r="B34" i="31"/>
  <c r="B35" i="31"/>
  <c r="B44" i="31" s="1"/>
  <c r="B36" i="31"/>
  <c r="B45" i="31" s="1"/>
  <c r="B37" i="31"/>
  <c r="B32" i="31"/>
  <c r="B41" i="31" s="1"/>
  <c r="B33" i="30"/>
  <c r="B42" i="30" s="1"/>
  <c r="B34" i="30"/>
  <c r="B35" i="30"/>
  <c r="B44" i="30" s="1"/>
  <c r="B36" i="30"/>
  <c r="B37" i="30"/>
  <c r="B46" i="30" s="1"/>
  <c r="B32" i="30"/>
  <c r="B41" i="30" s="1"/>
  <c r="A90" i="32"/>
  <c r="B90" i="32"/>
  <c r="A89" i="32"/>
  <c r="B89" i="32"/>
  <c r="A88" i="32"/>
  <c r="B88" i="32"/>
  <c r="A87" i="32"/>
  <c r="B87" i="32"/>
  <c r="A86" i="32"/>
  <c r="B86" i="32"/>
  <c r="A85" i="32"/>
  <c r="B85" i="32"/>
  <c r="A84" i="32"/>
  <c r="B84" i="32"/>
  <c r="A83" i="32"/>
  <c r="B83" i="32"/>
  <c r="A82" i="32"/>
  <c r="B82" i="32"/>
  <c r="A81" i="32"/>
  <c r="B81" i="32"/>
  <c r="A80" i="32"/>
  <c r="B80" i="32"/>
  <c r="A79" i="32"/>
  <c r="B79" i="32"/>
  <c r="A78" i="32"/>
  <c r="B78" i="32"/>
  <c r="A77" i="32"/>
  <c r="B77" i="32"/>
  <c r="A76" i="32"/>
  <c r="B76" i="32"/>
  <c r="A75" i="32"/>
  <c r="B75" i="32"/>
  <c r="A74" i="32"/>
  <c r="B74" i="32"/>
  <c r="A73" i="32"/>
  <c r="B73" i="32"/>
  <c r="A72" i="32"/>
  <c r="B72" i="32"/>
  <c r="A71" i="32"/>
  <c r="B71" i="32"/>
  <c r="A70" i="32"/>
  <c r="B70" i="32"/>
  <c r="A69" i="32"/>
  <c r="B69" i="32"/>
  <c r="A68" i="32"/>
  <c r="B68" i="32"/>
  <c r="A67" i="32"/>
  <c r="B67" i="32"/>
  <c r="A66" i="32"/>
  <c r="B66" i="32"/>
  <c r="A65" i="32"/>
  <c r="B65" i="32"/>
  <c r="A64" i="32"/>
  <c r="B64" i="32"/>
  <c r="A63" i="32"/>
  <c r="B63" i="32"/>
  <c r="A62" i="32"/>
  <c r="B62" i="32"/>
  <c r="A61" i="32"/>
  <c r="B61" i="32"/>
  <c r="H57" i="32"/>
  <c r="I57" i="32"/>
  <c r="H56" i="32"/>
  <c r="I56" i="32"/>
  <c r="H55" i="32"/>
  <c r="I55" i="32"/>
  <c r="H54" i="32"/>
  <c r="I54" i="32"/>
  <c r="H53" i="32"/>
  <c r="I53" i="32"/>
  <c r="A26" i="32"/>
  <c r="A36" i="32" s="1"/>
  <c r="A45" i="32" s="1"/>
  <c r="A24" i="32"/>
  <c r="A34" i="32" s="1"/>
  <c r="A43" i="32" s="1"/>
  <c r="A22" i="32"/>
  <c r="A32" i="32" s="1"/>
  <c r="A41" i="32" s="1"/>
  <c r="A27" i="32"/>
  <c r="A37" i="32" s="1"/>
  <c r="A46" i="32" s="1"/>
  <c r="A25" i="32"/>
  <c r="A35" i="32" s="1"/>
  <c r="A44" i="32" s="1"/>
  <c r="A23" i="32"/>
  <c r="A33" i="32" s="1"/>
  <c r="A42" i="32" s="1"/>
  <c r="B12" i="32"/>
  <c r="A90" i="31"/>
  <c r="B90" i="31"/>
  <c r="A89" i="31"/>
  <c r="B89" i="31"/>
  <c r="A88" i="31"/>
  <c r="B88" i="31"/>
  <c r="A87" i="31"/>
  <c r="B87" i="31"/>
  <c r="A86" i="31"/>
  <c r="B86" i="31"/>
  <c r="A85" i="31"/>
  <c r="B85" i="31"/>
  <c r="A84" i="31"/>
  <c r="B84" i="31"/>
  <c r="A83" i="31"/>
  <c r="B83" i="31"/>
  <c r="A82" i="31"/>
  <c r="B82" i="31"/>
  <c r="A81" i="31"/>
  <c r="B81" i="31"/>
  <c r="A80" i="31"/>
  <c r="B80" i="31"/>
  <c r="A79" i="31"/>
  <c r="B79" i="31"/>
  <c r="A78" i="31"/>
  <c r="B78" i="31"/>
  <c r="A77" i="31"/>
  <c r="B77" i="31"/>
  <c r="A76" i="31"/>
  <c r="B76" i="31"/>
  <c r="A75" i="31"/>
  <c r="B75" i="31"/>
  <c r="A74" i="31"/>
  <c r="B74" i="31"/>
  <c r="A73" i="31"/>
  <c r="B73" i="31"/>
  <c r="A72" i="31"/>
  <c r="B72" i="31"/>
  <c r="A71" i="31"/>
  <c r="B71" i="31"/>
  <c r="A70" i="31"/>
  <c r="B70" i="31"/>
  <c r="A69" i="31"/>
  <c r="B69" i="31"/>
  <c r="A68" i="31"/>
  <c r="B68" i="31"/>
  <c r="A67" i="31"/>
  <c r="B67" i="31"/>
  <c r="A66" i="31"/>
  <c r="B66" i="31"/>
  <c r="A65" i="31"/>
  <c r="B65" i="31"/>
  <c r="A64" i="31"/>
  <c r="B64" i="31"/>
  <c r="A63" i="31"/>
  <c r="B63" i="31"/>
  <c r="A62" i="31"/>
  <c r="B62" i="31"/>
  <c r="A61" i="31"/>
  <c r="B61" i="31"/>
  <c r="H57" i="31"/>
  <c r="I57" i="31"/>
  <c r="H56" i="31"/>
  <c r="I56" i="31"/>
  <c r="H55" i="31"/>
  <c r="I55" i="31"/>
  <c r="H54" i="31"/>
  <c r="I54" i="31"/>
  <c r="H53" i="31"/>
  <c r="I53" i="31"/>
  <c r="A26" i="31"/>
  <c r="A36" i="31" s="1"/>
  <c r="A45" i="31" s="1"/>
  <c r="A24" i="31"/>
  <c r="A34" i="31" s="1"/>
  <c r="A43" i="31" s="1"/>
  <c r="A22" i="31"/>
  <c r="A32" i="31" s="1"/>
  <c r="A41" i="31" s="1"/>
  <c r="A27" i="31"/>
  <c r="A37" i="31" s="1"/>
  <c r="A46" i="31" s="1"/>
  <c r="A25" i="31"/>
  <c r="A35" i="31" s="1"/>
  <c r="A44" i="31" s="1"/>
  <c r="A23" i="31"/>
  <c r="A33" i="31"/>
  <c r="A42" i="31" s="1"/>
  <c r="B12" i="31"/>
  <c r="A90" i="30"/>
  <c r="B90" i="30"/>
  <c r="A89" i="30"/>
  <c r="B89" i="30"/>
  <c r="A88" i="30"/>
  <c r="B88" i="30"/>
  <c r="A87" i="30"/>
  <c r="B87" i="30"/>
  <c r="A86" i="30"/>
  <c r="B86" i="30"/>
  <c r="A85" i="30"/>
  <c r="B85" i="30"/>
  <c r="A84" i="30"/>
  <c r="B84" i="30"/>
  <c r="A83" i="30"/>
  <c r="B83" i="30"/>
  <c r="A82" i="30"/>
  <c r="B82" i="30"/>
  <c r="A81" i="30"/>
  <c r="B81" i="30"/>
  <c r="A80" i="30"/>
  <c r="B80" i="30"/>
  <c r="A79" i="30"/>
  <c r="B79" i="30"/>
  <c r="A78" i="30"/>
  <c r="B78" i="30"/>
  <c r="A77" i="30"/>
  <c r="B77" i="30"/>
  <c r="A76" i="30"/>
  <c r="B76" i="30"/>
  <c r="A75" i="30"/>
  <c r="B75" i="30"/>
  <c r="A74" i="30"/>
  <c r="B74" i="30"/>
  <c r="A73" i="30"/>
  <c r="B73" i="30"/>
  <c r="A72" i="30"/>
  <c r="B72" i="30"/>
  <c r="A71" i="30"/>
  <c r="B71" i="30"/>
  <c r="A70" i="30"/>
  <c r="B70" i="30"/>
  <c r="A69" i="30"/>
  <c r="B69" i="30"/>
  <c r="A68" i="30"/>
  <c r="B68" i="30"/>
  <c r="A67" i="30"/>
  <c r="B67" i="30"/>
  <c r="A66" i="30"/>
  <c r="B66" i="30"/>
  <c r="A65" i="30"/>
  <c r="B65" i="30"/>
  <c r="A64" i="30"/>
  <c r="B64" i="30"/>
  <c r="A63" i="30"/>
  <c r="B63" i="30"/>
  <c r="A62" i="30"/>
  <c r="B62" i="30"/>
  <c r="A61" i="30"/>
  <c r="B61" i="30"/>
  <c r="H57" i="30"/>
  <c r="I57" i="30"/>
  <c r="H56" i="30"/>
  <c r="I56" i="30"/>
  <c r="H55" i="30"/>
  <c r="I55" i="30"/>
  <c r="H54" i="30"/>
  <c r="I54" i="30"/>
  <c r="H53" i="30"/>
  <c r="I53" i="30"/>
  <c r="A26" i="30"/>
  <c r="A36" i="30" s="1"/>
  <c r="A45" i="30" s="1"/>
  <c r="A24" i="30"/>
  <c r="A34" i="30" s="1"/>
  <c r="A43" i="30" s="1"/>
  <c r="A22" i="30"/>
  <c r="A32" i="30" s="1"/>
  <c r="A41" i="30" s="1"/>
  <c r="A27" i="30"/>
  <c r="A37" i="30" s="1"/>
  <c r="A46" i="30" s="1"/>
  <c r="A25" i="30"/>
  <c r="A35" i="30" s="1"/>
  <c r="A44" i="30" s="1"/>
  <c r="A23" i="30"/>
  <c r="A33" i="30" s="1"/>
  <c r="A42" i="30" s="1"/>
  <c r="B12" i="30"/>
  <c r="A87" i="10"/>
  <c r="B87" i="10"/>
  <c r="A88" i="10"/>
  <c r="B88" i="10"/>
  <c r="A89" i="10"/>
  <c r="B89" i="10"/>
  <c r="A90" i="10"/>
  <c r="B90" i="10"/>
  <c r="A82" i="10"/>
  <c r="B82" i="10"/>
  <c r="A83" i="10"/>
  <c r="B83" i="10"/>
  <c r="A84" i="10"/>
  <c r="B84" i="10"/>
  <c r="A85" i="10"/>
  <c r="B85" i="10"/>
  <c r="A77" i="10"/>
  <c r="B77" i="10"/>
  <c r="A78" i="10"/>
  <c r="B78" i="10"/>
  <c r="A79" i="10"/>
  <c r="B79" i="10"/>
  <c r="A80" i="10"/>
  <c r="B80" i="10"/>
  <c r="A72" i="10"/>
  <c r="B72" i="10"/>
  <c r="A73" i="10"/>
  <c r="B73" i="10"/>
  <c r="A74" i="10"/>
  <c r="B74" i="10"/>
  <c r="A75" i="10"/>
  <c r="B75" i="10"/>
  <c r="A67" i="10"/>
  <c r="B67" i="10"/>
  <c r="A68" i="10"/>
  <c r="B68" i="10"/>
  <c r="A69" i="10"/>
  <c r="B69" i="10"/>
  <c r="A70" i="10"/>
  <c r="B70" i="10"/>
  <c r="A62" i="10"/>
  <c r="B62" i="10"/>
  <c r="A63" i="10"/>
  <c r="B63" i="10"/>
  <c r="A64" i="10"/>
  <c r="B64" i="10"/>
  <c r="A65" i="10"/>
  <c r="B65" i="10"/>
  <c r="A86" i="10"/>
  <c r="B86" i="10"/>
  <c r="A81" i="10"/>
  <c r="B81" i="10"/>
  <c r="A76" i="10"/>
  <c r="B76" i="10"/>
  <c r="A71" i="10"/>
  <c r="B71" i="10"/>
  <c r="A66" i="10"/>
  <c r="B66" i="10"/>
  <c r="A61" i="10"/>
  <c r="B61" i="10"/>
  <c r="H54" i="10"/>
  <c r="I54" i="10"/>
  <c r="H55" i="10"/>
  <c r="I55" i="10"/>
  <c r="H56" i="10"/>
  <c r="I56" i="10"/>
  <c r="H57" i="10"/>
  <c r="I57" i="10"/>
  <c r="H53" i="10"/>
  <c r="I53" i="10"/>
  <c r="A23" i="10"/>
  <c r="A33" i="10" s="1"/>
  <c r="A42" i="10" s="1"/>
  <c r="A24" i="10"/>
  <c r="A34" i="10"/>
  <c r="A43" i="10" s="1"/>
  <c r="A25" i="10"/>
  <c r="A35" i="10" s="1"/>
  <c r="A44" i="10" s="1"/>
  <c r="A26" i="10"/>
  <c r="A36" i="10" s="1"/>
  <c r="A45" i="10" s="1"/>
  <c r="A27" i="10"/>
  <c r="A37" i="10" s="1"/>
  <c r="A46" i="10" s="1"/>
  <c r="A22" i="10"/>
  <c r="A32" i="10"/>
  <c r="A41" i="10" s="1"/>
  <c r="A25" i="9"/>
  <c r="A26" i="9"/>
  <c r="A27" i="9"/>
  <c r="A28" i="9"/>
  <c r="A29" i="9"/>
  <c r="A24" i="9"/>
  <c r="C3" i="9"/>
  <c r="F3" i="9"/>
  <c r="I3" i="9"/>
  <c r="L3" i="9"/>
  <c r="F4" i="9"/>
  <c r="G4" i="9"/>
  <c r="H4" i="9"/>
  <c r="L4" i="9"/>
  <c r="O4" i="9"/>
  <c r="M4" i="9"/>
  <c r="P4" i="9"/>
  <c r="N4" i="9"/>
  <c r="Q4" i="9"/>
  <c r="B12" i="10"/>
  <c r="B32" i="10"/>
  <c r="B41" i="10" s="1"/>
  <c r="B33" i="10"/>
  <c r="B34" i="10"/>
  <c r="B43" i="10" s="1"/>
  <c r="B35" i="10"/>
  <c r="B44" i="10" s="1"/>
  <c r="B36" i="10"/>
  <c r="B45" i="10" s="1"/>
  <c r="B37" i="10"/>
  <c r="B46" i="10" s="1"/>
  <c r="A16" i="14"/>
  <c r="C20" i="14"/>
  <c r="C21" i="14" s="1"/>
  <c r="D24" i="9"/>
  <c r="D24" i="63"/>
  <c r="D24" i="55"/>
  <c r="H26" i="55"/>
  <c r="H26" i="9"/>
  <c r="H26" i="63"/>
  <c r="F27" i="63"/>
  <c r="D28" i="63"/>
  <c r="D28" i="37"/>
  <c r="F129" i="61"/>
  <c r="C20" i="68"/>
  <c r="C21" i="68" s="1"/>
  <c r="F122" i="35"/>
  <c r="D122" i="53"/>
  <c r="D121" i="6"/>
  <c r="D122" i="35"/>
  <c r="B122" i="53"/>
  <c r="F122" i="53"/>
  <c r="F121" i="6"/>
  <c r="B121" i="6"/>
  <c r="B122" i="35"/>
  <c r="F28" i="63"/>
  <c r="F28" i="55"/>
  <c r="F28" i="9"/>
  <c r="F27" i="37"/>
  <c r="F27" i="9"/>
  <c r="F27" i="55"/>
  <c r="B25" i="63"/>
  <c r="B25" i="9"/>
  <c r="B25" i="37"/>
  <c r="B44" i="64"/>
  <c r="B42" i="66"/>
  <c r="A51" i="61"/>
  <c r="F134" i="53"/>
  <c r="F102" i="35"/>
  <c r="F31" i="61"/>
  <c r="D54" i="86"/>
  <c r="D54" i="83"/>
  <c r="A12" i="55"/>
  <c r="A152" i="53"/>
  <c r="A47" i="6"/>
  <c r="I88" i="6"/>
  <c r="I87" i="6"/>
  <c r="I46" i="35"/>
  <c r="A48" i="6"/>
  <c r="I83" i="6"/>
  <c r="A37" i="6"/>
  <c r="I78" i="6"/>
  <c r="I39" i="35"/>
  <c r="A13" i="55"/>
  <c r="A146" i="6"/>
  <c r="A160" i="35"/>
  <c r="A143" i="6"/>
  <c r="E40" i="62"/>
  <c r="A46" i="6"/>
  <c r="A41" i="6"/>
  <c r="I89" i="6"/>
  <c r="A70" i="53"/>
  <c r="A39" i="6"/>
  <c r="A161" i="6"/>
  <c r="A169" i="6"/>
  <c r="A62" i="61"/>
  <c r="A58" i="61"/>
  <c r="A68" i="61"/>
  <c r="I47" i="53"/>
  <c r="A59" i="35"/>
  <c r="A63" i="61"/>
  <c r="A144" i="35"/>
  <c r="A163" i="53"/>
  <c r="A61" i="35"/>
  <c r="A173" i="53"/>
  <c r="I42" i="35"/>
  <c r="I80" i="6"/>
  <c r="I40" i="35"/>
  <c r="A20" i="84"/>
  <c r="I58" i="61"/>
  <c r="A163" i="61"/>
  <c r="A57" i="61"/>
  <c r="A11" i="63"/>
  <c r="A164" i="61"/>
  <c r="F132" i="53"/>
  <c r="F131" i="61"/>
  <c r="E28" i="54"/>
  <c r="I72" i="6"/>
  <c r="I91" i="6"/>
  <c r="E65" i="62"/>
  <c r="B36" i="61"/>
  <c r="A94" i="6"/>
  <c r="I40" i="53"/>
  <c r="I59" i="6"/>
  <c r="A144" i="6"/>
  <c r="A7" i="83"/>
  <c r="A18" i="83"/>
  <c r="I61" i="6"/>
  <c r="A168" i="35"/>
  <c r="A140" i="6"/>
  <c r="I88" i="35"/>
  <c r="I79" i="61"/>
  <c r="A147" i="53"/>
  <c r="A46" i="61"/>
  <c r="A12" i="9"/>
  <c r="I86" i="35"/>
  <c r="A142" i="53"/>
  <c r="A15" i="8"/>
  <c r="A144" i="53"/>
  <c r="A45" i="53"/>
  <c r="I42" i="6"/>
  <c r="I79" i="35"/>
  <c r="A9" i="9"/>
  <c r="A150" i="53"/>
  <c r="A11" i="9"/>
  <c r="I80" i="35"/>
  <c r="I11" i="83"/>
  <c r="I16" i="86"/>
  <c r="E8" i="8"/>
  <c r="A146" i="53"/>
  <c r="A15" i="36"/>
  <c r="A43" i="53"/>
  <c r="I77" i="35"/>
  <c r="A6" i="9"/>
  <c r="A149" i="6"/>
  <c r="I12" i="83"/>
  <c r="I12" i="86"/>
  <c r="A135" i="53"/>
  <c r="A125" i="61"/>
  <c r="A7" i="63"/>
  <c r="A167" i="35"/>
  <c r="A55" i="86"/>
  <c r="A32" i="35"/>
  <c r="A147" i="6"/>
  <c r="I83" i="35"/>
  <c r="I8" i="83"/>
  <c r="A10" i="83"/>
  <c r="A14" i="86"/>
  <c r="A17" i="86"/>
  <c r="I9" i="86"/>
  <c r="A12" i="86"/>
  <c r="A126" i="53"/>
  <c r="A10" i="63"/>
  <c r="A14" i="63"/>
  <c r="A16" i="63"/>
  <c r="A161" i="35"/>
  <c r="A154" i="35"/>
  <c r="A170" i="35"/>
  <c r="A13" i="83"/>
  <c r="A11" i="83"/>
  <c r="A8" i="83"/>
  <c r="I15" i="83"/>
  <c r="I9" i="85"/>
  <c r="I11" i="86"/>
  <c r="A126" i="35"/>
  <c r="A95" i="53"/>
  <c r="A8" i="63"/>
  <c r="A116" i="35"/>
  <c r="A15" i="62"/>
  <c r="A12" i="63"/>
  <c r="A166" i="35"/>
  <c r="A11" i="55"/>
  <c r="A15" i="54"/>
  <c r="A165" i="35"/>
  <c r="I13" i="85"/>
  <c r="I14" i="86"/>
  <c r="I7" i="85"/>
  <c r="I13" i="86"/>
  <c r="I62" i="61"/>
  <c r="I60" i="61"/>
  <c r="I63" i="61"/>
  <c r="I68" i="61"/>
  <c r="I67" i="61"/>
  <c r="I59" i="61"/>
  <c r="A64" i="35"/>
  <c r="A65" i="35"/>
  <c r="A67" i="35"/>
  <c r="E40" i="54"/>
  <c r="E40" i="36"/>
  <c r="E28" i="62"/>
  <c r="I20" i="86"/>
  <c r="A20" i="85"/>
  <c r="A70" i="61"/>
  <c r="I20" i="84"/>
  <c r="A51" i="35"/>
  <c r="I109" i="35"/>
  <c r="I90" i="35"/>
  <c r="I20" i="85"/>
  <c r="E53" i="54"/>
  <c r="E65" i="36"/>
  <c r="I20" i="83"/>
  <c r="I49" i="35"/>
  <c r="A69" i="6"/>
  <c r="I15" i="84"/>
  <c r="I7" i="84"/>
  <c r="I16" i="84"/>
  <c r="I18" i="84"/>
  <c r="I13" i="84"/>
  <c r="I11" i="84"/>
  <c r="I12" i="84"/>
  <c r="E65" i="8"/>
  <c r="I66" i="61"/>
  <c r="I65" i="61"/>
  <c r="I69" i="61"/>
  <c r="A20" i="86"/>
  <c r="E28" i="36"/>
  <c r="E65" i="54"/>
  <c r="A67" i="61"/>
  <c r="A60" i="61"/>
  <c r="A66" i="61"/>
  <c r="A61" i="61"/>
  <c r="A64" i="61"/>
  <c r="A65" i="61"/>
  <c r="A59" i="61"/>
  <c r="I80" i="61"/>
  <c r="I85" i="61"/>
  <c r="I88" i="61"/>
  <c r="A40" i="35"/>
  <c r="I14" i="84"/>
  <c r="I9" i="84"/>
  <c r="I90" i="61"/>
  <c r="I72" i="53"/>
  <c r="E40" i="8"/>
  <c r="A20" i="83"/>
  <c r="A58" i="35"/>
  <c r="E53" i="62"/>
  <c r="E28" i="8"/>
  <c r="I61" i="53"/>
  <c r="I59" i="53"/>
  <c r="A5" i="55"/>
  <c r="A15" i="55"/>
  <c r="A14" i="55"/>
  <c r="A8" i="55"/>
  <c r="A7" i="55"/>
  <c r="A63" i="6"/>
  <c r="I105" i="35"/>
  <c r="I10" i="84"/>
  <c r="I53" i="6"/>
  <c r="E53" i="36"/>
  <c r="I52" i="53"/>
  <c r="E53" i="8"/>
  <c r="A70" i="35"/>
  <c r="A51" i="53"/>
  <c r="A62" i="6"/>
  <c r="A50" i="6"/>
  <c r="I61" i="61"/>
  <c r="I52" i="61"/>
  <c r="A16" i="55"/>
  <c r="I68" i="53"/>
  <c r="I91" i="53"/>
  <c r="I71" i="61"/>
  <c r="A49" i="53"/>
  <c r="A40" i="53"/>
  <c r="I78" i="53"/>
  <c r="I80" i="53"/>
  <c r="A151" i="53"/>
  <c r="A148" i="53"/>
  <c r="I48" i="6"/>
  <c r="I40" i="6"/>
  <c r="I46" i="6"/>
  <c r="I41" i="6"/>
  <c r="A13" i="9"/>
  <c r="A14" i="9"/>
  <c r="A10" i="37"/>
  <c r="A141" i="35"/>
  <c r="A143" i="35"/>
  <c r="A151" i="61"/>
  <c r="A167" i="61"/>
  <c r="A12" i="85"/>
  <c r="A16" i="85"/>
  <c r="A17" i="85"/>
  <c r="A10" i="85"/>
  <c r="A18" i="85"/>
  <c r="A8" i="85"/>
  <c r="A13" i="85"/>
  <c r="A18" i="86"/>
  <c r="A15" i="86"/>
  <c r="A16" i="86"/>
  <c r="A13" i="86"/>
  <c r="A7" i="86"/>
  <c r="A8" i="86"/>
  <c r="A9" i="86"/>
  <c r="I18" i="83"/>
  <c r="A7" i="84"/>
  <c r="I18" i="86"/>
  <c r="I17" i="86"/>
  <c r="I15" i="86"/>
  <c r="A168" i="53"/>
  <c r="A67" i="53"/>
  <c r="A63" i="53"/>
  <c r="A162" i="6"/>
  <c r="A160" i="6"/>
  <c r="A164" i="6"/>
  <c r="A165" i="6"/>
  <c r="A159" i="6"/>
  <c r="A167" i="6"/>
  <c r="A168" i="6"/>
  <c r="A170" i="6"/>
  <c r="A166" i="53"/>
  <c r="A171" i="53"/>
  <c r="I70" i="53"/>
  <c r="I63" i="53"/>
  <c r="I67" i="53"/>
  <c r="I69" i="53"/>
  <c r="I60" i="53"/>
  <c r="I64" i="53"/>
  <c r="A61" i="6"/>
  <c r="A57" i="6"/>
  <c r="A58" i="6"/>
  <c r="A68" i="53"/>
  <c r="A59" i="53"/>
  <c r="A61" i="53"/>
  <c r="A64" i="53"/>
  <c r="A65" i="53"/>
  <c r="A62" i="53"/>
  <c r="A60" i="53"/>
  <c r="I64" i="6"/>
  <c r="I70" i="6"/>
  <c r="I69" i="6"/>
  <c r="A169" i="53"/>
  <c r="A66" i="53"/>
  <c r="I66" i="53"/>
  <c r="A66" i="6"/>
  <c r="I78" i="61"/>
  <c r="A45" i="35"/>
  <c r="I49" i="53"/>
  <c r="A150" i="6"/>
  <c r="A45" i="6"/>
  <c r="I14" i="83"/>
  <c r="A16" i="83"/>
  <c r="A15" i="83"/>
  <c r="A14" i="83"/>
  <c r="A13" i="84"/>
  <c r="I8" i="84"/>
  <c r="I13" i="83"/>
  <c r="A14" i="85"/>
  <c r="A9" i="85"/>
  <c r="A12" i="83"/>
  <c r="A11" i="85"/>
  <c r="A7" i="85"/>
  <c r="I12" i="85"/>
  <c r="I8" i="86"/>
  <c r="I9" i="83"/>
  <c r="I10" i="83"/>
  <c r="I16" i="83"/>
  <c r="I17" i="84"/>
  <c r="I7" i="83"/>
  <c r="B105" i="53"/>
  <c r="B103" i="35"/>
  <c r="B103" i="53"/>
  <c r="D102" i="61"/>
  <c r="D102" i="35"/>
  <c r="D119" i="6"/>
  <c r="B84" i="35"/>
  <c r="I7" i="86"/>
  <c r="A10" i="86"/>
  <c r="O46" i="6"/>
  <c r="O49" i="6"/>
  <c r="O41" i="6"/>
  <c r="O44" i="6"/>
  <c r="B81" i="6"/>
  <c r="B139" i="35"/>
  <c r="B103" i="61"/>
  <c r="I49" i="61"/>
  <c r="A168" i="61"/>
  <c r="I44" i="61"/>
  <c r="I50" i="61"/>
  <c r="A38" i="61"/>
  <c r="A160" i="61"/>
  <c r="A47" i="61"/>
  <c r="A161" i="61"/>
  <c r="I40" i="61"/>
  <c r="I39" i="61"/>
  <c r="A166" i="61"/>
  <c r="A45" i="61"/>
  <c r="I47" i="61"/>
  <c r="A41" i="61"/>
  <c r="A39" i="61"/>
  <c r="I43" i="61"/>
  <c r="I48" i="61"/>
  <c r="A159" i="61"/>
  <c r="A169" i="61"/>
  <c r="A149" i="61"/>
  <c r="A146" i="61"/>
  <c r="A48" i="61"/>
  <c r="A170" i="61"/>
  <c r="I41" i="61"/>
  <c r="A42" i="61"/>
  <c r="I45" i="61"/>
  <c r="A165" i="61"/>
  <c r="I46" i="61"/>
  <c r="A141" i="61"/>
  <c r="A44" i="61"/>
  <c r="A43" i="61"/>
  <c r="A145" i="61"/>
  <c r="I108" i="6"/>
  <c r="I104" i="6"/>
  <c r="I100" i="6"/>
  <c r="O45" i="6"/>
  <c r="O50" i="6"/>
  <c r="I68" i="6"/>
  <c r="I62" i="6"/>
  <c r="I60" i="6"/>
  <c r="A60" i="6"/>
  <c r="A67" i="6"/>
  <c r="I44" i="6"/>
  <c r="I49" i="6"/>
  <c r="A145" i="6"/>
  <c r="A142" i="6"/>
  <c r="I67" i="6"/>
  <c r="A141" i="6"/>
  <c r="I81" i="6"/>
  <c r="I79" i="6"/>
  <c r="I82" i="6"/>
  <c r="I84" i="6"/>
  <c r="A65" i="6"/>
  <c r="I63" i="6"/>
  <c r="O47" i="6"/>
  <c r="I107" i="6"/>
  <c r="I103" i="6"/>
  <c r="I99" i="6"/>
  <c r="O48" i="6"/>
  <c r="O42" i="6"/>
  <c r="A148" i="6"/>
  <c r="I65" i="6"/>
  <c r="A56" i="6"/>
  <c r="I43" i="6"/>
  <c r="I51" i="6"/>
  <c r="A59" i="6"/>
  <c r="I45" i="6"/>
  <c r="I50" i="6"/>
  <c r="A44" i="6"/>
  <c r="A40" i="6"/>
  <c r="A38" i="6"/>
  <c r="A42" i="6"/>
  <c r="I85" i="6"/>
  <c r="I109" i="6"/>
  <c r="I105" i="6"/>
  <c r="A167" i="53"/>
  <c r="A161" i="53"/>
  <c r="A170" i="53"/>
  <c r="A141" i="53"/>
  <c r="A160" i="53"/>
  <c r="A164" i="53"/>
  <c r="A162" i="53"/>
  <c r="A143" i="53"/>
  <c r="A145" i="53"/>
  <c r="A49" i="35"/>
  <c r="A42" i="35"/>
  <c r="A47" i="35"/>
  <c r="A142" i="35"/>
  <c r="A57" i="35"/>
  <c r="I97" i="35"/>
  <c r="A43" i="35"/>
  <c r="A68" i="35"/>
  <c r="A63" i="35"/>
  <c r="A62" i="35"/>
  <c r="A48" i="35"/>
  <c r="A46" i="35"/>
  <c r="I44" i="35"/>
  <c r="A147" i="35"/>
  <c r="I102" i="35"/>
  <c r="I41" i="35"/>
  <c r="I43" i="35"/>
  <c r="A44" i="35"/>
  <c r="A39" i="35"/>
  <c r="A152" i="35"/>
  <c r="A41" i="35"/>
  <c r="I101" i="35"/>
  <c r="A66" i="35"/>
  <c r="I36" i="35"/>
  <c r="I37" i="35"/>
  <c r="I47" i="35"/>
  <c r="I45" i="35"/>
  <c r="A148" i="35"/>
  <c r="A150" i="35"/>
  <c r="I107" i="35"/>
  <c r="I99" i="35"/>
  <c r="A164" i="35"/>
  <c r="A162" i="35"/>
  <c r="A163" i="35"/>
  <c r="I81" i="35"/>
  <c r="I82" i="35"/>
  <c r="A149" i="35"/>
  <c r="I96" i="35"/>
  <c r="I100" i="35"/>
  <c r="A171" i="35"/>
  <c r="I78" i="35"/>
  <c r="A146" i="35"/>
  <c r="A151" i="35"/>
  <c r="I98" i="35"/>
  <c r="I103" i="35"/>
  <c r="I84" i="35"/>
  <c r="I104" i="35"/>
  <c r="A12" i="37"/>
  <c r="A6" i="37"/>
  <c r="B53" i="83"/>
  <c r="B54" i="83"/>
  <c r="C54" i="84"/>
  <c r="D31" i="53"/>
  <c r="F30" i="6"/>
  <c r="F133" i="6"/>
  <c r="F133" i="61"/>
  <c r="D54" i="84"/>
  <c r="F31" i="53"/>
  <c r="F134" i="35"/>
  <c r="D54" i="85"/>
  <c r="F102" i="53"/>
  <c r="F102" i="61"/>
  <c r="F101" i="6"/>
  <c r="F105" i="35"/>
  <c r="B12" i="8"/>
  <c r="F103" i="61"/>
  <c r="G103" i="61" s="1"/>
  <c r="F104" i="61"/>
  <c r="F133" i="35"/>
  <c r="F133" i="53"/>
  <c r="F30" i="35"/>
  <c r="G31" i="35" s="1"/>
  <c r="F112" i="53"/>
  <c r="D52" i="86"/>
  <c r="D52" i="84"/>
  <c r="D52" i="83"/>
  <c r="F132" i="35"/>
  <c r="D52" i="85"/>
  <c r="F131" i="6"/>
  <c r="B75" i="6"/>
  <c r="B89" i="53"/>
  <c r="B6" i="8"/>
  <c r="B6" i="62"/>
  <c r="B85" i="61"/>
  <c r="B102" i="6"/>
  <c r="B31" i="53"/>
  <c r="B12" i="54"/>
  <c r="B10" i="36"/>
  <c r="B82" i="35"/>
  <c r="B131" i="61"/>
  <c r="B132" i="35"/>
  <c r="B5" i="62"/>
  <c r="B5" i="8"/>
  <c r="B9" i="54"/>
  <c r="B77" i="6"/>
  <c r="B105" i="35"/>
  <c r="B105" i="61"/>
  <c r="B76" i="53"/>
  <c r="B76" i="61"/>
  <c r="B30" i="61"/>
  <c r="B133" i="53"/>
  <c r="B53" i="86"/>
  <c r="B53" i="84"/>
  <c r="B30" i="35"/>
  <c r="B7" i="54"/>
  <c r="B7" i="62"/>
  <c r="B11" i="36"/>
  <c r="B52" i="86"/>
  <c r="B131" i="6"/>
  <c r="B7" i="36"/>
  <c r="B53" i="85"/>
  <c r="B132" i="6"/>
  <c r="B88" i="61"/>
  <c r="B76" i="35"/>
  <c r="B9" i="36"/>
  <c r="D77" i="61"/>
  <c r="D79" i="6"/>
  <c r="D84" i="6"/>
  <c r="D85" i="35"/>
  <c r="D87" i="35"/>
  <c r="D85" i="61"/>
  <c r="D87" i="53"/>
  <c r="C54" i="85"/>
  <c r="C54" i="86"/>
  <c r="D133" i="61"/>
  <c r="D134" i="35"/>
  <c r="D31" i="61"/>
  <c r="D92" i="35"/>
  <c r="D80" i="53"/>
  <c r="D86" i="53"/>
  <c r="D87" i="61"/>
  <c r="D85" i="6"/>
  <c r="D85" i="53"/>
  <c r="D77" i="53"/>
  <c r="D102" i="53"/>
  <c r="D86" i="61"/>
  <c r="D132" i="61"/>
  <c r="E133" i="61" s="1"/>
  <c r="D132" i="53"/>
  <c r="B46" i="59"/>
  <c r="B41" i="41"/>
  <c r="B42" i="38"/>
  <c r="B45" i="30"/>
  <c r="B43" i="57"/>
  <c r="B43" i="31"/>
  <c r="B43" i="30"/>
  <c r="B42" i="39"/>
  <c r="B38" i="56"/>
  <c r="B47" i="56" s="1"/>
  <c r="B41" i="32"/>
  <c r="B43" i="56"/>
  <c r="B43" i="59"/>
  <c r="B42" i="10"/>
  <c r="B46" i="31"/>
  <c r="B42" i="65"/>
  <c r="B43" i="65"/>
  <c r="B38" i="57"/>
  <c r="B38" i="67"/>
  <c r="B38" i="30"/>
  <c r="B47" i="30" s="1"/>
  <c r="B38" i="58"/>
  <c r="D111" i="6"/>
  <c r="C53" i="83"/>
  <c r="D30" i="61"/>
  <c r="D133" i="35"/>
  <c r="D30" i="35"/>
  <c r="D29" i="6"/>
  <c r="D30" i="53"/>
  <c r="C53" i="85"/>
  <c r="C53" i="86"/>
  <c r="D133" i="53"/>
  <c r="C53" i="84"/>
  <c r="D81" i="61"/>
  <c r="D81" i="35"/>
  <c r="D80" i="6"/>
  <c r="D81" i="53"/>
  <c r="D82" i="35"/>
  <c r="D82" i="61"/>
  <c r="D82" i="53"/>
  <c r="D81" i="6"/>
  <c r="D83" i="53"/>
  <c r="D82" i="6"/>
  <c r="D83" i="35"/>
  <c r="D83" i="6"/>
  <c r="D84" i="35"/>
  <c r="D84" i="61"/>
  <c r="D88" i="6"/>
  <c r="D89" i="35"/>
  <c r="D89" i="61"/>
  <c r="D89" i="53"/>
  <c r="D90" i="53"/>
  <c r="D90" i="35"/>
  <c r="D90" i="61"/>
  <c r="D131" i="61"/>
  <c r="E132" i="61" s="1"/>
  <c r="C52" i="85"/>
  <c r="D132" i="35"/>
  <c r="D131" i="6"/>
  <c r="C52" i="86"/>
  <c r="C52" i="84"/>
  <c r="C52" i="83"/>
  <c r="D105" i="61"/>
  <c r="D104" i="6"/>
  <c r="D105" i="35"/>
  <c r="D79" i="53"/>
  <c r="D75" i="6"/>
  <c r="D12" i="35"/>
  <c r="D77" i="6"/>
  <c r="D78" i="53"/>
  <c r="D78" i="35"/>
  <c r="D78" i="61"/>
  <c r="D78" i="6"/>
  <c r="D79" i="35"/>
  <c r="F10" i="6"/>
  <c r="F10" i="53"/>
  <c r="F112" i="35"/>
  <c r="F12" i="6"/>
  <c r="F9" i="53"/>
  <c r="F9" i="35"/>
  <c r="A23" i="61"/>
  <c r="A5" i="37"/>
  <c r="A13" i="37"/>
  <c r="A14" i="37"/>
  <c r="A8" i="37"/>
  <c r="I124" i="6"/>
  <c r="I50" i="53"/>
  <c r="I48" i="53"/>
  <c r="I46" i="53"/>
  <c r="I45" i="53"/>
  <c r="I39" i="53"/>
  <c r="I44" i="53"/>
  <c r="I42" i="53"/>
  <c r="I41" i="53"/>
  <c r="A8" i="9"/>
  <c r="A5" i="9"/>
  <c r="A16" i="9"/>
  <c r="A10" i="9"/>
  <c r="A7" i="9"/>
  <c r="A15" i="9"/>
  <c r="A15" i="37"/>
  <c r="A143" i="61"/>
  <c r="A150" i="61"/>
  <c r="A144" i="61"/>
  <c r="A140" i="61"/>
  <c r="A142" i="61"/>
  <c r="A148" i="61"/>
  <c r="A147" i="61"/>
  <c r="A17" i="84"/>
  <c r="A14" i="84"/>
  <c r="A16" i="84"/>
  <c r="A8" i="84"/>
  <c r="A15" i="84"/>
  <c r="A18" i="84"/>
  <c r="A11" i="84"/>
  <c r="A9" i="84"/>
  <c r="A12" i="84"/>
  <c r="A10" i="84"/>
  <c r="I18" i="85"/>
  <c r="I8" i="85"/>
  <c r="I11" i="85"/>
  <c r="I10" i="85"/>
  <c r="I14" i="85"/>
  <c r="I15" i="85"/>
  <c r="I17" i="85"/>
  <c r="I16" i="85"/>
  <c r="A9" i="37"/>
  <c r="A11" i="37"/>
  <c r="I121" i="6"/>
  <c r="I126" i="6"/>
  <c r="I120" i="6"/>
  <c r="I123" i="6"/>
  <c r="I129" i="6"/>
  <c r="I125" i="6"/>
  <c r="I128" i="6"/>
  <c r="I119" i="6"/>
  <c r="I130" i="6"/>
  <c r="A7" i="37"/>
  <c r="A16" i="37"/>
  <c r="I43" i="53"/>
  <c r="A38" i="53"/>
  <c r="A44" i="53"/>
  <c r="A46" i="53"/>
  <c r="A41" i="53"/>
  <c r="A39" i="53"/>
  <c r="A48" i="53"/>
  <c r="A47" i="53"/>
  <c r="A42" i="53"/>
  <c r="I88" i="53"/>
  <c r="I89" i="53"/>
  <c r="I85" i="53"/>
  <c r="I83" i="53"/>
  <c r="I81" i="53"/>
  <c r="I79" i="53"/>
  <c r="I84" i="53"/>
  <c r="I86" i="53"/>
  <c r="I82" i="53"/>
  <c r="I87" i="53"/>
  <c r="I87" i="61"/>
  <c r="I82" i="61"/>
  <c r="I77" i="61"/>
  <c r="I84" i="61"/>
  <c r="I83" i="61"/>
  <c r="I86" i="61"/>
  <c r="I81" i="61"/>
  <c r="A135" i="35"/>
  <c r="E17" i="62"/>
  <c r="E8" i="62"/>
  <c r="A32" i="61"/>
  <c r="A106" i="35"/>
  <c r="A106" i="61"/>
  <c r="E8" i="36"/>
  <c r="A31" i="6"/>
  <c r="A105" i="6"/>
  <c r="A58" i="53"/>
  <c r="A57" i="53"/>
  <c r="A166" i="6"/>
  <c r="A163" i="6"/>
  <c r="A5" i="63"/>
  <c r="A15" i="63"/>
  <c r="A6" i="63"/>
  <c r="A13" i="63"/>
  <c r="A9" i="63"/>
  <c r="A13" i="61"/>
  <c r="A13" i="6"/>
  <c r="A23" i="35"/>
  <c r="A106" i="53"/>
  <c r="E17" i="8"/>
  <c r="A154" i="53"/>
  <c r="A172" i="61"/>
  <c r="A95" i="35"/>
  <c r="A13" i="53"/>
  <c r="A153" i="6"/>
  <c r="A115" i="6"/>
  <c r="A116" i="53"/>
  <c r="A125" i="6"/>
  <c r="A173" i="35"/>
  <c r="A55" i="84"/>
  <c r="A134" i="61"/>
  <c r="A116" i="61"/>
  <c r="A32" i="53"/>
  <c r="E17" i="54"/>
  <c r="A172" i="6"/>
  <c r="A153" i="61"/>
  <c r="A55" i="83"/>
  <c r="E8" i="54"/>
  <c r="A95" i="61"/>
  <c r="E17" i="36"/>
  <c r="A55" i="85"/>
  <c r="I62" i="53"/>
  <c r="I65" i="53"/>
  <c r="A6" i="55"/>
  <c r="A10" i="55"/>
  <c r="A49" i="61"/>
  <c r="A40" i="61"/>
  <c r="A23" i="6"/>
  <c r="D112" i="35"/>
  <c r="D112" i="61"/>
  <c r="B47" i="57"/>
  <c r="B47" i="67"/>
  <c r="B47" i="58"/>
  <c r="B38" i="65" l="1"/>
  <c r="B47" i="65" s="1"/>
  <c r="F110" i="61"/>
  <c r="B38" i="10"/>
  <c r="B47" i="10" s="1"/>
  <c r="B38" i="59"/>
  <c r="B47" i="59" s="1"/>
  <c r="B7" i="35"/>
  <c r="B55" i="35"/>
  <c r="F110" i="35"/>
  <c r="B38" i="40"/>
  <c r="B47" i="40" s="1"/>
  <c r="F109" i="6"/>
  <c r="F100" i="53"/>
  <c r="F110" i="53"/>
  <c r="F120" i="53"/>
  <c r="B38" i="64"/>
  <c r="B47" i="64" s="1"/>
  <c r="F27" i="53"/>
  <c r="F36" i="35"/>
  <c r="B38" i="31"/>
  <c r="B47" i="31" s="1"/>
  <c r="B110" i="61"/>
  <c r="B27" i="35"/>
  <c r="D74" i="35"/>
  <c r="I75" i="35"/>
  <c r="D120" i="53"/>
  <c r="B120" i="53"/>
  <c r="B38" i="66"/>
  <c r="B47" i="66" s="1"/>
  <c r="B138" i="6"/>
  <c r="B73" i="6"/>
  <c r="D55" i="35"/>
  <c r="I56" i="61"/>
  <c r="D36" i="61"/>
  <c r="D139" i="53"/>
  <c r="G133" i="53"/>
  <c r="B54" i="6"/>
  <c r="B17" i="53"/>
  <c r="D55" i="61"/>
  <c r="B74" i="61"/>
  <c r="D130" i="35"/>
  <c r="B38" i="38"/>
  <c r="B47" i="38" s="1"/>
  <c r="B41" i="39"/>
  <c r="B130" i="53"/>
  <c r="B139" i="53"/>
  <c r="B26" i="6"/>
  <c r="B129" i="6"/>
  <c r="B100" i="61"/>
  <c r="B158" i="35"/>
  <c r="I94" i="35"/>
  <c r="B17" i="6"/>
  <c r="D99" i="6"/>
  <c r="D129" i="61"/>
  <c r="D27" i="53"/>
  <c r="D100" i="35"/>
  <c r="D130" i="53"/>
  <c r="B120" i="61"/>
  <c r="I76" i="6"/>
  <c r="B74" i="35"/>
  <c r="B74" i="53"/>
  <c r="D157" i="61"/>
  <c r="D36" i="35"/>
  <c r="D55" i="53"/>
  <c r="B36" i="53"/>
  <c r="D100" i="61"/>
  <c r="D74" i="61"/>
  <c r="D100" i="53"/>
  <c r="D54" i="6"/>
  <c r="F120" i="61"/>
  <c r="F139" i="35"/>
  <c r="F55" i="53"/>
  <c r="F100" i="35"/>
  <c r="F36" i="61"/>
  <c r="F54" i="6"/>
  <c r="F26" i="6"/>
  <c r="E17" i="37"/>
  <c r="F138" i="61"/>
  <c r="E31" i="53"/>
  <c r="B100" i="35"/>
  <c r="B157" i="61"/>
  <c r="B129" i="61"/>
  <c r="B110" i="53"/>
  <c r="I57" i="6"/>
  <c r="I96" i="6"/>
  <c r="B17" i="35"/>
  <c r="D74" i="53"/>
  <c r="D36" i="53"/>
  <c r="D110" i="35"/>
  <c r="D139" i="35"/>
  <c r="D120" i="61"/>
  <c r="I75" i="61"/>
  <c r="B35" i="6"/>
  <c r="B138" i="61"/>
  <c r="B157" i="6"/>
  <c r="D120" i="35"/>
  <c r="D158" i="35"/>
  <c r="D109" i="6"/>
  <c r="B119" i="6"/>
  <c r="D129" i="6"/>
  <c r="D110" i="61"/>
  <c r="D35" i="6"/>
  <c r="F99" i="6"/>
  <c r="F130" i="35"/>
  <c r="F27" i="35"/>
  <c r="F130" i="53"/>
  <c r="F55" i="61"/>
  <c r="F119" i="6"/>
  <c r="F158" i="53"/>
  <c r="E133" i="53"/>
  <c r="G134" i="53"/>
  <c r="I76" i="53"/>
  <c r="I57" i="53"/>
  <c r="B120" i="35"/>
  <c r="B158" i="53"/>
  <c r="B55" i="53"/>
  <c r="B36" i="35"/>
  <c r="B7" i="53"/>
  <c r="B7" i="6"/>
  <c r="D73" i="6"/>
  <c r="D157" i="6"/>
  <c r="D158" i="53"/>
  <c r="D138" i="61"/>
  <c r="D138" i="6"/>
  <c r="B99" i="6"/>
  <c r="B55" i="61"/>
  <c r="B27" i="53"/>
  <c r="B100" i="53"/>
  <c r="D110" i="53"/>
  <c r="D26" i="6"/>
  <c r="B109" i="6"/>
  <c r="B110" i="35"/>
  <c r="D27" i="35"/>
  <c r="B130" i="35"/>
  <c r="F36" i="53"/>
  <c r="F129" i="6"/>
  <c r="F120" i="35"/>
  <c r="F35" i="6"/>
  <c r="F158" i="35"/>
  <c r="F100" i="61"/>
  <c r="B17" i="61"/>
  <c r="G133" i="35"/>
  <c r="F157" i="6"/>
  <c r="I116" i="6"/>
  <c r="D17" i="35"/>
  <c r="D7" i="53"/>
  <c r="D7" i="6"/>
  <c r="B27" i="61"/>
  <c r="F17" i="61"/>
  <c r="D7" i="61"/>
  <c r="F138" i="6"/>
  <c r="F157" i="61"/>
  <c r="D7" i="35"/>
  <c r="F17" i="35"/>
  <c r="F7" i="53"/>
  <c r="F7" i="6"/>
  <c r="D17" i="61"/>
  <c r="F7" i="35"/>
  <c r="D17" i="53"/>
  <c r="D17" i="6"/>
  <c r="F27" i="61"/>
  <c r="B29" i="72"/>
  <c r="A1" i="72" s="1"/>
  <c r="F139" i="53"/>
  <c r="F17" i="53"/>
  <c r="F17" i="6"/>
  <c r="G10" i="35"/>
  <c r="D91" i="61"/>
  <c r="D91" i="53"/>
  <c r="D91" i="35"/>
  <c r="D12" i="6"/>
  <c r="D11" i="6"/>
  <c r="D90" i="6"/>
  <c r="D103" i="61"/>
  <c r="E103" i="61" s="1"/>
  <c r="D103" i="53"/>
  <c r="E103" i="53" s="1"/>
  <c r="D76" i="35"/>
  <c r="D77" i="35"/>
  <c r="D79" i="61"/>
  <c r="D80" i="61"/>
  <c r="D80" i="35"/>
  <c r="D12" i="61"/>
  <c r="B10" i="53"/>
  <c r="B10" i="35"/>
  <c r="N88" i="61"/>
  <c r="B78" i="61"/>
  <c r="B78" i="53"/>
  <c r="B78" i="35"/>
  <c r="B6" i="36"/>
  <c r="B6" i="54"/>
  <c r="B13" i="8"/>
  <c r="B101" i="6"/>
  <c r="C102" i="6" s="1"/>
  <c r="B102" i="53"/>
  <c r="C103" i="53" s="1"/>
  <c r="N83" i="53"/>
  <c r="B84" i="53"/>
  <c r="B84" i="61"/>
  <c r="B88" i="53"/>
  <c r="B87" i="6"/>
  <c r="B92" i="61"/>
  <c r="B91" i="6"/>
  <c r="B92" i="53"/>
  <c r="B92" i="35"/>
  <c r="B8" i="36"/>
  <c r="B8" i="54"/>
  <c r="E31" i="61"/>
  <c r="D10" i="61"/>
  <c r="D84" i="53"/>
  <c r="D86" i="35"/>
  <c r="D86" i="6"/>
  <c r="D9" i="61"/>
  <c r="B80" i="35"/>
  <c r="B80" i="53"/>
  <c r="B79" i="6"/>
  <c r="B134" i="53"/>
  <c r="C134" i="53" s="1"/>
  <c r="B31" i="35"/>
  <c r="C31" i="35" s="1"/>
  <c r="B54" i="85"/>
  <c r="B54" i="86"/>
  <c r="B133" i="6"/>
  <c r="C133" i="6" s="1"/>
  <c r="B31" i="61"/>
  <c r="C31" i="61" s="1"/>
  <c r="B30" i="6"/>
  <c r="B89" i="6"/>
  <c r="B54" i="84"/>
  <c r="B12" i="61"/>
  <c r="B132" i="53"/>
  <c r="C133" i="53" s="1"/>
  <c r="B52" i="85"/>
  <c r="B52" i="83"/>
  <c r="B52" i="84"/>
  <c r="B5" i="36"/>
  <c r="B5" i="54"/>
  <c r="B9" i="62"/>
  <c r="B9" i="8"/>
  <c r="B82" i="53"/>
  <c r="B82" i="61"/>
  <c r="B86" i="53"/>
  <c r="B86" i="35"/>
  <c r="B90" i="35"/>
  <c r="B90" i="61"/>
  <c r="B10" i="61"/>
  <c r="B10" i="6"/>
  <c r="B85" i="6"/>
  <c r="B134" i="35"/>
  <c r="B90" i="53"/>
  <c r="B80" i="61"/>
  <c r="E17" i="63"/>
  <c r="K17" i="63"/>
  <c r="B104" i="6"/>
  <c r="B87" i="61"/>
  <c r="B91" i="53"/>
  <c r="B91" i="35"/>
  <c r="G10" i="53"/>
  <c r="G134" i="35"/>
  <c r="F11" i="53"/>
  <c r="G11" i="53" s="1"/>
  <c r="F11" i="35"/>
  <c r="F104" i="35"/>
  <c r="G105" i="35" s="1"/>
  <c r="F104" i="53"/>
  <c r="F103" i="6"/>
  <c r="G104" i="6" s="1"/>
  <c r="F11" i="6"/>
  <c r="G11" i="6" s="1"/>
  <c r="F102" i="6"/>
  <c r="G102" i="6" s="1"/>
  <c r="F103" i="53"/>
  <c r="G103" i="53" s="1"/>
  <c r="F103" i="35"/>
  <c r="G103" i="35" s="1"/>
  <c r="F12" i="61"/>
  <c r="F112" i="61"/>
  <c r="F111" i="6"/>
  <c r="F105" i="61"/>
  <c r="G105" i="61" s="1"/>
  <c r="F105" i="53"/>
  <c r="F30" i="53"/>
  <c r="G31" i="53" s="1"/>
  <c r="F29" i="6"/>
  <c r="G30" i="6" s="1"/>
  <c r="F30" i="61"/>
  <c r="G31" i="61" s="1"/>
  <c r="D53" i="85"/>
  <c r="F132" i="61"/>
  <c r="G132" i="61" s="1"/>
  <c r="F132" i="6"/>
  <c r="G133" i="6" s="1"/>
  <c r="F12" i="35"/>
  <c r="F12" i="53"/>
  <c r="D53" i="84"/>
  <c r="D53" i="86"/>
  <c r="D53" i="83"/>
  <c r="F11" i="61"/>
  <c r="G11" i="61" s="1"/>
  <c r="G133" i="61"/>
  <c r="G104" i="61"/>
  <c r="E133" i="35"/>
  <c r="G11" i="35"/>
  <c r="M59" i="61"/>
  <c r="K61" i="61"/>
  <c r="K65" i="61"/>
  <c r="M62" i="61"/>
  <c r="L59" i="61"/>
  <c r="L63" i="6"/>
  <c r="K62" i="6"/>
  <c r="M63" i="6"/>
  <c r="K70" i="6"/>
  <c r="N59" i="61"/>
  <c r="N78" i="35"/>
  <c r="M68" i="61"/>
  <c r="K60" i="53"/>
  <c r="N67" i="6"/>
  <c r="M62" i="6"/>
  <c r="N63" i="61"/>
  <c r="H17" i="55"/>
  <c r="Q17" i="37"/>
  <c r="B104" i="53"/>
  <c r="B81" i="61"/>
  <c r="B80" i="6"/>
  <c r="B81" i="53"/>
  <c r="B81" i="35"/>
  <c r="B12" i="35"/>
  <c r="B88" i="35"/>
  <c r="B30" i="53"/>
  <c r="C31" i="53" s="1"/>
  <c r="B132" i="61"/>
  <c r="B29" i="6"/>
  <c r="B133" i="35"/>
  <c r="B11" i="54"/>
  <c r="B11" i="62"/>
  <c r="B11" i="8"/>
  <c r="B77" i="61"/>
  <c r="B76" i="6"/>
  <c r="B77" i="53"/>
  <c r="K84" i="61"/>
  <c r="N83" i="61"/>
  <c r="Q17" i="63"/>
  <c r="B104" i="61"/>
  <c r="B103" i="6"/>
  <c r="C132" i="6"/>
  <c r="N83" i="6"/>
  <c r="B91" i="61"/>
  <c r="B90" i="6"/>
  <c r="B104" i="35"/>
  <c r="C105" i="35" s="1"/>
  <c r="M88" i="61"/>
  <c r="M88" i="6"/>
  <c r="M85" i="61"/>
  <c r="M79" i="6"/>
  <c r="B77" i="35"/>
  <c r="N17" i="37"/>
  <c r="H17" i="9"/>
  <c r="K17" i="9"/>
  <c r="N65" i="53"/>
  <c r="K70" i="53"/>
  <c r="B11" i="6"/>
  <c r="N17" i="63"/>
  <c r="B9" i="61"/>
  <c r="N66" i="6"/>
  <c r="D9" i="35"/>
  <c r="D9" i="6"/>
  <c r="D9" i="53"/>
  <c r="D11" i="35"/>
  <c r="E12" i="35" s="1"/>
  <c r="D88" i="35"/>
  <c r="D87" i="6"/>
  <c r="D88" i="53"/>
  <c r="D88" i="61"/>
  <c r="D11" i="53"/>
  <c r="E12" i="53" s="1"/>
  <c r="D93" i="61"/>
  <c r="D92" i="6"/>
  <c r="D93" i="53"/>
  <c r="D93" i="35"/>
  <c r="D11" i="61"/>
  <c r="E12" i="61" s="1"/>
  <c r="E134" i="35"/>
  <c r="D89" i="6"/>
  <c r="D92" i="61"/>
  <c r="D92" i="53"/>
  <c r="D105" i="53"/>
  <c r="D76" i="53"/>
  <c r="D76" i="61"/>
  <c r="D76" i="6"/>
  <c r="D103" i="35"/>
  <c r="E103" i="35" s="1"/>
  <c r="D102" i="6"/>
  <c r="E102" i="6" s="1"/>
  <c r="D10" i="6"/>
  <c r="D10" i="53"/>
  <c r="D10" i="35"/>
  <c r="D104" i="53"/>
  <c r="D104" i="61"/>
  <c r="D103" i="6"/>
  <c r="D104" i="35"/>
  <c r="D132" i="6"/>
  <c r="E132" i="6" s="1"/>
  <c r="D31" i="35"/>
  <c r="E31" i="35" s="1"/>
  <c r="D133" i="6"/>
  <c r="C54" i="83"/>
  <c r="D30" i="6"/>
  <c r="E30" i="6" s="1"/>
  <c r="D134" i="53"/>
  <c r="E134" i="53" s="1"/>
  <c r="K88" i="61"/>
  <c r="L62" i="53"/>
  <c r="H17" i="63"/>
  <c r="H17" i="37"/>
  <c r="E17" i="9"/>
  <c r="N17" i="9"/>
  <c r="N61" i="6"/>
  <c r="C11" i="68"/>
  <c r="C11" i="14"/>
  <c r="M83" i="61"/>
  <c r="N68" i="6"/>
  <c r="K66" i="53"/>
  <c r="L88" i="35"/>
  <c r="K86" i="35"/>
  <c r="Q17" i="55"/>
  <c r="K68" i="53"/>
  <c r="B112" i="35"/>
  <c r="B112" i="61"/>
  <c r="B78" i="6"/>
  <c r="B79" i="61"/>
  <c r="B79" i="53"/>
  <c r="B83" i="61"/>
  <c r="B82" i="6"/>
  <c r="B83" i="53"/>
  <c r="B87" i="53"/>
  <c r="B87" i="35"/>
  <c r="B86" i="6"/>
  <c r="B11" i="35"/>
  <c r="B9" i="53"/>
  <c r="B9" i="6"/>
  <c r="C10" i="6" s="1"/>
  <c r="B93" i="61"/>
  <c r="B93" i="53"/>
  <c r="B93" i="35"/>
  <c r="B11" i="61"/>
  <c r="B8" i="8"/>
  <c r="K62" i="61"/>
  <c r="B9" i="35"/>
  <c r="B111" i="6"/>
  <c r="B79" i="35"/>
  <c r="B8" i="62"/>
  <c r="B92" i="6"/>
  <c r="K17" i="37"/>
  <c r="B85" i="35"/>
  <c r="B85" i="53"/>
  <c r="B12" i="53"/>
  <c r="B88" i="6"/>
  <c r="B89" i="35"/>
  <c r="B89" i="61"/>
  <c r="B11" i="53"/>
  <c r="B12" i="6"/>
  <c r="B10" i="54"/>
  <c r="B10" i="8"/>
  <c r="B13" i="54"/>
  <c r="B13" i="62"/>
  <c r="B13" i="36"/>
  <c r="L82" i="53"/>
  <c r="B84" i="6"/>
  <c r="K69" i="6"/>
  <c r="L67" i="61"/>
  <c r="E17" i="55"/>
  <c r="K17" i="55"/>
  <c r="Q17" i="9"/>
  <c r="N61" i="61"/>
  <c r="K68" i="6"/>
  <c r="K59" i="61"/>
  <c r="M65" i="61"/>
  <c r="N66" i="61"/>
  <c r="N87" i="61"/>
  <c r="M78" i="61"/>
  <c r="M66" i="6"/>
  <c r="B83" i="6"/>
  <c r="L105" i="35"/>
  <c r="M84" i="53"/>
  <c r="N86" i="53"/>
  <c r="K82" i="53"/>
  <c r="K68" i="61"/>
  <c r="N69" i="61"/>
  <c r="M66" i="61"/>
  <c r="M64" i="61"/>
  <c r="K60" i="6"/>
  <c r="M67" i="61"/>
  <c r="L69" i="61"/>
  <c r="N67" i="61"/>
  <c r="M84" i="6"/>
  <c r="N80" i="6"/>
  <c r="L70" i="6"/>
  <c r="L67" i="6"/>
  <c r="N17" i="55"/>
  <c r="B102" i="35"/>
  <c r="C103" i="35" s="1"/>
  <c r="B102" i="61"/>
  <c r="C103" i="61" s="1"/>
  <c r="L86" i="61"/>
  <c r="N68" i="61"/>
  <c r="K65" i="6"/>
  <c r="N70" i="6"/>
  <c r="N65" i="6"/>
  <c r="N65" i="61"/>
  <c r="M102" i="35"/>
  <c r="M83" i="53"/>
  <c r="B9" i="34"/>
  <c r="G12" i="35" l="1"/>
  <c r="C12" i="6"/>
  <c r="C10" i="53"/>
  <c r="C104" i="35"/>
  <c r="G104" i="53"/>
  <c r="C10" i="35"/>
  <c r="E103" i="6"/>
  <c r="C10" i="61"/>
  <c r="G12" i="53"/>
  <c r="E133" i="6"/>
  <c r="G132" i="6"/>
  <c r="G105" i="53"/>
  <c r="G12" i="61"/>
  <c r="C11" i="6"/>
  <c r="N10" i="85"/>
  <c r="N18" i="85"/>
  <c r="N14" i="86"/>
  <c r="N16" i="86"/>
  <c r="E11" i="61"/>
  <c r="E104" i="61"/>
  <c r="E12" i="6"/>
  <c r="M88" i="53"/>
  <c r="N64" i="53"/>
  <c r="L100" i="35"/>
  <c r="L101" i="35"/>
  <c r="N88" i="53"/>
  <c r="L107" i="35"/>
  <c r="M100" i="35"/>
  <c r="L82" i="61"/>
  <c r="R46" i="6"/>
  <c r="M62" i="53"/>
  <c r="K59" i="6"/>
  <c r="K66" i="6"/>
  <c r="N64" i="61"/>
  <c r="L80" i="53"/>
  <c r="N97" i="35"/>
  <c r="M69" i="6"/>
  <c r="N62" i="53"/>
  <c r="M83" i="35"/>
  <c r="K89" i="6"/>
  <c r="K89" i="53"/>
  <c r="M81" i="61"/>
  <c r="L66" i="6"/>
  <c r="J69" i="61"/>
  <c r="L62" i="6"/>
  <c r="C104" i="61"/>
  <c r="C105" i="61"/>
  <c r="L96" i="35"/>
  <c r="K107" i="35"/>
  <c r="L89" i="53"/>
  <c r="N81" i="6"/>
  <c r="L79" i="6"/>
  <c r="K88" i="53"/>
  <c r="L66" i="61"/>
  <c r="L59" i="53"/>
  <c r="L63" i="53"/>
  <c r="K58" i="61"/>
  <c r="K63" i="6"/>
  <c r="M63" i="61"/>
  <c r="K88" i="35"/>
  <c r="N66" i="53"/>
  <c r="N61" i="53"/>
  <c r="N70" i="53"/>
  <c r="M69" i="61"/>
  <c r="N60" i="6"/>
  <c r="J68" i="61"/>
  <c r="N64" i="6"/>
  <c r="M64" i="6"/>
  <c r="J61" i="53"/>
  <c r="L65" i="6"/>
  <c r="M68" i="6"/>
  <c r="L62" i="61"/>
  <c r="M70" i="6"/>
  <c r="L58" i="61"/>
  <c r="L68" i="61"/>
  <c r="N106" i="35"/>
  <c r="L66" i="53"/>
  <c r="N98" i="35"/>
  <c r="N89" i="6"/>
  <c r="L81" i="6"/>
  <c r="K86" i="61"/>
  <c r="D94" i="35"/>
  <c r="E92" i="35" s="1"/>
  <c r="E10" i="61"/>
  <c r="L127" i="6"/>
  <c r="K82" i="61"/>
  <c r="L84" i="53"/>
  <c r="N87" i="6"/>
  <c r="J105" i="35"/>
  <c r="N89" i="53"/>
  <c r="L85" i="61"/>
  <c r="J81" i="6"/>
  <c r="N77" i="61"/>
  <c r="N80" i="35"/>
  <c r="N62" i="6"/>
  <c r="K62" i="53"/>
  <c r="L60" i="6"/>
  <c r="M85" i="53"/>
  <c r="M84" i="61"/>
  <c r="K64" i="6"/>
  <c r="K63" i="61"/>
  <c r="M61" i="61"/>
  <c r="J81" i="53"/>
  <c r="M85" i="6"/>
  <c r="M60" i="53"/>
  <c r="K85" i="35"/>
  <c r="K67" i="53"/>
  <c r="K86" i="6"/>
  <c r="M87" i="61"/>
  <c r="K87" i="53"/>
  <c r="M103" i="35"/>
  <c r="K106" i="35"/>
  <c r="L81" i="53"/>
  <c r="N62" i="61"/>
  <c r="L68" i="6"/>
  <c r="K60" i="61"/>
  <c r="K83" i="6"/>
  <c r="M60" i="6"/>
  <c r="B94" i="61"/>
  <c r="C82" i="61" s="1"/>
  <c r="L84" i="35"/>
  <c r="K103" i="35"/>
  <c r="N63" i="6"/>
  <c r="L80" i="61"/>
  <c r="J80" i="61"/>
  <c r="C133" i="35"/>
  <c r="C134" i="35"/>
  <c r="M82" i="53"/>
  <c r="K67" i="61"/>
  <c r="N60" i="61"/>
  <c r="M67" i="53"/>
  <c r="M67" i="6"/>
  <c r="M85" i="35"/>
  <c r="J68" i="53"/>
  <c r="J65" i="6"/>
  <c r="L65" i="61"/>
  <c r="L79" i="35"/>
  <c r="L60" i="61"/>
  <c r="L61" i="6"/>
  <c r="L61" i="53"/>
  <c r="K81" i="35"/>
  <c r="K67" i="6"/>
  <c r="K66" i="61"/>
  <c r="L64" i="61"/>
  <c r="L87" i="6"/>
  <c r="L87" i="53"/>
  <c r="L61" i="61"/>
  <c r="C11" i="42"/>
  <c r="C11" i="60"/>
  <c r="C12" i="53"/>
  <c r="K78" i="35"/>
  <c r="K64" i="53"/>
  <c r="N88" i="6"/>
  <c r="N85" i="6"/>
  <c r="N69" i="53"/>
  <c r="L69" i="53"/>
  <c r="M68" i="53"/>
  <c r="J84" i="35"/>
  <c r="N81" i="35"/>
  <c r="L81" i="35"/>
  <c r="K63" i="53"/>
  <c r="M69" i="53"/>
  <c r="G103" i="6"/>
  <c r="N8" i="86"/>
  <c r="G12" i="6"/>
  <c r="G104" i="35"/>
  <c r="K80" i="61"/>
  <c r="M65" i="6"/>
  <c r="M65" i="53"/>
  <c r="L102" i="35"/>
  <c r="M87" i="35"/>
  <c r="M77" i="61"/>
  <c r="J80" i="53"/>
  <c r="J80" i="6"/>
  <c r="L67" i="53"/>
  <c r="L85" i="35"/>
  <c r="L81" i="61"/>
  <c r="K84" i="6"/>
  <c r="K84" i="53"/>
  <c r="K83" i="61"/>
  <c r="J87" i="35"/>
  <c r="J69" i="53"/>
  <c r="M63" i="53"/>
  <c r="M81" i="35"/>
  <c r="L64" i="6"/>
  <c r="L63" i="61"/>
  <c r="M61" i="6"/>
  <c r="M60" i="61"/>
  <c r="K64" i="61"/>
  <c r="J62" i="6"/>
  <c r="M70" i="53"/>
  <c r="L77" i="35"/>
  <c r="L69" i="6"/>
  <c r="N63" i="53"/>
  <c r="M64" i="53"/>
  <c r="K65" i="53"/>
  <c r="K86" i="53"/>
  <c r="L99" i="35"/>
  <c r="N60" i="53"/>
  <c r="N69" i="6"/>
  <c r="L83" i="35"/>
  <c r="M66" i="53"/>
  <c r="M88" i="35"/>
  <c r="K102" i="35"/>
  <c r="K80" i="35"/>
  <c r="L65" i="53"/>
  <c r="L82" i="6"/>
  <c r="K61" i="6"/>
  <c r="N81" i="53"/>
  <c r="K104" i="35"/>
  <c r="N99" i="35"/>
  <c r="M106" i="35"/>
  <c r="R44" i="6"/>
  <c r="L88" i="61"/>
  <c r="N82" i="53"/>
  <c r="N82" i="6"/>
  <c r="K85" i="6"/>
  <c r="K85" i="61"/>
  <c r="K105" i="35"/>
  <c r="K87" i="6"/>
  <c r="C104" i="53"/>
  <c r="C105" i="53"/>
  <c r="L78" i="61"/>
  <c r="L79" i="53"/>
  <c r="L97" i="35"/>
  <c r="K88" i="6"/>
  <c r="M61" i="53"/>
  <c r="M79" i="35"/>
  <c r="M97" i="35"/>
  <c r="M79" i="53"/>
  <c r="K85" i="53"/>
  <c r="K79" i="35"/>
  <c r="N107" i="35"/>
  <c r="L68" i="53"/>
  <c r="N80" i="61"/>
  <c r="K87" i="61"/>
  <c r="L78" i="53"/>
  <c r="C103" i="6"/>
  <c r="C104" i="6"/>
  <c r="J86" i="61"/>
  <c r="M80" i="61"/>
  <c r="N82" i="61"/>
  <c r="M78" i="6"/>
  <c r="M96" i="35"/>
  <c r="C133" i="61"/>
  <c r="C132" i="61"/>
  <c r="L83" i="6"/>
  <c r="C30" i="6"/>
  <c r="N104" i="35"/>
  <c r="L84" i="6"/>
  <c r="L80" i="6"/>
  <c r="N79" i="53"/>
  <c r="R45" i="6"/>
  <c r="L104" i="35"/>
  <c r="J98" i="35"/>
  <c r="C98" i="83"/>
  <c r="M82" i="6"/>
  <c r="J88" i="6"/>
  <c r="L85" i="6"/>
  <c r="M81" i="6"/>
  <c r="J83" i="53"/>
  <c r="M107" i="35"/>
  <c r="F37" i="54"/>
  <c r="L89" i="6"/>
  <c r="F59" i="54"/>
  <c r="F61" i="54"/>
  <c r="D93" i="6"/>
  <c r="E76" i="6" s="1"/>
  <c r="D94" i="53"/>
  <c r="E76" i="53" s="1"/>
  <c r="E104" i="6"/>
  <c r="E83" i="35"/>
  <c r="D94" i="61"/>
  <c r="E88" i="61" s="1"/>
  <c r="F14" i="54"/>
  <c r="L17" i="83"/>
  <c r="E11" i="6"/>
  <c r="E10" i="6"/>
  <c r="E11" i="53"/>
  <c r="E10" i="53"/>
  <c r="E10" i="35"/>
  <c r="E11" i="35"/>
  <c r="E105" i="53"/>
  <c r="E104" i="53"/>
  <c r="E104" i="35"/>
  <c r="E105" i="35"/>
  <c r="E105" i="61"/>
  <c r="R48" i="6"/>
  <c r="J88" i="53"/>
  <c r="B92" i="83"/>
  <c r="R49" i="6"/>
  <c r="K69" i="61"/>
  <c r="R42" i="6"/>
  <c r="F25" i="54"/>
  <c r="C134" i="85"/>
  <c r="R47" i="6"/>
  <c r="L86" i="35"/>
  <c r="L64" i="53"/>
  <c r="L82" i="35"/>
  <c r="M78" i="35"/>
  <c r="C98" i="86"/>
  <c r="J88" i="61"/>
  <c r="N81" i="61"/>
  <c r="N100" i="35"/>
  <c r="K79" i="53"/>
  <c r="K80" i="6"/>
  <c r="K80" i="53"/>
  <c r="K79" i="61"/>
  <c r="K98" i="35"/>
  <c r="C132" i="85"/>
  <c r="F23" i="54"/>
  <c r="K61" i="53"/>
  <c r="N87" i="35"/>
  <c r="L87" i="35"/>
  <c r="K97" i="35"/>
  <c r="K81" i="53"/>
  <c r="N101" i="35"/>
  <c r="N80" i="53"/>
  <c r="L106" i="35"/>
  <c r="C132" i="84"/>
  <c r="K69" i="53"/>
  <c r="L80" i="35"/>
  <c r="L70" i="53"/>
  <c r="N68" i="53"/>
  <c r="N86" i="35"/>
  <c r="M81" i="53"/>
  <c r="R51" i="6"/>
  <c r="M99" i="35"/>
  <c r="L85" i="53"/>
  <c r="K82" i="6"/>
  <c r="K100" i="35"/>
  <c r="N86" i="61"/>
  <c r="N105" i="35"/>
  <c r="M98" i="35"/>
  <c r="F38" i="54"/>
  <c r="C131" i="84"/>
  <c r="K87" i="35"/>
  <c r="C134" i="84"/>
  <c r="R50" i="6"/>
  <c r="N85" i="53"/>
  <c r="L83" i="53"/>
  <c r="C131" i="85"/>
  <c r="F35" i="36"/>
  <c r="F36" i="54"/>
  <c r="C133" i="85"/>
  <c r="R41" i="6"/>
  <c r="M86" i="35"/>
  <c r="K84" i="35"/>
  <c r="M80" i="35"/>
  <c r="J82" i="53"/>
  <c r="J100" i="35"/>
  <c r="L77" i="61"/>
  <c r="J88" i="35"/>
  <c r="C80" i="61"/>
  <c r="C88" i="61"/>
  <c r="C81" i="61"/>
  <c r="C84" i="61"/>
  <c r="C76" i="61"/>
  <c r="C90" i="61"/>
  <c r="N78" i="53"/>
  <c r="J84" i="53"/>
  <c r="J89" i="53"/>
  <c r="N78" i="6"/>
  <c r="M79" i="61"/>
  <c r="M82" i="61"/>
  <c r="M101" i="35"/>
  <c r="N84" i="6"/>
  <c r="N84" i="53"/>
  <c r="N102" i="35"/>
  <c r="K99" i="35"/>
  <c r="K81" i="6"/>
  <c r="L86" i="6"/>
  <c r="L86" i="53"/>
  <c r="J102" i="35"/>
  <c r="N58" i="61"/>
  <c r="B14" i="62"/>
  <c r="C13" i="62" s="1"/>
  <c r="M83" i="6"/>
  <c r="J65" i="61"/>
  <c r="K101" i="35"/>
  <c r="J103" i="35"/>
  <c r="J82" i="61"/>
  <c r="N103" i="35"/>
  <c r="J84" i="61"/>
  <c r="C89" i="61"/>
  <c r="N96" i="35"/>
  <c r="L103" i="35"/>
  <c r="F37" i="36"/>
  <c r="J61" i="6"/>
  <c r="J85" i="53"/>
  <c r="C133" i="84"/>
  <c r="M86" i="61"/>
  <c r="M105" i="35"/>
  <c r="M87" i="53"/>
  <c r="M87" i="6"/>
  <c r="M80" i="6"/>
  <c r="M80" i="53"/>
  <c r="M89" i="6"/>
  <c r="M89" i="53"/>
  <c r="L87" i="61"/>
  <c r="L88" i="6"/>
  <c r="L88" i="53"/>
  <c r="J79" i="61"/>
  <c r="J81" i="61"/>
  <c r="J64" i="61"/>
  <c r="K83" i="53"/>
  <c r="B94" i="53"/>
  <c r="C87" i="53" s="1"/>
  <c r="B93" i="6"/>
  <c r="C83" i="6" s="1"/>
  <c r="L84" i="61"/>
  <c r="M59" i="6"/>
  <c r="B14" i="8"/>
  <c r="K79" i="6"/>
  <c r="K82" i="35"/>
  <c r="K83" i="35"/>
  <c r="C130" i="85"/>
  <c r="J60" i="61"/>
  <c r="J59" i="61"/>
  <c r="M86" i="6"/>
  <c r="M86" i="53"/>
  <c r="N85" i="61"/>
  <c r="L83" i="61"/>
  <c r="L79" i="61"/>
  <c r="K81" i="61"/>
  <c r="N78" i="61"/>
  <c r="N86" i="6"/>
  <c r="J70" i="6"/>
  <c r="M78" i="53"/>
  <c r="M82" i="35"/>
  <c r="J69" i="6"/>
  <c r="B14" i="54"/>
  <c r="C13" i="54" s="1"/>
  <c r="C11" i="53"/>
  <c r="M77" i="35"/>
  <c r="C11" i="61"/>
  <c r="C93" i="61"/>
  <c r="C11" i="35"/>
  <c r="C83" i="61"/>
  <c r="B96" i="83"/>
  <c r="L78" i="6"/>
  <c r="N87" i="53"/>
  <c r="N84" i="35"/>
  <c r="J66" i="61"/>
  <c r="N79" i="6"/>
  <c r="M58" i="61"/>
  <c r="J67" i="6"/>
  <c r="C97" i="83"/>
  <c r="J79" i="53"/>
  <c r="J60" i="6"/>
  <c r="J68" i="6"/>
  <c r="N79" i="61"/>
  <c r="K78" i="61"/>
  <c r="N84" i="61"/>
  <c r="N59" i="6"/>
  <c r="J66" i="6"/>
  <c r="J99" i="35"/>
  <c r="L98" i="35"/>
  <c r="B94" i="35"/>
  <c r="C93" i="35" s="1"/>
  <c r="J67" i="53"/>
  <c r="C93" i="53"/>
  <c r="J67" i="61"/>
  <c r="C12" i="35"/>
  <c r="N79" i="35"/>
  <c r="M84" i="35"/>
  <c r="M104" i="35"/>
  <c r="C12" i="61"/>
  <c r="B14" i="36"/>
  <c r="C13" i="36" s="1"/>
  <c r="C85" i="61" l="1"/>
  <c r="C91" i="61"/>
  <c r="C78" i="61"/>
  <c r="C86" i="61"/>
  <c r="C79" i="61"/>
  <c r="C92" i="61"/>
  <c r="C87" i="61"/>
  <c r="C77" i="61"/>
  <c r="E87" i="6"/>
  <c r="F49" i="61"/>
  <c r="F60" i="6"/>
  <c r="F9" i="83"/>
  <c r="F12" i="86"/>
  <c r="N11" i="86"/>
  <c r="F63" i="6"/>
  <c r="F22" i="61"/>
  <c r="F66" i="53"/>
  <c r="F8" i="85"/>
  <c r="F68" i="53"/>
  <c r="F68" i="35"/>
  <c r="G68" i="35" s="1"/>
  <c r="N17" i="84"/>
  <c r="F42" i="61"/>
  <c r="F41" i="35"/>
  <c r="F64" i="53"/>
  <c r="F18" i="84"/>
  <c r="F42" i="6"/>
  <c r="L15" i="86"/>
  <c r="L17" i="84"/>
  <c r="L129" i="6"/>
  <c r="L17" i="86"/>
  <c r="G92" i="86"/>
  <c r="E90" i="35"/>
  <c r="E89" i="35"/>
  <c r="L10" i="84"/>
  <c r="D65" i="61"/>
  <c r="D18" i="85"/>
  <c r="G95" i="86"/>
  <c r="D61" i="61"/>
  <c r="C134" i="86"/>
  <c r="B8" i="84"/>
  <c r="B96" i="86"/>
  <c r="B47" i="6"/>
  <c r="M71" i="6"/>
  <c r="F24" i="36"/>
  <c r="C131" i="86"/>
  <c r="F36" i="36"/>
  <c r="B98" i="86"/>
  <c r="J61" i="61"/>
  <c r="P49" i="6"/>
  <c r="C92" i="6"/>
  <c r="C84" i="6"/>
  <c r="L59" i="6"/>
  <c r="J50" i="61"/>
  <c r="B16" i="63" s="1"/>
  <c r="L17" i="85"/>
  <c r="D67" i="61"/>
  <c r="E79" i="35"/>
  <c r="E78" i="35"/>
  <c r="L10" i="86"/>
  <c r="J119" i="6"/>
  <c r="D8" i="84"/>
  <c r="E87" i="35"/>
  <c r="E92" i="6"/>
  <c r="D7" i="85"/>
  <c r="E91" i="35"/>
  <c r="E84" i="35"/>
  <c r="E81" i="35"/>
  <c r="D7" i="83"/>
  <c r="D10" i="85"/>
  <c r="E89" i="6"/>
  <c r="D8" i="86"/>
  <c r="E88" i="35"/>
  <c r="E80" i="35"/>
  <c r="E85" i="35"/>
  <c r="D167" i="35"/>
  <c r="L9" i="85"/>
  <c r="D66" i="61"/>
  <c r="E76" i="61"/>
  <c r="D163" i="6"/>
  <c r="E77" i="35"/>
  <c r="E93" i="35"/>
  <c r="E76" i="35"/>
  <c r="E82" i="35"/>
  <c r="E86" i="35"/>
  <c r="C87" i="35"/>
  <c r="F24" i="54"/>
  <c r="C134" i="83"/>
  <c r="F7" i="8"/>
  <c r="F23" i="36"/>
  <c r="F6" i="62"/>
  <c r="L103" i="6"/>
  <c r="B40" i="61"/>
  <c r="H26" i="62"/>
  <c r="C94" i="61"/>
  <c r="J70" i="53"/>
  <c r="B91" i="83"/>
  <c r="J13" i="83"/>
  <c r="F16" i="84"/>
  <c r="F15" i="84"/>
  <c r="F12" i="84"/>
  <c r="F40" i="35"/>
  <c r="F10" i="84"/>
  <c r="F8" i="83"/>
  <c r="F49" i="53"/>
  <c r="F18" i="86"/>
  <c r="F13" i="84"/>
  <c r="N9" i="86"/>
  <c r="N17" i="83"/>
  <c r="F67" i="35"/>
  <c r="G67" i="35" s="1"/>
  <c r="N16" i="85"/>
  <c r="F66" i="61"/>
  <c r="F10" i="83"/>
  <c r="N10" i="84"/>
  <c r="F18" i="85"/>
  <c r="F59" i="53"/>
  <c r="F43" i="6"/>
  <c r="F12" i="83"/>
  <c r="F66" i="6"/>
  <c r="N15" i="83"/>
  <c r="F58" i="53"/>
  <c r="F63" i="35"/>
  <c r="G63" i="35" s="1"/>
  <c r="N9" i="85"/>
  <c r="F47" i="53"/>
  <c r="F16" i="86"/>
  <c r="N18" i="83"/>
  <c r="N10" i="83"/>
  <c r="F67" i="6"/>
  <c r="N18" i="84"/>
  <c r="N12" i="84"/>
  <c r="F61" i="6"/>
  <c r="F22" i="6"/>
  <c r="F65" i="6"/>
  <c r="F62" i="6"/>
  <c r="N13" i="84"/>
  <c r="F60" i="53"/>
  <c r="F64" i="61"/>
  <c r="N14" i="85"/>
  <c r="N9" i="83"/>
  <c r="F59" i="35"/>
  <c r="G59" i="35" s="1"/>
  <c r="N13" i="83"/>
  <c r="F43" i="35"/>
  <c r="F61" i="61"/>
  <c r="N15" i="86"/>
  <c r="F65" i="53"/>
  <c r="F59" i="6"/>
  <c r="F67" i="61"/>
  <c r="N17" i="85"/>
  <c r="F46" i="6"/>
  <c r="F40" i="61"/>
  <c r="F64" i="6"/>
  <c r="N15" i="84"/>
  <c r="F62" i="53"/>
  <c r="F68" i="61"/>
  <c r="F62" i="61"/>
  <c r="N10" i="86"/>
  <c r="N18" i="86"/>
  <c r="F65" i="35"/>
  <c r="G65" i="35" s="1"/>
  <c r="N11" i="85"/>
  <c r="N13" i="85"/>
  <c r="F63" i="61"/>
  <c r="F67" i="53"/>
  <c r="N17" i="86"/>
  <c r="F12" i="85"/>
  <c r="F43" i="61"/>
  <c r="N12" i="85"/>
  <c r="F22" i="53"/>
  <c r="F39" i="61"/>
  <c r="F9" i="85"/>
  <c r="F58" i="61"/>
  <c r="N8" i="85"/>
  <c r="F11" i="85"/>
  <c r="F66" i="35"/>
  <c r="G66" i="35" s="1"/>
  <c r="N16" i="83"/>
  <c r="F60" i="61"/>
  <c r="F58" i="6"/>
  <c r="N9" i="84"/>
  <c r="F9" i="84"/>
  <c r="F39" i="6"/>
  <c r="N16" i="84"/>
  <c r="F60" i="35"/>
  <c r="G60" i="35" s="1"/>
  <c r="N12" i="83"/>
  <c r="F62" i="35"/>
  <c r="G62" i="35" s="1"/>
  <c r="N11" i="84"/>
  <c r="N15" i="85"/>
  <c r="F65" i="61"/>
  <c r="N12" i="86"/>
  <c r="N14" i="83"/>
  <c r="F64" i="35"/>
  <c r="G64" i="35" s="1"/>
  <c r="F57" i="6"/>
  <c r="N8" i="84"/>
  <c r="F45" i="6"/>
  <c r="F58" i="35"/>
  <c r="G58" i="35" s="1"/>
  <c r="N8" i="83"/>
  <c r="N13" i="86"/>
  <c r="F63" i="53"/>
  <c r="N14" i="84"/>
  <c r="F61" i="53"/>
  <c r="J50" i="53"/>
  <c r="B16" i="55" s="1"/>
  <c r="B18" i="86"/>
  <c r="F26" i="54"/>
  <c r="J82" i="35"/>
  <c r="J59" i="53"/>
  <c r="J77" i="35"/>
  <c r="J36" i="54"/>
  <c r="B63" i="35"/>
  <c r="L60" i="53"/>
  <c r="J82" i="6"/>
  <c r="F25" i="36"/>
  <c r="J89" i="35"/>
  <c r="B68" i="61"/>
  <c r="F26" i="36"/>
  <c r="C133" i="83"/>
  <c r="R43" i="6"/>
  <c r="K77" i="61"/>
  <c r="L39" i="35"/>
  <c r="B40" i="53"/>
  <c r="J36" i="8"/>
  <c r="F5" i="36"/>
  <c r="Q6" i="62"/>
  <c r="F7" i="36"/>
  <c r="B16" i="86"/>
  <c r="D166" i="6"/>
  <c r="D167" i="53"/>
  <c r="H96" i="86"/>
  <c r="H96" i="83"/>
  <c r="L15" i="84"/>
  <c r="D64" i="6"/>
  <c r="F49" i="36"/>
  <c r="D162" i="53"/>
  <c r="L8" i="83"/>
  <c r="L12" i="86"/>
  <c r="L11" i="86"/>
  <c r="D64" i="61"/>
  <c r="F59" i="36"/>
  <c r="F49" i="54"/>
  <c r="F47" i="36"/>
  <c r="F61" i="36"/>
  <c r="F47" i="54"/>
  <c r="L18" i="85"/>
  <c r="D162" i="35"/>
  <c r="F62" i="54"/>
  <c r="F50" i="54"/>
  <c r="D10" i="86"/>
  <c r="D10" i="83"/>
  <c r="E88" i="53"/>
  <c r="L16" i="84"/>
  <c r="L13" i="84"/>
  <c r="D148" i="6"/>
  <c r="F50" i="36"/>
  <c r="D19" i="53"/>
  <c r="D7" i="86"/>
  <c r="D13" i="83"/>
  <c r="J125" i="6"/>
  <c r="D13" i="85"/>
  <c r="D13" i="86"/>
  <c r="D16" i="83"/>
  <c r="D16" i="85"/>
  <c r="J128" i="6"/>
  <c r="D16" i="86"/>
  <c r="D148" i="35"/>
  <c r="F131" i="84"/>
  <c r="E77" i="53"/>
  <c r="E94" i="53" s="1"/>
  <c r="E81" i="53"/>
  <c r="E80" i="53"/>
  <c r="E82" i="53"/>
  <c r="E89" i="53"/>
  <c r="E87" i="53"/>
  <c r="E84" i="53"/>
  <c r="E86" i="53"/>
  <c r="E79" i="53"/>
  <c r="E85" i="53"/>
  <c r="E92" i="53"/>
  <c r="E90" i="53"/>
  <c r="E78" i="53"/>
  <c r="E83" i="53"/>
  <c r="E91" i="53"/>
  <c r="D17" i="83"/>
  <c r="D65" i="53"/>
  <c r="F63" i="36"/>
  <c r="J49" i="62"/>
  <c r="E93" i="53"/>
  <c r="E93" i="61"/>
  <c r="E78" i="61"/>
  <c r="E82" i="61"/>
  <c r="E89" i="61"/>
  <c r="E77" i="61"/>
  <c r="E85" i="61"/>
  <c r="E79" i="61"/>
  <c r="E84" i="61"/>
  <c r="E90" i="61"/>
  <c r="E80" i="61"/>
  <c r="E83" i="61"/>
  <c r="E81" i="61"/>
  <c r="E86" i="61"/>
  <c r="E87" i="61"/>
  <c r="E92" i="61"/>
  <c r="E91" i="61"/>
  <c r="D12" i="85"/>
  <c r="D14" i="85"/>
  <c r="D14" i="83"/>
  <c r="D14" i="86"/>
  <c r="E79" i="6"/>
  <c r="E90" i="6"/>
  <c r="E81" i="6"/>
  <c r="E88" i="6"/>
  <c r="E78" i="6"/>
  <c r="E84" i="6"/>
  <c r="E75" i="6"/>
  <c r="E77" i="6"/>
  <c r="E80" i="6"/>
  <c r="E82" i="6"/>
  <c r="E91" i="6"/>
  <c r="E85" i="6"/>
  <c r="E83" i="6"/>
  <c r="E86" i="6"/>
  <c r="D15" i="83"/>
  <c r="D15" i="86"/>
  <c r="F62" i="36"/>
  <c r="H14" i="36"/>
  <c r="D19" i="35"/>
  <c r="L15" i="83"/>
  <c r="D65" i="35"/>
  <c r="H93" i="86"/>
  <c r="H93" i="83"/>
  <c r="D15" i="85"/>
  <c r="D46" i="61"/>
  <c r="H63" i="62"/>
  <c r="F134" i="85"/>
  <c r="J63" i="36"/>
  <c r="F51" i="36"/>
  <c r="H94" i="86"/>
  <c r="H94" i="83"/>
  <c r="F60" i="54"/>
  <c r="F48" i="36"/>
  <c r="F48" i="54"/>
  <c r="F60" i="36"/>
  <c r="F63" i="54"/>
  <c r="F51" i="54"/>
  <c r="F14" i="36"/>
  <c r="H97" i="86"/>
  <c r="H97" i="83"/>
  <c r="D17" i="85"/>
  <c r="L13" i="86"/>
  <c r="L10" i="85"/>
  <c r="J60" i="62"/>
  <c r="J59" i="62"/>
  <c r="D16" i="84"/>
  <c r="F16" i="62"/>
  <c r="L12" i="85"/>
  <c r="H95" i="83"/>
  <c r="H95" i="86"/>
  <c r="D7" i="84"/>
  <c r="D68" i="61"/>
  <c r="H90" i="86"/>
  <c r="J59" i="54"/>
  <c r="L14" i="85"/>
  <c r="D149" i="6"/>
  <c r="D13" i="84"/>
  <c r="D8" i="85"/>
  <c r="D168" i="53"/>
  <c r="D168" i="35"/>
  <c r="D167" i="61"/>
  <c r="D167" i="6"/>
  <c r="D8" i="83"/>
  <c r="G94" i="83"/>
  <c r="D57" i="61"/>
  <c r="L7" i="85"/>
  <c r="L7" i="86"/>
  <c r="C93" i="86"/>
  <c r="B91" i="86"/>
  <c r="N89" i="61"/>
  <c r="J43" i="35"/>
  <c r="J36" i="36"/>
  <c r="L41" i="61"/>
  <c r="N82" i="35"/>
  <c r="L46" i="61"/>
  <c r="J16" i="83"/>
  <c r="J18" i="86"/>
  <c r="J38" i="54"/>
  <c r="F35" i="54"/>
  <c r="J8" i="86"/>
  <c r="C97" i="86"/>
  <c r="J49" i="53"/>
  <c r="J37" i="54"/>
  <c r="B49" i="53"/>
  <c r="F38" i="36"/>
  <c r="L46" i="53"/>
  <c r="L44" i="61"/>
  <c r="L42" i="6"/>
  <c r="N90" i="6"/>
  <c r="J17" i="86"/>
  <c r="B92" i="86"/>
  <c r="J11" i="86"/>
  <c r="L43" i="53"/>
  <c r="C133" i="86"/>
  <c r="B61" i="53"/>
  <c r="H37" i="36"/>
  <c r="L38" i="35"/>
  <c r="L43" i="61"/>
  <c r="L41" i="53"/>
  <c r="N83" i="35"/>
  <c r="J14" i="83"/>
  <c r="L89" i="61"/>
  <c r="B60" i="53"/>
  <c r="J11" i="83"/>
  <c r="L40" i="35"/>
  <c r="B61" i="35"/>
  <c r="B66" i="61"/>
  <c r="J37" i="36"/>
  <c r="N108" i="35"/>
  <c r="M90" i="6"/>
  <c r="L45" i="53"/>
  <c r="B59" i="53"/>
  <c r="B17" i="83"/>
  <c r="J46" i="35"/>
  <c r="B48" i="35"/>
  <c r="B15" i="85"/>
  <c r="B46" i="61"/>
  <c r="J47" i="61"/>
  <c r="J65" i="53"/>
  <c r="H24" i="62"/>
  <c r="L70" i="61"/>
  <c r="B132" i="85"/>
  <c r="H36" i="62"/>
  <c r="J38" i="62"/>
  <c r="C10" i="54"/>
  <c r="B9" i="85"/>
  <c r="J79" i="35"/>
  <c r="B43" i="6"/>
  <c r="J46" i="6"/>
  <c r="B13" i="84"/>
  <c r="J105" i="6"/>
  <c r="P46" i="6"/>
  <c r="C80" i="6"/>
  <c r="C79" i="6"/>
  <c r="C77" i="6"/>
  <c r="C76" i="6"/>
  <c r="C90" i="6"/>
  <c r="C89" i="6"/>
  <c r="C85" i="6"/>
  <c r="C87" i="6"/>
  <c r="C91" i="6"/>
  <c r="C75" i="6"/>
  <c r="C81" i="6"/>
  <c r="C86" i="6"/>
  <c r="J86" i="6"/>
  <c r="J9" i="86"/>
  <c r="J16" i="85"/>
  <c r="L48" i="61"/>
  <c r="J104" i="35"/>
  <c r="L49" i="53"/>
  <c r="B132" i="84"/>
  <c r="H36" i="8"/>
  <c r="H24" i="8"/>
  <c r="L71" i="6"/>
  <c r="J12" i="86"/>
  <c r="J84" i="6"/>
  <c r="H38" i="8"/>
  <c r="N71" i="6"/>
  <c r="B134" i="84"/>
  <c r="H26" i="8"/>
  <c r="J38" i="8"/>
  <c r="J26" i="8"/>
  <c r="J85" i="6"/>
  <c r="J97" i="35"/>
  <c r="J66" i="53"/>
  <c r="M59" i="53"/>
  <c r="J43" i="6"/>
  <c r="P43" i="6"/>
  <c r="J102" i="6"/>
  <c r="B10" i="84"/>
  <c r="F34" i="36"/>
  <c r="F22" i="36"/>
  <c r="J9" i="85"/>
  <c r="J106" i="35"/>
  <c r="H34" i="36"/>
  <c r="J9" i="84"/>
  <c r="B48" i="61"/>
  <c r="J49" i="61"/>
  <c r="B17" i="85"/>
  <c r="J42" i="61"/>
  <c r="B10" i="85"/>
  <c r="B41" i="61"/>
  <c r="J78" i="61"/>
  <c r="K59" i="53"/>
  <c r="J87" i="61"/>
  <c r="J11" i="84"/>
  <c r="J63" i="53"/>
  <c r="C88" i="6"/>
  <c r="C11" i="62"/>
  <c r="C9" i="62"/>
  <c r="C5" i="62"/>
  <c r="C6" i="62"/>
  <c r="C7" i="62"/>
  <c r="C10" i="62"/>
  <c r="C12" i="62"/>
  <c r="L42" i="35"/>
  <c r="J85" i="61"/>
  <c r="L42" i="53"/>
  <c r="J10" i="86"/>
  <c r="J13" i="86"/>
  <c r="C130" i="83"/>
  <c r="C130" i="84"/>
  <c r="L50" i="6"/>
  <c r="J107" i="35"/>
  <c r="J48" i="61"/>
  <c r="B47" i="61"/>
  <c r="B16" i="85"/>
  <c r="C81" i="35"/>
  <c r="C91" i="35"/>
  <c r="C78" i="35"/>
  <c r="C82" i="35"/>
  <c r="C86" i="35"/>
  <c r="C77" i="35"/>
  <c r="C88" i="35"/>
  <c r="C92" i="35"/>
  <c r="C76" i="35"/>
  <c r="C90" i="35"/>
  <c r="C80" i="35"/>
  <c r="C83" i="35"/>
  <c r="C84" i="35"/>
  <c r="C79" i="35"/>
  <c r="C85" i="35"/>
  <c r="B44" i="6"/>
  <c r="P47" i="6"/>
  <c r="J47" i="6"/>
  <c r="J106" i="6"/>
  <c r="B14" i="84"/>
  <c r="J49" i="6"/>
  <c r="P48" i="6"/>
  <c r="B45" i="6"/>
  <c r="J48" i="6"/>
  <c r="J107" i="6"/>
  <c r="B15" i="84"/>
  <c r="C12" i="54"/>
  <c r="C11" i="54"/>
  <c r="C9" i="54"/>
  <c r="C5" i="54"/>
  <c r="C8" i="54"/>
  <c r="C6" i="54"/>
  <c r="C7" i="54"/>
  <c r="J10" i="84"/>
  <c r="J87" i="6"/>
  <c r="B8" i="85"/>
  <c r="B39" i="61"/>
  <c r="J40" i="61"/>
  <c r="F5" i="54"/>
  <c r="C92" i="53"/>
  <c r="C86" i="53"/>
  <c r="C91" i="53"/>
  <c r="C77" i="53"/>
  <c r="C82" i="53"/>
  <c r="C76" i="53"/>
  <c r="C80" i="53"/>
  <c r="C90" i="53"/>
  <c r="C81" i="53"/>
  <c r="C78" i="53"/>
  <c r="C89" i="53"/>
  <c r="C88" i="53"/>
  <c r="C84" i="53"/>
  <c r="B39" i="6"/>
  <c r="J42" i="6"/>
  <c r="P42" i="6"/>
  <c r="B9" i="84"/>
  <c r="J101" i="6"/>
  <c r="K101" i="6" s="1"/>
  <c r="F34" i="54"/>
  <c r="F22" i="54"/>
  <c r="J81" i="35"/>
  <c r="N85" i="35"/>
  <c r="C85" i="53"/>
  <c r="J36" i="62"/>
  <c r="F6" i="8"/>
  <c r="C96" i="83"/>
  <c r="C96" i="86"/>
  <c r="C5" i="36"/>
  <c r="C11" i="36"/>
  <c r="C6" i="36"/>
  <c r="C9" i="36"/>
  <c r="C7" i="36"/>
  <c r="C10" i="36"/>
  <c r="C8" i="36"/>
  <c r="C12" i="36"/>
  <c r="J83" i="35"/>
  <c r="J79" i="6"/>
  <c r="J89" i="6"/>
  <c r="K77" i="35"/>
  <c r="J83" i="61"/>
  <c r="M89" i="35"/>
  <c r="B14" i="83"/>
  <c r="H35" i="62"/>
  <c r="K70" i="61"/>
  <c r="H23" i="62"/>
  <c r="B131" i="85"/>
  <c r="C6" i="8"/>
  <c r="C9" i="8"/>
  <c r="C7" i="8"/>
  <c r="C12" i="8"/>
  <c r="C5" i="8"/>
  <c r="C11" i="8"/>
  <c r="C13" i="8"/>
  <c r="C89" i="35"/>
  <c r="C79" i="53"/>
  <c r="B44" i="61"/>
  <c r="B13" i="85"/>
  <c r="J45" i="61"/>
  <c r="J62" i="53"/>
  <c r="J86" i="35"/>
  <c r="J100" i="6"/>
  <c r="B38" i="6"/>
  <c r="B9" i="86"/>
  <c r="J41" i="53"/>
  <c r="B133" i="85"/>
  <c r="H25" i="62"/>
  <c r="H37" i="62"/>
  <c r="M70" i="61"/>
  <c r="J87" i="53"/>
  <c r="J85" i="35"/>
  <c r="N59" i="53"/>
  <c r="J80" i="35"/>
  <c r="C78" i="6"/>
  <c r="B17" i="84"/>
  <c r="J51" i="6"/>
  <c r="J110" i="6"/>
  <c r="B18" i="84"/>
  <c r="B48" i="6"/>
  <c r="P51" i="6"/>
  <c r="B131" i="84"/>
  <c r="H23" i="8"/>
  <c r="H35" i="8"/>
  <c r="K71" i="6"/>
  <c r="J60" i="53"/>
  <c r="C82" i="6"/>
  <c r="C8" i="8"/>
  <c r="C10" i="8"/>
  <c r="B133" i="84"/>
  <c r="J37" i="8"/>
  <c r="H37" i="8"/>
  <c r="C83" i="53"/>
  <c r="J101" i="35"/>
  <c r="C132" i="83"/>
  <c r="J83" i="6"/>
  <c r="J78" i="35"/>
  <c r="B7" i="83"/>
  <c r="B45" i="61"/>
  <c r="J46" i="61"/>
  <c r="B14" i="85"/>
  <c r="C8" i="62"/>
  <c r="H38" i="62"/>
  <c r="B134" i="85"/>
  <c r="J86" i="53"/>
  <c r="C130" i="86"/>
  <c r="K105" i="6" l="1"/>
  <c r="F19" i="35"/>
  <c r="F40" i="6"/>
  <c r="F20" i="53"/>
  <c r="F150" i="6"/>
  <c r="F48" i="6"/>
  <c r="F39" i="35"/>
  <c r="F43" i="53"/>
  <c r="D169" i="6"/>
  <c r="D170" i="35"/>
  <c r="D164" i="53"/>
  <c r="D62" i="61"/>
  <c r="D151" i="35"/>
  <c r="L16" i="85"/>
  <c r="L9" i="83"/>
  <c r="D57" i="53"/>
  <c r="D47" i="61"/>
  <c r="L16" i="86"/>
  <c r="D66" i="53"/>
  <c r="L10" i="83"/>
  <c r="D60" i="35"/>
  <c r="D66" i="35"/>
  <c r="L16" i="83"/>
  <c r="L11" i="85"/>
  <c r="H90" i="83"/>
  <c r="D170" i="53"/>
  <c r="L15" i="85"/>
  <c r="D18" i="86"/>
  <c r="D56" i="6"/>
  <c r="D67" i="35"/>
  <c r="D63" i="6"/>
  <c r="L12" i="84"/>
  <c r="D47" i="6"/>
  <c r="D142" i="35"/>
  <c r="D169" i="61"/>
  <c r="D169" i="35"/>
  <c r="D17" i="86"/>
  <c r="J61" i="36"/>
  <c r="L12" i="83"/>
  <c r="L14" i="86"/>
  <c r="D166" i="61"/>
  <c r="D41" i="61"/>
  <c r="G97" i="83"/>
  <c r="D62" i="6"/>
  <c r="L7" i="83"/>
  <c r="D67" i="53"/>
  <c r="L18" i="83"/>
  <c r="L90" i="53"/>
  <c r="B64" i="53"/>
  <c r="N90" i="53"/>
  <c r="J109" i="6"/>
  <c r="J108" i="6"/>
  <c r="K108" i="6" s="1"/>
  <c r="J41" i="61"/>
  <c r="B7" i="63" s="1"/>
  <c r="B66" i="35"/>
  <c r="J50" i="6"/>
  <c r="B15" i="9" s="1"/>
  <c r="B46" i="6"/>
  <c r="B17" i="86"/>
  <c r="J39" i="53"/>
  <c r="B5" i="55" s="1"/>
  <c r="N70" i="61"/>
  <c r="H25" i="8"/>
  <c r="P50" i="6"/>
  <c r="V50" i="6" s="1"/>
  <c r="P41" i="6"/>
  <c r="J41" i="6"/>
  <c r="B133" i="83"/>
  <c r="B16" i="84"/>
  <c r="L44" i="6"/>
  <c r="B40" i="6"/>
  <c r="B48" i="53"/>
  <c r="B60" i="35"/>
  <c r="B66" i="6"/>
  <c r="B98" i="83"/>
  <c r="B62" i="53"/>
  <c r="F7" i="62"/>
  <c r="R6" i="62" s="1"/>
  <c r="B49" i="61"/>
  <c r="L50" i="61"/>
  <c r="J25" i="8"/>
  <c r="H5" i="54"/>
  <c r="G5" i="54" s="1"/>
  <c r="I5" i="54" s="1"/>
  <c r="L101" i="6"/>
  <c r="O101" i="6" s="1"/>
  <c r="B60" i="6"/>
  <c r="B132" i="86"/>
  <c r="B59" i="6"/>
  <c r="B18" i="85"/>
  <c r="B45" i="35"/>
  <c r="L9" i="84"/>
  <c r="L121" i="6"/>
  <c r="D58" i="6"/>
  <c r="L119" i="6"/>
  <c r="N119" i="6" s="1"/>
  <c r="L7" i="84"/>
  <c r="D61" i="35"/>
  <c r="L11" i="83"/>
  <c r="L126" i="6"/>
  <c r="D68" i="35"/>
  <c r="D59" i="35"/>
  <c r="L8" i="85"/>
  <c r="D58" i="61"/>
  <c r="L9" i="86"/>
  <c r="D59" i="53"/>
  <c r="J63" i="62"/>
  <c r="J51" i="62"/>
  <c r="L130" i="6"/>
  <c r="L18" i="84"/>
  <c r="L11" i="84"/>
  <c r="L123" i="6"/>
  <c r="J63" i="54"/>
  <c r="J51" i="54"/>
  <c r="L8" i="86"/>
  <c r="D58" i="53"/>
  <c r="D165" i="53"/>
  <c r="D164" i="6"/>
  <c r="D164" i="61"/>
  <c r="D165" i="35"/>
  <c r="G94" i="86"/>
  <c r="G96" i="83"/>
  <c r="E94" i="35"/>
  <c r="G95" i="83"/>
  <c r="G93" i="86"/>
  <c r="L122" i="6"/>
  <c r="D62" i="53"/>
  <c r="D60" i="53"/>
  <c r="J48" i="62"/>
  <c r="D148" i="53"/>
  <c r="H16" i="62"/>
  <c r="G16" i="62" s="1"/>
  <c r="I16" i="62" s="1"/>
  <c r="E93" i="6"/>
  <c r="F132" i="83"/>
  <c r="D18" i="83"/>
  <c r="H60" i="36"/>
  <c r="D60" i="6"/>
  <c r="J62" i="36"/>
  <c r="D163" i="61"/>
  <c r="D164" i="35"/>
  <c r="J62" i="62"/>
  <c r="D41" i="35"/>
  <c r="D59" i="6"/>
  <c r="G134" i="84"/>
  <c r="D20" i="61"/>
  <c r="J120" i="6"/>
  <c r="K120" i="6" s="1"/>
  <c r="D46" i="53"/>
  <c r="D44" i="6"/>
  <c r="D58" i="35"/>
  <c r="D147" i="35"/>
  <c r="D147" i="6"/>
  <c r="E94" i="61"/>
  <c r="H61" i="54"/>
  <c r="D20" i="6"/>
  <c r="D61" i="53"/>
  <c r="D66" i="6"/>
  <c r="J59" i="36"/>
  <c r="D48" i="35"/>
  <c r="H16" i="36"/>
  <c r="D62" i="35"/>
  <c r="J17" i="84"/>
  <c r="J18" i="85"/>
  <c r="J25" i="36"/>
  <c r="B58" i="53"/>
  <c r="L109" i="6"/>
  <c r="O109" i="6" s="1"/>
  <c r="B59" i="61"/>
  <c r="J48" i="53"/>
  <c r="B14" i="55" s="1"/>
  <c r="J26" i="62"/>
  <c r="C93" i="83"/>
  <c r="B97" i="86"/>
  <c r="J24" i="8"/>
  <c r="J42" i="35"/>
  <c r="C14" i="36"/>
  <c r="L43" i="6"/>
  <c r="B67" i="53"/>
  <c r="H5" i="36"/>
  <c r="G5" i="36" s="1"/>
  <c r="I5" i="36" s="1"/>
  <c r="F7" i="54"/>
  <c r="R6" i="54" s="1"/>
  <c r="F7" i="83"/>
  <c r="F38" i="35"/>
  <c r="F57" i="61"/>
  <c r="N7" i="85"/>
  <c r="F146" i="53"/>
  <c r="F146" i="35"/>
  <c r="F145" i="61"/>
  <c r="F145" i="6"/>
  <c r="F18" i="83"/>
  <c r="F49" i="35"/>
  <c r="F14" i="83"/>
  <c r="F45" i="35"/>
  <c r="F20" i="61"/>
  <c r="F151" i="35"/>
  <c r="F150" i="61"/>
  <c r="F151" i="53"/>
  <c r="F11" i="86"/>
  <c r="F42" i="53"/>
  <c r="F152" i="53"/>
  <c r="F151" i="6"/>
  <c r="F151" i="61"/>
  <c r="F152" i="35"/>
  <c r="F61" i="35"/>
  <c r="G61" i="35" s="1"/>
  <c r="N11" i="83"/>
  <c r="F13" i="85"/>
  <c r="F44" i="61"/>
  <c r="F169" i="53"/>
  <c r="F169" i="35"/>
  <c r="F168" i="61"/>
  <c r="F168" i="6"/>
  <c r="F8" i="84"/>
  <c r="F38" i="6"/>
  <c r="F145" i="53"/>
  <c r="F144" i="6"/>
  <c r="F144" i="61"/>
  <c r="F145" i="35"/>
  <c r="F17" i="86"/>
  <c r="F48" i="53"/>
  <c r="F148" i="35"/>
  <c r="F148" i="53"/>
  <c r="F147" i="6"/>
  <c r="F147" i="61"/>
  <c r="F21" i="53"/>
  <c r="G22" i="53" s="1"/>
  <c r="F47" i="35"/>
  <c r="F16" i="83"/>
  <c r="F21" i="6"/>
  <c r="F14" i="85"/>
  <c r="F45" i="61"/>
  <c r="F21" i="35"/>
  <c r="F14" i="86"/>
  <c r="F45" i="53"/>
  <c r="F19" i="53"/>
  <c r="G20" i="53" s="1"/>
  <c r="F149" i="35"/>
  <c r="F148" i="6"/>
  <c r="F149" i="53"/>
  <c r="F148" i="61"/>
  <c r="F16" i="85"/>
  <c r="F47" i="61"/>
  <c r="F15" i="83"/>
  <c r="F46" i="35"/>
  <c r="F56" i="6"/>
  <c r="F68" i="6" s="1"/>
  <c r="N7" i="84"/>
  <c r="N7" i="86"/>
  <c r="F57" i="53"/>
  <c r="F22" i="35"/>
  <c r="G22" i="35" s="1"/>
  <c r="F164" i="35"/>
  <c r="F40" i="53"/>
  <c r="F9" i="86"/>
  <c r="F166" i="6"/>
  <c r="F166" i="61"/>
  <c r="F167" i="35"/>
  <c r="F167" i="53"/>
  <c r="F20" i="6"/>
  <c r="F7" i="86"/>
  <c r="F38" i="53"/>
  <c r="F17" i="85"/>
  <c r="F48" i="61"/>
  <c r="F39" i="53"/>
  <c r="F8" i="86"/>
  <c r="F14" i="84"/>
  <c r="F44" i="6"/>
  <c r="F38" i="61"/>
  <c r="F7" i="85"/>
  <c r="F166" i="35"/>
  <c r="F166" i="53"/>
  <c r="F165" i="61"/>
  <c r="F165" i="6"/>
  <c r="F20" i="35"/>
  <c r="G20" i="35" s="1"/>
  <c r="F57" i="35"/>
  <c r="G57" i="35" s="1"/>
  <c r="G69" i="35" s="1"/>
  <c r="N7" i="83"/>
  <c r="F161" i="6"/>
  <c r="F161" i="61"/>
  <c r="F162" i="35"/>
  <c r="F162" i="53"/>
  <c r="F146" i="61"/>
  <c r="F147" i="53"/>
  <c r="F147" i="35"/>
  <c r="F146" i="6"/>
  <c r="F44" i="35"/>
  <c r="F13" i="83"/>
  <c r="F47" i="6"/>
  <c r="F17" i="84"/>
  <c r="F41" i="53"/>
  <c r="F10" i="86"/>
  <c r="F7" i="84"/>
  <c r="F37" i="6"/>
  <c r="F21" i="61"/>
  <c r="F10" i="85"/>
  <c r="F41" i="61"/>
  <c r="F42" i="35"/>
  <c r="F11" i="83"/>
  <c r="F48" i="35"/>
  <c r="F17" i="83"/>
  <c r="F59" i="61"/>
  <c r="F11" i="84"/>
  <c r="F41" i="6"/>
  <c r="F46" i="53"/>
  <c r="F15" i="86"/>
  <c r="F15" i="85"/>
  <c r="F46" i="61"/>
  <c r="F13" i="86"/>
  <c r="F44" i="53"/>
  <c r="F168" i="53"/>
  <c r="F167" i="61"/>
  <c r="F167" i="6"/>
  <c r="F168" i="35"/>
  <c r="K109" i="6"/>
  <c r="K100" i="6"/>
  <c r="K110" i="6"/>
  <c r="H25" i="36"/>
  <c r="K106" i="6"/>
  <c r="J9" i="83"/>
  <c r="L44" i="53"/>
  <c r="B64" i="35"/>
  <c r="H22" i="8"/>
  <c r="B37" i="6"/>
  <c r="J59" i="6"/>
  <c r="J63" i="61"/>
  <c r="J63" i="6"/>
  <c r="H22" i="54"/>
  <c r="J64" i="6"/>
  <c r="M90" i="53"/>
  <c r="B162" i="6"/>
  <c r="B61" i="61"/>
  <c r="J62" i="61"/>
  <c r="J58" i="61"/>
  <c r="J64" i="53"/>
  <c r="K107" i="6"/>
  <c r="B59" i="35"/>
  <c r="B63" i="53"/>
  <c r="B21" i="61"/>
  <c r="J24" i="62"/>
  <c r="B20" i="61"/>
  <c r="B144" i="35"/>
  <c r="B143" i="61"/>
  <c r="B143" i="6"/>
  <c r="B144" i="53"/>
  <c r="K78" i="6"/>
  <c r="B68" i="53"/>
  <c r="L108" i="35"/>
  <c r="B130" i="83"/>
  <c r="J10" i="83"/>
  <c r="B163" i="53"/>
  <c r="J38" i="36"/>
  <c r="J25" i="62"/>
  <c r="J26" i="54"/>
  <c r="B170" i="35"/>
  <c r="B94" i="86"/>
  <c r="J10" i="85"/>
  <c r="L42" i="61"/>
  <c r="L50" i="53"/>
  <c r="J14" i="86"/>
  <c r="J24" i="36"/>
  <c r="L90" i="6"/>
  <c r="B62" i="61"/>
  <c r="M108" i="35"/>
  <c r="L40" i="53"/>
  <c r="L43" i="35"/>
  <c r="J36" i="35"/>
  <c r="B5" i="37" s="1"/>
  <c r="B58" i="6"/>
  <c r="B47" i="53"/>
  <c r="L45" i="35"/>
  <c r="J14" i="85"/>
  <c r="J26" i="36"/>
  <c r="B167" i="6"/>
  <c r="J24" i="54"/>
  <c r="H7" i="36"/>
  <c r="G7" i="36" s="1"/>
  <c r="I7" i="36" s="1"/>
  <c r="R6" i="8"/>
  <c r="B19" i="35"/>
  <c r="J12" i="85"/>
  <c r="C90" i="86"/>
  <c r="K78" i="53"/>
  <c r="B90" i="83"/>
  <c r="J37" i="62"/>
  <c r="J25" i="54"/>
  <c r="B161" i="61"/>
  <c r="B144" i="6"/>
  <c r="B60" i="61"/>
  <c r="K96" i="35"/>
  <c r="L78" i="35"/>
  <c r="J50" i="54"/>
  <c r="J62" i="54"/>
  <c r="D150" i="53"/>
  <c r="H14" i="54"/>
  <c r="G14" i="54" s="1"/>
  <c r="I14" i="54" s="1"/>
  <c r="D148" i="61"/>
  <c r="D67" i="6"/>
  <c r="D65" i="6"/>
  <c r="D161" i="6"/>
  <c r="J61" i="62"/>
  <c r="L128" i="6"/>
  <c r="N128" i="6" s="1"/>
  <c r="D161" i="61"/>
  <c r="D22" i="35"/>
  <c r="D151" i="61"/>
  <c r="D43" i="61"/>
  <c r="D20" i="35"/>
  <c r="E20" i="35" s="1"/>
  <c r="G91" i="86"/>
  <c r="G93" i="83"/>
  <c r="F134" i="84"/>
  <c r="H63" i="8"/>
  <c r="J63" i="8"/>
  <c r="J127" i="6"/>
  <c r="K127" i="6" s="1"/>
  <c r="D15" i="84"/>
  <c r="J129" i="6"/>
  <c r="D17" i="84"/>
  <c r="G96" i="86"/>
  <c r="G98" i="83"/>
  <c r="H92" i="83"/>
  <c r="H92" i="86"/>
  <c r="J60" i="54"/>
  <c r="F132" i="84"/>
  <c r="H61" i="8"/>
  <c r="D12" i="83"/>
  <c r="H61" i="62"/>
  <c r="F132" i="85"/>
  <c r="D11" i="86"/>
  <c r="D39" i="6"/>
  <c r="J47" i="62"/>
  <c r="J47" i="54"/>
  <c r="D48" i="61"/>
  <c r="D45" i="6"/>
  <c r="H98" i="86"/>
  <c r="G14" i="36"/>
  <c r="I14" i="36" s="1"/>
  <c r="D149" i="53"/>
  <c r="D149" i="35"/>
  <c r="L125" i="6"/>
  <c r="D11" i="85"/>
  <c r="D14" i="84"/>
  <c r="J126" i="6"/>
  <c r="D40" i="53"/>
  <c r="D40" i="6"/>
  <c r="J121" i="6"/>
  <c r="K121" i="6" s="1"/>
  <c r="D9" i="84"/>
  <c r="G98" i="86"/>
  <c r="H60" i="8"/>
  <c r="D40" i="35"/>
  <c r="J130" i="6"/>
  <c r="K130" i="6" s="1"/>
  <c r="D18" i="84"/>
  <c r="D150" i="35"/>
  <c r="G133" i="86"/>
  <c r="D46" i="35"/>
  <c r="D147" i="61"/>
  <c r="D11" i="83"/>
  <c r="D12" i="86"/>
  <c r="J49" i="36"/>
  <c r="J61" i="54"/>
  <c r="H98" i="83"/>
  <c r="D144" i="53"/>
  <c r="D143" i="6"/>
  <c r="D143" i="61"/>
  <c r="D144" i="35"/>
  <c r="F64" i="36"/>
  <c r="G60" i="36" s="1"/>
  <c r="J59" i="8"/>
  <c r="D39" i="61"/>
  <c r="D43" i="6"/>
  <c r="D143" i="53"/>
  <c r="H62" i="36"/>
  <c r="F133" i="83"/>
  <c r="D42" i="6"/>
  <c r="D41" i="53"/>
  <c r="D20" i="53"/>
  <c r="E20" i="53" s="1"/>
  <c r="J48" i="8"/>
  <c r="J60" i="8"/>
  <c r="D145" i="6"/>
  <c r="D146" i="53"/>
  <c r="D145" i="61"/>
  <c r="D146" i="35"/>
  <c r="D161" i="35"/>
  <c r="D160" i="6"/>
  <c r="D160" i="61"/>
  <c r="D161" i="53"/>
  <c r="D45" i="35"/>
  <c r="F64" i="54"/>
  <c r="G60" i="54" s="1"/>
  <c r="J61" i="8"/>
  <c r="D48" i="6"/>
  <c r="D39" i="35"/>
  <c r="D39" i="53"/>
  <c r="F16" i="54"/>
  <c r="D60" i="61"/>
  <c r="F16" i="8"/>
  <c r="J51" i="36"/>
  <c r="J47" i="8"/>
  <c r="D46" i="6"/>
  <c r="D49" i="53"/>
  <c r="D44" i="61"/>
  <c r="D159" i="6"/>
  <c r="D159" i="61"/>
  <c r="D160" i="35"/>
  <c r="D160" i="53"/>
  <c r="D142" i="53"/>
  <c r="D59" i="61"/>
  <c r="H16" i="54"/>
  <c r="D22" i="53"/>
  <c r="D47" i="35"/>
  <c r="J49" i="8"/>
  <c r="F52" i="54"/>
  <c r="G51" i="54" s="1"/>
  <c r="D144" i="61"/>
  <c r="D144" i="6"/>
  <c r="D145" i="35"/>
  <c r="D145" i="53"/>
  <c r="D38" i="6"/>
  <c r="D45" i="61"/>
  <c r="D22" i="61"/>
  <c r="D44" i="53"/>
  <c r="D49" i="61"/>
  <c r="L18" i="86"/>
  <c r="D68" i="53"/>
  <c r="D149" i="61"/>
  <c r="D48" i="53"/>
  <c r="D44" i="35"/>
  <c r="D166" i="35"/>
  <c r="D165" i="6"/>
  <c r="D166" i="53"/>
  <c r="D165" i="61"/>
  <c r="D63" i="61"/>
  <c r="L13" i="85"/>
  <c r="R9" i="62"/>
  <c r="D57" i="6"/>
  <c r="L120" i="6"/>
  <c r="L8" i="84"/>
  <c r="D47" i="53"/>
  <c r="D45" i="53"/>
  <c r="F52" i="36"/>
  <c r="G51" i="36" s="1"/>
  <c r="H16" i="8"/>
  <c r="D22" i="6"/>
  <c r="D49" i="35"/>
  <c r="F16" i="36"/>
  <c r="D140" i="6"/>
  <c r="D140" i="61"/>
  <c r="D141" i="35"/>
  <c r="D141" i="53"/>
  <c r="J64" i="62"/>
  <c r="K59" i="62" s="1"/>
  <c r="H7" i="54"/>
  <c r="J11" i="85"/>
  <c r="N67" i="53"/>
  <c r="B151" i="6"/>
  <c r="B90" i="86"/>
  <c r="L102" i="6"/>
  <c r="M129" i="6" s="1"/>
  <c r="M89" i="61"/>
  <c r="B163" i="35"/>
  <c r="B64" i="61"/>
  <c r="B39" i="35"/>
  <c r="C131" i="83"/>
  <c r="C95" i="86"/>
  <c r="C95" i="83"/>
  <c r="F6" i="54"/>
  <c r="B95" i="86"/>
  <c r="B95" i="83"/>
  <c r="N88" i="35"/>
  <c r="R6" i="36"/>
  <c r="C132" i="86"/>
  <c r="H7" i="62"/>
  <c r="B22" i="61"/>
  <c r="B22" i="53"/>
  <c r="B20" i="6"/>
  <c r="H7" i="8"/>
  <c r="J44" i="35"/>
  <c r="H22" i="36"/>
  <c r="B162" i="61"/>
  <c r="C92" i="86"/>
  <c r="C92" i="83"/>
  <c r="C94" i="86"/>
  <c r="C94" i="83"/>
  <c r="F6" i="36"/>
  <c r="B22" i="35"/>
  <c r="B22" i="6"/>
  <c r="B164" i="61"/>
  <c r="B165" i="35"/>
  <c r="B164" i="6"/>
  <c r="B165" i="53"/>
  <c r="B44" i="35"/>
  <c r="B13" i="83"/>
  <c r="B6" i="63"/>
  <c r="L49" i="6"/>
  <c r="L108" i="6"/>
  <c r="B65" i="6"/>
  <c r="J16" i="84"/>
  <c r="T48" i="6"/>
  <c r="V48" i="6"/>
  <c r="V47" i="6"/>
  <c r="T47" i="6"/>
  <c r="M109" i="6"/>
  <c r="M103" i="6"/>
  <c r="D4" i="41"/>
  <c r="D4" i="40"/>
  <c r="D4" i="38"/>
  <c r="D4" i="39"/>
  <c r="K126" i="6"/>
  <c r="K119" i="6"/>
  <c r="K102" i="6"/>
  <c r="K128" i="6"/>
  <c r="K125" i="6"/>
  <c r="H37" i="54"/>
  <c r="M71" i="53"/>
  <c r="H25" i="54"/>
  <c r="B133" i="86"/>
  <c r="B64" i="6"/>
  <c r="J15" i="84"/>
  <c r="L48" i="6"/>
  <c r="L107" i="6"/>
  <c r="B148" i="61"/>
  <c r="B149" i="53"/>
  <c r="B148" i="6"/>
  <c r="B149" i="35"/>
  <c r="B141" i="6"/>
  <c r="B142" i="35"/>
  <c r="B142" i="53"/>
  <c r="B141" i="61"/>
  <c r="J96" i="35"/>
  <c r="B12" i="63"/>
  <c r="N77" i="35"/>
  <c r="J12" i="84"/>
  <c r="B61" i="6"/>
  <c r="L45" i="6"/>
  <c r="L104" i="6"/>
  <c r="B10" i="83"/>
  <c r="J39" i="35"/>
  <c r="B41" i="35"/>
  <c r="B166" i="61"/>
  <c r="B167" i="53"/>
  <c r="T41" i="6"/>
  <c r="V41" i="6"/>
  <c r="B6" i="9"/>
  <c r="B11" i="63"/>
  <c r="V42" i="6"/>
  <c r="T42" i="6"/>
  <c r="C94" i="53"/>
  <c r="B13" i="9"/>
  <c r="B14" i="9"/>
  <c r="B14" i="63"/>
  <c r="J15" i="85"/>
  <c r="L47" i="61"/>
  <c r="B65" i="61"/>
  <c r="B38" i="35"/>
  <c r="B19" i="53"/>
  <c r="K71" i="53"/>
  <c r="H35" i="54"/>
  <c r="H23" i="54"/>
  <c r="B131" i="86"/>
  <c r="B67" i="35"/>
  <c r="J17" i="83"/>
  <c r="L46" i="35"/>
  <c r="F39" i="36"/>
  <c r="B8" i="9"/>
  <c r="B170" i="61"/>
  <c r="B171" i="35"/>
  <c r="B170" i="6"/>
  <c r="B171" i="53"/>
  <c r="T46" i="6"/>
  <c r="V46" i="6"/>
  <c r="B9" i="83"/>
  <c r="B40" i="35"/>
  <c r="J38" i="35"/>
  <c r="B44" i="53"/>
  <c r="J45" i="53"/>
  <c r="B13" i="86"/>
  <c r="B145" i="6"/>
  <c r="B145" i="61"/>
  <c r="B146" i="35"/>
  <c r="B146" i="53"/>
  <c r="J77" i="61"/>
  <c r="D8" i="66"/>
  <c r="B17" i="66" s="1"/>
  <c r="D8" i="65"/>
  <c r="B17" i="65" s="1"/>
  <c r="D8" i="64"/>
  <c r="B17" i="64" s="1"/>
  <c r="D8" i="67"/>
  <c r="B17" i="67" s="1"/>
  <c r="J40" i="53"/>
  <c r="B8" i="86"/>
  <c r="T51" i="6"/>
  <c r="V51" i="6"/>
  <c r="B16" i="9"/>
  <c r="D7" i="64"/>
  <c r="B16" i="64" s="1"/>
  <c r="D7" i="65"/>
  <c r="B16" i="65" s="1"/>
  <c r="D7" i="66"/>
  <c r="B16" i="66" s="1"/>
  <c r="D7" i="67"/>
  <c r="B16" i="67" s="1"/>
  <c r="B7" i="55"/>
  <c r="B16" i="83"/>
  <c r="B47" i="35"/>
  <c r="J45" i="35"/>
  <c r="B12" i="37"/>
  <c r="D7" i="41"/>
  <c r="B16" i="41" s="1"/>
  <c r="D7" i="38"/>
  <c r="B16" i="38" s="1"/>
  <c r="D7" i="40"/>
  <c r="B16" i="40" s="1"/>
  <c r="D7" i="39"/>
  <c r="B16" i="39" s="1"/>
  <c r="L45" i="61"/>
  <c r="B63" i="61"/>
  <c r="J13" i="85"/>
  <c r="B57" i="6"/>
  <c r="L100" i="6"/>
  <c r="J8" i="84"/>
  <c r="L41" i="6"/>
  <c r="F27" i="54"/>
  <c r="G22" i="54" s="1"/>
  <c r="B7" i="9"/>
  <c r="C14" i="54"/>
  <c r="B162" i="53"/>
  <c r="T49" i="6"/>
  <c r="V49" i="6"/>
  <c r="B12" i="9"/>
  <c r="C94" i="35"/>
  <c r="L47" i="35"/>
  <c r="J18" i="83"/>
  <c r="B68" i="35"/>
  <c r="C14" i="62"/>
  <c r="J8" i="85"/>
  <c r="L40" i="61"/>
  <c r="B58" i="61"/>
  <c r="B8" i="63"/>
  <c r="B15" i="63"/>
  <c r="N101" i="6"/>
  <c r="M101" i="6"/>
  <c r="B15" i="55"/>
  <c r="J8" i="83"/>
  <c r="L37" i="35"/>
  <c r="B58" i="35"/>
  <c r="D8" i="30"/>
  <c r="B17" i="30" s="1"/>
  <c r="D8" i="10"/>
  <c r="B17" i="10" s="1"/>
  <c r="D8" i="32"/>
  <c r="B17" i="32" s="1"/>
  <c r="D8" i="31"/>
  <c r="B17" i="31" s="1"/>
  <c r="B13" i="63"/>
  <c r="B15" i="37"/>
  <c r="J78" i="6"/>
  <c r="D5" i="32"/>
  <c r="B14" i="32" s="1"/>
  <c r="D5" i="30"/>
  <c r="B14" i="30" s="1"/>
  <c r="D5" i="31"/>
  <c r="B14" i="31" s="1"/>
  <c r="D5" i="10"/>
  <c r="B14" i="10" s="1"/>
  <c r="H26" i="54"/>
  <c r="N71" i="53"/>
  <c r="H38" i="54"/>
  <c r="B134" i="86"/>
  <c r="F39" i="54"/>
  <c r="G34" i="54" s="1"/>
  <c r="M123" i="6"/>
  <c r="J43" i="53"/>
  <c r="B42" i="53"/>
  <c r="B11" i="86"/>
  <c r="B67" i="61"/>
  <c r="L49" i="61"/>
  <c r="J17" i="85"/>
  <c r="D6" i="31"/>
  <c r="B15" i="31" s="1"/>
  <c r="D6" i="32"/>
  <c r="B15" i="32" s="1"/>
  <c r="D6" i="10"/>
  <c r="B15" i="10" s="1"/>
  <c r="D6" i="30"/>
  <c r="B15" i="30" s="1"/>
  <c r="L47" i="53"/>
  <c r="J15" i="86"/>
  <c r="B65" i="53"/>
  <c r="J78" i="53"/>
  <c r="B8" i="83"/>
  <c r="J37" i="35"/>
  <c r="J12" i="83"/>
  <c r="L41" i="35"/>
  <c r="B62" i="35"/>
  <c r="D7" i="31"/>
  <c r="B16" i="31" s="1"/>
  <c r="D7" i="10"/>
  <c r="B16" i="10" s="1"/>
  <c r="D7" i="30"/>
  <c r="B16" i="30" s="1"/>
  <c r="D7" i="32"/>
  <c r="B16" i="32" s="1"/>
  <c r="B66" i="53"/>
  <c r="J16" i="86"/>
  <c r="L48" i="53"/>
  <c r="B41" i="53"/>
  <c r="J42" i="53"/>
  <c r="B10" i="86"/>
  <c r="C14" i="8"/>
  <c r="D5" i="64"/>
  <c r="B14" i="64" s="1"/>
  <c r="D5" i="65"/>
  <c r="B14" i="65" s="1"/>
  <c r="D5" i="66"/>
  <c r="B14" i="66" s="1"/>
  <c r="D5" i="67"/>
  <c r="B14" i="67" s="1"/>
  <c r="B131" i="83"/>
  <c r="K89" i="35"/>
  <c r="H35" i="36"/>
  <c r="B67" i="6"/>
  <c r="J18" i="84"/>
  <c r="L110" i="6"/>
  <c r="L51" i="6"/>
  <c r="B150" i="61"/>
  <c r="B42" i="35"/>
  <c r="J40" i="35"/>
  <c r="B11" i="83"/>
  <c r="R40" i="6"/>
  <c r="Q6" i="8"/>
  <c r="F27" i="36"/>
  <c r="G22" i="36" s="1"/>
  <c r="T43" i="6"/>
  <c r="V43" i="6"/>
  <c r="B45" i="53"/>
  <c r="B14" i="86"/>
  <c r="J46" i="53"/>
  <c r="L106" i="6"/>
  <c r="J14" i="84"/>
  <c r="B63" i="6"/>
  <c r="L47" i="6"/>
  <c r="J13" i="84"/>
  <c r="L46" i="6"/>
  <c r="B62" i="6"/>
  <c r="L105" i="6"/>
  <c r="B161" i="53"/>
  <c r="B160" i="6"/>
  <c r="B160" i="61"/>
  <c r="B161" i="35"/>
  <c r="J15" i="83"/>
  <c r="B65" i="35"/>
  <c r="L44" i="35"/>
  <c r="B170" i="53"/>
  <c r="C93" i="6"/>
  <c r="B11" i="9"/>
  <c r="D6" i="66"/>
  <c r="B15" i="66" s="1"/>
  <c r="D6" i="65"/>
  <c r="B15" i="65" s="1"/>
  <c r="D6" i="64"/>
  <c r="B15" i="64" s="1"/>
  <c r="D6" i="67"/>
  <c r="B15" i="67" s="1"/>
  <c r="N109" i="6" l="1"/>
  <c r="T50" i="6"/>
  <c r="G21" i="6"/>
  <c r="F163" i="6"/>
  <c r="F164" i="53"/>
  <c r="F163" i="61"/>
  <c r="G21" i="53"/>
  <c r="D168" i="61"/>
  <c r="D142" i="61"/>
  <c r="D150" i="61"/>
  <c r="O119" i="6"/>
  <c r="D169" i="53"/>
  <c r="D168" i="6"/>
  <c r="D141" i="61"/>
  <c r="D141" i="6"/>
  <c r="D151" i="6"/>
  <c r="D142" i="6"/>
  <c r="D143" i="35"/>
  <c r="D43" i="35"/>
  <c r="D150" i="6"/>
  <c r="D64" i="53"/>
  <c r="J50" i="62"/>
  <c r="L124" i="6"/>
  <c r="M124" i="6" s="1"/>
  <c r="N121" i="6"/>
  <c r="J49" i="54"/>
  <c r="D151" i="53"/>
  <c r="D162" i="6"/>
  <c r="D163" i="53"/>
  <c r="D163" i="35"/>
  <c r="D162" i="61"/>
  <c r="H51" i="8"/>
  <c r="D61" i="6"/>
  <c r="D171" i="53"/>
  <c r="D170" i="6"/>
  <c r="D170" i="61"/>
  <c r="D171" i="35"/>
  <c r="D146" i="61"/>
  <c r="F131" i="83"/>
  <c r="H61" i="36"/>
  <c r="D147" i="53"/>
  <c r="D153" i="53" s="1"/>
  <c r="J52" i="62"/>
  <c r="K51" i="62" s="1"/>
  <c r="L14" i="84"/>
  <c r="D68" i="6"/>
  <c r="M121" i="6"/>
  <c r="R8" i="8"/>
  <c r="J51" i="8"/>
  <c r="H50" i="54"/>
  <c r="O121" i="6"/>
  <c r="D146" i="6"/>
  <c r="D57" i="35"/>
  <c r="R8" i="54"/>
  <c r="D21" i="53"/>
  <c r="E22" i="53" s="1"/>
  <c r="J47" i="36"/>
  <c r="O130" i="6"/>
  <c r="B39" i="53"/>
  <c r="B20" i="53"/>
  <c r="C20" i="53" s="1"/>
  <c r="B169" i="35"/>
  <c r="B20" i="35"/>
  <c r="C21" i="61"/>
  <c r="B151" i="35"/>
  <c r="B151" i="53"/>
  <c r="B38" i="53"/>
  <c r="M102" i="6"/>
  <c r="O102" i="6"/>
  <c r="B152" i="35"/>
  <c r="B7" i="86"/>
  <c r="B152" i="53"/>
  <c r="H36" i="54"/>
  <c r="L71" i="53"/>
  <c r="B150" i="6"/>
  <c r="N102" i="6"/>
  <c r="B145" i="53"/>
  <c r="D63" i="53"/>
  <c r="D69" i="53" s="1"/>
  <c r="E67" i="53" s="1"/>
  <c r="G48" i="54"/>
  <c r="R8" i="62"/>
  <c r="G63" i="54"/>
  <c r="N130" i="6"/>
  <c r="D42" i="61"/>
  <c r="F132" i="86"/>
  <c r="D64" i="35"/>
  <c r="L14" i="83"/>
  <c r="D69" i="61"/>
  <c r="E60" i="61" s="1"/>
  <c r="D42" i="53"/>
  <c r="H51" i="36"/>
  <c r="J64" i="54"/>
  <c r="K59" i="54" s="1"/>
  <c r="D12" i="84"/>
  <c r="J124" i="6"/>
  <c r="J50" i="36"/>
  <c r="R9" i="8"/>
  <c r="B21" i="35"/>
  <c r="C21" i="35" s="1"/>
  <c r="B97" i="83"/>
  <c r="M130" i="6"/>
  <c r="M122" i="6"/>
  <c r="M127" i="6"/>
  <c r="B168" i="61"/>
  <c r="B167" i="35"/>
  <c r="B166" i="6"/>
  <c r="B21" i="53"/>
  <c r="C22" i="53" s="1"/>
  <c r="H6" i="62"/>
  <c r="G6" i="62" s="1"/>
  <c r="I6" i="62" s="1"/>
  <c r="C8" i="68" s="1"/>
  <c r="H6" i="8"/>
  <c r="G6" i="8" s="1"/>
  <c r="I6" i="8" s="1"/>
  <c r="C8" i="14" s="1"/>
  <c r="B21" i="6"/>
  <c r="C21" i="6" s="1"/>
  <c r="M119" i="6"/>
  <c r="M126" i="6"/>
  <c r="H6" i="54"/>
  <c r="G6" i="54" s="1"/>
  <c r="I6" i="54" s="1"/>
  <c r="C8" i="60" s="1"/>
  <c r="C90" i="83"/>
  <c r="F171" i="35"/>
  <c r="F170" i="61"/>
  <c r="F170" i="6"/>
  <c r="F171" i="53"/>
  <c r="F115" i="35"/>
  <c r="F115" i="61"/>
  <c r="F115" i="53"/>
  <c r="F114" i="6"/>
  <c r="F19" i="84"/>
  <c r="G7" i="84" s="1"/>
  <c r="F50" i="61"/>
  <c r="G47" i="61" s="1"/>
  <c r="F69" i="53"/>
  <c r="N19" i="83"/>
  <c r="F50" i="53"/>
  <c r="G41" i="53" s="1"/>
  <c r="N19" i="86"/>
  <c r="F169" i="6"/>
  <c r="F170" i="35"/>
  <c r="F170" i="53"/>
  <c r="F169" i="61"/>
  <c r="F160" i="53"/>
  <c r="F159" i="61"/>
  <c r="F159" i="6"/>
  <c r="F160" i="35"/>
  <c r="N19" i="85"/>
  <c r="F50" i="35"/>
  <c r="G42" i="35" s="1"/>
  <c r="G11" i="84"/>
  <c r="F141" i="35"/>
  <c r="F140" i="61"/>
  <c r="F141" i="53"/>
  <c r="F140" i="6"/>
  <c r="F49" i="6"/>
  <c r="G41" i="6" s="1"/>
  <c r="G17" i="84"/>
  <c r="F19" i="86"/>
  <c r="O7" i="86" s="1"/>
  <c r="N19" i="84"/>
  <c r="G45" i="61"/>
  <c r="F142" i="53"/>
  <c r="F141" i="6"/>
  <c r="F141" i="61"/>
  <c r="F142" i="35"/>
  <c r="F69" i="61"/>
  <c r="G59" i="61" s="1"/>
  <c r="F19" i="83"/>
  <c r="G16" i="83" s="1"/>
  <c r="G22" i="6"/>
  <c r="F144" i="35"/>
  <c r="F143" i="61"/>
  <c r="F143" i="6"/>
  <c r="F144" i="53"/>
  <c r="F163" i="53"/>
  <c r="F163" i="35"/>
  <c r="F162" i="61"/>
  <c r="F162" i="6"/>
  <c r="G21" i="61"/>
  <c r="G22" i="61"/>
  <c r="F165" i="53"/>
  <c r="F164" i="6"/>
  <c r="F164" i="61"/>
  <c r="F165" i="35"/>
  <c r="F160" i="6"/>
  <c r="F160" i="61"/>
  <c r="F161" i="53"/>
  <c r="F161" i="35"/>
  <c r="F150" i="53"/>
  <c r="F150" i="35"/>
  <c r="F149" i="61"/>
  <c r="F149" i="6"/>
  <c r="F19" i="85"/>
  <c r="G7" i="85" s="1"/>
  <c r="G14" i="84"/>
  <c r="F142" i="6"/>
  <c r="F143" i="35"/>
  <c r="F142" i="61"/>
  <c r="F143" i="53"/>
  <c r="G21" i="35"/>
  <c r="G57" i="6"/>
  <c r="G42" i="53"/>
  <c r="B168" i="35"/>
  <c r="B169" i="53"/>
  <c r="M125" i="6"/>
  <c r="B151" i="61"/>
  <c r="H34" i="62"/>
  <c r="B130" i="85"/>
  <c r="J70" i="61"/>
  <c r="H22" i="62"/>
  <c r="H27" i="62" s="1"/>
  <c r="I23" i="62" s="1"/>
  <c r="B42" i="6"/>
  <c r="J104" i="6"/>
  <c r="K104" i="6" s="1"/>
  <c r="P45" i="6"/>
  <c r="J45" i="6"/>
  <c r="B10" i="9" s="1"/>
  <c r="B12" i="84"/>
  <c r="B38" i="61"/>
  <c r="B50" i="61" s="1"/>
  <c r="C45" i="61" s="1"/>
  <c r="J39" i="61"/>
  <c r="B7" i="85"/>
  <c r="B167" i="61"/>
  <c r="B15" i="83"/>
  <c r="B168" i="6"/>
  <c r="C22" i="61"/>
  <c r="H6" i="36"/>
  <c r="B94" i="83"/>
  <c r="M120" i="6"/>
  <c r="J44" i="53"/>
  <c r="B10" i="55" s="1"/>
  <c r="B12" i="86"/>
  <c r="B43" i="53"/>
  <c r="B42" i="61"/>
  <c r="B11" i="85"/>
  <c r="J43" i="61"/>
  <c r="B9" i="63" s="1"/>
  <c r="B11" i="84"/>
  <c r="J44" i="6"/>
  <c r="B9" i="9" s="1"/>
  <c r="P44" i="6"/>
  <c r="J103" i="6"/>
  <c r="B41" i="6"/>
  <c r="B7" i="84"/>
  <c r="J99" i="6"/>
  <c r="J40" i="6"/>
  <c r="P40" i="6"/>
  <c r="T40" i="6" s="1"/>
  <c r="H34" i="54"/>
  <c r="H39" i="54" s="1"/>
  <c r="J71" i="53"/>
  <c r="B130" i="86"/>
  <c r="B12" i="85"/>
  <c r="J44" i="61"/>
  <c r="B10" i="63" s="1"/>
  <c r="B43" i="61"/>
  <c r="B168" i="53"/>
  <c r="J71" i="6"/>
  <c r="H34" i="8"/>
  <c r="B130" i="84"/>
  <c r="K90" i="6"/>
  <c r="J35" i="8"/>
  <c r="J23" i="8"/>
  <c r="B169" i="6"/>
  <c r="B161" i="6"/>
  <c r="B162" i="35"/>
  <c r="B145" i="35"/>
  <c r="H24" i="36"/>
  <c r="L89" i="35"/>
  <c r="B132" i="83"/>
  <c r="H36" i="36"/>
  <c r="J23" i="62"/>
  <c r="K89" i="61"/>
  <c r="J35" i="62"/>
  <c r="J23" i="54"/>
  <c r="K90" i="53"/>
  <c r="J35" i="54"/>
  <c r="B169" i="61"/>
  <c r="B143" i="53"/>
  <c r="B144" i="61"/>
  <c r="B147" i="6"/>
  <c r="B148" i="35"/>
  <c r="B148" i="53"/>
  <c r="B147" i="61"/>
  <c r="H23" i="36"/>
  <c r="B142" i="6"/>
  <c r="Q6" i="54"/>
  <c r="C20" i="35"/>
  <c r="J23" i="36"/>
  <c r="J35" i="36"/>
  <c r="K108" i="35"/>
  <c r="J48" i="54"/>
  <c r="J52" i="54" s="1"/>
  <c r="K47" i="54" s="1"/>
  <c r="O128" i="6"/>
  <c r="M128" i="6"/>
  <c r="D43" i="53"/>
  <c r="D152" i="35"/>
  <c r="D152" i="53"/>
  <c r="E21" i="53"/>
  <c r="L19" i="84"/>
  <c r="H62" i="62"/>
  <c r="F133" i="85"/>
  <c r="H15" i="62"/>
  <c r="G97" i="86"/>
  <c r="F130" i="83"/>
  <c r="H59" i="36"/>
  <c r="F131" i="85"/>
  <c r="H60" i="62"/>
  <c r="L19" i="85"/>
  <c r="G16" i="8"/>
  <c r="D41" i="6"/>
  <c r="G134" i="83"/>
  <c r="D9" i="85"/>
  <c r="D19" i="85" s="1"/>
  <c r="M18" i="85" s="1"/>
  <c r="H62" i="54"/>
  <c r="F133" i="86"/>
  <c r="D9" i="83"/>
  <c r="D19" i="83" s="1"/>
  <c r="M12" i="83" s="1"/>
  <c r="H60" i="54"/>
  <c r="F131" i="86"/>
  <c r="D9" i="86"/>
  <c r="D40" i="61"/>
  <c r="H15" i="36"/>
  <c r="J122" i="6"/>
  <c r="D10" i="84"/>
  <c r="N125" i="6"/>
  <c r="O125" i="6"/>
  <c r="D11" i="84"/>
  <c r="J123" i="6"/>
  <c r="F130" i="84"/>
  <c r="H59" i="8"/>
  <c r="H15" i="8"/>
  <c r="N129" i="6"/>
  <c r="O129" i="6"/>
  <c r="O127" i="6"/>
  <c r="N127" i="6"/>
  <c r="K129" i="6"/>
  <c r="D42" i="35"/>
  <c r="F134" i="83"/>
  <c r="H63" i="36"/>
  <c r="F130" i="85"/>
  <c r="H59" i="62"/>
  <c r="F134" i="86"/>
  <c r="H63" i="54"/>
  <c r="N126" i="6"/>
  <c r="O126" i="6"/>
  <c r="F130" i="86"/>
  <c r="H59" i="54"/>
  <c r="F133" i="84"/>
  <c r="J62" i="8"/>
  <c r="J64" i="8" s="1"/>
  <c r="K61" i="8" s="1"/>
  <c r="H62" i="8"/>
  <c r="H15" i="54"/>
  <c r="G134" i="85"/>
  <c r="H51" i="62"/>
  <c r="L19" i="86"/>
  <c r="G16" i="36"/>
  <c r="I16" i="36" s="1"/>
  <c r="R9" i="36"/>
  <c r="G133" i="85"/>
  <c r="H50" i="62"/>
  <c r="L13" i="83"/>
  <c r="L19" i="83" s="1"/>
  <c r="D63" i="35"/>
  <c r="R8" i="36"/>
  <c r="G134" i="86"/>
  <c r="H51" i="54"/>
  <c r="G130" i="83"/>
  <c r="H47" i="36"/>
  <c r="D171" i="6"/>
  <c r="G90" i="86"/>
  <c r="G92" i="83"/>
  <c r="G61" i="54"/>
  <c r="G62" i="54"/>
  <c r="G59" i="54"/>
  <c r="G64" i="54" s="1"/>
  <c r="F15" i="54"/>
  <c r="G131" i="84"/>
  <c r="H48" i="8"/>
  <c r="J60" i="36"/>
  <c r="J64" i="36" s="1"/>
  <c r="K59" i="36" s="1"/>
  <c r="J48" i="36"/>
  <c r="G131" i="85"/>
  <c r="H48" i="62"/>
  <c r="G132" i="86"/>
  <c r="H49" i="54"/>
  <c r="H91" i="83"/>
  <c r="H91" i="86"/>
  <c r="G131" i="83"/>
  <c r="H48" i="36"/>
  <c r="G47" i="54"/>
  <c r="G50" i="54"/>
  <c r="G49" i="54"/>
  <c r="G132" i="84"/>
  <c r="H49" i="8"/>
  <c r="D38" i="61"/>
  <c r="D172" i="35"/>
  <c r="G130" i="84"/>
  <c r="H47" i="8"/>
  <c r="G132" i="83"/>
  <c r="H49" i="36"/>
  <c r="G130" i="86"/>
  <c r="H47" i="54"/>
  <c r="G59" i="36"/>
  <c r="G61" i="36"/>
  <c r="G62" i="36"/>
  <c r="G63" i="36"/>
  <c r="G132" i="85"/>
  <c r="H49" i="62"/>
  <c r="G130" i="85"/>
  <c r="H47" i="62"/>
  <c r="D172" i="53"/>
  <c r="E166" i="53" s="1"/>
  <c r="F15" i="62"/>
  <c r="D21" i="61"/>
  <c r="E21" i="61" s="1"/>
  <c r="D21" i="6"/>
  <c r="E21" i="6" s="1"/>
  <c r="H50" i="36"/>
  <c r="G133" i="83"/>
  <c r="F15" i="36"/>
  <c r="F15" i="8"/>
  <c r="G48" i="36"/>
  <c r="G47" i="36"/>
  <c r="G50" i="36"/>
  <c r="G49" i="36"/>
  <c r="N120" i="6"/>
  <c r="O120" i="6"/>
  <c r="L131" i="6"/>
  <c r="G131" i="86"/>
  <c r="H48" i="54"/>
  <c r="D38" i="35"/>
  <c r="D171" i="61"/>
  <c r="E160" i="61" s="1"/>
  <c r="G133" i="84"/>
  <c r="H50" i="8"/>
  <c r="J50" i="8"/>
  <c r="J52" i="8" s="1"/>
  <c r="D37" i="6"/>
  <c r="D21" i="35"/>
  <c r="R9" i="54"/>
  <c r="G16" i="54"/>
  <c r="I16" i="54" s="1"/>
  <c r="D38" i="53"/>
  <c r="K50" i="62"/>
  <c r="E58" i="53"/>
  <c r="E64" i="61"/>
  <c r="E62" i="61"/>
  <c r="E59" i="61"/>
  <c r="E68" i="61"/>
  <c r="E63" i="61"/>
  <c r="D153" i="35"/>
  <c r="D152" i="61"/>
  <c r="E140" i="61" s="1"/>
  <c r="G91" i="83"/>
  <c r="K63" i="62"/>
  <c r="K60" i="62"/>
  <c r="K61" i="62"/>
  <c r="K62" i="62"/>
  <c r="D152" i="6"/>
  <c r="E140" i="6" s="1"/>
  <c r="H27" i="36"/>
  <c r="I22" i="36" s="1"/>
  <c r="Q6" i="36"/>
  <c r="G6" i="36"/>
  <c r="I6" i="36" s="1"/>
  <c r="C8" i="42" s="1"/>
  <c r="B15" i="86"/>
  <c r="J47" i="53"/>
  <c r="B13" i="55" s="1"/>
  <c r="B46" i="53"/>
  <c r="B46" i="35"/>
  <c r="B50" i="35" s="1"/>
  <c r="C38" i="35" s="1"/>
  <c r="B143" i="35"/>
  <c r="B142" i="61"/>
  <c r="G7" i="62"/>
  <c r="I7" i="62" s="1"/>
  <c r="B150" i="53"/>
  <c r="B149" i="6"/>
  <c r="B149" i="61"/>
  <c r="B150" i="35"/>
  <c r="B93" i="86"/>
  <c r="B93" i="83"/>
  <c r="C91" i="86"/>
  <c r="C91" i="83"/>
  <c r="J41" i="35"/>
  <c r="B10" i="37" s="1"/>
  <c r="B12" i="83"/>
  <c r="B43" i="35"/>
  <c r="G7" i="54"/>
  <c r="I7" i="54" s="1"/>
  <c r="C22" i="35"/>
  <c r="G7" i="8"/>
  <c r="B18" i="83"/>
  <c r="B49" i="35"/>
  <c r="J47" i="35"/>
  <c r="B16" i="37" s="1"/>
  <c r="H24" i="54"/>
  <c r="M110" i="6"/>
  <c r="O110" i="6"/>
  <c r="N110" i="6"/>
  <c r="B9" i="37"/>
  <c r="R5" i="54"/>
  <c r="L39" i="53"/>
  <c r="B57" i="53"/>
  <c r="J7" i="86"/>
  <c r="O105" i="6"/>
  <c r="M105" i="6"/>
  <c r="N105" i="6"/>
  <c r="B12" i="55"/>
  <c r="D5" i="39"/>
  <c r="B14" i="39" s="1"/>
  <c r="D5" i="38"/>
  <c r="B14" i="38" s="1"/>
  <c r="D5" i="40"/>
  <c r="B14" i="40" s="1"/>
  <c r="D5" i="41"/>
  <c r="B14" i="41" s="1"/>
  <c r="B8" i="55"/>
  <c r="B14" i="37"/>
  <c r="B13" i="37"/>
  <c r="B7" i="37"/>
  <c r="D5" i="57"/>
  <c r="B14" i="57" s="1"/>
  <c r="D5" i="56"/>
  <c r="B14" i="56" s="1"/>
  <c r="D5" i="58"/>
  <c r="B14" i="58" s="1"/>
  <c r="D5" i="59"/>
  <c r="B14" i="59" s="1"/>
  <c r="J22" i="36"/>
  <c r="J108" i="35"/>
  <c r="J34" i="36"/>
  <c r="J90" i="6"/>
  <c r="J22" i="8"/>
  <c r="J34" i="8"/>
  <c r="J34" i="62"/>
  <c r="J22" i="62"/>
  <c r="J89" i="61"/>
  <c r="B13" i="40"/>
  <c r="B6" i="37"/>
  <c r="J34" i="54"/>
  <c r="J22" i="54"/>
  <c r="J90" i="53"/>
  <c r="B9" i="55"/>
  <c r="G37" i="54"/>
  <c r="G38" i="54"/>
  <c r="G36" i="54"/>
  <c r="G35" i="54"/>
  <c r="R5" i="8"/>
  <c r="L40" i="6"/>
  <c r="B56" i="6"/>
  <c r="B68" i="6" s="1"/>
  <c r="L99" i="6"/>
  <c r="J7" i="84"/>
  <c r="H27" i="8"/>
  <c r="I22" i="8" s="1"/>
  <c r="M104" i="6"/>
  <c r="N104" i="6"/>
  <c r="H26" i="36"/>
  <c r="H38" i="36"/>
  <c r="H39" i="36" s="1"/>
  <c r="I35" i="36" s="1"/>
  <c r="N89" i="35"/>
  <c r="B134" i="83"/>
  <c r="R5" i="36"/>
  <c r="B57" i="35"/>
  <c r="J7" i="83"/>
  <c r="L36" i="35"/>
  <c r="D7" i="58"/>
  <c r="B16" i="58" s="1"/>
  <c r="D7" i="57"/>
  <c r="B16" i="57" s="1"/>
  <c r="D7" i="59"/>
  <c r="B16" i="59" s="1"/>
  <c r="D7" i="56"/>
  <c r="B16" i="56" s="1"/>
  <c r="B13" i="39"/>
  <c r="B6" i="55"/>
  <c r="R5" i="62"/>
  <c r="L39" i="61"/>
  <c r="J7" i="85"/>
  <c r="B57" i="61"/>
  <c r="G36" i="36"/>
  <c r="G38" i="36"/>
  <c r="G37" i="36"/>
  <c r="G35" i="36"/>
  <c r="B11" i="37"/>
  <c r="B146" i="61"/>
  <c r="B146" i="6"/>
  <c r="B147" i="35"/>
  <c r="B147" i="53"/>
  <c r="R52" i="6"/>
  <c r="B160" i="35"/>
  <c r="B159" i="61"/>
  <c r="B160" i="53"/>
  <c r="B159" i="6"/>
  <c r="G25" i="54"/>
  <c r="G26" i="54"/>
  <c r="G23" i="54"/>
  <c r="G24" i="54"/>
  <c r="M100" i="6"/>
  <c r="N100" i="6"/>
  <c r="O100" i="6"/>
  <c r="B11" i="55"/>
  <c r="G34" i="36"/>
  <c r="N108" i="6"/>
  <c r="M108" i="6"/>
  <c r="O108" i="6"/>
  <c r="G24" i="36"/>
  <c r="G25" i="36"/>
  <c r="G23" i="36"/>
  <c r="G27" i="36" s="1"/>
  <c r="G26" i="36"/>
  <c r="M106" i="6"/>
  <c r="O106" i="6"/>
  <c r="N106" i="6"/>
  <c r="B165" i="61"/>
  <c r="B166" i="35"/>
  <c r="B165" i="6"/>
  <c r="B166" i="53"/>
  <c r="I15" i="8"/>
  <c r="D8" i="58"/>
  <c r="B17" i="58" s="1"/>
  <c r="D8" i="56"/>
  <c r="B17" i="56" s="1"/>
  <c r="D8" i="57"/>
  <c r="B17" i="57" s="1"/>
  <c r="D8" i="59"/>
  <c r="B17" i="59" s="1"/>
  <c r="B163" i="6"/>
  <c r="B164" i="35"/>
  <c r="B163" i="61"/>
  <c r="B164" i="53"/>
  <c r="B8" i="37"/>
  <c r="O107" i="6"/>
  <c r="N107" i="6"/>
  <c r="M107" i="6"/>
  <c r="B141" i="53"/>
  <c r="B141" i="35"/>
  <c r="B140" i="61"/>
  <c r="B140" i="6"/>
  <c r="B13" i="38"/>
  <c r="B13" i="41"/>
  <c r="O104" i="6" l="1"/>
  <c r="B19" i="86"/>
  <c r="K15" i="86" s="1"/>
  <c r="E57" i="61"/>
  <c r="E66" i="61"/>
  <c r="E58" i="61"/>
  <c r="G39" i="53"/>
  <c r="I25" i="62"/>
  <c r="E61" i="61"/>
  <c r="E67" i="61"/>
  <c r="E65" i="61"/>
  <c r="K47" i="62"/>
  <c r="E66" i="53"/>
  <c r="K48" i="62"/>
  <c r="G46" i="53"/>
  <c r="G48" i="53"/>
  <c r="G38" i="53"/>
  <c r="K63" i="54"/>
  <c r="E68" i="53"/>
  <c r="K49" i="62"/>
  <c r="E60" i="53"/>
  <c r="K63" i="36"/>
  <c r="G45" i="35"/>
  <c r="G40" i="53"/>
  <c r="O7" i="84"/>
  <c r="G8" i="84"/>
  <c r="G57" i="61"/>
  <c r="G45" i="53"/>
  <c r="G44" i="35"/>
  <c r="G44" i="53"/>
  <c r="G38" i="61"/>
  <c r="G63" i="6"/>
  <c r="G17" i="86"/>
  <c r="G17" i="85"/>
  <c r="G66" i="6"/>
  <c r="G9" i="86"/>
  <c r="G7" i="86"/>
  <c r="G56" i="6"/>
  <c r="O7" i="85"/>
  <c r="G14" i="85"/>
  <c r="G10" i="86"/>
  <c r="G48" i="61"/>
  <c r="G15" i="86"/>
  <c r="G41" i="61"/>
  <c r="G8" i="86"/>
  <c r="G14" i="86"/>
  <c r="G11" i="86"/>
  <c r="E9" i="83"/>
  <c r="E159" i="61"/>
  <c r="E168" i="6"/>
  <c r="M131" i="6"/>
  <c r="E61" i="53"/>
  <c r="E64" i="53"/>
  <c r="D113" i="61"/>
  <c r="E113" i="61" s="1"/>
  <c r="J52" i="36"/>
  <c r="K50" i="36" s="1"/>
  <c r="H64" i="54"/>
  <c r="I59" i="54" s="1"/>
  <c r="E57" i="53"/>
  <c r="E69" i="53" s="1"/>
  <c r="E65" i="53"/>
  <c r="E59" i="53"/>
  <c r="E165" i="6"/>
  <c r="D69" i="35"/>
  <c r="E62" i="35" s="1"/>
  <c r="E62" i="53"/>
  <c r="E63" i="53"/>
  <c r="K48" i="54"/>
  <c r="B49" i="6"/>
  <c r="C56" i="6" s="1"/>
  <c r="C22" i="6"/>
  <c r="D6" i="58"/>
  <c r="B15" i="58" s="1"/>
  <c r="D6" i="59"/>
  <c r="B15" i="59" s="1"/>
  <c r="D6" i="57"/>
  <c r="B15" i="57" s="1"/>
  <c r="D6" i="56"/>
  <c r="B15" i="56" s="1"/>
  <c r="B50" i="53"/>
  <c r="C45" i="53" s="1"/>
  <c r="E69" i="61"/>
  <c r="K64" i="62"/>
  <c r="K60" i="54"/>
  <c r="K49" i="54"/>
  <c r="E168" i="61"/>
  <c r="Q8" i="62"/>
  <c r="K51" i="54"/>
  <c r="K52" i="54" s="1"/>
  <c r="Q9" i="54"/>
  <c r="K61" i="54"/>
  <c r="K52" i="62"/>
  <c r="K62" i="54"/>
  <c r="K50" i="54"/>
  <c r="D50" i="35"/>
  <c r="E47" i="35" s="1"/>
  <c r="Q8" i="36"/>
  <c r="O124" i="6"/>
  <c r="N124" i="6"/>
  <c r="K124" i="6"/>
  <c r="C11" i="86"/>
  <c r="C14" i="86"/>
  <c r="G39" i="54"/>
  <c r="B19" i="85"/>
  <c r="C7" i="85" s="1"/>
  <c r="G39" i="36"/>
  <c r="C48" i="61"/>
  <c r="B19" i="84"/>
  <c r="C12" i="84" s="1"/>
  <c r="G27" i="54"/>
  <c r="C21" i="53"/>
  <c r="C43" i="61"/>
  <c r="G17" i="83"/>
  <c r="G18" i="83"/>
  <c r="G67" i="6"/>
  <c r="G59" i="6"/>
  <c r="G62" i="6"/>
  <c r="G42" i="6"/>
  <c r="G48" i="6"/>
  <c r="G40" i="6"/>
  <c r="G43" i="6"/>
  <c r="G61" i="6"/>
  <c r="G45" i="6"/>
  <c r="G65" i="6"/>
  <c r="G39" i="6"/>
  <c r="G64" i="6"/>
  <c r="G46" i="6"/>
  <c r="G58" i="6"/>
  <c r="G68" i="6" s="1"/>
  <c r="F152" i="61"/>
  <c r="G40" i="35"/>
  <c r="G41" i="35"/>
  <c r="G39" i="35"/>
  <c r="G43" i="35"/>
  <c r="G49" i="35"/>
  <c r="F172" i="35"/>
  <c r="G160" i="35" s="1"/>
  <c r="G46" i="35"/>
  <c r="G11" i="83"/>
  <c r="G66" i="53"/>
  <c r="G64" i="53"/>
  <c r="G61" i="53"/>
  <c r="G59" i="53"/>
  <c r="G60" i="53"/>
  <c r="G58" i="53"/>
  <c r="G63" i="53"/>
  <c r="G62" i="53"/>
  <c r="G67" i="53"/>
  <c r="G68" i="53"/>
  <c r="G65" i="53"/>
  <c r="G47" i="35"/>
  <c r="O18" i="85"/>
  <c r="O10" i="85"/>
  <c r="O11" i="85"/>
  <c r="O16" i="85"/>
  <c r="G11" i="85"/>
  <c r="O12" i="85"/>
  <c r="G18" i="85"/>
  <c r="O15" i="85"/>
  <c r="G8" i="85"/>
  <c r="O14" i="85"/>
  <c r="O17" i="85"/>
  <c r="G9" i="85"/>
  <c r="O13" i="85"/>
  <c r="O9" i="85"/>
  <c r="O8" i="85"/>
  <c r="G12" i="85"/>
  <c r="G47" i="6"/>
  <c r="G67" i="61"/>
  <c r="G66" i="61"/>
  <c r="G64" i="61"/>
  <c r="G65" i="61"/>
  <c r="G63" i="61"/>
  <c r="G61" i="61"/>
  <c r="G58" i="61"/>
  <c r="G60" i="61"/>
  <c r="G62" i="61"/>
  <c r="G68" i="61"/>
  <c r="G37" i="6"/>
  <c r="F153" i="35"/>
  <c r="G141" i="35" s="1"/>
  <c r="G13" i="86"/>
  <c r="F171" i="6"/>
  <c r="G169" i="6" s="1"/>
  <c r="G43" i="53"/>
  <c r="G47" i="53"/>
  <c r="G49" i="53"/>
  <c r="G60" i="6"/>
  <c r="G40" i="61"/>
  <c r="G39" i="61"/>
  <c r="G42" i="61"/>
  <c r="G43" i="61"/>
  <c r="G49" i="61"/>
  <c r="O17" i="84"/>
  <c r="O11" i="84"/>
  <c r="G13" i="84"/>
  <c r="O12" i="84"/>
  <c r="G12" i="84"/>
  <c r="G16" i="84"/>
  <c r="O8" i="84"/>
  <c r="O18" i="84"/>
  <c r="G9" i="84"/>
  <c r="O15" i="84"/>
  <c r="O16" i="84"/>
  <c r="O13" i="84"/>
  <c r="G15" i="84"/>
  <c r="G18" i="84"/>
  <c r="O10" i="84"/>
  <c r="O9" i="84"/>
  <c r="G10" i="84"/>
  <c r="O14" i="84"/>
  <c r="G48" i="35"/>
  <c r="F114" i="35"/>
  <c r="F114" i="61"/>
  <c r="G115" i="61" s="1"/>
  <c r="F114" i="53"/>
  <c r="F113" i="6"/>
  <c r="G143" i="35"/>
  <c r="G160" i="6"/>
  <c r="O16" i="83"/>
  <c r="O18" i="83"/>
  <c r="G9" i="83"/>
  <c r="O13" i="83"/>
  <c r="O17" i="83"/>
  <c r="G10" i="83"/>
  <c r="O14" i="83"/>
  <c r="O12" i="83"/>
  <c r="G12" i="83"/>
  <c r="O10" i="83"/>
  <c r="O15" i="83"/>
  <c r="G8" i="83"/>
  <c r="O8" i="83"/>
  <c r="O9" i="83"/>
  <c r="F152" i="6"/>
  <c r="G140" i="6" s="1"/>
  <c r="F171" i="61"/>
  <c r="G164" i="61" s="1"/>
  <c r="O7" i="83"/>
  <c r="G14" i="83"/>
  <c r="G19" i="84"/>
  <c r="G38" i="6"/>
  <c r="G142" i="6"/>
  <c r="G164" i="6"/>
  <c r="G144" i="35"/>
  <c r="G7" i="83"/>
  <c r="G141" i="61"/>
  <c r="O11" i="83"/>
  <c r="F112" i="6"/>
  <c r="G112" i="6" s="1"/>
  <c r="F113" i="53"/>
  <c r="G113" i="53" s="1"/>
  <c r="F113" i="35"/>
  <c r="G113" i="35" s="1"/>
  <c r="F113" i="61"/>
  <c r="G113" i="61" s="1"/>
  <c r="G15" i="83"/>
  <c r="O14" i="86"/>
  <c r="O8" i="86"/>
  <c r="O16" i="86"/>
  <c r="O13" i="86"/>
  <c r="O10" i="86"/>
  <c r="O11" i="86"/>
  <c r="O17" i="86"/>
  <c r="G18" i="86"/>
  <c r="G16" i="86"/>
  <c r="O9" i="86"/>
  <c r="O12" i="86"/>
  <c r="O18" i="86"/>
  <c r="G12" i="86"/>
  <c r="O15" i="86"/>
  <c r="G44" i="6"/>
  <c r="G10" i="85"/>
  <c r="F153" i="53"/>
  <c r="G142" i="53" s="1"/>
  <c r="G38" i="35"/>
  <c r="G13" i="85"/>
  <c r="F172" i="53"/>
  <c r="G170" i="53" s="1"/>
  <c r="G16" i="85"/>
  <c r="G15" i="85"/>
  <c r="G44" i="61"/>
  <c r="G57" i="53"/>
  <c r="G69" i="53" s="1"/>
  <c r="G13" i="83"/>
  <c r="F124" i="61"/>
  <c r="F125" i="53"/>
  <c r="F124" i="6"/>
  <c r="F125" i="35"/>
  <c r="G170" i="6"/>
  <c r="G46" i="61"/>
  <c r="I36" i="54"/>
  <c r="B6" i="57" s="1"/>
  <c r="I35" i="54"/>
  <c r="B5" i="57" s="1"/>
  <c r="I38" i="54"/>
  <c r="B8" i="59" s="1"/>
  <c r="I34" i="54"/>
  <c r="I37" i="54"/>
  <c r="B7" i="56" s="1"/>
  <c r="V45" i="6"/>
  <c r="T45" i="6"/>
  <c r="T52" i="6" s="1"/>
  <c r="C44" i="61"/>
  <c r="J111" i="6"/>
  <c r="K99" i="6"/>
  <c r="K111" i="6" s="1"/>
  <c r="T44" i="6"/>
  <c r="V44" i="6"/>
  <c r="C37" i="6"/>
  <c r="C65" i="6"/>
  <c r="C57" i="6"/>
  <c r="C68" i="6" s="1"/>
  <c r="C67" i="6"/>
  <c r="C39" i="6"/>
  <c r="C46" i="6"/>
  <c r="C38" i="6"/>
  <c r="C48" i="6"/>
  <c r="C66" i="6"/>
  <c r="C47" i="6"/>
  <c r="B5" i="9"/>
  <c r="B17" i="9" s="1"/>
  <c r="P17" i="9" s="1"/>
  <c r="C9" i="14" s="1"/>
  <c r="C16" i="14" s="1"/>
  <c r="J52" i="6"/>
  <c r="K40" i="6" s="1"/>
  <c r="C41" i="6"/>
  <c r="C49" i="61"/>
  <c r="C39" i="61"/>
  <c r="C47" i="61"/>
  <c r="C46" i="61"/>
  <c r="C41" i="61"/>
  <c r="C42" i="61"/>
  <c r="I24" i="62"/>
  <c r="I22" i="62"/>
  <c r="I27" i="62" s="1"/>
  <c r="C40" i="61"/>
  <c r="D4" i="31"/>
  <c r="D4" i="30"/>
  <c r="H39" i="8"/>
  <c r="D4" i="32"/>
  <c r="D4" i="10"/>
  <c r="D4" i="57"/>
  <c r="B13" i="57" s="1"/>
  <c r="B18" i="57" s="1"/>
  <c r="D4" i="59"/>
  <c r="B13" i="59" s="1"/>
  <c r="B18" i="59" s="1"/>
  <c r="D4" i="58"/>
  <c r="B13" i="58" s="1"/>
  <c r="D4" i="56"/>
  <c r="K103" i="6"/>
  <c r="O103" i="6"/>
  <c r="N103" i="6"/>
  <c r="C38" i="61"/>
  <c r="I26" i="62"/>
  <c r="P52" i="6"/>
  <c r="Q44" i="6" s="1"/>
  <c r="V40" i="6"/>
  <c r="J51" i="61"/>
  <c r="K44" i="61" s="1"/>
  <c r="B5" i="63"/>
  <c r="B17" i="63" s="1"/>
  <c r="M17" i="63" s="1"/>
  <c r="D13" i="67" s="1"/>
  <c r="D14" i="67" s="1"/>
  <c r="C42" i="6"/>
  <c r="D4" i="66"/>
  <c r="D4" i="64"/>
  <c r="D4" i="67"/>
  <c r="H39" i="62"/>
  <c r="D4" i="65"/>
  <c r="J51" i="53"/>
  <c r="K42" i="53" s="1"/>
  <c r="I23" i="36"/>
  <c r="J48" i="35"/>
  <c r="K46" i="35" s="1"/>
  <c r="B17" i="37"/>
  <c r="P17" i="37" s="1"/>
  <c r="C9" i="42" s="1"/>
  <c r="B17" i="55"/>
  <c r="D17" i="55" s="1"/>
  <c r="D13" i="56" s="1"/>
  <c r="D14" i="56" s="1"/>
  <c r="K10" i="86"/>
  <c r="C10" i="86"/>
  <c r="K12" i="86"/>
  <c r="D6" i="39"/>
  <c r="B15" i="39" s="1"/>
  <c r="D6" i="40"/>
  <c r="B15" i="40" s="1"/>
  <c r="D6" i="41"/>
  <c r="B15" i="41" s="1"/>
  <c r="D6" i="38"/>
  <c r="B15" i="38" s="1"/>
  <c r="M13" i="83"/>
  <c r="E43" i="35"/>
  <c r="M17" i="85"/>
  <c r="E61" i="35"/>
  <c r="M8" i="83"/>
  <c r="E39" i="35"/>
  <c r="E14" i="85"/>
  <c r="E8" i="83"/>
  <c r="E48" i="35"/>
  <c r="E161" i="53"/>
  <c r="M7" i="83"/>
  <c r="M19" i="83" s="1"/>
  <c r="E10" i="83"/>
  <c r="N123" i="6"/>
  <c r="O123" i="6"/>
  <c r="K123" i="6"/>
  <c r="M17" i="83"/>
  <c r="M15" i="83"/>
  <c r="M18" i="83"/>
  <c r="G15" i="54"/>
  <c r="I15" i="54" s="1"/>
  <c r="D19" i="84"/>
  <c r="E10" i="84" s="1"/>
  <c r="M14" i="83"/>
  <c r="E11" i="83"/>
  <c r="E18" i="83"/>
  <c r="E12" i="83"/>
  <c r="E16" i="83"/>
  <c r="E64" i="35"/>
  <c r="E9" i="85"/>
  <c r="E12" i="85"/>
  <c r="E16" i="85"/>
  <c r="E7" i="85"/>
  <c r="M11" i="83"/>
  <c r="H64" i="62"/>
  <c r="H64" i="8"/>
  <c r="Q8" i="8"/>
  <c r="D19" i="86"/>
  <c r="E15" i="85"/>
  <c r="M11" i="85"/>
  <c r="M16" i="85"/>
  <c r="M9" i="85"/>
  <c r="E17" i="85"/>
  <c r="M7" i="85"/>
  <c r="M15" i="85"/>
  <c r="M12" i="85"/>
  <c r="M10" i="85"/>
  <c r="E8" i="85"/>
  <c r="M14" i="85"/>
  <c r="H64" i="36"/>
  <c r="I59" i="36" s="1"/>
  <c r="E13" i="83"/>
  <c r="E14" i="83"/>
  <c r="E13" i="85"/>
  <c r="E10" i="85"/>
  <c r="M10" i="83"/>
  <c r="M16" i="83"/>
  <c r="M9" i="83"/>
  <c r="E15" i="83"/>
  <c r="E17" i="83"/>
  <c r="E11" i="85"/>
  <c r="E18" i="85"/>
  <c r="M8" i="85"/>
  <c r="E22" i="61"/>
  <c r="E7" i="83"/>
  <c r="E19" i="83" s="1"/>
  <c r="O122" i="6"/>
  <c r="N122" i="6"/>
  <c r="J131" i="6"/>
  <c r="K122" i="6"/>
  <c r="K131" i="6" s="1"/>
  <c r="Q8" i="54"/>
  <c r="M13" i="85"/>
  <c r="K47" i="8"/>
  <c r="K48" i="8"/>
  <c r="K51" i="8"/>
  <c r="K49" i="8"/>
  <c r="D50" i="61"/>
  <c r="E38" i="61" s="1"/>
  <c r="E63" i="35"/>
  <c r="K62" i="36"/>
  <c r="D50" i="53"/>
  <c r="E38" i="53" s="1"/>
  <c r="K60" i="8"/>
  <c r="G52" i="36"/>
  <c r="Q9" i="36"/>
  <c r="G15" i="36"/>
  <c r="I15" i="36" s="1"/>
  <c r="G15" i="62"/>
  <c r="I15" i="62" s="1"/>
  <c r="Q9" i="62"/>
  <c r="G64" i="36"/>
  <c r="E162" i="35"/>
  <c r="E168" i="35"/>
  <c r="E171" i="35"/>
  <c r="E164" i="35"/>
  <c r="E167" i="35"/>
  <c r="E163" i="35"/>
  <c r="E170" i="35"/>
  <c r="E165" i="35"/>
  <c r="E169" i="35"/>
  <c r="K59" i="8"/>
  <c r="E159" i="6"/>
  <c r="E166" i="6"/>
  <c r="E162" i="6"/>
  <c r="E163" i="6"/>
  <c r="E161" i="6"/>
  <c r="E164" i="6"/>
  <c r="E167" i="6"/>
  <c r="E169" i="6"/>
  <c r="E170" i="6"/>
  <c r="E160" i="6"/>
  <c r="E21" i="35"/>
  <c r="E22" i="35"/>
  <c r="E163" i="53"/>
  <c r="E167" i="53"/>
  <c r="E162" i="53"/>
  <c r="E168" i="53"/>
  <c r="E164" i="53"/>
  <c r="E170" i="53"/>
  <c r="E171" i="53"/>
  <c r="E165" i="53"/>
  <c r="D115" i="53"/>
  <c r="D115" i="35"/>
  <c r="D115" i="61"/>
  <c r="D114" i="6"/>
  <c r="E57" i="35"/>
  <c r="E66" i="35"/>
  <c r="K61" i="36"/>
  <c r="D49" i="6"/>
  <c r="K50" i="8"/>
  <c r="E160" i="53"/>
  <c r="H52" i="54"/>
  <c r="I50" i="54" s="1"/>
  <c r="H52" i="8"/>
  <c r="I51" i="8" s="1"/>
  <c r="H52" i="36"/>
  <c r="I49" i="36" s="1"/>
  <c r="E169" i="53"/>
  <c r="E166" i="35"/>
  <c r="K63" i="8"/>
  <c r="K62" i="8"/>
  <c r="E58" i="35"/>
  <c r="K60" i="36"/>
  <c r="E166" i="61"/>
  <c r="E162" i="61"/>
  <c r="E163" i="61"/>
  <c r="E161" i="61"/>
  <c r="E169" i="61"/>
  <c r="E164" i="61"/>
  <c r="E167" i="61"/>
  <c r="E170" i="61"/>
  <c r="Q9" i="8"/>
  <c r="G15" i="8"/>
  <c r="H52" i="62"/>
  <c r="I48" i="62" s="1"/>
  <c r="D113" i="53"/>
  <c r="E113" i="53" s="1"/>
  <c r="E161" i="35"/>
  <c r="E160" i="35"/>
  <c r="I49" i="8"/>
  <c r="G52" i="54"/>
  <c r="E165" i="61"/>
  <c r="E22" i="6"/>
  <c r="E145" i="6"/>
  <c r="E147" i="6"/>
  <c r="E141" i="6"/>
  <c r="E143" i="6"/>
  <c r="E142" i="6"/>
  <c r="E148" i="6"/>
  <c r="E144" i="6"/>
  <c r="E149" i="6"/>
  <c r="E151" i="6"/>
  <c r="E146" i="6"/>
  <c r="E150" i="6"/>
  <c r="E148" i="35"/>
  <c r="E143" i="35"/>
  <c r="E142" i="35"/>
  <c r="E144" i="35"/>
  <c r="E149" i="35"/>
  <c r="E146" i="35"/>
  <c r="E145" i="35"/>
  <c r="E147" i="35"/>
  <c r="E150" i="35"/>
  <c r="E152" i="35"/>
  <c r="E151" i="35"/>
  <c r="E147" i="61"/>
  <c r="E143" i="61"/>
  <c r="E142" i="61"/>
  <c r="E148" i="61"/>
  <c r="E141" i="61"/>
  <c r="E152" i="61" s="1"/>
  <c r="E145" i="61"/>
  <c r="E144" i="61"/>
  <c r="E149" i="61"/>
  <c r="E150" i="61"/>
  <c r="E146" i="61"/>
  <c r="E151" i="61"/>
  <c r="E141" i="35"/>
  <c r="E148" i="53"/>
  <c r="E144" i="53"/>
  <c r="E143" i="53"/>
  <c r="E142" i="53"/>
  <c r="E149" i="53"/>
  <c r="E146" i="53"/>
  <c r="E145" i="53"/>
  <c r="E151" i="53"/>
  <c r="E150" i="53"/>
  <c r="E152" i="53"/>
  <c r="E147" i="53"/>
  <c r="D114" i="35"/>
  <c r="D113" i="6"/>
  <c r="D114" i="53"/>
  <c r="D114" i="61"/>
  <c r="E141" i="53"/>
  <c r="M17" i="55"/>
  <c r="D13" i="59" s="1"/>
  <c r="D14" i="59" s="1"/>
  <c r="D15" i="59" s="1"/>
  <c r="D16" i="59" s="1"/>
  <c r="D17" i="59" s="1"/>
  <c r="Q5" i="54"/>
  <c r="C41" i="35"/>
  <c r="I7" i="8"/>
  <c r="I16" i="8"/>
  <c r="C17" i="86"/>
  <c r="C9" i="86"/>
  <c r="C42" i="35"/>
  <c r="J17" i="9"/>
  <c r="D13" i="31" s="1"/>
  <c r="D14" i="31" s="1"/>
  <c r="I24" i="36"/>
  <c r="K50" i="53"/>
  <c r="K46" i="53"/>
  <c r="I34" i="36"/>
  <c r="I36" i="36"/>
  <c r="I37" i="36"/>
  <c r="B7" i="41" s="1"/>
  <c r="C15" i="86"/>
  <c r="K8" i="86"/>
  <c r="K14" i="86"/>
  <c r="K9" i="86"/>
  <c r="K47" i="53"/>
  <c r="K45" i="53"/>
  <c r="I25" i="36"/>
  <c r="K42" i="35"/>
  <c r="I26" i="36"/>
  <c r="C12" i="86"/>
  <c r="K49" i="53"/>
  <c r="H27" i="54"/>
  <c r="K16" i="86"/>
  <c r="B19" i="83"/>
  <c r="C18" i="83" s="1"/>
  <c r="B69" i="53"/>
  <c r="B153" i="35"/>
  <c r="C141" i="35" s="1"/>
  <c r="B8" i="57"/>
  <c r="C45" i="35"/>
  <c r="C49" i="35"/>
  <c r="C48" i="35"/>
  <c r="C43" i="35"/>
  <c r="B171" i="6"/>
  <c r="C163" i="6" s="1"/>
  <c r="L51" i="61"/>
  <c r="M39" i="61" s="1"/>
  <c r="C44" i="35"/>
  <c r="B172" i="53"/>
  <c r="C164" i="53" s="1"/>
  <c r="S50" i="6"/>
  <c r="S51" i="6"/>
  <c r="S48" i="6"/>
  <c r="S45" i="6"/>
  <c r="S49" i="6"/>
  <c r="S46" i="6"/>
  <c r="S43" i="6"/>
  <c r="S47" i="6"/>
  <c r="S42" i="6"/>
  <c r="S41" i="6"/>
  <c r="S44" i="6"/>
  <c r="L48" i="35"/>
  <c r="L52" i="6"/>
  <c r="J39" i="54"/>
  <c r="K34" i="54" s="1"/>
  <c r="J27" i="62"/>
  <c r="B5" i="40"/>
  <c r="B5" i="41"/>
  <c r="B5" i="39"/>
  <c r="B5" i="38"/>
  <c r="B172" i="35"/>
  <c r="C164" i="35" s="1"/>
  <c r="J19" i="85"/>
  <c r="K7" i="85"/>
  <c r="B69" i="35"/>
  <c r="C57" i="35" s="1"/>
  <c r="D8" i="41"/>
  <c r="B17" i="41" s="1"/>
  <c r="D8" i="40"/>
  <c r="D8" i="38"/>
  <c r="D8" i="39"/>
  <c r="I38" i="36"/>
  <c r="B18" i="58"/>
  <c r="N99" i="6"/>
  <c r="O99" i="6"/>
  <c r="L111" i="6"/>
  <c r="M99" i="6"/>
  <c r="M111" i="6" s="1"/>
  <c r="J27" i="8"/>
  <c r="B152" i="6"/>
  <c r="C140" i="6" s="1"/>
  <c r="I23" i="8"/>
  <c r="I24" i="8"/>
  <c r="I25" i="8"/>
  <c r="I26" i="8"/>
  <c r="C46" i="35"/>
  <c r="J27" i="54"/>
  <c r="K22" i="54" s="1"/>
  <c r="J27" i="36"/>
  <c r="K22" i="36" s="1"/>
  <c r="C39" i="35"/>
  <c r="C50" i="35" s="1"/>
  <c r="L51" i="53"/>
  <c r="M39" i="53" s="1"/>
  <c r="B114" i="61"/>
  <c r="B114" i="53"/>
  <c r="B113" i="6"/>
  <c r="B114" i="35"/>
  <c r="B152" i="61"/>
  <c r="E17" i="59"/>
  <c r="C47" i="35"/>
  <c r="B153" i="53"/>
  <c r="C141" i="53" s="1"/>
  <c r="B171" i="61"/>
  <c r="S40" i="6"/>
  <c r="B69" i="61"/>
  <c r="J19" i="83"/>
  <c r="B113" i="35"/>
  <c r="C113" i="35" s="1"/>
  <c r="B113" i="53"/>
  <c r="C113" i="53" s="1"/>
  <c r="B113" i="61"/>
  <c r="C113" i="61" s="1"/>
  <c r="B112" i="6"/>
  <c r="C112" i="6" s="1"/>
  <c r="J19" i="84"/>
  <c r="C40" i="35"/>
  <c r="J39" i="62"/>
  <c r="J39" i="8"/>
  <c r="J39" i="36"/>
  <c r="K34" i="36" s="1"/>
  <c r="B5" i="58"/>
  <c r="J19" i="86"/>
  <c r="K7" i="86" l="1"/>
  <c r="K19" i="86" s="1"/>
  <c r="B7" i="38"/>
  <c r="K18" i="86"/>
  <c r="C7" i="86"/>
  <c r="C8" i="86"/>
  <c r="E65" i="35"/>
  <c r="E60" i="35"/>
  <c r="C16" i="86"/>
  <c r="C60" i="6"/>
  <c r="C59" i="6"/>
  <c r="C45" i="6"/>
  <c r="C63" i="6"/>
  <c r="C64" i="6"/>
  <c r="C58" i="6"/>
  <c r="G150" i="35"/>
  <c r="G142" i="35"/>
  <c r="G161" i="35"/>
  <c r="G50" i="53"/>
  <c r="K11" i="86"/>
  <c r="K7" i="84"/>
  <c r="C13" i="86"/>
  <c r="K17" i="86"/>
  <c r="C18" i="86"/>
  <c r="E59" i="35"/>
  <c r="K13" i="86"/>
  <c r="C61" i="6"/>
  <c r="C40" i="6"/>
  <c r="C43" i="6"/>
  <c r="C44" i="6"/>
  <c r="C62" i="6"/>
  <c r="G163" i="35"/>
  <c r="G159" i="6"/>
  <c r="G141" i="53"/>
  <c r="B7" i="59"/>
  <c r="K48" i="36"/>
  <c r="G69" i="61"/>
  <c r="C11" i="84"/>
  <c r="C49" i="53"/>
  <c r="Q5" i="36"/>
  <c r="G114" i="53"/>
  <c r="G19" i="85"/>
  <c r="G19" i="86"/>
  <c r="G115" i="53"/>
  <c r="O19" i="84"/>
  <c r="G50" i="61"/>
  <c r="O19" i="86"/>
  <c r="O19" i="85"/>
  <c r="G143" i="53"/>
  <c r="G169" i="61"/>
  <c r="I63" i="54"/>
  <c r="I61" i="54"/>
  <c r="I48" i="54"/>
  <c r="I60" i="54"/>
  <c r="I64" i="54" s="1"/>
  <c r="I62" i="54"/>
  <c r="D113" i="35"/>
  <c r="E113" i="35" s="1"/>
  <c r="E41" i="35"/>
  <c r="E45" i="35"/>
  <c r="E44" i="35"/>
  <c r="E38" i="35"/>
  <c r="E50" i="35" s="1"/>
  <c r="I49" i="62"/>
  <c r="D112" i="6"/>
  <c r="E112" i="6" s="1"/>
  <c r="E46" i="35"/>
  <c r="E40" i="35"/>
  <c r="E68" i="35"/>
  <c r="E67" i="35"/>
  <c r="K47" i="36"/>
  <c r="K52" i="36" s="1"/>
  <c r="K51" i="36"/>
  <c r="K49" i="36"/>
  <c r="D15" i="56"/>
  <c r="E14" i="56"/>
  <c r="B7" i="57"/>
  <c r="C147" i="35"/>
  <c r="J17" i="55"/>
  <c r="D13" i="58" s="1"/>
  <c r="D14" i="58" s="1"/>
  <c r="D15" i="58" s="1"/>
  <c r="E15" i="58" s="1"/>
  <c r="C39" i="53"/>
  <c r="C46" i="53"/>
  <c r="C41" i="53"/>
  <c r="C40" i="53"/>
  <c r="B7" i="58"/>
  <c r="G17" i="55"/>
  <c r="D13" i="57" s="1"/>
  <c r="D14" i="57" s="1"/>
  <c r="D15" i="57" s="1"/>
  <c r="Q40" i="6"/>
  <c r="Q45" i="6"/>
  <c r="Q5" i="62"/>
  <c r="P17" i="55"/>
  <c r="C9" i="60" s="1"/>
  <c r="C16" i="60" s="1"/>
  <c r="C42" i="53"/>
  <c r="C43" i="53"/>
  <c r="C166" i="53"/>
  <c r="K41" i="35"/>
  <c r="D9" i="57"/>
  <c r="C38" i="53"/>
  <c r="C50" i="53" s="1"/>
  <c r="C44" i="53"/>
  <c r="C50" i="61"/>
  <c r="C12" i="83"/>
  <c r="I39" i="54"/>
  <c r="C48" i="53"/>
  <c r="C47" i="53"/>
  <c r="D9" i="58"/>
  <c r="E19" i="85"/>
  <c r="K52" i="8"/>
  <c r="E42" i="35"/>
  <c r="E49" i="35"/>
  <c r="K64" i="54"/>
  <c r="E152" i="6"/>
  <c r="E171" i="61"/>
  <c r="K64" i="36"/>
  <c r="U48" i="6"/>
  <c r="U43" i="6"/>
  <c r="U51" i="6"/>
  <c r="U46" i="6"/>
  <c r="U40" i="6"/>
  <c r="U52" i="6" s="1"/>
  <c r="U45" i="6"/>
  <c r="U42" i="6"/>
  <c r="U49" i="6"/>
  <c r="U41" i="6"/>
  <c r="U47" i="6"/>
  <c r="U50" i="6"/>
  <c r="I27" i="8"/>
  <c r="E15" i="59"/>
  <c r="B5" i="59"/>
  <c r="I27" i="36"/>
  <c r="Q5" i="8"/>
  <c r="D9" i="59"/>
  <c r="C49" i="6"/>
  <c r="K45" i="35"/>
  <c r="C3" i="42"/>
  <c r="C10" i="42" s="1"/>
  <c r="C12" i="42" s="1"/>
  <c r="U44" i="6"/>
  <c r="C13" i="84"/>
  <c r="C7" i="84"/>
  <c r="K10" i="84"/>
  <c r="K8" i="84"/>
  <c r="K19" i="84" s="1"/>
  <c r="K11" i="84"/>
  <c r="C17" i="84"/>
  <c r="K14" i="84"/>
  <c r="K18" i="84"/>
  <c r="C16" i="84"/>
  <c r="C8" i="84"/>
  <c r="K15" i="84"/>
  <c r="C15" i="84"/>
  <c r="C10" i="84"/>
  <c r="K17" i="84"/>
  <c r="K9" i="84"/>
  <c r="K13" i="84"/>
  <c r="C18" i="84"/>
  <c r="K12" i="84"/>
  <c r="C9" i="84"/>
  <c r="C14" i="84"/>
  <c r="K16" i="84"/>
  <c r="C18" i="85"/>
  <c r="C13" i="85"/>
  <c r="C12" i="85"/>
  <c r="K8" i="85"/>
  <c r="K19" i="85" s="1"/>
  <c r="K13" i="85"/>
  <c r="K14" i="85"/>
  <c r="C14" i="85"/>
  <c r="K10" i="85"/>
  <c r="K12" i="85"/>
  <c r="C8" i="85"/>
  <c r="K18" i="85"/>
  <c r="K15" i="85"/>
  <c r="C16" i="85"/>
  <c r="C9" i="85"/>
  <c r="K11" i="85"/>
  <c r="C15" i="85"/>
  <c r="K9" i="85"/>
  <c r="C10" i="85"/>
  <c r="K16" i="85"/>
  <c r="C17" i="85"/>
  <c r="K17" i="85"/>
  <c r="C11" i="85"/>
  <c r="G171" i="53"/>
  <c r="F124" i="35"/>
  <c r="F123" i="61"/>
  <c r="G124" i="61" s="1"/>
  <c r="F123" i="6"/>
  <c r="F124" i="53"/>
  <c r="G125" i="53" s="1"/>
  <c r="G114" i="35"/>
  <c r="G150" i="61"/>
  <c r="G145" i="61"/>
  <c r="G144" i="61"/>
  <c r="G151" i="61"/>
  <c r="G146" i="61"/>
  <c r="G148" i="61"/>
  <c r="G147" i="61"/>
  <c r="G125" i="35"/>
  <c r="G50" i="35"/>
  <c r="F123" i="35"/>
  <c r="G123" i="35" s="1"/>
  <c r="F123" i="53"/>
  <c r="G123" i="53" s="1"/>
  <c r="F122" i="61"/>
  <c r="F122" i="6"/>
  <c r="G122" i="6" s="1"/>
  <c r="G19" i="83"/>
  <c r="O19" i="83"/>
  <c r="G159" i="61"/>
  <c r="G146" i="6"/>
  <c r="G147" i="6"/>
  <c r="G151" i="6"/>
  <c r="G145" i="6"/>
  <c r="G148" i="6"/>
  <c r="G144" i="6"/>
  <c r="G150" i="6"/>
  <c r="G143" i="61"/>
  <c r="G149" i="61"/>
  <c r="G113" i="6"/>
  <c r="G170" i="35"/>
  <c r="G148" i="35"/>
  <c r="G147" i="35"/>
  <c r="G152" i="35"/>
  <c r="G145" i="35"/>
  <c r="G151" i="35"/>
  <c r="G146" i="35"/>
  <c r="G149" i="35"/>
  <c r="G49" i="6"/>
  <c r="G140" i="61"/>
  <c r="G143" i="6"/>
  <c r="G142" i="61"/>
  <c r="G167" i="53"/>
  <c r="G169" i="53"/>
  <c r="G166" i="53"/>
  <c r="G164" i="53"/>
  <c r="G162" i="53"/>
  <c r="G168" i="53"/>
  <c r="G161" i="53"/>
  <c r="G165" i="61"/>
  <c r="G163" i="61"/>
  <c r="G167" i="61"/>
  <c r="G161" i="61"/>
  <c r="G166" i="61"/>
  <c r="G168" i="61"/>
  <c r="G162" i="61"/>
  <c r="G170" i="61"/>
  <c r="G163" i="53"/>
  <c r="G160" i="61"/>
  <c r="G115" i="35"/>
  <c r="G168" i="35"/>
  <c r="G166" i="35"/>
  <c r="G164" i="35"/>
  <c r="G167" i="35"/>
  <c r="G162" i="35"/>
  <c r="G169" i="35"/>
  <c r="G165" i="53"/>
  <c r="G160" i="53"/>
  <c r="G149" i="53"/>
  <c r="G152" i="53"/>
  <c r="G147" i="53"/>
  <c r="G145" i="53"/>
  <c r="G146" i="53"/>
  <c r="G148" i="53"/>
  <c r="G151" i="53"/>
  <c r="G144" i="53"/>
  <c r="G171" i="35"/>
  <c r="G114" i="61"/>
  <c r="G161" i="6"/>
  <c r="G163" i="6"/>
  <c r="G166" i="6"/>
  <c r="G167" i="6"/>
  <c r="G168" i="6"/>
  <c r="G165" i="6"/>
  <c r="G162" i="6"/>
  <c r="G149" i="6"/>
  <c r="G114" i="6"/>
  <c r="G141" i="6"/>
  <c r="G165" i="35"/>
  <c r="G150" i="53"/>
  <c r="B7" i="39"/>
  <c r="K7" i="83"/>
  <c r="E13" i="59"/>
  <c r="B8" i="56"/>
  <c r="J17" i="37"/>
  <c r="D13" i="40" s="1"/>
  <c r="D14" i="40" s="1"/>
  <c r="D15" i="40" s="1"/>
  <c r="D16" i="40" s="1"/>
  <c r="D17" i="40" s="1"/>
  <c r="B13" i="65"/>
  <c r="D9" i="65"/>
  <c r="D9" i="66"/>
  <c r="B13" i="66"/>
  <c r="K47" i="61"/>
  <c r="K49" i="61"/>
  <c r="K42" i="61"/>
  <c r="C3" i="68"/>
  <c r="K45" i="61"/>
  <c r="K39" i="61"/>
  <c r="K41" i="61"/>
  <c r="K40" i="61"/>
  <c r="K46" i="61"/>
  <c r="K43" i="61"/>
  <c r="K48" i="61"/>
  <c r="K50" i="61"/>
  <c r="I38" i="8"/>
  <c r="I35" i="8"/>
  <c r="I37" i="8"/>
  <c r="I34" i="8"/>
  <c r="I36" i="8"/>
  <c r="D17" i="9"/>
  <c r="D13" i="10" s="1"/>
  <c r="D14" i="10" s="1"/>
  <c r="G17" i="9"/>
  <c r="D13" i="30" s="1"/>
  <c r="D14" i="30" s="1"/>
  <c r="M17" i="9"/>
  <c r="D13" i="32" s="1"/>
  <c r="D14" i="32" s="1"/>
  <c r="B4" i="57"/>
  <c r="B9" i="57" s="1"/>
  <c r="B4" i="56"/>
  <c r="B4" i="58"/>
  <c r="B9" i="58" s="1"/>
  <c r="B4" i="59"/>
  <c r="I35" i="62"/>
  <c r="I34" i="62"/>
  <c r="I36" i="62"/>
  <c r="I37" i="62"/>
  <c r="I38" i="62"/>
  <c r="D9" i="30"/>
  <c r="B13" i="30"/>
  <c r="E13" i="57"/>
  <c r="B8" i="58"/>
  <c r="B13" i="67"/>
  <c r="D9" i="67"/>
  <c r="D9" i="56"/>
  <c r="B13" i="56"/>
  <c r="D9" i="10"/>
  <c r="B13" i="10"/>
  <c r="B13" i="31"/>
  <c r="D9" i="31"/>
  <c r="B5" i="56"/>
  <c r="D9" i="64"/>
  <c r="B13" i="64"/>
  <c r="G17" i="63"/>
  <c r="D13" i="65" s="1"/>
  <c r="D14" i="65" s="1"/>
  <c r="P17" i="63"/>
  <c r="C9" i="68" s="1"/>
  <c r="D17" i="63"/>
  <c r="D13" i="64" s="1"/>
  <c r="D14" i="64" s="1"/>
  <c r="J17" i="63"/>
  <c r="D13" i="66" s="1"/>
  <c r="D14" i="66" s="1"/>
  <c r="Q42" i="6"/>
  <c r="Q49" i="6"/>
  <c r="Q43" i="6"/>
  <c r="Q46" i="6"/>
  <c r="Q41" i="6"/>
  <c r="Q51" i="6"/>
  <c r="Q50" i="6"/>
  <c r="Q48" i="6"/>
  <c r="Q47" i="6"/>
  <c r="V52" i="6"/>
  <c r="W40" i="6" s="1"/>
  <c r="D9" i="32"/>
  <c r="B13" i="32"/>
  <c r="C3" i="14"/>
  <c r="C10" i="14" s="1"/>
  <c r="C12" i="14" s="1"/>
  <c r="K41" i="6"/>
  <c r="K52" i="6" s="1"/>
  <c r="K48" i="6"/>
  <c r="K46" i="6"/>
  <c r="K43" i="6"/>
  <c r="K49" i="6"/>
  <c r="K50" i="6"/>
  <c r="K42" i="6"/>
  <c r="K47" i="6"/>
  <c r="K51" i="6"/>
  <c r="K44" i="6"/>
  <c r="K45" i="6"/>
  <c r="B6" i="58"/>
  <c r="B6" i="56"/>
  <c r="B6" i="59"/>
  <c r="C16" i="42"/>
  <c r="D17" i="37"/>
  <c r="D13" i="38" s="1"/>
  <c r="M17" i="37"/>
  <c r="D13" i="41" s="1"/>
  <c r="E14" i="57"/>
  <c r="B18" i="41"/>
  <c r="C114" i="61"/>
  <c r="C160" i="53"/>
  <c r="G17" i="37"/>
  <c r="D13" i="39" s="1"/>
  <c r="K36" i="35"/>
  <c r="K43" i="35"/>
  <c r="K38" i="35"/>
  <c r="K44" i="35"/>
  <c r="K37" i="35"/>
  <c r="K39" i="35"/>
  <c r="K47" i="35"/>
  <c r="K40" i="35"/>
  <c r="K39" i="53"/>
  <c r="K40" i="53"/>
  <c r="C3" i="60"/>
  <c r="C10" i="60" s="1"/>
  <c r="C12" i="60" s="1"/>
  <c r="K48" i="53"/>
  <c r="K43" i="53"/>
  <c r="K44" i="53"/>
  <c r="K41" i="53"/>
  <c r="I47" i="36"/>
  <c r="E11" i="84"/>
  <c r="I59" i="8"/>
  <c r="I60" i="8"/>
  <c r="I61" i="8"/>
  <c r="I63" i="8"/>
  <c r="I61" i="36"/>
  <c r="I62" i="36"/>
  <c r="I60" i="36"/>
  <c r="I64" i="36" s="1"/>
  <c r="M9" i="86"/>
  <c r="M16" i="86"/>
  <c r="M15" i="86"/>
  <c r="M11" i="86"/>
  <c r="M17" i="86"/>
  <c r="E15" i="86"/>
  <c r="M10" i="86"/>
  <c r="E8" i="86"/>
  <c r="E18" i="86"/>
  <c r="E13" i="86"/>
  <c r="M13" i="86"/>
  <c r="M12" i="86"/>
  <c r="M14" i="86"/>
  <c r="E10" i="86"/>
  <c r="E14" i="86"/>
  <c r="E17" i="86"/>
  <c r="M7" i="86"/>
  <c r="E7" i="86"/>
  <c r="E16" i="86"/>
  <c r="M8" i="86"/>
  <c r="M18" i="86"/>
  <c r="E11" i="86"/>
  <c r="E12" i="86"/>
  <c r="I63" i="62"/>
  <c r="I61" i="62"/>
  <c r="I59" i="62"/>
  <c r="I60" i="62"/>
  <c r="I62" i="8"/>
  <c r="M19" i="85"/>
  <c r="E9" i="86"/>
  <c r="I62" i="62"/>
  <c r="I47" i="62"/>
  <c r="M11" i="84"/>
  <c r="M7" i="84"/>
  <c r="E16" i="84"/>
  <c r="M14" i="84"/>
  <c r="E7" i="84"/>
  <c r="E8" i="84"/>
  <c r="M9" i="84"/>
  <c r="M13" i="84"/>
  <c r="M10" i="84"/>
  <c r="M16" i="84"/>
  <c r="E12" i="84"/>
  <c r="M18" i="84"/>
  <c r="M12" i="84"/>
  <c r="E13" i="84"/>
  <c r="E15" i="84"/>
  <c r="E17" i="84"/>
  <c r="E18" i="84"/>
  <c r="E9" i="84"/>
  <c r="M8" i="84"/>
  <c r="E14" i="84"/>
  <c r="M15" i="84"/>
  <c r="M17" i="84"/>
  <c r="I63" i="36"/>
  <c r="D122" i="6"/>
  <c r="E122" i="6" s="1"/>
  <c r="D123" i="35"/>
  <c r="E123" i="35" s="1"/>
  <c r="D123" i="53"/>
  <c r="E123" i="53" s="1"/>
  <c r="D122" i="61"/>
  <c r="E172" i="53"/>
  <c r="E37" i="6"/>
  <c r="E40" i="6"/>
  <c r="E39" i="6"/>
  <c r="E62" i="6"/>
  <c r="E45" i="6"/>
  <c r="E47" i="6"/>
  <c r="E64" i="6"/>
  <c r="E63" i="6"/>
  <c r="E66" i="6"/>
  <c r="E43" i="6"/>
  <c r="E44" i="6"/>
  <c r="E59" i="6"/>
  <c r="E58" i="6"/>
  <c r="E42" i="6"/>
  <c r="E57" i="6"/>
  <c r="E48" i="6"/>
  <c r="E41" i="6"/>
  <c r="E38" i="6"/>
  <c r="E67" i="6"/>
  <c r="E60" i="6"/>
  <c r="E65" i="6"/>
  <c r="E61" i="6"/>
  <c r="E46" i="6"/>
  <c r="D125" i="35"/>
  <c r="D124" i="6"/>
  <c r="D124" i="61"/>
  <c r="D125" i="53"/>
  <c r="I48" i="8"/>
  <c r="E172" i="35"/>
  <c r="I50" i="62"/>
  <c r="I51" i="36"/>
  <c r="I50" i="36"/>
  <c r="I47" i="8"/>
  <c r="E56" i="6"/>
  <c r="E69" i="35"/>
  <c r="E171" i="6"/>
  <c r="I49" i="54"/>
  <c r="I51" i="62"/>
  <c r="E42" i="61"/>
  <c r="E46" i="61"/>
  <c r="E41" i="61"/>
  <c r="E47" i="61"/>
  <c r="E48" i="61"/>
  <c r="E43" i="61"/>
  <c r="E40" i="61"/>
  <c r="E39" i="61"/>
  <c r="E44" i="61"/>
  <c r="E45" i="61"/>
  <c r="E49" i="61"/>
  <c r="E153" i="53"/>
  <c r="I51" i="54"/>
  <c r="K64" i="8"/>
  <c r="E39" i="53"/>
  <c r="E40" i="53"/>
  <c r="E46" i="53"/>
  <c r="E44" i="53"/>
  <c r="E43" i="53"/>
  <c r="E49" i="53"/>
  <c r="E48" i="53"/>
  <c r="E45" i="53"/>
  <c r="E42" i="53"/>
  <c r="E41" i="53"/>
  <c r="E47" i="53"/>
  <c r="E153" i="35"/>
  <c r="I50" i="8"/>
  <c r="I47" i="54"/>
  <c r="I48" i="36"/>
  <c r="D124" i="53"/>
  <c r="D123" i="61"/>
  <c r="D123" i="6"/>
  <c r="D124" i="35"/>
  <c r="E114" i="61"/>
  <c r="E115" i="61"/>
  <c r="E114" i="53"/>
  <c r="E115" i="53"/>
  <c r="E114" i="6"/>
  <c r="E114" i="35"/>
  <c r="E115" i="35"/>
  <c r="C113" i="6"/>
  <c r="B17" i="40"/>
  <c r="D9" i="40"/>
  <c r="C146" i="6"/>
  <c r="I22" i="54"/>
  <c r="I23" i="54"/>
  <c r="I26" i="54"/>
  <c r="I25" i="54"/>
  <c r="C19" i="86"/>
  <c r="I24" i="54"/>
  <c r="I39" i="36"/>
  <c r="B4" i="38"/>
  <c r="B4" i="41"/>
  <c r="B4" i="40"/>
  <c r="B4" i="39"/>
  <c r="D15" i="31"/>
  <c r="E14" i="31"/>
  <c r="B7" i="40"/>
  <c r="E14" i="59"/>
  <c r="C160" i="35"/>
  <c r="K11" i="83"/>
  <c r="K9" i="83"/>
  <c r="C7" i="83"/>
  <c r="K15" i="83"/>
  <c r="C14" i="83"/>
  <c r="K16" i="83"/>
  <c r="C8" i="83"/>
  <c r="K8" i="83"/>
  <c r="K17" i="83"/>
  <c r="K12" i="83"/>
  <c r="C9" i="83"/>
  <c r="K13" i="83"/>
  <c r="C10" i="83"/>
  <c r="C17" i="83"/>
  <c r="K18" i="83"/>
  <c r="C16" i="83"/>
  <c r="K10" i="83"/>
  <c r="K14" i="83"/>
  <c r="C11" i="83"/>
  <c r="C15" i="83"/>
  <c r="C13" i="83"/>
  <c r="D9" i="41"/>
  <c r="B17" i="39"/>
  <c r="D9" i="39"/>
  <c r="D15" i="67"/>
  <c r="E14" i="67"/>
  <c r="S52" i="6"/>
  <c r="B17" i="38"/>
  <c r="D9" i="38"/>
  <c r="B6" i="38"/>
  <c r="B6" i="41"/>
  <c r="B6" i="40"/>
  <c r="B6" i="39"/>
  <c r="E16" i="59"/>
  <c r="D16" i="57"/>
  <c r="E15" i="57"/>
  <c r="K35" i="8"/>
  <c r="K36" i="8"/>
  <c r="K37" i="8"/>
  <c r="K38" i="8"/>
  <c r="B122" i="61"/>
  <c r="B123" i="35"/>
  <c r="C123" i="35" s="1"/>
  <c r="B122" i="6"/>
  <c r="C122" i="6" s="1"/>
  <c r="B123" i="53"/>
  <c r="C123" i="53" s="1"/>
  <c r="C60" i="61"/>
  <c r="C59" i="61"/>
  <c r="C62" i="61"/>
  <c r="C61" i="61"/>
  <c r="C68" i="61"/>
  <c r="C64" i="61"/>
  <c r="C66" i="61"/>
  <c r="C63" i="61"/>
  <c r="C65" i="61"/>
  <c r="C58" i="61"/>
  <c r="C67" i="61"/>
  <c r="C162" i="61"/>
  <c r="C160" i="61"/>
  <c r="C166" i="61"/>
  <c r="C164" i="61"/>
  <c r="C167" i="61"/>
  <c r="C169" i="61"/>
  <c r="C170" i="61"/>
  <c r="C168" i="61"/>
  <c r="C161" i="61"/>
  <c r="C143" i="61"/>
  <c r="C147" i="61"/>
  <c r="C151" i="61"/>
  <c r="C149" i="61"/>
  <c r="C145" i="61"/>
  <c r="C148" i="61"/>
  <c r="C144" i="61"/>
  <c r="C141" i="61"/>
  <c r="C142" i="61"/>
  <c r="C150" i="61"/>
  <c r="K38" i="62"/>
  <c r="K36" i="62"/>
  <c r="K37" i="62"/>
  <c r="K35" i="62"/>
  <c r="C165" i="61"/>
  <c r="K23" i="8"/>
  <c r="K24" i="8"/>
  <c r="K26" i="8"/>
  <c r="K25" i="8"/>
  <c r="K23" i="62"/>
  <c r="K26" i="62"/>
  <c r="K25" i="62"/>
  <c r="K24" i="62"/>
  <c r="C5" i="14"/>
  <c r="M50" i="6"/>
  <c r="M43" i="6"/>
  <c r="M44" i="6"/>
  <c r="M42" i="6"/>
  <c r="M47" i="6"/>
  <c r="M45" i="6"/>
  <c r="M48" i="6"/>
  <c r="M41" i="6"/>
  <c r="M49" i="6"/>
  <c r="M46" i="6"/>
  <c r="M51" i="6"/>
  <c r="C5" i="42"/>
  <c r="M40" i="35"/>
  <c r="M38" i="35"/>
  <c r="M42" i="35"/>
  <c r="M39" i="35"/>
  <c r="M43" i="35"/>
  <c r="M45" i="35"/>
  <c r="M47" i="35"/>
  <c r="M46" i="35"/>
  <c r="M41" i="35"/>
  <c r="M44" i="35"/>
  <c r="M37" i="35"/>
  <c r="C146" i="61"/>
  <c r="C162" i="6"/>
  <c r="C160" i="6"/>
  <c r="C169" i="6"/>
  <c r="C166" i="6"/>
  <c r="C167" i="6"/>
  <c r="C164" i="6"/>
  <c r="C170" i="6"/>
  <c r="C161" i="6"/>
  <c r="C168" i="6"/>
  <c r="C61" i="53"/>
  <c r="C63" i="53"/>
  <c r="C59" i="53"/>
  <c r="C68" i="53"/>
  <c r="C58" i="53"/>
  <c r="C62" i="53"/>
  <c r="C67" i="53"/>
  <c r="C60" i="53"/>
  <c r="C64" i="53"/>
  <c r="C65" i="53"/>
  <c r="C66" i="53"/>
  <c r="K34" i="8"/>
  <c r="C57" i="61"/>
  <c r="C69" i="61" s="1"/>
  <c r="C150" i="53"/>
  <c r="C152" i="53"/>
  <c r="C144" i="53"/>
  <c r="C148" i="53"/>
  <c r="C143" i="53"/>
  <c r="C142" i="53"/>
  <c r="C146" i="53"/>
  <c r="C145" i="53"/>
  <c r="C151" i="53"/>
  <c r="C149" i="53"/>
  <c r="C140" i="61"/>
  <c r="B124" i="35"/>
  <c r="B123" i="6"/>
  <c r="B124" i="53"/>
  <c r="B123" i="61"/>
  <c r="C114" i="53"/>
  <c r="C5" i="60"/>
  <c r="M43" i="53"/>
  <c r="M46" i="53"/>
  <c r="M50" i="53"/>
  <c r="M44" i="53"/>
  <c r="M42" i="53"/>
  <c r="M40" i="53"/>
  <c r="M41" i="53"/>
  <c r="M49" i="53"/>
  <c r="M45" i="53"/>
  <c r="M47" i="53"/>
  <c r="M48" i="53"/>
  <c r="C163" i="61"/>
  <c r="C61" i="35"/>
  <c r="C60" i="35"/>
  <c r="C59" i="35"/>
  <c r="C63" i="35"/>
  <c r="C66" i="35"/>
  <c r="C64" i="35"/>
  <c r="C68" i="35"/>
  <c r="C65" i="35"/>
  <c r="C58" i="35"/>
  <c r="C67" i="35"/>
  <c r="C62" i="35"/>
  <c r="C163" i="35"/>
  <c r="C169" i="35"/>
  <c r="C165" i="35"/>
  <c r="C162" i="35"/>
  <c r="C168" i="35"/>
  <c r="C167" i="35"/>
  <c r="C161" i="35"/>
  <c r="C170" i="35"/>
  <c r="C171" i="35"/>
  <c r="B115" i="61"/>
  <c r="C115" i="61" s="1"/>
  <c r="B115" i="53"/>
  <c r="C115" i="53" s="1"/>
  <c r="B115" i="35"/>
  <c r="C115" i="35" s="1"/>
  <c r="B114" i="6"/>
  <c r="C114" i="6" s="1"/>
  <c r="K22" i="62"/>
  <c r="K27" i="62" s="1"/>
  <c r="M40" i="6"/>
  <c r="M36" i="35"/>
  <c r="M48" i="35" s="1"/>
  <c r="C5" i="68"/>
  <c r="M42" i="61"/>
  <c r="M50" i="61"/>
  <c r="M43" i="61"/>
  <c r="M44" i="61"/>
  <c r="M46" i="61"/>
  <c r="M41" i="61"/>
  <c r="M48" i="61"/>
  <c r="M49" i="61"/>
  <c r="M40" i="61"/>
  <c r="M51" i="61" s="1"/>
  <c r="M45" i="61"/>
  <c r="M47" i="61"/>
  <c r="C150" i="35"/>
  <c r="C148" i="35"/>
  <c r="C144" i="35"/>
  <c r="C152" i="35"/>
  <c r="C151" i="35"/>
  <c r="C142" i="35"/>
  <c r="C146" i="35"/>
  <c r="C145" i="35"/>
  <c r="C149" i="35"/>
  <c r="C143" i="35"/>
  <c r="C165" i="6"/>
  <c r="C114" i="35"/>
  <c r="K35" i="54"/>
  <c r="K38" i="54"/>
  <c r="K36" i="54"/>
  <c r="K37" i="54"/>
  <c r="K36" i="36"/>
  <c r="K38" i="36"/>
  <c r="K35" i="36"/>
  <c r="K37" i="36"/>
  <c r="K34" i="62"/>
  <c r="C159" i="61"/>
  <c r="C171" i="61" s="1"/>
  <c r="K25" i="36"/>
  <c r="K23" i="36"/>
  <c r="K24" i="36"/>
  <c r="K26" i="36"/>
  <c r="K25" i="54"/>
  <c r="K23" i="54"/>
  <c r="K24" i="54"/>
  <c r="K26" i="54"/>
  <c r="C147" i="6"/>
  <c r="C149" i="6"/>
  <c r="C143" i="6"/>
  <c r="C151" i="6"/>
  <c r="C145" i="6"/>
  <c r="C150" i="6"/>
  <c r="C142" i="6"/>
  <c r="C141" i="6"/>
  <c r="C144" i="6"/>
  <c r="C148" i="6"/>
  <c r="K22" i="8"/>
  <c r="B8" i="38"/>
  <c r="B8" i="39"/>
  <c r="B8" i="40"/>
  <c r="B8" i="41"/>
  <c r="C147" i="53"/>
  <c r="C163" i="53"/>
  <c r="C170" i="53"/>
  <c r="C167" i="53"/>
  <c r="C165" i="53"/>
  <c r="C168" i="53"/>
  <c r="C162" i="53"/>
  <c r="C171" i="53"/>
  <c r="C169" i="53"/>
  <c r="C161" i="53"/>
  <c r="C166" i="35"/>
  <c r="C159" i="6"/>
  <c r="C57" i="53"/>
  <c r="E14" i="40" l="1"/>
  <c r="B23" i="59"/>
  <c r="D33" i="59" s="1"/>
  <c r="D16" i="58"/>
  <c r="E13" i="58"/>
  <c r="E14" i="58"/>
  <c r="G172" i="35"/>
  <c r="G152" i="6"/>
  <c r="G171" i="6"/>
  <c r="G153" i="53"/>
  <c r="G172" i="53"/>
  <c r="G153" i="35"/>
  <c r="E113" i="6"/>
  <c r="C4" i="42"/>
  <c r="C15" i="42" s="1"/>
  <c r="C17" i="42" s="1"/>
  <c r="C23" i="42" s="1"/>
  <c r="C25" i="42" s="1"/>
  <c r="C28" i="42" s="1"/>
  <c r="C29" i="42" s="1"/>
  <c r="D16" i="56"/>
  <c r="E15" i="56"/>
  <c r="E18" i="59"/>
  <c r="E50" i="53"/>
  <c r="E50" i="61"/>
  <c r="E68" i="6"/>
  <c r="I52" i="62"/>
  <c r="M19" i="86"/>
  <c r="I52" i="36"/>
  <c r="M19" i="84"/>
  <c r="I64" i="62"/>
  <c r="E19" i="86"/>
  <c r="I64" i="8"/>
  <c r="C153" i="35"/>
  <c r="C171" i="6"/>
  <c r="B22" i="59"/>
  <c r="D41" i="59" s="1"/>
  <c r="K27" i="54"/>
  <c r="K27" i="36"/>
  <c r="K39" i="36"/>
  <c r="M51" i="53"/>
  <c r="Q52" i="6"/>
  <c r="B9" i="56"/>
  <c r="K51" i="61"/>
  <c r="C19" i="85"/>
  <c r="C152" i="6"/>
  <c r="C69" i="35"/>
  <c r="C153" i="53"/>
  <c r="K19" i="83"/>
  <c r="K51" i="53"/>
  <c r="K48" i="35"/>
  <c r="C19" i="84"/>
  <c r="K39" i="62"/>
  <c r="K39" i="54"/>
  <c r="C4" i="60"/>
  <c r="C15" i="60" s="1"/>
  <c r="C17" i="60" s="1"/>
  <c r="C23" i="60" s="1"/>
  <c r="C25" i="60" s="1"/>
  <c r="C28" i="60" s="1"/>
  <c r="C29" i="60" s="1"/>
  <c r="B26" i="59"/>
  <c r="D36" i="59" s="1"/>
  <c r="B9" i="59"/>
  <c r="G152" i="61"/>
  <c r="G123" i="6"/>
  <c r="G124" i="6"/>
  <c r="G171" i="61"/>
  <c r="G123" i="61"/>
  <c r="G124" i="35"/>
  <c r="G124" i="53"/>
  <c r="B18" i="10"/>
  <c r="E13" i="10"/>
  <c r="B7" i="64"/>
  <c r="B7" i="65"/>
  <c r="B7" i="66"/>
  <c r="B7" i="67"/>
  <c r="D15" i="32"/>
  <c r="E14" i="32"/>
  <c r="E16" i="40"/>
  <c r="E13" i="40"/>
  <c r="D15" i="65"/>
  <c r="E14" i="65"/>
  <c r="B18" i="67"/>
  <c r="E13" i="67"/>
  <c r="B6" i="66"/>
  <c r="B6" i="67"/>
  <c r="B6" i="64"/>
  <c r="B6" i="65"/>
  <c r="D15" i="30"/>
  <c r="E14" i="30"/>
  <c r="B7" i="31"/>
  <c r="B7" i="10"/>
  <c r="B7" i="30"/>
  <c r="B7" i="32"/>
  <c r="C4" i="68"/>
  <c r="C15" i="68" s="1"/>
  <c r="C124" i="35"/>
  <c r="C4" i="14"/>
  <c r="C15" i="14" s="1"/>
  <c r="C17" i="14" s="1"/>
  <c r="C23" i="14" s="1"/>
  <c r="C25" i="14" s="1"/>
  <c r="C28" i="14" s="1"/>
  <c r="C29" i="14" s="1"/>
  <c r="D15" i="64"/>
  <c r="E14" i="64"/>
  <c r="B18" i="31"/>
  <c r="E13" i="31"/>
  <c r="B8" i="64"/>
  <c r="B8" i="66"/>
  <c r="B8" i="67"/>
  <c r="B8" i="65"/>
  <c r="B5" i="67"/>
  <c r="B5" i="65"/>
  <c r="B5" i="64"/>
  <c r="B5" i="66"/>
  <c r="B6" i="32"/>
  <c r="B6" i="31"/>
  <c r="B6" i="10"/>
  <c r="B6" i="30"/>
  <c r="B8" i="32"/>
  <c r="B8" i="10"/>
  <c r="B8" i="31"/>
  <c r="B8" i="30"/>
  <c r="E13" i="65"/>
  <c r="B18" i="65"/>
  <c r="W45" i="6"/>
  <c r="W51" i="6"/>
  <c r="W46" i="6"/>
  <c r="W42" i="6"/>
  <c r="W50" i="6"/>
  <c r="W41" i="6"/>
  <c r="W52" i="6" s="1"/>
  <c r="W43" i="6"/>
  <c r="W49" i="6"/>
  <c r="W48" i="6"/>
  <c r="W47" i="6"/>
  <c r="C16" i="68"/>
  <c r="C10" i="68"/>
  <c r="C12" i="68" s="1"/>
  <c r="B4" i="30"/>
  <c r="B4" i="32"/>
  <c r="B4" i="31"/>
  <c r="I39" i="8"/>
  <c r="B4" i="10"/>
  <c r="E13" i="66"/>
  <c r="B18" i="66"/>
  <c r="C172" i="53"/>
  <c r="B18" i="30"/>
  <c r="E13" i="30"/>
  <c r="E15" i="40"/>
  <c r="E13" i="32"/>
  <c r="B18" i="32"/>
  <c r="D15" i="66"/>
  <c r="E14" i="66"/>
  <c r="E13" i="64"/>
  <c r="B18" i="64"/>
  <c r="E13" i="56"/>
  <c r="B18" i="56"/>
  <c r="B4" i="65"/>
  <c r="B9" i="65" s="1"/>
  <c r="B4" i="66"/>
  <c r="B4" i="67"/>
  <c r="B9" i="67" s="1"/>
  <c r="I39" i="62"/>
  <c r="B4" i="64"/>
  <c r="B9" i="64" s="1"/>
  <c r="D15" i="10"/>
  <c r="E14" i="10"/>
  <c r="B5" i="10"/>
  <c r="B5" i="30"/>
  <c r="B5" i="31"/>
  <c r="B5" i="32"/>
  <c r="W44" i="6"/>
  <c r="B24" i="59"/>
  <c r="D43" i="59" s="1"/>
  <c r="D14" i="39"/>
  <c r="E13" i="39"/>
  <c r="D14" i="41"/>
  <c r="E13" i="41"/>
  <c r="D14" i="38"/>
  <c r="E13" i="38"/>
  <c r="E19" i="84"/>
  <c r="I52" i="54"/>
  <c r="E49" i="6"/>
  <c r="I52" i="8"/>
  <c r="E123" i="6"/>
  <c r="E124" i="6"/>
  <c r="E123" i="61"/>
  <c r="E124" i="61"/>
  <c r="E124" i="53"/>
  <c r="E125" i="53"/>
  <c r="E124" i="35"/>
  <c r="E125" i="35"/>
  <c r="D17" i="57"/>
  <c r="E17" i="57" s="1"/>
  <c r="E16" i="57"/>
  <c r="C19" i="83"/>
  <c r="D16" i="31"/>
  <c r="E15" i="31"/>
  <c r="B9" i="38"/>
  <c r="C69" i="53"/>
  <c r="B27" i="59"/>
  <c r="D37" i="59" s="1"/>
  <c r="M52" i="6"/>
  <c r="K39" i="8"/>
  <c r="D17" i="58"/>
  <c r="E17" i="58" s="1"/>
  <c r="E16" i="58"/>
  <c r="B9" i="39"/>
  <c r="E17" i="40"/>
  <c r="B18" i="40"/>
  <c r="B18" i="38"/>
  <c r="B9" i="40"/>
  <c r="B25" i="59"/>
  <c r="K27" i="8"/>
  <c r="C124" i="53"/>
  <c r="C152" i="61"/>
  <c r="D16" i="67"/>
  <c r="E15" i="67"/>
  <c r="B18" i="39"/>
  <c r="C172" i="35"/>
  <c r="B9" i="41"/>
  <c r="I27" i="54"/>
  <c r="B124" i="61"/>
  <c r="C124" i="61" s="1"/>
  <c r="B125" i="53"/>
  <c r="C125" i="53" s="1"/>
  <c r="B124" i="6"/>
  <c r="C124" i="6" s="1"/>
  <c r="B125" i="35"/>
  <c r="C125" i="35" s="1"/>
  <c r="D42" i="59"/>
  <c r="C123" i="61"/>
  <c r="C123" i="6"/>
  <c r="D32" i="59" l="1"/>
  <c r="D34" i="59"/>
  <c r="D45" i="59"/>
  <c r="D17" i="56"/>
  <c r="E17" i="56" s="1"/>
  <c r="E16" i="56"/>
  <c r="C17" i="68"/>
  <c r="B9" i="31"/>
  <c r="B9" i="32"/>
  <c r="D46" i="59"/>
  <c r="B28" i="59"/>
  <c r="D47" i="59" s="1"/>
  <c r="B9" i="66"/>
  <c r="B9" i="10"/>
  <c r="B9" i="30"/>
  <c r="C23" i="68"/>
  <c r="C25" i="68" s="1"/>
  <c r="C28" i="68" s="1"/>
  <c r="C29" i="68" s="1"/>
  <c r="D16" i="64"/>
  <c r="E15" i="64"/>
  <c r="E15" i="10"/>
  <c r="D16" i="10"/>
  <c r="E18" i="56"/>
  <c r="D16" i="66"/>
  <c r="E15" i="66"/>
  <c r="D16" i="30"/>
  <c r="E15" i="30"/>
  <c r="D16" i="65"/>
  <c r="E15" i="65"/>
  <c r="D16" i="32"/>
  <c r="E15" i="32"/>
  <c r="D35" i="59"/>
  <c r="D15" i="41"/>
  <c r="E14" i="41"/>
  <c r="B24" i="58"/>
  <c r="D34" i="58" s="1"/>
  <c r="D15" i="38"/>
  <c r="E14" i="38"/>
  <c r="D15" i="39"/>
  <c r="E14" i="39"/>
  <c r="D17" i="67"/>
  <c r="E17" i="67" s="1"/>
  <c r="E16" i="67"/>
  <c r="D17" i="31"/>
  <c r="E17" i="31" s="1"/>
  <c r="E16" i="31"/>
  <c r="D44" i="59"/>
  <c r="B25" i="58"/>
  <c r="B23" i="58"/>
  <c r="B27" i="58"/>
  <c r="B26" i="58"/>
  <c r="B22" i="58"/>
  <c r="E18" i="40"/>
  <c r="B26" i="40"/>
  <c r="B23" i="40"/>
  <c r="B25" i="40"/>
  <c r="B27" i="40"/>
  <c r="B22" i="40"/>
  <c r="B24" i="40"/>
  <c r="E18" i="58"/>
  <c r="B26" i="57"/>
  <c r="B23" i="57"/>
  <c r="B27" i="57"/>
  <c r="B22" i="57"/>
  <c r="E18" i="57"/>
  <c r="B24" i="57"/>
  <c r="B25" i="57"/>
  <c r="B24" i="31" l="1"/>
  <c r="B23" i="56"/>
  <c r="D33" i="56" s="1"/>
  <c r="B22" i="56"/>
  <c r="B28" i="56" s="1"/>
  <c r="B25" i="56"/>
  <c r="D35" i="56" s="1"/>
  <c r="B24" i="56"/>
  <c r="D34" i="56" s="1"/>
  <c r="B27" i="56"/>
  <c r="D46" i="56" s="1"/>
  <c r="B26" i="56"/>
  <c r="D45" i="56" s="1"/>
  <c r="D38" i="59"/>
  <c r="B25" i="31"/>
  <c r="D44" i="31" s="1"/>
  <c r="B27" i="31"/>
  <c r="D46" i="31" s="1"/>
  <c r="B26" i="67"/>
  <c r="D36" i="67" s="1"/>
  <c r="D17" i="66"/>
  <c r="E17" i="66" s="1"/>
  <c r="E16" i="66"/>
  <c r="E18" i="66" s="1"/>
  <c r="D44" i="56"/>
  <c r="D43" i="58"/>
  <c r="D42" i="56"/>
  <c r="D17" i="10"/>
  <c r="E17" i="10" s="1"/>
  <c r="E16" i="10"/>
  <c r="D17" i="64"/>
  <c r="E17" i="64" s="1"/>
  <c r="E16" i="64"/>
  <c r="B24" i="64" s="1"/>
  <c r="D17" i="32"/>
  <c r="E17" i="32" s="1"/>
  <c r="E18" i="32" s="1"/>
  <c r="E16" i="32"/>
  <c r="D17" i="30"/>
  <c r="E17" i="30" s="1"/>
  <c r="E16" i="30"/>
  <c r="E18" i="30" s="1"/>
  <c r="D32" i="56"/>
  <c r="D41" i="56"/>
  <c r="B27" i="67"/>
  <c r="D37" i="67" s="1"/>
  <c r="D43" i="56"/>
  <c r="D17" i="65"/>
  <c r="E17" i="65" s="1"/>
  <c r="E16" i="65"/>
  <c r="E18" i="65" s="1"/>
  <c r="D36" i="56"/>
  <c r="B26" i="31"/>
  <c r="D36" i="31" s="1"/>
  <c r="E15" i="39"/>
  <c r="D16" i="39"/>
  <c r="B25" i="67"/>
  <c r="D35" i="67" s="1"/>
  <c r="D16" i="38"/>
  <c r="E15" i="38"/>
  <c r="D16" i="41"/>
  <c r="E15" i="41"/>
  <c r="D45" i="31"/>
  <c r="D45" i="57"/>
  <c r="D36" i="57"/>
  <c r="D34" i="31"/>
  <c r="D43" i="31"/>
  <c r="D32" i="40"/>
  <c r="D41" i="40"/>
  <c r="B28" i="40"/>
  <c r="D45" i="40"/>
  <c r="D36" i="40"/>
  <c r="D32" i="58"/>
  <c r="B28" i="58"/>
  <c r="D41" i="58"/>
  <c r="D44" i="58"/>
  <c r="D35" i="58"/>
  <c r="B23" i="67"/>
  <c r="E18" i="67"/>
  <c r="B22" i="67"/>
  <c r="B28" i="57"/>
  <c r="D41" i="57"/>
  <c r="D32" i="57"/>
  <c r="B23" i="31"/>
  <c r="B22" i="31"/>
  <c r="D37" i="40"/>
  <c r="D46" i="40"/>
  <c r="D45" i="58"/>
  <c r="D36" i="58"/>
  <c r="D35" i="57"/>
  <c r="D44" i="57"/>
  <c r="D37" i="57"/>
  <c r="D46" i="57"/>
  <c r="D35" i="31"/>
  <c r="D44" i="40"/>
  <c r="D35" i="40"/>
  <c r="D45" i="67"/>
  <c r="D37" i="58"/>
  <c r="D46" i="58"/>
  <c r="D34" i="57"/>
  <c r="D43" i="57"/>
  <c r="D33" i="57"/>
  <c r="D42" i="57"/>
  <c r="E18" i="31"/>
  <c r="D34" i="40"/>
  <c r="D43" i="40"/>
  <c r="D33" i="40"/>
  <c r="D42" i="40"/>
  <c r="B24" i="67"/>
  <c r="D33" i="58"/>
  <c r="D42" i="58"/>
  <c r="D37" i="56" l="1"/>
  <c r="D37" i="31"/>
  <c r="B25" i="32"/>
  <c r="B24" i="10"/>
  <c r="D34" i="10" s="1"/>
  <c r="B26" i="30"/>
  <c r="D36" i="30" s="1"/>
  <c r="B27" i="10"/>
  <c r="D46" i="10" s="1"/>
  <c r="B25" i="10"/>
  <c r="D35" i="10" s="1"/>
  <c r="E18" i="64"/>
  <c r="E18" i="10"/>
  <c r="B27" i="65"/>
  <c r="D46" i="65" s="1"/>
  <c r="B22" i="66"/>
  <c r="D32" i="66" s="1"/>
  <c r="D44" i="10"/>
  <c r="B25" i="30"/>
  <c r="B22" i="30"/>
  <c r="B27" i="30"/>
  <c r="D34" i="64"/>
  <c r="D43" i="64"/>
  <c r="B26" i="64"/>
  <c r="B27" i="64"/>
  <c r="B22" i="64"/>
  <c r="B25" i="64"/>
  <c r="B24" i="30"/>
  <c r="B23" i="64"/>
  <c r="B25" i="66"/>
  <c r="D46" i="67"/>
  <c r="B26" i="65"/>
  <c r="B23" i="65"/>
  <c r="B22" i="65"/>
  <c r="B25" i="65"/>
  <c r="B23" i="30"/>
  <c r="B23" i="66"/>
  <c r="B26" i="66"/>
  <c r="B27" i="66"/>
  <c r="B24" i="66"/>
  <c r="B24" i="65"/>
  <c r="D45" i="30"/>
  <c r="D35" i="32"/>
  <c r="D44" i="32"/>
  <c r="D38" i="56"/>
  <c r="D47" i="56"/>
  <c r="B27" i="32"/>
  <c r="B24" i="32"/>
  <c r="B23" i="32"/>
  <c r="B26" i="32"/>
  <c r="B22" i="10"/>
  <c r="B23" i="10"/>
  <c r="B26" i="10"/>
  <c r="B22" i="32"/>
  <c r="D44" i="67"/>
  <c r="D17" i="41"/>
  <c r="E17" i="41" s="1"/>
  <c r="E16" i="41"/>
  <c r="B23" i="41" s="1"/>
  <c r="E16" i="38"/>
  <c r="D17" i="38"/>
  <c r="E17" i="38" s="1"/>
  <c r="D17" i="39"/>
  <c r="E17" i="39" s="1"/>
  <c r="E16" i="39"/>
  <c r="D42" i="31"/>
  <c r="D33" i="31"/>
  <c r="D41" i="67"/>
  <c r="D32" i="67"/>
  <c r="B28" i="67"/>
  <c r="D47" i="40"/>
  <c r="D38" i="40"/>
  <c r="D43" i="67"/>
  <c r="D34" i="67"/>
  <c r="D33" i="67"/>
  <c r="D42" i="67"/>
  <c r="D41" i="31"/>
  <c r="D32" i="31"/>
  <c r="B28" i="31"/>
  <c r="D38" i="57"/>
  <c r="D47" i="57"/>
  <c r="D38" i="58"/>
  <c r="D47" i="58"/>
  <c r="D43" i="10" l="1"/>
  <c r="B27" i="41"/>
  <c r="D37" i="41" s="1"/>
  <c r="D37" i="10"/>
  <c r="D37" i="65"/>
  <c r="B24" i="38"/>
  <c r="D43" i="38" s="1"/>
  <c r="D41" i="66"/>
  <c r="B25" i="41"/>
  <c r="D44" i="41" s="1"/>
  <c r="B24" i="39"/>
  <c r="D34" i="39" s="1"/>
  <c r="B28" i="66"/>
  <c r="D47" i="66" s="1"/>
  <c r="E18" i="38"/>
  <c r="B24" i="41"/>
  <c r="D43" i="41" s="1"/>
  <c r="E18" i="41"/>
  <c r="D32" i="10"/>
  <c r="D41" i="10"/>
  <c r="B28" i="10"/>
  <c r="D34" i="65"/>
  <c r="D43" i="65"/>
  <c r="D33" i="66"/>
  <c r="D42" i="66"/>
  <c r="D35" i="30"/>
  <c r="D44" i="30"/>
  <c r="D45" i="32"/>
  <c r="D36" i="32"/>
  <c r="D42" i="30"/>
  <c r="D33" i="30"/>
  <c r="D33" i="65"/>
  <c r="D42" i="65"/>
  <c r="B22" i="39"/>
  <c r="B28" i="39" s="1"/>
  <c r="D42" i="10"/>
  <c r="D33" i="10"/>
  <c r="D43" i="32"/>
  <c r="D34" i="32"/>
  <c r="D45" i="66"/>
  <c r="D36" i="66"/>
  <c r="D45" i="64"/>
  <c r="D36" i="64"/>
  <c r="D41" i="30"/>
  <c r="D32" i="30"/>
  <c r="B28" i="30"/>
  <c r="D46" i="32"/>
  <c r="D37" i="32"/>
  <c r="B28" i="65"/>
  <c r="D32" i="65"/>
  <c r="D41" i="65"/>
  <c r="B28" i="32"/>
  <c r="D32" i="32"/>
  <c r="D41" i="32"/>
  <c r="D43" i="66"/>
  <c r="D34" i="66"/>
  <c r="D44" i="66"/>
  <c r="D35" i="66"/>
  <c r="D32" i="64"/>
  <c r="B28" i="64"/>
  <c r="D41" i="64"/>
  <c r="B22" i="38"/>
  <c r="D32" i="38" s="1"/>
  <c r="D36" i="10"/>
  <c r="D45" i="10"/>
  <c r="D42" i="32"/>
  <c r="D33" i="32"/>
  <c r="D46" i="66"/>
  <c r="D37" i="66"/>
  <c r="D44" i="65"/>
  <c r="D35" i="65"/>
  <c r="D45" i="65"/>
  <c r="D36" i="65"/>
  <c r="D42" i="64"/>
  <c r="D33" i="64"/>
  <c r="D43" i="30"/>
  <c r="D34" i="30"/>
  <c r="D35" i="64"/>
  <c r="D44" i="64"/>
  <c r="D37" i="64"/>
  <c r="D46" i="64"/>
  <c r="D37" i="30"/>
  <c r="D46" i="30"/>
  <c r="B25" i="39"/>
  <c r="B27" i="38"/>
  <c r="D34" i="41"/>
  <c r="B26" i="41"/>
  <c r="B25" i="38"/>
  <c r="B28" i="38" s="1"/>
  <c r="B23" i="38"/>
  <c r="D46" i="41"/>
  <c r="D35" i="41"/>
  <c r="E18" i="39"/>
  <c r="B23" i="39"/>
  <c r="B27" i="39"/>
  <c r="B22" i="41"/>
  <c r="B26" i="38"/>
  <c r="B26" i="39"/>
  <c r="D42" i="41"/>
  <c r="D33" i="41"/>
  <c r="D38" i="31"/>
  <c r="D47" i="31"/>
  <c r="D38" i="67"/>
  <c r="D47" i="67"/>
  <c r="D34" i="38" l="1"/>
  <c r="D43" i="39"/>
  <c r="D32" i="39"/>
  <c r="D38" i="66"/>
  <c r="D41" i="39"/>
  <c r="D41" i="38"/>
  <c r="D38" i="65"/>
  <c r="D47" i="65"/>
  <c r="D47" i="64"/>
  <c r="D38" i="64"/>
  <c r="D47" i="32"/>
  <c r="D38" i="32"/>
  <c r="D47" i="30"/>
  <c r="D38" i="30"/>
  <c r="D47" i="10"/>
  <c r="D38" i="10"/>
  <c r="D36" i="38"/>
  <c r="D45" i="38"/>
  <c r="D35" i="39"/>
  <c r="D44" i="39"/>
  <c r="D32" i="41"/>
  <c r="D41" i="41"/>
  <c r="B28" i="41"/>
  <c r="D33" i="38"/>
  <c r="D42" i="38"/>
  <c r="D38" i="39"/>
  <c r="D47" i="39"/>
  <c r="D46" i="39"/>
  <c r="D37" i="39"/>
  <c r="D35" i="38"/>
  <c r="D44" i="38"/>
  <c r="D46" i="38"/>
  <c r="D37" i="38"/>
  <c r="D47" i="38"/>
  <c r="D38" i="38"/>
  <c r="D36" i="39"/>
  <c r="D45" i="39"/>
  <c r="D33" i="39"/>
  <c r="D42" i="39"/>
  <c r="D36" i="41"/>
  <c r="D45" i="41"/>
  <c r="D38" i="41" l="1"/>
  <c r="D47" i="41"/>
</calcChain>
</file>

<file path=xl/comments1.xml><?xml version="1.0" encoding="utf-8"?>
<comments xmlns="http://schemas.openxmlformats.org/spreadsheetml/2006/main">
  <authors>
    <author>novouser</author>
  </authors>
  <commentList>
    <comment ref="O35" authorId="0">
      <text>
        <r>
          <rPr>
            <b/>
            <sz val="9"/>
            <color indexed="81"/>
            <rFont val="Tahoma"/>
            <family val="2"/>
          </rPr>
          <t>novouser:</t>
        </r>
        <r>
          <rPr>
            <sz val="9"/>
            <color indexed="81"/>
            <rFont val="Tahoma"/>
            <family val="2"/>
          </rPr>
          <t xml:space="preserve">
Change eligible HH Percent
</t>
        </r>
      </text>
    </comment>
  </commentList>
</comments>
</file>

<file path=xl/comments2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3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4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5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6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7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8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9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0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1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2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3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4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5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6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comments17.xml><?xml version="1.0" encoding="utf-8"?>
<comments xmlns="http://schemas.openxmlformats.org/spreadsheetml/2006/main">
  <authors>
    <author>Evan Caldwell</author>
  </authors>
  <commentList>
    <comment ref="A59" authorId="0">
      <text>
        <r>
          <rPr>
            <b/>
            <sz val="10"/>
            <color indexed="81"/>
            <rFont val="Calibri"/>
            <family val="2"/>
            <scheme val="minor"/>
          </rPr>
          <t>Household Distribution Narrative:</t>
        </r>
        <r>
          <rPr>
            <sz val="10"/>
            <color indexed="81"/>
            <rFont val="Calibri"/>
            <family val="2"/>
            <scheme val="minor"/>
          </rPr>
          <t xml:space="preserve">
Complete the Household Distribution Matrix above, then delete the empty rows in this table.</t>
        </r>
      </text>
    </comment>
  </commentList>
</comments>
</file>

<file path=xl/sharedStrings.xml><?xml version="1.0" encoding="utf-8"?>
<sst xmlns="http://schemas.openxmlformats.org/spreadsheetml/2006/main" count="3650" uniqueCount="844">
  <si>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</si>
  <si>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</si>
  <si>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</si>
  <si>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</si>
  <si>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</si>
  <si>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</si>
  <si>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</si>
  <si>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</si>
  <si>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</si>
  <si>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</si>
  <si>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</si>
  <si>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Total</t>
  </si>
  <si>
    <t>Total Households</t>
  </si>
  <si>
    <t xml:space="preserve"> </t>
  </si>
  <si>
    <t>85+</t>
  </si>
  <si>
    <t>1999-3/2000</t>
  </si>
  <si>
    <t>1995-1998</t>
  </si>
  <si>
    <t>1990-1994</t>
  </si>
  <si>
    <t>1980-1989</t>
  </si>
  <si>
    <t>1970-1979</t>
  </si>
  <si>
    <t>1960-1969</t>
  </si>
  <si>
    <t>1950-1959</t>
  </si>
  <si>
    <t>1940-1949</t>
  </si>
  <si>
    <t>1939 and Before</t>
  </si>
  <si>
    <t>55-59</t>
  </si>
  <si>
    <t>60-64</t>
  </si>
  <si>
    <t>65-69</t>
  </si>
  <si>
    <t>70-74</t>
  </si>
  <si>
    <t>75-79</t>
  </si>
  <si>
    <t>80-84</t>
  </si>
  <si>
    <t>Unit Type</t>
  </si>
  <si>
    <t>Studio</t>
  </si>
  <si>
    <t>30% AMI</t>
  </si>
  <si>
    <t>40% AMI</t>
  </si>
  <si>
    <t>50% AMI</t>
  </si>
  <si>
    <t>60% AMI</t>
  </si>
  <si>
    <t>Number of Units</t>
  </si>
  <si>
    <t>POPULATION</t>
  </si>
  <si>
    <t>Year</t>
  </si>
  <si>
    <t>PMA</t>
  </si>
  <si>
    <t>USA</t>
  </si>
  <si>
    <t>Area Median Income (AMI) Levels</t>
  </si>
  <si>
    <t>Number</t>
  </si>
  <si>
    <t>Annual Change</t>
  </si>
  <si>
    <t xml:space="preserve">Number </t>
  </si>
  <si>
    <t>-</t>
  </si>
  <si>
    <t>HOUSEHOLDS</t>
  </si>
  <si>
    <t>AVERAGE HOUSEHOLD SIZE</t>
  </si>
  <si>
    <t>MEDIAN HOUSEHOLD INCOME</t>
  </si>
  <si>
    <t>Amount</t>
  </si>
  <si>
    <t>Income Cohort</t>
  </si>
  <si>
    <t>Percentage</t>
  </si>
  <si>
    <t>Age Cohort</t>
  </si>
  <si>
    <t>Industry</t>
  </si>
  <si>
    <t>May</t>
  </si>
  <si>
    <t>Table 15</t>
  </si>
  <si>
    <t>Use only to prove a specific point</t>
  </si>
  <si>
    <t>Household Size</t>
  </si>
  <si>
    <t xml:space="preserve">Percent </t>
  </si>
  <si>
    <t>Owner-Occupied Units</t>
  </si>
  <si>
    <t>Percentage Owner-Occupied</t>
  </si>
  <si>
    <t>Renter-Occupied Units</t>
  </si>
  <si>
    <t>Percentage Renter-Occupied</t>
  </si>
  <si>
    <t>Years</t>
  </si>
  <si>
    <t>Percent of Housing Stock</t>
  </si>
  <si>
    <t>1 person</t>
  </si>
  <si>
    <t>2 persons</t>
  </si>
  <si>
    <t>3 persons</t>
  </si>
  <si>
    <t>4 persons</t>
  </si>
  <si>
    <t>All Units</t>
  </si>
  <si>
    <t>cohort overlap</t>
  </si>
  <si>
    <t>% in cohort</t>
  </si>
  <si>
    <t># in cohort</t>
  </si>
  <si>
    <t>INCOME LIMITS</t>
  </si>
  <si>
    <t>Minimum Allowable Income</t>
  </si>
  <si>
    <t>Maximum Allowable Income</t>
  </si>
  <si>
    <t>PROJECTED RENTER HOUSEHOLD DEMAND BY BEDROOM TYPE</t>
  </si>
  <si>
    <t xml:space="preserve">Income-Qualified Renter Demand </t>
  </si>
  <si>
    <t>Number Qualified Renter Households</t>
  </si>
  <si>
    <t>x</t>
  </si>
  <si>
    <t xml:space="preserve">Total </t>
  </si>
  <si>
    <t>Projected Renter Household Demand by Bedroom Size</t>
  </si>
  <si>
    <t>Number of Qualified Renter Households</t>
  </si>
  <si>
    <t>Capture Rate Analysis - 30% AMI</t>
  </si>
  <si>
    <t>Developer's Unit Mix</t>
  </si>
  <si>
    <t>Capture Rate</t>
  </si>
  <si>
    <t>Total/Overall</t>
  </si>
  <si>
    <t>Adjusted for Leakage from Outside of the PMA</t>
  </si>
  <si>
    <t>HOUSEHOLD DISTRIBUTION</t>
  </si>
  <si>
    <t>1BR</t>
  </si>
  <si>
    <t>2BR</t>
  </si>
  <si>
    <t>3BR</t>
  </si>
  <si>
    <t>4BR</t>
  </si>
  <si>
    <t>Capture Rate Analysis - 40% AMI</t>
  </si>
  <si>
    <t>Capture Rate Analysis - 50% AMI</t>
  </si>
  <si>
    <t>Capture Rate Analysis - 60% AMI</t>
  </si>
  <si>
    <t>ANNUAL DEMAND</t>
  </si>
  <si>
    <t>Calculation</t>
  </si>
  <si>
    <t>Existing Demand</t>
  </si>
  <si>
    <t>Percentage of Total Households that are Renter</t>
  </si>
  <si>
    <t xml:space="preserve">Number of Income-Qualified Renter Households </t>
  </si>
  <si>
    <t>Percentage of Rent-Overburdened</t>
  </si>
  <si>
    <t>Existing Income-Qualified Renter Household Turnover</t>
  </si>
  <si>
    <t>New Income-Qualified Demand, Stated Annually</t>
  </si>
  <si>
    <t>New Rental Income Qualified Households</t>
  </si>
  <si>
    <t>Capture Rate Analysis</t>
  </si>
  <si>
    <t>Number  of Units in  Subject</t>
  </si>
  <si>
    <t>Occupied Units at Subject With Vacancy of:</t>
  </si>
  <si>
    <t>Units Pre-Leased</t>
  </si>
  <si>
    <t>Total Demand (Turnover and Growth) from within PMA</t>
  </si>
  <si>
    <t xml:space="preserve">     Portion Originating within PMA</t>
  </si>
  <si>
    <t>Less: Existing LIHTC Projects in Absorption Process (Number of Units)</t>
  </si>
  <si>
    <t>Total Demand after Competition (Turnover and Growth)</t>
  </si>
  <si>
    <t>This number represents all LIHTC units currently vacant or to be built in the PMA.</t>
  </si>
  <si>
    <t>June</t>
  </si>
  <si>
    <t>July</t>
  </si>
  <si>
    <t>Table 14</t>
  </si>
  <si>
    <t>5BR</t>
  </si>
  <si>
    <t>Total Renter Households</t>
  </si>
  <si>
    <t>$0-10,000</t>
  </si>
  <si>
    <t>$10,000-20,000</t>
  </si>
  <si>
    <t>$20,000-30,000</t>
  </si>
  <si>
    <t>$30,000-40,000</t>
  </si>
  <si>
    <t>$40,000-50,000</t>
  </si>
  <si>
    <t>$50,000-60,000</t>
  </si>
  <si>
    <t>$60,000-75,000</t>
  </si>
  <si>
    <t>$75,000-100,000</t>
  </si>
  <si>
    <t>All Ages</t>
  </si>
  <si>
    <t>5+ persons</t>
  </si>
  <si>
    <t>HOUSEHOLD DISTRIBUTION MATRIX</t>
  </si>
  <si>
    <t>Data Check</t>
  </si>
  <si>
    <t>Bedrooms</t>
  </si>
  <si>
    <t>Renter Household Size Distribution</t>
  </si>
  <si>
    <t>Total Number of Renter Households</t>
  </si>
  <si>
    <t>% Income-Qualified Renter Households</t>
  </si>
  <si>
    <t>Percentage of Income-Qualified Renter Households</t>
  </si>
  <si>
    <t>Increase in Renter Households per Annum</t>
  </si>
  <si>
    <t>SENIOR POPULATION, 65+</t>
  </si>
  <si>
    <t>HOUSEHOLDS WITH SENIOR HOUSEHOLDER, 65+</t>
  </si>
  <si>
    <t/>
  </si>
  <si>
    <t>TABLES BELOW INCLUDE ENTIRE POPULATION (SENIOR and NON-SENIOR)</t>
  </si>
  <si>
    <t>RENTER HOUSEHOLD INCOME OF SENIORS 65+</t>
  </si>
  <si>
    <t>$0-9,999</t>
  </si>
  <si>
    <t>$10,000-19,999</t>
  </si>
  <si>
    <t>$20,000-29,999</t>
  </si>
  <si>
    <t>$30,000-39,999</t>
  </si>
  <si>
    <t>$40,000-49,999</t>
  </si>
  <si>
    <t>$50,000-59,999</t>
  </si>
  <si>
    <t>$60,000-74,999</t>
  </si>
  <si>
    <t>$75,000-99,999</t>
  </si>
  <si>
    <t>Data Years</t>
  </si>
  <si>
    <t>Base Year</t>
  </si>
  <si>
    <t>Current Year</t>
  </si>
  <si>
    <t>Forecast Year</t>
  </si>
  <si>
    <t>ESRI</t>
  </si>
  <si>
    <t>HISTA</t>
  </si>
  <si>
    <t>Sources</t>
  </si>
  <si>
    <t>Novogradac</t>
  </si>
  <si>
    <t>Novogradac &amp; Company LLP</t>
  </si>
  <si>
    <t>BLS</t>
  </si>
  <si>
    <t>Date</t>
  </si>
  <si>
    <t>Table Headings</t>
  </si>
  <si>
    <t>MSA</t>
  </si>
  <si>
    <t>Name</t>
  </si>
  <si>
    <t>[COUNTY NAME]</t>
  </si>
  <si>
    <t>ESRI Data Effective:</t>
  </si>
  <si>
    <t>SENIOR POPULATION, 55+</t>
  </si>
  <si>
    <t>HOUSEHOLDS WITH SENIOR HOUSEHOLDER, 55+</t>
  </si>
  <si>
    <t>RENTER HOUSEHOLD INCOME OF SENIORS 55+</t>
  </si>
  <si>
    <t>SENIOR POPULATION, 62+</t>
  </si>
  <si>
    <t>HOUSEHOLDS WITH SENIOR HOUSEHOLDER, 62+</t>
  </si>
  <si>
    <t>RENTER HOUSEHOLD INCOME OF SENIORS 62+</t>
  </si>
  <si>
    <t>SENIOR POPULATION, 75+</t>
  </si>
  <si>
    <t>HOUSEHOLDS WITH SENIOR HOUSEHOLDER, 75+</t>
  </si>
  <si>
    <t>RENTER HOUSEHOLD INCOME OF SENIORS 75+</t>
  </si>
  <si>
    <t>SMA</t>
  </si>
  <si>
    <t>Occupation</t>
  </si>
  <si>
    <t>Number of Employees</t>
  </si>
  <si>
    <t>Mean Hourly Wage</t>
  </si>
  <si>
    <t>Mean Annual Wage</t>
  </si>
  <si>
    <t>Total all occupations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</si>
  <si>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</si>
  <si>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</si>
  <si>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</si>
  <si>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</si>
  <si>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</si>
  <si>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</si>
  <si>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</si>
  <si>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</si>
  <si>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</si>
  <si>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</si>
  <si>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</si>
  <si>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</si>
  <si>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Serving-Related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</si>
  <si>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</si>
  <si>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</si>
  <si>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</si>
  <si>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</si>
  <si>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</si>
  <si>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</si>
  <si>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</si>
  <si>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</si>
  <si>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</si>
  <si>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Paste input sheet as values in blue area.</t>
  </si>
  <si>
    <t>Copy from webpage (drag cursor and copy down table).</t>
  </si>
  <si>
    <t>MSA:</t>
  </si>
  <si>
    <t>Estimates</t>
  </si>
  <si>
    <t>Source</t>
  </si>
  <si>
    <t>Department of Labor, Occupational Employment Statistics</t>
  </si>
  <si>
    <t>Copy table from here with Internet Explorer</t>
  </si>
  <si>
    <t>The cell should read "All Occupations" →</t>
  </si>
  <si>
    <t>RENTER HOUSEHOLD INCOME BY HOUSEHOLD SIZE 55+</t>
  </si>
  <si>
    <t>RENTER HOUSEHOLD INCOME BY HOUSEHOLD SIZE 62+</t>
  </si>
  <si>
    <t>RENTER HOUSEHOLD INCOME BY HOUSEHOLD SIZE 65+</t>
  </si>
  <si>
    <t>RENTER HOUSEHOLD INCOME BY HOUSEHOLD SIZE 75+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</si>
  <si>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</si>
  <si>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</si>
  <si>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</si>
  <si>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</si>
  <si>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</si>
  <si>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</si>
  <si>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</si>
  <si>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</si>
  <si>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</si>
  <si>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PENETRATION RATE</t>
  </si>
  <si>
    <t>Income Eligible Renter Households in PMA</t>
  </si>
  <si>
    <t>Existing LIHTC Units in PMA</t>
  </si>
  <si>
    <t>Proposed LIHTC Units in PMA</t>
  </si>
  <si>
    <t>Remaining Income Eligible Renter Households</t>
  </si>
  <si>
    <t>Proposed Units at Subject</t>
  </si>
  <si>
    <t>Penetration Rate</t>
  </si>
  <si>
    <t>Building Block Name</t>
  </si>
  <si>
    <t>Building Block Value</t>
  </si>
  <si>
    <t>List of Named Range</t>
  </si>
  <si>
    <t>Project_Title</t>
  </si>
  <si>
    <t>Population_Family</t>
  </si>
  <si>
    <t>='Demographics Family'!A6:G12</t>
  </si>
  <si>
    <t>Study_Type</t>
  </si>
  <si>
    <t>Market Study</t>
  </si>
  <si>
    <t>Households_Family</t>
  </si>
  <si>
    <t>='Demographics Family'!A15:G21</t>
  </si>
  <si>
    <t>Subject_Name</t>
  </si>
  <si>
    <t>Avg_HH_Size_Family</t>
  </si>
  <si>
    <t>='Demographics Family'!A24:G30</t>
  </si>
  <si>
    <t>Subject_City</t>
  </si>
  <si>
    <t>Median_HH_Income_Family</t>
  </si>
  <si>
    <t>='Demographics Family'!A33:G39</t>
  </si>
  <si>
    <t>Subject_County</t>
  </si>
  <si>
    <t>Change_Employment_Industry_PMA</t>
  </si>
  <si>
    <t>=Economy!O28:U52</t>
  </si>
  <si>
    <t>Subject_ST</t>
  </si>
  <si>
    <t>Neighborhood_Analysis</t>
  </si>
  <si>
    <t>='Neighborhood, Commuting'!B2:D11</t>
  </si>
  <si>
    <t>Subject_ZIP</t>
  </si>
  <si>
    <t>Economic_Trends</t>
  </si>
  <si>
    <t>=Economy!E2:M19</t>
  </si>
  <si>
    <t>Client_Personal_Name</t>
  </si>
  <si>
    <t>Wages_by_Occupation</t>
  </si>
  <si>
    <t>='Wages by Occupation'!A1:D26</t>
  </si>
  <si>
    <t>Client_Company</t>
  </si>
  <si>
    <t>Client_Address</t>
  </si>
  <si>
    <t>Client_City_ST</t>
  </si>
  <si>
    <t>Washington, DC</t>
  </si>
  <si>
    <t>Population_55</t>
  </si>
  <si>
    <t>='Demographics 55+'!A6:G12</t>
  </si>
  <si>
    <t>Client_ZIP</t>
  </si>
  <si>
    <t>Households_55</t>
  </si>
  <si>
    <t>='Demographics 55+'!A15:G21</t>
  </si>
  <si>
    <t>Novo_Address</t>
  </si>
  <si>
    <t>Population_65</t>
  </si>
  <si>
    <t>='Demographics 65+'!A6:G12</t>
  </si>
  <si>
    <t>Novo_City_St</t>
  </si>
  <si>
    <t>Bethesda, MD</t>
  </si>
  <si>
    <t>Households_65</t>
  </si>
  <si>
    <t>='Demographics 65+'!A15:G21</t>
  </si>
  <si>
    <t>Novo_Zip</t>
  </si>
  <si>
    <t>Demand_Family</t>
  </si>
  <si>
    <t>='Annual Demand Family'!A1:C29</t>
  </si>
  <si>
    <t>Novo_Phone_Number</t>
  </si>
  <si>
    <t>240-235-1715</t>
  </si>
  <si>
    <t>Demand_55</t>
  </si>
  <si>
    <t>='Annual Demand 65+'!A1:C29</t>
  </si>
  <si>
    <t>Assignment_Code</t>
  </si>
  <si>
    <t>Demand_65</t>
  </si>
  <si>
    <t>Effective_Date</t>
  </si>
  <si>
    <t>November, 24 2012</t>
  </si>
  <si>
    <t>Commuting_Patterns</t>
  </si>
  <si>
    <t>='Neighborhood, Commuting'!B14:D29</t>
  </si>
  <si>
    <t>Report_Date</t>
  </si>
  <si>
    <t>Crime_Risk</t>
  </si>
  <si>
    <t>=Crime!A2:C15</t>
  </si>
  <si>
    <t>Acreage</t>
  </si>
  <si>
    <t>Employment_by_industry</t>
  </si>
  <si>
    <t>=Economy!O2:S26</t>
  </si>
  <si>
    <t>Number_comps_properties</t>
  </si>
  <si>
    <t>Tenure_PMA</t>
  </si>
  <si>
    <t>='Supply Family'!E3:I8</t>
  </si>
  <si>
    <t>Number_comp_units</t>
  </si>
  <si>
    <t>Tenure_SMA</t>
  </si>
  <si>
    <t>='Supply Family'!E12:I17</t>
  </si>
  <si>
    <t>AMI</t>
  </si>
  <si>
    <t>Number_units</t>
  </si>
  <si>
    <t>Current_Year</t>
  </si>
  <si>
    <t>Subject_Address</t>
  </si>
  <si>
    <t>1901 Park Rd NW</t>
  </si>
  <si>
    <t>4520 East West Highway</t>
  </si>
  <si>
    <t>A Market Feasibility Study of</t>
  </si>
  <si>
    <t>George Harrison</t>
  </si>
  <si>
    <t>Household_Income_PMA</t>
  </si>
  <si>
    <t>Household_Income_SMA</t>
  </si>
  <si>
    <t>Renter_HH_Income_PMA</t>
  </si>
  <si>
    <t>Renter_HH_Income_SMA</t>
  </si>
  <si>
    <t>Subject_tenancy</t>
  </si>
  <si>
    <t>New Construction</t>
  </si>
  <si>
    <t>Senior</t>
  </si>
  <si>
    <t>Subject_spaces</t>
  </si>
  <si>
    <t>Subject_parking_fee</t>
  </si>
  <si>
    <t>Townhouse</t>
  </si>
  <si>
    <t>Brian Epstein</t>
  </si>
  <si>
    <t>Subject_AMI_levels</t>
  </si>
  <si>
    <t>Subject_year_built</t>
  </si>
  <si>
    <t>Subject_number_of_buildings</t>
  </si>
  <si>
    <t>Subject_construction_type</t>
  </si>
  <si>
    <t>Subject_design_type</t>
  </si>
  <si>
    <t>Subject_developer_name</t>
  </si>
  <si>
    <t>Analyst</t>
  </si>
  <si>
    <t>Robert Plant</t>
  </si>
  <si>
    <t>50, 60</t>
  </si>
  <si>
    <t>BEAT600V.143</t>
  </si>
  <si>
    <t>='Demographics Family'!$A$62:$G$76</t>
  </si>
  <si>
    <t>='Demographics Family'!$A$45:$G$59</t>
  </si>
  <si>
    <t>='Demographics Family'!$I$98:$N$111</t>
  </si>
  <si>
    <t>='Demographics Family'!$I$79:$O$93</t>
  </si>
  <si>
    <t>Cleveland</t>
  </si>
  <si>
    <t>Cuyahoga</t>
  </si>
  <si>
    <t>Ohio</t>
  </si>
  <si>
    <t>The Stone Group</t>
  </si>
  <si>
    <t>$100,000-125,000</t>
  </si>
  <si>
    <t>$125,000-150,000</t>
  </si>
  <si>
    <t>$150,000-200,000</t>
  </si>
  <si>
    <t>$200,000+</t>
  </si>
  <si>
    <t>Intermediate BY</t>
  </si>
  <si>
    <t>HISTA _Cohort_Ref</t>
  </si>
  <si>
    <t>Novo_Cohort_Ref</t>
  </si>
  <si>
    <t>$100,000-124,999</t>
  </si>
  <si>
    <t>$125,000-149,999</t>
  </si>
  <si>
    <t>$150,000-199,999</t>
  </si>
  <si>
    <t>PMA Renters</t>
  </si>
  <si>
    <t>PMA Owners</t>
  </si>
  <si>
    <t>PMA Total</t>
  </si>
  <si>
    <t>SMA Renters</t>
  </si>
  <si>
    <t>SMA Owners</t>
  </si>
  <si>
    <t>SMA Total</t>
  </si>
  <si>
    <t>Chili Pepper Apartments2013</t>
  </si>
  <si>
    <t>123 Chromatic St</t>
  </si>
  <si>
    <t>Owners</t>
  </si>
  <si>
    <t>Renters</t>
  </si>
  <si>
    <t>Owner</t>
  </si>
  <si>
    <t>Jobs by Distance - Work Census Block to Home Census Block</t>
  </si>
  <si>
    <t>Count</t>
  </si>
  <si>
    <t>Share</t>
  </si>
  <si>
    <t>Total Primary Jobs</t>
  </si>
  <si>
    <t>Less than 10 miles</t>
  </si>
  <si>
    <t>10 to 24 miles</t>
  </si>
  <si>
    <t>25 to 50 miles</t>
  </si>
  <si>
    <t>Greater than 50 miles</t>
  </si>
  <si>
    <t>RENTER HOUSEHOLD INCOME PMA 65+</t>
  </si>
  <si>
    <t>RENTER HOUSEHOLD INCOME SMA 65+</t>
  </si>
  <si>
    <t xml:space="preserve">Increase in Number of Senior Renter Households </t>
  </si>
  <si>
    <t xml:space="preserve">Increase in Senior Number of Renter Households </t>
  </si>
  <si>
    <t>Rent Overburdened Source</t>
  </si>
  <si>
    <t>Renter Overburdened</t>
  </si>
  <si>
    <t>2000 Census</t>
  </si>
  <si>
    <t>2009-2013 ACS</t>
  </si>
  <si>
    <t>2nd QTR 2014</t>
  </si>
  <si>
    <t>5/2014</t>
  </si>
  <si>
    <t>August 2017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</si>
  <si>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</si>
  <si>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</si>
  <si>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</si>
  <si>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</si>
  <si>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</si>
  <si>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</si>
  <si>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</si>
  <si>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</si>
  <si>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</si>
  <si>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</si>
  <si>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</si>
  <si>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</si>
  <si>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</si>
  <si>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</si>
  <si>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</si>
  <si>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</si>
  <si>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</si>
  <si>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</si>
  <si>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</si>
  <si>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</si>
  <si>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total</t>
  </si>
  <si>
    <t>major</t>
  </si>
  <si>
    <t>detailed</t>
  </si>
  <si>
    <t>#</t>
  </si>
  <si>
    <t>*</t>
  </si>
  <si>
    <t>TRUE</t>
  </si>
  <si>
    <t>**</t>
  </si>
  <si>
    <t>OCC_TITLE</t>
  </si>
  <si>
    <t>All Occupations</t>
  </si>
  <si>
    <t>Chief Executives</t>
  </si>
  <si>
    <t>General and Operations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</si>
  <si>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</si>
  <si>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</si>
  <si>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</si>
  <si>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</si>
  <si>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</si>
  <si>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</si>
  <si>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</si>
  <si>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</si>
  <si>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</si>
  <si>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Human Resources Managers</t>
  </si>
  <si>
    <t>Training and Development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</si>
  <si>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</si>
  <si>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</si>
  <si>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</si>
  <si>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</si>
  <si>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</si>
  <si>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</si>
  <si>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</si>
  <si>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</si>
  <si>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</si>
  <si>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</si>
  <si>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</si>
  <si>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</si>
  <si>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</si>
  <si>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Managers, All Other</t>
  </si>
  <si>
    <t>Wholesale and Retail Buyers, Except Farm Products</t>
  </si>
  <si>
    <t>Purchasing Agents, Except Wholesale, Retail, and Farm Products</t>
  </si>
  <si>
    <t>Claims Adjusters, Examiners, and Investigators</t>
  </si>
  <si>
    <t>Compliance Officers</t>
  </si>
  <si>
    <t>Cost Estimators</t>
  </si>
  <si>
    <t>Human Resources Specialists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</si>
  <si>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</si>
  <si>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</si>
  <si>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</si>
  <si>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</si>
  <si>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</si>
  <si>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</si>
  <si>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</si>
  <si>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</si>
  <si>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</si>
  <si>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</si>
  <si>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</si>
  <si>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</si>
  <si>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</si>
  <si>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</si>
  <si>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Financial Examiners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</si>
  <si>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</si>
  <si>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</si>
  <si>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</si>
  <si>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</si>
  <si>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</si>
  <si>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</si>
  <si>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</si>
  <si>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</si>
  <si>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</si>
  <si>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</si>
  <si>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</si>
  <si>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</si>
  <si>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</si>
  <si>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</si>
  <si>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</si>
  <si>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</si>
  <si>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Operations Research Analysts</t>
  </si>
  <si>
    <t>Architects, Except Landscape and Naval</t>
  </si>
  <si>
    <t>Cartographers and Photogrammetrists</t>
  </si>
  <si>
    <t>Surveyors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</si>
  <si>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</si>
  <si>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</si>
  <si>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</si>
  <si>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</si>
  <si>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</si>
  <si>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</si>
  <si>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</si>
  <si>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Mechanical Engineers</t>
  </si>
  <si>
    <t>Mining and Geological Engineers, Including Mining Safety Engineers</t>
  </si>
  <si>
    <t>Petroleum Engineers</t>
  </si>
  <si>
    <t>Engineers, All Other</t>
  </si>
  <si>
    <t>Architectural and Civil Drafters</t>
  </si>
  <si>
    <t>Electrical and Electronics Drafters</t>
  </si>
  <si>
    <t>Civil Engineering Technicians</t>
  </si>
  <si>
    <t>Electrical and Electronics Engineering Technicians</t>
  </si>
  <si>
    <t>Environmental Engineering Technicians</t>
  </si>
  <si>
    <t>Mechanical Engineering Technicians</t>
  </si>
  <si>
    <t>Engineering Technicians, Except Drafters, All Other</t>
  </si>
  <si>
    <t>Surveying and Mapping Technicians</t>
  </si>
  <si>
    <t>Zoologists and Wildlife Biologists</t>
  </si>
  <si>
    <t>Biological Scientists, All Other</t>
  </si>
  <si>
    <t>Conservation Scientists</t>
  </si>
  <si>
    <t>Atmospheric and Space Scientists</t>
  </si>
  <si>
    <t>Chemists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</si>
  <si>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</si>
  <si>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</si>
  <si>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</si>
  <si>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</si>
  <si>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Clinical, Counseling, and School Psychologists</t>
  </si>
  <si>
    <t>Psychologists, All Other</t>
  </si>
  <si>
    <t>Urban and Regional Planners</t>
  </si>
  <si>
    <t>Anthropologists and Archeologists</t>
  </si>
  <si>
    <t>Social Scientists and Related Workers, All Other</t>
  </si>
  <si>
    <t>Biological Technicians</t>
  </si>
  <si>
    <t>Geological and Petroleum Technicians</t>
  </si>
  <si>
    <t>Environmental Science and Protection Technicians, Including Health</t>
  </si>
  <si>
    <t>Forest and Conservation Technicians</t>
  </si>
  <si>
    <t>Life, Physical, and Social Science Technicians, All Other</t>
  </si>
  <si>
    <t>Community and Social Service Occupations</t>
  </si>
  <si>
    <t>Substance Abuse and Behavioral Disorder Counselors</t>
  </si>
  <si>
    <t>Educational, Guidance, School, and Vocational Counselors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</si>
  <si>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</si>
  <si>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</si>
  <si>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</si>
  <si>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</si>
  <si>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</si>
  <si>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</si>
  <si>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</si>
  <si>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</si>
  <si>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Social and Human Service Assistants</t>
  </si>
  <si>
    <t>Community Health Workers</t>
  </si>
  <si>
    <t>Community and Social Service Specialists, All Other</t>
  </si>
  <si>
    <t>Clergy</t>
  </si>
  <si>
    <t>Religious Workers, All Other</t>
  </si>
  <si>
    <t>Lawyers</t>
  </si>
  <si>
    <t>Paralegals and Legal Assistants</t>
  </si>
  <si>
    <t>Title Examiners, Abstractors, and Searchers</t>
  </si>
  <si>
    <t>Legal Support Workers, All Other</t>
  </si>
  <si>
    <t>Business Teachers, Postsecondary</t>
  </si>
  <si>
    <t>Mathematical Science Teachers, Postsecondary</t>
  </si>
  <si>
    <t>Biological Science Teachers, Postsecondary</t>
  </si>
  <si>
    <t>Vocational Education Teachers, Postsecondary</t>
  </si>
  <si>
    <t>Postsecondary Teachers, All Other</t>
  </si>
  <si>
    <t>Preschool Teachers, Except Special Education</t>
  </si>
  <si>
    <t>Elementary School Teachers, Except Special Education</t>
  </si>
  <si>
    <t>Secondary School Teachers, Except Special and Career/Technical Education</t>
  </si>
  <si>
    <t>Special Education Teachers, Kindergarten and Elementary School</t>
  </si>
  <si>
    <t>Special Education Teachers, Middle School</t>
  </si>
  <si>
    <t>Self-Enrichment Education Teachers</t>
  </si>
  <si>
    <t>Teachers and Instructors, All Other, Except Substitute Teachers</t>
  </si>
  <si>
    <t>Librarians</t>
  </si>
  <si>
    <t>Library Technicians</t>
  </si>
  <si>
    <t>Instructional Coordinators</t>
  </si>
  <si>
    <t>Teacher Assistants</t>
  </si>
  <si>
    <t>Education, Training, and Library Workers, All Other</t>
  </si>
  <si>
    <t>Art Directors</t>
  </si>
  <si>
    <t>Floral Designers</t>
  </si>
  <si>
    <t>Graphic Designers</t>
  </si>
  <si>
    <t>Interior Designers</t>
  </si>
  <si>
    <t>Merchandise Displayers and Window Trimmers</t>
  </si>
  <si>
    <t>Producers and Directors</t>
  </si>
  <si>
    <t>Coaches and Scouts</t>
  </si>
  <si>
    <t>Umpires, Referees, and Other Sports Officials</t>
  </si>
  <si>
    <t>Radio and Television Announcers</t>
  </si>
  <si>
    <t>Reporters and Correspondents</t>
  </si>
  <si>
    <t>Public Relations Specialists</t>
  </si>
  <si>
    <t>Editors</t>
  </si>
  <si>
    <t>Technical Writers</t>
  </si>
  <si>
    <t>Writers and Authors</t>
  </si>
  <si>
    <t>Media and Communication Workers, All Other</t>
  </si>
  <si>
    <t>Audio and Video Equipment Technicians</t>
  </si>
  <si>
    <t>Broadcast Technicians</t>
  </si>
  <si>
    <t>Photographers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</si>
  <si>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</si>
  <si>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</si>
  <si>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</si>
  <si>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</si>
  <si>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</si>
  <si>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</si>
  <si>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Internists, General</t>
  </si>
  <si>
    <t>Psychiatrists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</si>
  <si>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</si>
  <si>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</si>
  <si>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</si>
  <si>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</si>
  <si>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</si>
  <si>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</si>
  <si>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</si>
  <si>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</si>
  <si>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</si>
  <si>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Anesthetists</t>
  </si>
  <si>
    <t>Nurse Practitioners</t>
  </si>
  <si>
    <t>Audiologists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</si>
  <si>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</si>
  <si>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</si>
  <si>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</si>
  <si>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</si>
  <si>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</si>
  <si>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</si>
  <si>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</si>
  <si>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</si>
  <si>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</si>
  <si>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</si>
  <si>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</si>
  <si>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</si>
  <si>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</si>
  <si>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</si>
  <si>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</si>
  <si>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</si>
  <si>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</si>
  <si>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Health Technologists and Technicians, All Other</t>
  </si>
  <si>
    <t>Occupational Health and Safety Specialists</t>
  </si>
  <si>
    <t>Occupational Health and Safety Technicians</t>
  </si>
  <si>
    <t>Healthcare Practitioners and Technical Workers, All Other</t>
  </si>
  <si>
    <t>Home Health Aides</t>
  </si>
  <si>
    <t>Nursing Assistants</t>
  </si>
  <si>
    <t>Physical Therapist Assistants</t>
  </si>
  <si>
    <t>Massage Therapists</t>
  </si>
  <si>
    <t>Dental Assistants</t>
  </si>
  <si>
    <t>Medical Assistants</t>
  </si>
  <si>
    <t>Medical Equipment Preparers</t>
  </si>
  <si>
    <t>Medical Transcriptionists</t>
  </si>
  <si>
    <t>Veterinary Assistants and Laboratory Animal Caretakers</t>
  </si>
  <si>
    <t>Phlebotomists</t>
  </si>
  <si>
    <t>Healthcare Support Workers, All Other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</si>
  <si>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</si>
  <si>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</si>
  <si>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</si>
  <si>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</si>
  <si>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Police and Sheriff's Patrol Officers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</si>
  <si>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</si>
  <si>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</si>
  <si>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</si>
  <si>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</si>
  <si>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</si>
  <si>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Food Preparation and Serving Related Occupations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</si>
  <si>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</si>
  <si>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</si>
  <si>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</si>
  <si>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</si>
  <si>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</si>
  <si>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</si>
  <si>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</si>
  <si>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</si>
  <si>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</si>
  <si>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</si>
  <si>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</si>
  <si>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</si>
  <si>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</si>
  <si>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</si>
  <si>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</si>
  <si>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</si>
  <si>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</si>
  <si>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</si>
  <si>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</si>
  <si>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</si>
  <si>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</si>
  <si>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Landscaping and Groundskeeping Workers</t>
  </si>
  <si>
    <t>Tree Trimmers and Pruners</t>
  </si>
  <si>
    <t>Grounds Maintenance Workers, All Other</t>
  </si>
  <si>
    <t>First-Line Supervisors of Personal Service Workers</t>
  </si>
  <si>
    <t>Nonfarm Animal Caretakers</t>
  </si>
  <si>
    <t>Gaming and Sports Book Writers and Runners</t>
  </si>
  <si>
    <t>Ushers, Lobby Attendants, and Ticket Takers</t>
  </si>
  <si>
    <t>Amusement and Recreation Attendants</t>
  </si>
  <si>
    <t>Entertainment Attendants and Related Workers, All Other</t>
  </si>
  <si>
    <t>Hairdressers, Hairstylists, and Cosmetologists</t>
  </si>
  <si>
    <t>Manicurists and Pedicurists</t>
  </si>
  <si>
    <t>Skincare Specialists</t>
  </si>
  <si>
    <t>Baggage Porters and Bellhops</t>
  </si>
  <si>
    <t>Concierges</t>
  </si>
  <si>
    <t>Tour Guides and Escorts</t>
  </si>
  <si>
    <t>Childcare Workers</t>
  </si>
  <si>
    <t>Personal Care Aides</t>
  </si>
  <si>
    <t>Fitness Trainers and Aerobics Instructors</t>
  </si>
  <si>
    <t>Recreation Workers</t>
  </si>
  <si>
    <t>Residential Advisors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</si>
  <si>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</si>
  <si>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</si>
  <si>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</si>
  <si>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</si>
  <si>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</si>
  <si>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</si>
  <si>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</si>
  <si>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</si>
  <si>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</si>
  <si>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</si>
  <si>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</si>
  <si>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</si>
  <si>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</si>
  <si>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</si>
  <si>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</si>
  <si>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</si>
  <si>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</si>
  <si>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</si>
  <si>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</si>
  <si>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</si>
  <si>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</si>
  <si>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</si>
  <si>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</si>
  <si>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</si>
  <si>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</si>
  <si>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</si>
  <si>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</si>
  <si>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</si>
  <si>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</si>
  <si>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</si>
  <si>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</si>
  <si>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</si>
  <si>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</si>
  <si>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</si>
  <si>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</si>
  <si>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</si>
  <si>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</si>
  <si>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</si>
  <si>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</si>
  <si>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</si>
  <si>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</si>
  <si>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</si>
  <si>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</si>
  <si>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</si>
  <si>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</si>
  <si>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</si>
  <si>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</si>
  <si>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</si>
  <si>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</si>
  <si>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</si>
  <si>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</si>
  <si>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</si>
  <si>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</si>
  <si>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</si>
  <si>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</si>
  <si>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</si>
  <si>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</si>
  <si>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</si>
  <si>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</si>
  <si>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</si>
  <si>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</si>
  <si>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</si>
  <si>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</si>
  <si>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</si>
  <si>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Office and Administrative Support Workers, All Other</t>
  </si>
  <si>
    <t>First-Line Supervisors of Construction Trades and Extraction Workers</t>
  </si>
  <si>
    <t>Carpenters</t>
  </si>
  <si>
    <t>Cement Masons and Concrete Finishers</t>
  </si>
  <si>
    <t>Construction Laborers</t>
  </si>
  <si>
    <t>Pile-Driver Operators</t>
  </si>
  <si>
    <t>Operating Engineers and Other Construction Equipment Operators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</si>
  <si>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</si>
  <si>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</si>
  <si>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</si>
  <si>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</si>
  <si>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</si>
  <si>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</si>
  <si>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Roofers</t>
  </si>
  <si>
    <t>Sheet Metal Workers</t>
  </si>
  <si>
    <t>Structural Iron and Steel Workers</t>
  </si>
  <si>
    <t>Helpers--Carpenters</t>
  </si>
  <si>
    <t>Helpers--Electricians</t>
  </si>
  <si>
    <t>Helpers--Pipelayers, Plumbers, Pipefitters, and Steamfitters</t>
  </si>
  <si>
    <t>Helpers, Construction Trades, All Other</t>
  </si>
  <si>
    <t>Construction and Building Inspectors</t>
  </si>
  <si>
    <t>Hazardous Materials Removal Workers</t>
  </si>
  <si>
    <t>Construction and Related Workers, All Other</t>
  </si>
  <si>
    <t>Rotary Drill Operators, Oil and Gas</t>
  </si>
  <si>
    <t>Service Unit Operators, Oil, Gas, and Mining</t>
  </si>
  <si>
    <t>Earth Drillers, Except Oil and Gas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</si>
  <si>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</si>
  <si>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</si>
  <si>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</si>
  <si>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</si>
  <si>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</si>
  <si>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</si>
  <si>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</si>
  <si>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Electrical and Electronics Repairers, Commercial and Industrial Equipment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</si>
  <si>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</si>
  <si>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</si>
  <si>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</si>
  <si>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</si>
  <si>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</si>
  <si>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</si>
  <si>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</si>
  <si>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Motorcycle Mechanics</t>
  </si>
  <si>
    <t>Tire Repairers and Changers</t>
  </si>
  <si>
    <t>Control and Valve Installers and Repairers, Except Mechanical Door</t>
  </si>
  <si>
    <t>Heating, Air Conditioning, and Refrigeration Mechanics and Installers</t>
  </si>
  <si>
    <t>Industrial Machinery Mechanics</t>
  </si>
  <si>
    <t>Maintenance Workers, Machinery</t>
  </si>
  <si>
    <t>Millwrights</t>
  </si>
  <si>
    <t>Electrical Power-Line Installers and Repairers</t>
  </si>
  <si>
    <t>Telecommunications Line Installers and Repairers</t>
  </si>
  <si>
    <t>Medical Equipment Repairers</t>
  </si>
  <si>
    <t>Maintenance and Repair Workers, General</t>
  </si>
  <si>
    <t>Riggers</t>
  </si>
  <si>
    <t>Helpers--Installation, Maintenance, and Repair Workers</t>
  </si>
  <si>
    <t>Installation, Maintenance, and Repair Workers, All Other</t>
  </si>
  <si>
    <t>First-Line Supervisors of Production and Operating Workers</t>
  </si>
  <si>
    <t>Structural Metal Fabricators and Fitters</t>
  </si>
  <si>
    <t>Team Assemblers</t>
  </si>
  <si>
    <t>Assemblers and Fabricators, All Other</t>
  </si>
  <si>
    <t>Bakers</t>
  </si>
  <si>
    <t>Butchers and Meat Cutters</t>
  </si>
  <si>
    <t>Food and Tobacco Roasting, Baking, and Drying Machine Operators and Tenders</t>
  </si>
  <si>
    <t>Food Batchmakers</t>
  </si>
  <si>
    <t>Cutting, Punching, and Press Machine Setters, Operators, and Tenders, Metal and Plastic</t>
  </si>
  <si>
    <t>Machinists</t>
  </si>
  <si>
    <t>Welders, Cutters, Solderers, and Brazers</t>
  </si>
  <si>
    <t>Printing Press Operators</t>
  </si>
  <si>
    <t>Print Binding and Finishing Workers</t>
  </si>
  <si>
    <t>Laundry and Dry-Cleaning Workers</t>
  </si>
  <si>
    <t>Cabinetmakers and Bench Carpenters</t>
  </si>
  <si>
    <t>Power Plant Operators</t>
  </si>
  <si>
    <t>Water and Wastewater Treatment Plant and System Operators</t>
  </si>
  <si>
    <t>Gas Plant Operators</t>
  </si>
  <si>
    <t>Petroleum Pump System Operators, Refinery Operators, and Gaugers</t>
  </si>
  <si>
    <t>Separating, Filtering, Clarifying, Precipitating, and Still Machine Setters, Operators, and Tenders</t>
  </si>
  <si>
    <t>Inspectors, Testers, Sorters, Samplers, and Weighers</t>
  </si>
  <si>
    <t>Dental Laboratory Technicians</t>
  </si>
  <si>
    <t>Packaging and Filling Machine Operators and Tenders</t>
  </si>
  <si>
    <t>Photographic Process Workers and Processing Machine Operators</t>
  </si>
  <si>
    <t>Molders, Shapers, and Casters, Except Metal and Plastic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</si>
  <si>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</si>
  <si>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</si>
  <si>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</si>
  <si>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</si>
  <si>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</si>
  <si>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</si>
  <si>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</si>
  <si>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</si>
  <si>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</si>
  <si>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</si>
  <si>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</si>
  <si>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</si>
  <si>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</si>
  <si>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</si>
  <si>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Sailors and Marine Oilers</t>
  </si>
  <si>
    <t>Captains, Mates, and Pilots of Water Vessels</t>
  </si>
  <si>
    <t>Parking Lot Attendants</t>
  </si>
  <si>
    <t>Automotive and Watercraft Service Attendants</t>
  </si>
  <si>
    <t>Transportation Inspectors</t>
  </si>
  <si>
    <t>Transportation Workers, All Other</t>
  </si>
  <si>
    <t>Crane and Tower Operators</t>
  </si>
  <si>
    <t>Excavating and Loading Machine and Dragline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</si>
  <si>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</si>
  <si>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</si>
  <si>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</si>
  <si>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</si>
  <si>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</si>
  <si>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Material Moving Workers, All Other</t>
  </si>
  <si>
    <t>Dropdown Menu HERE - Example data for Anchorage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</si>
</sst>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0.0%"/>
    <numFmt numFmtId="168" formatCode="_(&quot;$&quot;* #,##0_);_(&quot;$&quot;* \(#,##0\);_(&quot;$&quot;* &quot;-&quot;??_);_(@_)"/>
    <numFmt numFmtId="169" formatCode="General_)"/>
    <numFmt numFmtId="170" formatCode="mmmm\ yyyy"/>
    <numFmt numFmtId="171" formatCode="0.0"/>
    <numFmt numFmtId="172" formatCode="0.000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0"/>
      <color indexed="12"/>
      <name val="Times New Roman"/>
      <family val="1"/>
    </font>
    <font>
      <sz val="10"/>
      <color indexed="9"/>
      <name val="Times New Roman"/>
      <family val="1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Helv"/>
    </font>
    <font>
      <sz val="12"/>
      <name val="Helv"/>
    </font>
    <font>
      <b/>
      <sz val="12"/>
      <name val="Arial"/>
      <family val="2"/>
    </font>
    <font>
      <sz val="10"/>
      <name val="Courier"/>
      <family val="3"/>
    </font>
    <font>
      <sz val="7"/>
      <name val="Small Fonts"/>
      <family val="2"/>
    </font>
    <font>
      <sz val="8"/>
      <name val="Tms Rmn"/>
    </font>
    <font>
      <sz val="10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81"/>
      <name val="Calibri"/>
      <family val="2"/>
      <scheme val="minor"/>
    </font>
    <font>
      <sz val="10"/>
      <color indexed="81"/>
      <name val="Calibri"/>
      <family val="2"/>
      <scheme val="minor"/>
    </font>
    <font>
      <b/>
      <i/>
      <sz val="10"/>
      <name val="Times New Roman"/>
      <family val="1"/>
    </font>
    <font>
      <b/>
      <sz val="8"/>
      <name val="Times New Roman"/>
      <family val="1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</font>
    <font>
      <i/>
      <sz val="10"/>
      <name val="Arial"/>
      <family val="2"/>
    </font>
    <font>
      <sz val="10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671">
    <xf numFmtId="0" fontId="0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39" fontId="16" fillId="0" borderId="0" applyFont="0" applyFill="0" applyBorder="0" applyAlignment="0" applyProtection="0"/>
    <xf numFmtId="169" fontId="36" fillId="0" borderId="0"/>
    <xf numFmtId="169" fontId="36" fillId="0" borderId="0"/>
    <xf numFmtId="169" fontId="36" fillId="0" borderId="0"/>
    <xf numFmtId="169" fontId="36" fillId="0" borderId="0"/>
    <xf numFmtId="43" fontId="16" fillId="0" borderId="0" applyFont="0" applyFill="0" applyBorder="0" applyAlignment="0" applyProtection="0"/>
    <xf numFmtId="169" fontId="36" fillId="0" borderId="0"/>
    <xf numFmtId="169" fontId="36" fillId="0" borderId="0"/>
    <xf numFmtId="169" fontId="36" fillId="0" borderId="0"/>
    <xf numFmtId="169" fontId="36" fillId="0" borderId="0"/>
    <xf numFmtId="8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" fontId="16" fillId="0" borderId="0" applyFont="0" applyFill="0" applyBorder="0" applyProtection="0">
      <alignment horizontal="left"/>
    </xf>
    <xf numFmtId="38" fontId="17" fillId="6" borderId="0" applyNumberFormat="0" applyBorder="0" applyAlignment="0" applyProtection="0"/>
    <xf numFmtId="0" fontId="37" fillId="0" borderId="27" applyNumberFormat="0" applyAlignment="0" applyProtection="0">
      <alignment horizontal="left" vertical="center"/>
    </xf>
    <xf numFmtId="0" fontId="37" fillId="0" borderId="2">
      <alignment horizontal="left" vertical="center"/>
    </xf>
    <xf numFmtId="0" fontId="38" fillId="0" borderId="31">
      <alignment vertical="center"/>
    </xf>
    <xf numFmtId="10" fontId="17" fillId="7" borderId="5" applyNumberFormat="0" applyBorder="0" applyAlignment="0" applyProtection="0"/>
    <xf numFmtId="17" fontId="16" fillId="0" borderId="0" applyFont="0" applyFill="0" applyBorder="0" applyProtection="0">
      <alignment horizontal="left"/>
    </xf>
    <xf numFmtId="37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6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6" fillId="0" borderId="0"/>
    <xf numFmtId="9" fontId="1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2" fillId="0" borderId="34" applyNumberFormat="0" applyFill="0" applyAlignment="0" applyProtection="0"/>
    <xf numFmtId="0" fontId="53" fillId="0" borderId="35" applyNumberFormat="0" applyFill="0" applyAlignment="0" applyProtection="0"/>
    <xf numFmtId="0" fontId="53" fillId="0" borderId="0" applyNumberFormat="0" applyFill="0" applyBorder="0" applyAlignment="0" applyProtection="0"/>
    <xf numFmtId="0" fontId="54" fillId="11" borderId="0" applyNumberFormat="0" applyBorder="0" applyAlignment="0" applyProtection="0"/>
    <xf numFmtId="0" fontId="55" fillId="12" borderId="0" applyNumberFormat="0" applyBorder="0" applyAlignment="0" applyProtection="0"/>
    <xf numFmtId="0" fontId="56" fillId="13" borderId="0" applyNumberFormat="0" applyBorder="0" applyAlignment="0" applyProtection="0"/>
    <xf numFmtId="0" fontId="57" fillId="14" borderId="36" applyNumberFormat="0" applyAlignment="0" applyProtection="0"/>
    <xf numFmtId="0" fontId="58" fillId="15" borderId="37" applyNumberFormat="0" applyAlignment="0" applyProtection="0"/>
    <xf numFmtId="0" fontId="59" fillId="15" borderId="36" applyNumberFormat="0" applyAlignment="0" applyProtection="0"/>
    <xf numFmtId="0" fontId="60" fillId="0" borderId="38" applyNumberFormat="0" applyFill="0" applyAlignment="0" applyProtection="0"/>
    <xf numFmtId="0" fontId="61" fillId="16" borderId="3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41" applyNumberFormat="0" applyFill="0" applyAlignment="0" applyProtection="0"/>
    <xf numFmtId="0" fontId="6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65" fillId="21" borderId="0" applyNumberFormat="0" applyBorder="0" applyAlignment="0" applyProtection="0"/>
    <xf numFmtId="0" fontId="65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65" fillId="25" borderId="0" applyNumberFormat="0" applyBorder="0" applyAlignment="0" applyProtection="0"/>
    <xf numFmtId="0" fontId="6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65" fillId="29" borderId="0" applyNumberFormat="0" applyBorder="0" applyAlignment="0" applyProtection="0"/>
    <xf numFmtId="0" fontId="6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65" fillId="37" borderId="0" applyNumberFormat="0" applyBorder="0" applyAlignment="0" applyProtection="0"/>
    <xf numFmtId="0" fontId="6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65" fillId="41" borderId="0" applyNumberFormat="0" applyBorder="0" applyAlignment="0" applyProtection="0"/>
    <xf numFmtId="0" fontId="14" fillId="0" borderId="0"/>
    <xf numFmtId="3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" fontId="16" fillId="0" borderId="0" applyFont="0" applyFill="0" applyBorder="0" applyProtection="0">
      <alignment horizontal="left"/>
    </xf>
    <xf numFmtId="17" fontId="16" fillId="0" borderId="0" applyFont="0" applyFill="0" applyBorder="0" applyProtection="0">
      <alignment horizontal="left"/>
    </xf>
    <xf numFmtId="0" fontId="16" fillId="0" borderId="0"/>
    <xf numFmtId="0" fontId="14" fillId="0" borderId="0"/>
    <xf numFmtId="0" fontId="14" fillId="17" borderId="40" applyNumberFormat="0" applyFont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4" fillId="0" borderId="0"/>
    <xf numFmtId="0" fontId="16" fillId="0" borderId="0"/>
    <xf numFmtId="0" fontId="67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7" borderId="40" applyNumberFormat="0" applyFont="0" applyAlignment="0" applyProtection="0"/>
    <xf numFmtId="0" fontId="11" fillId="0" borderId="0"/>
    <xf numFmtId="0" fontId="11" fillId="0" borderId="0"/>
    <xf numFmtId="0" fontId="11" fillId="17" borderId="40" applyNumberFormat="0" applyFont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0" fillId="0" borderId="0"/>
    <xf numFmtId="0" fontId="9" fillId="0" borderId="0"/>
    <xf numFmtId="44" fontId="9" fillId="0" borderId="0" applyFont="0" applyFill="0" applyBorder="0" applyAlignment="0" applyProtection="0"/>
    <xf numFmtId="0" fontId="8" fillId="0" borderId="0"/>
    <xf numFmtId="9" fontId="16" fillId="0" borderId="0" applyFont="0" applyFill="0" applyBorder="0" applyAlignment="0" applyProtection="0"/>
    <xf numFmtId="0" fontId="7" fillId="0" borderId="0"/>
    <xf numFmtId="0" fontId="7" fillId="0" borderId="0"/>
    <xf numFmtId="0" fontId="16" fillId="0" borderId="0"/>
    <xf numFmtId="0" fontId="38" fillId="0" borderId="54">
      <alignment vertical="center"/>
    </xf>
    <xf numFmtId="0" fontId="6" fillId="0" borderId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0" borderId="0"/>
    <xf numFmtId="0" fontId="6" fillId="0" borderId="0"/>
    <xf numFmtId="0" fontId="6" fillId="17" borderId="40" applyNumberFormat="0" applyFont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5" fillId="0" borderId="0"/>
    <xf numFmtId="0" fontId="5" fillId="17" borderId="40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4" fillId="0" borderId="0"/>
    <xf numFmtId="0" fontId="74" fillId="0" borderId="0" applyNumberFormat="0" applyFill="0" applyBorder="0" applyAlignment="0" applyProtection="0"/>
    <xf numFmtId="0" fontId="16" fillId="0" borderId="0"/>
    <xf numFmtId="0" fontId="3" fillId="0" borderId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0" borderId="0"/>
    <xf numFmtId="0" fontId="3" fillId="0" borderId="0"/>
    <xf numFmtId="0" fontId="3" fillId="17" borderId="40" applyNumberFormat="0" applyFont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0" fontId="2" fillId="17" borderId="40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38" fillId="0" borderId="55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6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/>
    <xf numFmtId="0" fontId="38" fillId="0" borderId="56">
      <alignment vertical="center"/>
    </xf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0" fontId="1" fillId="17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</cellStyleXfs>
  <cellXfs count="52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applyFont="1" applyAlignment="1"/>
    <xf numFmtId="0" fontId="20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22" fillId="2" borderId="0" xfId="0" applyFont="1" applyFill="1" applyAlignment="1">
      <alignment horizontal="center" wrapText="1"/>
    </xf>
    <xf numFmtId="0" fontId="19" fillId="0" borderId="0" xfId="0" applyFont="1" applyFill="1" applyAlignment="1">
      <alignment horizontal="center"/>
    </xf>
    <xf numFmtId="0" fontId="25" fillId="0" borderId="3" xfId="0" applyFont="1" applyFill="1" applyBorder="1" applyAlignment="1">
      <alignment horizontal="center" wrapText="1"/>
    </xf>
    <xf numFmtId="165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 wrapText="1"/>
    </xf>
    <xf numFmtId="0" fontId="18" fillId="0" borderId="0" xfId="0" applyFont="1"/>
    <xf numFmtId="0" fontId="19" fillId="0" borderId="0" xfId="0" applyFont="1"/>
    <xf numFmtId="3" fontId="19" fillId="0" borderId="0" xfId="0" applyNumberFormat="1" applyFont="1" applyFill="1" applyAlignment="1">
      <alignment horizontal="center" wrapText="1"/>
    </xf>
    <xf numFmtId="3" fontId="19" fillId="0" borderId="0" xfId="0" applyNumberFormat="1" applyFont="1" applyFill="1" applyAlignment="1">
      <alignment horizontal="center"/>
    </xf>
    <xf numFmtId="0" fontId="25" fillId="0" borderId="0" xfId="0" applyFont="1"/>
    <xf numFmtId="3" fontId="19" fillId="0" borderId="3" xfId="0" applyNumberFormat="1" applyFont="1" applyFill="1" applyBorder="1" applyAlignment="1">
      <alignment horizontal="center" wrapText="1"/>
    </xf>
    <xf numFmtId="3" fontId="19" fillId="0" borderId="3" xfId="0" applyNumberFormat="1" applyFont="1" applyFill="1" applyBorder="1" applyAlignment="1">
      <alignment horizontal="center"/>
    </xf>
    <xf numFmtId="0" fontId="26" fillId="0" borderId="0" xfId="0" applyFont="1"/>
    <xf numFmtId="2" fontId="19" fillId="0" borderId="0" xfId="0" applyNumberFormat="1" applyFont="1" applyFill="1" applyAlignment="1">
      <alignment horizontal="center" wrapText="1"/>
    </xf>
    <xf numFmtId="4" fontId="19" fillId="0" borderId="0" xfId="0" applyNumberFormat="1" applyFont="1" applyFill="1" applyAlignment="1">
      <alignment horizontal="center" wrapText="1"/>
    </xf>
    <xf numFmtId="2" fontId="19" fillId="0" borderId="3" xfId="0" applyNumberFormat="1" applyFont="1" applyFill="1" applyBorder="1" applyAlignment="1">
      <alignment horizontal="center" wrapText="1"/>
    </xf>
    <xf numFmtId="0" fontId="26" fillId="0" borderId="0" xfId="0" applyFont="1" applyFill="1"/>
    <xf numFmtId="165" fontId="19" fillId="0" borderId="0" xfId="0" applyNumberFormat="1" applyFont="1" applyFill="1" applyAlignment="1">
      <alignment horizontal="center" wrapText="1"/>
    </xf>
    <xf numFmtId="165" fontId="19" fillId="0" borderId="0" xfId="0" applyNumberFormat="1" applyFont="1" applyFill="1" applyBorder="1" applyAlignment="1">
      <alignment horizontal="center"/>
    </xf>
    <xf numFmtId="6" fontId="24" fillId="0" borderId="0" xfId="0" applyNumberFormat="1" applyFont="1" applyFill="1" applyAlignment="1">
      <alignment horizontal="center" vertical="top" wrapText="1"/>
    </xf>
    <xf numFmtId="6" fontId="24" fillId="0" borderId="3" xfId="0" applyNumberFormat="1" applyFont="1" applyFill="1" applyBorder="1" applyAlignment="1">
      <alignment horizontal="center" vertical="top" wrapText="1"/>
    </xf>
    <xf numFmtId="165" fontId="19" fillId="0" borderId="3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9" fillId="0" borderId="0" xfId="0" applyFont="1" applyBorder="1"/>
    <xf numFmtId="3" fontId="19" fillId="0" borderId="0" xfId="0" applyNumberFormat="1" applyFont="1" applyFill="1" applyBorder="1" applyAlignment="1">
      <alignment horizontal="center" wrapText="1"/>
    </xf>
    <xf numFmtId="3" fontId="28" fillId="0" borderId="0" xfId="0" applyNumberFormat="1" applyFont="1" applyFill="1" applyAlignment="1">
      <alignment horizontal="center"/>
    </xf>
    <xf numFmtId="3" fontId="25" fillId="0" borderId="3" xfId="0" applyNumberFormat="1" applyFont="1" applyFill="1" applyBorder="1" applyAlignment="1">
      <alignment horizontal="center" wrapText="1"/>
    </xf>
    <xf numFmtId="3" fontId="25" fillId="0" borderId="3" xfId="0" applyNumberFormat="1" applyFont="1" applyFill="1" applyBorder="1" applyAlignment="1">
      <alignment horizontal="center"/>
    </xf>
    <xf numFmtId="3" fontId="28" fillId="0" borderId="0" xfId="0" applyNumberFormat="1" applyFont="1" applyFill="1" applyAlignment="1">
      <alignment horizontal="center" wrapText="1"/>
    </xf>
    <xf numFmtId="0" fontId="29" fillId="0" borderId="0" xfId="0" applyFont="1" applyFill="1" applyBorder="1"/>
    <xf numFmtId="0" fontId="22" fillId="0" borderId="0" xfId="0" applyFont="1" applyFill="1" applyBorder="1" applyAlignment="1">
      <alignment horizontal="center" wrapText="1"/>
    </xf>
    <xf numFmtId="0" fontId="27" fillId="0" borderId="0" xfId="0" applyFont="1" applyFill="1" applyAlignment="1">
      <alignment horizontal="center" wrapText="1"/>
    </xf>
    <xf numFmtId="3" fontId="25" fillId="0" borderId="4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6" fillId="0" borderId="0" xfId="0" applyFont="1" applyBorder="1" applyAlignment="1">
      <alignment wrapText="1"/>
    </xf>
    <xf numFmtId="0" fontId="19" fillId="0" borderId="0" xfId="0" applyFont="1" applyFill="1" applyBorder="1"/>
    <xf numFmtId="0" fontId="20" fillId="0" borderId="0" xfId="0" applyFont="1"/>
    <xf numFmtId="0" fontId="22" fillId="2" borderId="0" xfId="0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left"/>
    </xf>
    <xf numFmtId="1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Alignment="1">
      <alignment horizontal="center"/>
    </xf>
    <xf numFmtId="0" fontId="27" fillId="0" borderId="0" xfId="0" applyFont="1"/>
    <xf numFmtId="0" fontId="19" fillId="0" borderId="0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3" fontId="19" fillId="0" borderId="3" xfId="0" applyNumberFormat="1" applyFont="1" applyBorder="1" applyAlignment="1">
      <alignment horizontal="center"/>
    </xf>
    <xf numFmtId="0" fontId="25" fillId="0" borderId="3" xfId="0" applyFont="1" applyFill="1" applyBorder="1" applyAlignment="1">
      <alignment horizontal="left"/>
    </xf>
    <xf numFmtId="10" fontId="25" fillId="0" borderId="3" xfId="0" applyNumberFormat="1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0" fillId="0" borderId="0" xfId="0" applyFont="1" applyFill="1"/>
    <xf numFmtId="0" fontId="23" fillId="0" borderId="1" xfId="0" applyFont="1" applyFill="1" applyBorder="1" applyAlignment="1">
      <alignment horizontal="center" wrapText="1"/>
    </xf>
    <xf numFmtId="0" fontId="29" fillId="2" borderId="0" xfId="0" applyFont="1" applyFill="1" applyBorder="1"/>
    <xf numFmtId="0" fontId="29" fillId="2" borderId="0" xfId="0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0" fontId="25" fillId="0" borderId="0" xfId="0" applyNumberFormat="1" applyFont="1" applyFill="1" applyBorder="1" applyAlignment="1">
      <alignment horizontal="center"/>
    </xf>
    <xf numFmtId="3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 wrapText="1" shrinkToFit="1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9" fillId="0" borderId="0" xfId="0" applyFont="1" applyFill="1" applyBorder="1" applyAlignment="1">
      <alignment horizontal="center" wrapText="1" shrinkToFit="1"/>
    </xf>
    <xf numFmtId="3" fontId="25" fillId="0" borderId="0" xfId="0" applyNumberFormat="1" applyFont="1" applyFill="1" applyBorder="1"/>
    <xf numFmtId="9" fontId="19" fillId="0" borderId="0" xfId="2" applyFont="1" applyFill="1" applyBorder="1"/>
    <xf numFmtId="0" fontId="23" fillId="0" borderId="1" xfId="0" applyFont="1" applyFill="1" applyBorder="1" applyAlignment="1">
      <alignment horizontal="centerContinuous"/>
    </xf>
    <xf numFmtId="9" fontId="23" fillId="0" borderId="1" xfId="0" applyNumberFormat="1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left"/>
    </xf>
    <xf numFmtId="3" fontId="19" fillId="0" borderId="0" xfId="0" applyNumberFormat="1" applyFont="1" applyFill="1" applyBorder="1" applyAlignment="1">
      <alignment horizontal="left"/>
    </xf>
    <xf numFmtId="9" fontId="19" fillId="0" borderId="0" xfId="0" applyNumberFormat="1" applyFont="1" applyFill="1" applyBorder="1" applyAlignment="1">
      <alignment horizontal="left"/>
    </xf>
    <xf numFmtId="0" fontId="25" fillId="0" borderId="3" xfId="0" applyFont="1" applyFill="1" applyBorder="1"/>
    <xf numFmtId="3" fontId="25" fillId="0" borderId="3" xfId="0" applyNumberFormat="1" applyFont="1" applyFill="1" applyBorder="1"/>
    <xf numFmtId="0" fontId="19" fillId="0" borderId="3" xfId="0" applyFont="1" applyFill="1" applyBorder="1"/>
    <xf numFmtId="3" fontId="19" fillId="0" borderId="0" xfId="0" applyNumberFormat="1" applyFont="1" applyFill="1" applyBorder="1"/>
    <xf numFmtId="164" fontId="19" fillId="0" borderId="0" xfId="1" applyNumberFormat="1" applyFont="1" applyFill="1" applyBorder="1"/>
    <xf numFmtId="9" fontId="20" fillId="0" borderId="0" xfId="2" applyFont="1" applyFill="1" applyBorder="1"/>
    <xf numFmtId="0" fontId="20" fillId="0" borderId="0" xfId="0" applyFont="1" applyFill="1" applyBorder="1"/>
    <xf numFmtId="9" fontId="19" fillId="0" borderId="5" xfId="0" applyNumberFormat="1" applyFont="1" applyBorder="1"/>
    <xf numFmtId="0" fontId="25" fillId="0" borderId="6" xfId="0" applyFont="1" applyFill="1" applyBorder="1"/>
    <xf numFmtId="0" fontId="19" fillId="0" borderId="6" xfId="0" applyFont="1" applyFill="1" applyBorder="1" applyAlignment="1">
      <alignment horizontal="center"/>
    </xf>
    <xf numFmtId="164" fontId="19" fillId="0" borderId="6" xfId="0" applyNumberFormat="1" applyFont="1" applyFill="1" applyBorder="1"/>
    <xf numFmtId="164" fontId="19" fillId="0" borderId="0" xfId="0" applyNumberFormat="1" applyFont="1" applyFill="1" applyBorder="1"/>
    <xf numFmtId="0" fontId="23" fillId="0" borderId="1" xfId="0" applyFont="1" applyFill="1" applyBorder="1" applyAlignment="1">
      <alignment horizontal="centerContinuous" wrapText="1"/>
    </xf>
    <xf numFmtId="167" fontId="19" fillId="0" borderId="0" xfId="2" applyNumberFormat="1" applyFont="1" applyFill="1" applyBorder="1"/>
    <xf numFmtId="167" fontId="19" fillId="0" borderId="0" xfId="0" applyNumberFormat="1" applyFont="1" applyFill="1" applyBorder="1"/>
    <xf numFmtId="164" fontId="25" fillId="0" borderId="0" xfId="0" applyNumberFormat="1" applyFont="1" applyFill="1" applyBorder="1"/>
    <xf numFmtId="0" fontId="30" fillId="0" borderId="0" xfId="0" applyFont="1"/>
    <xf numFmtId="0" fontId="19" fillId="0" borderId="1" xfId="0" applyFont="1" applyFill="1" applyBorder="1" applyAlignment="1">
      <alignment horizontal="centerContinuous"/>
    </xf>
    <xf numFmtId="9" fontId="28" fillId="0" borderId="0" xfId="2" applyFont="1" applyFill="1" applyBorder="1" applyAlignment="1">
      <alignment horizontal="center"/>
    </xf>
    <xf numFmtId="1" fontId="19" fillId="0" borderId="0" xfId="0" applyNumberFormat="1" applyFont="1" applyFill="1" applyBorder="1"/>
    <xf numFmtId="9" fontId="19" fillId="0" borderId="0" xfId="2" applyFont="1" applyFill="1" applyBorder="1" applyAlignment="1">
      <alignment horizontal="center"/>
    </xf>
    <xf numFmtId="9" fontId="28" fillId="0" borderId="0" xfId="2" applyFont="1" applyFill="1" applyBorder="1"/>
    <xf numFmtId="0" fontId="19" fillId="0" borderId="0" xfId="0" applyFont="1" applyFill="1" applyBorder="1" applyAlignment="1">
      <alignment wrapText="1"/>
    </xf>
    <xf numFmtId="1" fontId="19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3" fontId="25" fillId="0" borderId="3" xfId="0" applyNumberFormat="1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3" fontId="19" fillId="0" borderId="9" xfId="0" applyNumberFormat="1" applyFont="1" applyFill="1" applyBorder="1" applyAlignment="1">
      <alignment horizontal="center"/>
    </xf>
    <xf numFmtId="3" fontId="25" fillId="0" borderId="10" xfId="0" applyNumberFormat="1" applyFont="1" applyFill="1" applyBorder="1" applyAlignment="1">
      <alignment horizontal="center"/>
    </xf>
    <xf numFmtId="10" fontId="25" fillId="0" borderId="4" xfId="0" applyNumberFormat="1" applyFont="1" applyFill="1" applyBorder="1" applyAlignment="1">
      <alignment horizontal="center"/>
    </xf>
    <xf numFmtId="3" fontId="25" fillId="0" borderId="11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 wrapText="1"/>
    </xf>
    <xf numFmtId="0" fontId="22" fillId="2" borderId="13" xfId="0" applyFont="1" applyFill="1" applyBorder="1" applyAlignment="1">
      <alignment horizontal="center" wrapText="1"/>
    </xf>
    <xf numFmtId="0" fontId="19" fillId="0" borderId="14" xfId="0" applyFont="1" applyBorder="1"/>
    <xf numFmtId="0" fontId="25" fillId="0" borderId="10" xfId="0" applyFont="1" applyBorder="1" applyAlignment="1">
      <alignment horizontal="center"/>
    </xf>
    <xf numFmtId="165" fontId="19" fillId="0" borderId="14" xfId="0" applyNumberFormat="1" applyFont="1" applyFill="1" applyBorder="1" applyAlignment="1">
      <alignment horizontal="center" wrapText="1"/>
    </xf>
    <xf numFmtId="0" fontId="22" fillId="2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left" wrapText="1"/>
    </xf>
    <xf numFmtId="0" fontId="23" fillId="0" borderId="17" xfId="0" applyFont="1" applyBorder="1" applyAlignment="1">
      <alignment horizontal="center" wrapText="1"/>
    </xf>
    <xf numFmtId="0" fontId="22" fillId="2" borderId="18" xfId="0" applyFont="1" applyFill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0" fontId="23" fillId="0" borderId="20" xfId="0" applyFont="1" applyFill="1" applyBorder="1" applyAlignment="1">
      <alignment horizontal="centerContinuous" wrapText="1"/>
    </xf>
    <xf numFmtId="0" fontId="23" fillId="0" borderId="21" xfId="0" applyFont="1" applyFill="1" applyBorder="1" applyAlignment="1">
      <alignment horizontal="left" wrapText="1"/>
    </xf>
    <xf numFmtId="10" fontId="19" fillId="0" borderId="0" xfId="2" applyNumberFormat="1" applyFont="1" applyFill="1" applyBorder="1" applyAlignment="1">
      <alignment horizontal="center" vertical="center"/>
    </xf>
    <xf numFmtId="10" fontId="25" fillId="0" borderId="0" xfId="2" applyNumberFormat="1" applyFont="1" applyFill="1" applyBorder="1" applyAlignment="1">
      <alignment horizontal="center" vertical="center"/>
    </xf>
    <xf numFmtId="167" fontId="28" fillId="0" borderId="0" xfId="2" applyNumberFormat="1" applyFont="1" applyFill="1" applyBorder="1"/>
    <xf numFmtId="167" fontId="25" fillId="0" borderId="3" xfId="2" applyNumberFormat="1" applyFont="1" applyFill="1" applyBorder="1"/>
    <xf numFmtId="167" fontId="19" fillId="0" borderId="0" xfId="2" applyNumberFormat="1" applyFont="1" applyBorder="1" applyAlignment="1">
      <alignment horizontal="center"/>
    </xf>
    <xf numFmtId="167" fontId="19" fillId="0" borderId="0" xfId="2" applyNumberFormat="1" applyFont="1" applyFill="1" applyBorder="1" applyAlignment="1">
      <alignment horizontal="center"/>
    </xf>
    <xf numFmtId="0" fontId="17" fillId="0" borderId="0" xfId="0" applyFont="1"/>
    <xf numFmtId="0" fontId="22" fillId="4" borderId="0" xfId="0" applyFont="1" applyFill="1" applyAlignment="1">
      <alignment horizontal="center" wrapText="1"/>
    </xf>
    <xf numFmtId="0" fontId="19" fillId="0" borderId="18" xfId="0" applyFont="1" applyBorder="1"/>
    <xf numFmtId="165" fontId="19" fillId="0" borderId="18" xfId="0" applyNumberFormat="1" applyFont="1" applyFill="1" applyBorder="1" applyAlignment="1">
      <alignment horizontal="center"/>
    </xf>
    <xf numFmtId="0" fontId="19" fillId="0" borderId="0" xfId="0" applyFont="1" applyAlignment="1"/>
    <xf numFmtId="0" fontId="27" fillId="0" borderId="0" xfId="0" applyFont="1" applyFill="1" applyBorder="1" applyAlignment="1">
      <alignment horizontal="center" wrapText="1"/>
    </xf>
    <xf numFmtId="0" fontId="31" fillId="0" borderId="0" xfId="0" applyFont="1"/>
    <xf numFmtId="167" fontId="19" fillId="0" borderId="0" xfId="2" applyNumberFormat="1" applyFont="1" applyFill="1" applyAlignment="1">
      <alignment horizontal="center" wrapText="1"/>
    </xf>
    <xf numFmtId="167" fontId="25" fillId="0" borderId="3" xfId="2" applyNumberFormat="1" applyFont="1" applyFill="1" applyBorder="1" applyAlignment="1">
      <alignment horizontal="center" wrapText="1"/>
    </xf>
    <xf numFmtId="167" fontId="19" fillId="0" borderId="0" xfId="2" applyNumberFormat="1" applyFont="1" applyFill="1" applyAlignment="1">
      <alignment horizontal="center"/>
    </xf>
    <xf numFmtId="167" fontId="25" fillId="0" borderId="3" xfId="2" applyNumberFormat="1" applyFont="1" applyFill="1" applyBorder="1" applyAlignment="1">
      <alignment horizontal="center"/>
    </xf>
    <xf numFmtId="167" fontId="24" fillId="0" borderId="0" xfId="2" applyNumberFormat="1" applyFont="1" applyFill="1" applyBorder="1" applyAlignment="1">
      <alignment horizontal="center" wrapText="1"/>
    </xf>
    <xf numFmtId="167" fontId="19" fillId="0" borderId="0" xfId="2" applyNumberFormat="1" applyFont="1" applyFill="1" applyBorder="1" applyAlignment="1">
      <alignment horizontal="center" wrapText="1"/>
    </xf>
    <xf numFmtId="167" fontId="19" fillId="0" borderId="3" xfId="2" applyNumberFormat="1" applyFont="1" applyFill="1" applyBorder="1" applyAlignment="1">
      <alignment horizontal="center" wrapText="1"/>
    </xf>
    <xf numFmtId="9" fontId="19" fillId="0" borderId="0" xfId="2" applyFont="1" applyAlignment="1">
      <alignment horizontal="center"/>
    </xf>
    <xf numFmtId="167" fontId="19" fillId="0" borderId="0" xfId="2" applyNumberFormat="1" applyFont="1" applyFill="1" applyBorder="1" applyAlignment="1">
      <alignment horizontal="center" vertical="center" wrapText="1"/>
    </xf>
    <xf numFmtId="167" fontId="25" fillId="0" borderId="3" xfId="2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/>
    <xf numFmtId="167" fontId="19" fillId="0" borderId="3" xfId="2" applyNumberFormat="1" applyFont="1" applyBorder="1" applyAlignment="1">
      <alignment horizontal="center"/>
    </xf>
    <xf numFmtId="167" fontId="25" fillId="0" borderId="0" xfId="2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left" wrapText="1"/>
    </xf>
    <xf numFmtId="167" fontId="25" fillId="0" borderId="0" xfId="2" applyNumberFormat="1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3" fontId="19" fillId="8" borderId="14" xfId="0" applyNumberFormat="1" applyFont="1" applyFill="1" applyBorder="1" applyAlignment="1" applyProtection="1">
      <alignment horizontal="center"/>
      <protection locked="0"/>
    </xf>
    <xf numFmtId="165" fontId="19" fillId="8" borderId="9" xfId="0" applyNumberFormat="1" applyFont="1" applyFill="1" applyBorder="1" applyAlignment="1" applyProtection="1">
      <alignment horizontal="center" wrapText="1"/>
      <protection locked="0"/>
    </xf>
    <xf numFmtId="165" fontId="19" fillId="8" borderId="9" xfId="0" applyNumberFormat="1" applyFont="1" applyFill="1" applyBorder="1" applyAlignment="1" applyProtection="1">
      <alignment horizontal="center"/>
      <protection locked="0"/>
    </xf>
    <xf numFmtId="167" fontId="25" fillId="0" borderId="0" xfId="2" applyNumberFormat="1" applyFont="1" applyFill="1" applyBorder="1"/>
    <xf numFmtId="0" fontId="19" fillId="4" borderId="5" xfId="0" applyFont="1" applyFill="1" applyBorder="1"/>
    <xf numFmtId="0" fontId="19" fillId="4" borderId="22" xfId="0" applyFont="1" applyFill="1" applyBorder="1"/>
    <xf numFmtId="3" fontId="19" fillId="4" borderId="0" xfId="0" applyNumberFormat="1" applyFont="1" applyFill="1" applyBorder="1"/>
    <xf numFmtId="164" fontId="19" fillId="4" borderId="0" xfId="1" applyNumberFormat="1" applyFont="1" applyFill="1" applyBorder="1"/>
    <xf numFmtId="0" fontId="23" fillId="0" borderId="0" xfId="0" applyFont="1" applyFill="1" applyBorder="1" applyAlignment="1"/>
    <xf numFmtId="0" fontId="25" fillId="0" borderId="20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20" xfId="0" applyFont="1" applyBorder="1" applyAlignment="1">
      <alignment horizontal="left"/>
    </xf>
    <xf numFmtId="0" fontId="20" fillId="0" borderId="1" xfId="0" applyFont="1" applyFill="1" applyBorder="1" applyAlignment="1">
      <alignment horizontal="center"/>
    </xf>
    <xf numFmtId="9" fontId="19" fillId="8" borderId="32" xfId="2" applyFont="1" applyFill="1" applyBorder="1" applyAlignment="1">
      <alignment horizontal="center"/>
    </xf>
    <xf numFmtId="9" fontId="19" fillId="8" borderId="5" xfId="2" applyFont="1" applyFill="1" applyBorder="1" applyAlignment="1">
      <alignment horizontal="center"/>
    </xf>
    <xf numFmtId="9" fontId="41" fillId="0" borderId="0" xfId="2" applyFont="1" applyBorder="1" applyAlignment="1">
      <alignment horizontal="center"/>
    </xf>
    <xf numFmtId="0" fontId="0" fillId="0" borderId="0" xfId="0" applyFill="1"/>
    <xf numFmtId="9" fontId="19" fillId="0" borderId="30" xfId="0" applyNumberFormat="1" applyFont="1" applyBorder="1"/>
    <xf numFmtId="0" fontId="22" fillId="0" borderId="0" xfId="0" applyFont="1" applyFill="1" applyAlignment="1">
      <alignment horizontal="center" wrapText="1"/>
    </xf>
    <xf numFmtId="0" fontId="19" fillId="0" borderId="0" xfId="0" applyFont="1" applyFill="1" applyBorder="1" applyAlignment="1"/>
    <xf numFmtId="0" fontId="25" fillId="0" borderId="0" xfId="0" applyFont="1" applyFill="1"/>
    <xf numFmtId="0" fontId="23" fillId="0" borderId="1" xfId="0" applyFont="1" applyFill="1" applyBorder="1" applyAlignment="1"/>
    <xf numFmtId="1" fontId="19" fillId="8" borderId="0" xfId="0" applyNumberFormat="1" applyFont="1" applyFill="1" applyBorder="1"/>
    <xf numFmtId="1" fontId="19" fillId="8" borderId="0" xfId="0" applyNumberFormat="1" applyFont="1" applyFill="1" applyBorder="1" applyAlignment="1" applyProtection="1">
      <alignment horizontal="center"/>
      <protection locked="0"/>
    </xf>
    <xf numFmtId="0" fontId="43" fillId="2" borderId="0" xfId="0" applyFont="1" applyFill="1" applyBorder="1" applyAlignment="1">
      <alignment horizontal="center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 wrapText="1"/>
    </xf>
    <xf numFmtId="0" fontId="24" fillId="0" borderId="3" xfId="0" applyFont="1" applyFill="1" applyBorder="1" applyAlignment="1">
      <alignment horizontal="center" vertical="top" wrapText="1"/>
    </xf>
    <xf numFmtId="0" fontId="26" fillId="0" borderId="28" xfId="0" applyFont="1" applyFill="1" applyBorder="1" applyAlignment="1">
      <alignment horizontal="left"/>
    </xf>
    <xf numFmtId="0" fontId="26" fillId="0" borderId="0" xfId="0" applyFont="1" applyFill="1" applyBorder="1"/>
    <xf numFmtId="0" fontId="46" fillId="0" borderId="0" xfId="0" applyFont="1" applyFill="1" applyAlignment="1">
      <alignment horizontal="center" wrapText="1"/>
    </xf>
    <xf numFmtId="0" fontId="24" fillId="0" borderId="0" xfId="0" applyFont="1" applyFill="1" applyAlignment="1">
      <alignment horizontal="center" vertical="top" wrapText="1"/>
    </xf>
    <xf numFmtId="6" fontId="19" fillId="0" borderId="0" xfId="0" applyNumberFormat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top" wrapText="1"/>
    </xf>
    <xf numFmtId="6" fontId="24" fillId="0" borderId="1" xfId="0" applyNumberFormat="1" applyFont="1" applyFill="1" applyBorder="1" applyAlignment="1">
      <alignment horizontal="center" vertical="top" wrapText="1"/>
    </xf>
    <xf numFmtId="6" fontId="19" fillId="0" borderId="1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wrapText="1"/>
    </xf>
    <xf numFmtId="10" fontId="19" fillId="0" borderId="0" xfId="0" applyNumberFormat="1" applyFont="1" applyAlignment="1">
      <alignment horizontal="center" wrapText="1"/>
    </xf>
    <xf numFmtId="0" fontId="26" fillId="0" borderId="0" xfId="0" quotePrefix="1" applyFont="1" applyFill="1"/>
    <xf numFmtId="0" fontId="19" fillId="0" borderId="0" xfId="0" applyFont="1" applyFill="1" applyBorder="1" applyAlignment="1">
      <alignment horizontal="justify" wrapText="1"/>
    </xf>
    <xf numFmtId="0" fontId="26" fillId="0" borderId="0" xfId="0" applyFont="1" applyFill="1" applyBorder="1" applyAlignment="1">
      <alignment horizontal="justify" wrapText="1"/>
    </xf>
    <xf numFmtId="3" fontId="25" fillId="0" borderId="0" xfId="0" applyNumberFormat="1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9" fontId="25" fillId="0" borderId="0" xfId="0" applyNumberFormat="1" applyFont="1" applyBorder="1" applyAlignment="1">
      <alignment horizontal="center" wrapText="1"/>
    </xf>
    <xf numFmtId="4" fontId="19" fillId="0" borderId="0" xfId="0" applyNumberFormat="1" applyFont="1" applyFill="1" applyAlignment="1">
      <alignment horizontal="center"/>
    </xf>
    <xf numFmtId="4" fontId="19" fillId="0" borderId="3" xfId="0" applyNumberFormat="1" applyFont="1" applyFill="1" applyBorder="1" applyAlignment="1">
      <alignment horizontal="center"/>
    </xf>
    <xf numFmtId="167" fontId="19" fillId="0" borderId="1" xfId="2" applyNumberFormat="1" applyFont="1" applyFill="1" applyBorder="1" applyAlignment="1">
      <alignment horizontal="center" wrapText="1"/>
    </xf>
    <xf numFmtId="167" fontId="23" fillId="0" borderId="0" xfId="2" applyNumberFormat="1" applyFont="1" applyFill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2" fillId="2" borderId="0" xfId="0" applyFont="1" applyFill="1" applyAlignment="1">
      <alignment horizontal="center" wrapText="1"/>
    </xf>
    <xf numFmtId="0" fontId="26" fillId="0" borderId="0" xfId="0" applyFont="1" applyFill="1" applyBorder="1" applyAlignment="1">
      <alignment horizontal="left"/>
    </xf>
    <xf numFmtId="0" fontId="26" fillId="0" borderId="28" xfId="0" applyFont="1" applyBorder="1" applyAlignment="1">
      <alignment horizontal="left"/>
    </xf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33" fillId="5" borderId="0" xfId="0" applyFont="1" applyFill="1"/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26" fillId="0" borderId="28" xfId="0" applyFont="1" applyBorder="1" applyAlignment="1">
      <alignment horizontal="centerContinuous"/>
    </xf>
    <xf numFmtId="0" fontId="19" fillId="3" borderId="0" xfId="0" applyFont="1" applyFill="1" applyBorder="1" applyAlignment="1">
      <alignment horizontal="center" vertical="top" wrapText="1"/>
    </xf>
    <xf numFmtId="168" fontId="19" fillId="8" borderId="0" xfId="4" applyNumberFormat="1" applyFont="1" applyFill="1" applyBorder="1" applyAlignment="1" applyProtection="1">
      <alignment horizontal="center" vertical="top" wrapText="1"/>
      <protection locked="0"/>
    </xf>
    <xf numFmtId="0" fontId="19" fillId="8" borderId="0" xfId="0" applyFont="1" applyFill="1" applyBorder="1" applyAlignment="1" applyProtection="1">
      <alignment horizontal="center" vertical="top" wrapText="1"/>
      <protection locked="0"/>
    </xf>
    <xf numFmtId="10" fontId="19" fillId="8" borderId="0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centerContinuous"/>
    </xf>
    <xf numFmtId="2" fontId="22" fillId="2" borderId="0" xfId="0" applyNumberFormat="1" applyFont="1" applyFill="1" applyAlignment="1">
      <alignment horizontal="centerContinuous" wrapText="1"/>
    </xf>
    <xf numFmtId="0" fontId="22" fillId="2" borderId="0" xfId="0" applyFont="1" applyFill="1" applyAlignment="1">
      <alignment horizontal="centerContinuous" wrapText="1"/>
    </xf>
    <xf numFmtId="0" fontId="22" fillId="2" borderId="0" xfId="0" applyNumberFormat="1" applyFont="1" applyFill="1" applyAlignment="1">
      <alignment horizontal="centerContinuous"/>
    </xf>
    <xf numFmtId="0" fontId="20" fillId="0" borderId="1" xfId="0" applyFont="1" applyFill="1" applyBorder="1" applyAlignment="1">
      <alignment horizontal="centerContinuous"/>
    </xf>
    <xf numFmtId="0" fontId="26" fillId="0" borderId="0" xfId="0" applyFont="1" applyFill="1" applyBorder="1" applyAlignment="1">
      <alignment horizontal="centerContinuous"/>
    </xf>
    <xf numFmtId="2" fontId="22" fillId="2" borderId="1" xfId="0" applyNumberFormat="1" applyFont="1" applyFill="1" applyBorder="1" applyAlignment="1">
      <alignment horizontal="centerContinuous" wrapText="1"/>
    </xf>
    <xf numFmtId="0" fontId="22" fillId="2" borderId="1" xfId="0" applyFont="1" applyFill="1" applyBorder="1" applyAlignment="1">
      <alignment horizontal="centerContinuous" wrapText="1"/>
    </xf>
    <xf numFmtId="0" fontId="19" fillId="0" borderId="28" xfId="0" applyFont="1" applyBorder="1" applyAlignment="1">
      <alignment horizontal="left"/>
    </xf>
    <xf numFmtId="0" fontId="43" fillId="4" borderId="0" xfId="0" applyFont="1" applyFill="1" applyAlignment="1">
      <alignment horizontal="centerContinuous"/>
    </xf>
    <xf numFmtId="0" fontId="22" fillId="2" borderId="12" xfId="0" applyFont="1" applyFill="1" applyBorder="1" applyAlignment="1">
      <alignment horizontal="centerContinuous"/>
    </xf>
    <xf numFmtId="0" fontId="22" fillId="2" borderId="18" xfId="0" applyFont="1" applyFill="1" applyBorder="1" applyAlignment="1">
      <alignment horizontal="centerContinuous"/>
    </xf>
    <xf numFmtId="0" fontId="22" fillId="2" borderId="13" xfId="0" applyFont="1" applyFill="1" applyBorder="1" applyAlignment="1">
      <alignment horizontal="centerContinuous"/>
    </xf>
    <xf numFmtId="6" fontId="22" fillId="2" borderId="12" xfId="0" applyNumberFormat="1" applyFont="1" applyFill="1" applyBorder="1" applyAlignment="1">
      <alignment horizontal="centerContinuous"/>
    </xf>
    <xf numFmtId="6" fontId="22" fillId="2" borderId="18" xfId="0" applyNumberFormat="1" applyFont="1" applyFill="1" applyBorder="1" applyAlignment="1">
      <alignment horizontal="centerContinuous"/>
    </xf>
    <xf numFmtId="6" fontId="22" fillId="2" borderId="13" xfId="0" applyNumberFormat="1" applyFont="1" applyFill="1" applyBorder="1" applyAlignment="1">
      <alignment horizontal="centerContinuous"/>
    </xf>
    <xf numFmtId="0" fontId="23" fillId="0" borderId="19" xfId="0" applyFont="1" applyFill="1" applyBorder="1" applyAlignment="1">
      <alignment horizontal="centerContinuous"/>
    </xf>
    <xf numFmtId="6" fontId="23" fillId="0" borderId="19" xfId="0" applyNumberFormat="1" applyFont="1" applyFill="1" applyBorder="1" applyAlignment="1">
      <alignment horizontal="centerContinuous"/>
    </xf>
    <xf numFmtId="0" fontId="19" fillId="0" borderId="20" xfId="0" applyFont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0" fontId="23" fillId="0" borderId="0" xfId="0" applyFont="1" applyFill="1" applyBorder="1" applyAlignment="1">
      <alignment horizontal="centerContinuous"/>
    </xf>
    <xf numFmtId="0" fontId="42" fillId="4" borderId="1" xfId="0" applyFont="1" applyFill="1" applyBorder="1" applyAlignment="1">
      <alignment horizontal="centerContinuous"/>
    </xf>
    <xf numFmtId="0" fontId="25" fillId="0" borderId="19" xfId="0" applyFont="1" applyFill="1" applyBorder="1" applyAlignment="1">
      <alignment horizontal="centerContinuous"/>
    </xf>
    <xf numFmtId="0" fontId="25" fillId="0" borderId="5" xfId="0" applyFont="1" applyFill="1" applyBorder="1" applyAlignment="1">
      <alignment horizontal="centerContinuous"/>
    </xf>
    <xf numFmtId="0" fontId="47" fillId="0" borderId="0" xfId="0" applyFont="1" applyFill="1" applyAlignment="1">
      <alignment horizontal="centerContinuous" wrapText="1"/>
    </xf>
    <xf numFmtId="0" fontId="47" fillId="8" borderId="1" xfId="0" applyFont="1" applyFill="1" applyBorder="1" applyAlignment="1">
      <alignment horizontal="centerContinuous" wrapText="1"/>
    </xf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42" applyFont="1"/>
    <xf numFmtId="0" fontId="19" fillId="0" borderId="0" xfId="42" applyFont="1" applyFill="1"/>
    <xf numFmtId="3" fontId="25" fillId="0" borderId="3" xfId="42" applyNumberFormat="1" applyFont="1" applyFill="1" applyBorder="1" applyAlignment="1">
      <alignment horizontal="center"/>
    </xf>
    <xf numFmtId="3" fontId="25" fillId="0" borderId="3" xfId="42" applyNumberFormat="1" applyFont="1" applyFill="1" applyBorder="1" applyAlignment="1">
      <alignment horizontal="center" wrapText="1"/>
    </xf>
    <xf numFmtId="0" fontId="25" fillId="0" borderId="3" xfId="42" applyFont="1" applyFill="1" applyBorder="1" applyAlignment="1">
      <alignment horizontal="center" wrapText="1"/>
    </xf>
    <xf numFmtId="3" fontId="28" fillId="0" borderId="0" xfId="42" applyNumberFormat="1" applyFont="1" applyFill="1" applyAlignment="1">
      <alignment horizontal="center"/>
    </xf>
    <xf numFmtId="3" fontId="28" fillId="0" borderId="0" xfId="42" applyNumberFormat="1" applyFont="1" applyFill="1" applyAlignment="1">
      <alignment horizontal="center" wrapText="1"/>
    </xf>
    <xf numFmtId="0" fontId="19" fillId="0" borderId="0" xfId="42" applyFont="1" applyFill="1" applyAlignment="1">
      <alignment horizontal="center" wrapText="1"/>
    </xf>
    <xf numFmtId="0" fontId="26" fillId="0" borderId="0" xfId="42" applyFont="1"/>
    <xf numFmtId="0" fontId="23" fillId="0" borderId="0" xfId="42" applyFont="1" applyFill="1" applyAlignment="1">
      <alignment horizontal="center" wrapText="1"/>
    </xf>
    <xf numFmtId="0" fontId="27" fillId="0" borderId="0" xfId="42" applyFont="1" applyFill="1" applyAlignment="1">
      <alignment horizontal="center" wrapText="1"/>
    </xf>
    <xf numFmtId="0" fontId="26" fillId="0" borderId="0" xfId="42" applyFont="1" applyAlignment="1">
      <alignment wrapText="1"/>
    </xf>
    <xf numFmtId="0" fontId="20" fillId="0" borderId="0" xfId="42" applyFont="1" applyFill="1" applyAlignment="1">
      <alignment horizontal="centerContinuous" wrapText="1"/>
    </xf>
    <xf numFmtId="3" fontId="26" fillId="0" borderId="0" xfId="42" applyNumberFormat="1" applyFont="1"/>
    <xf numFmtId="10" fontId="24" fillId="0" borderId="3" xfId="42" applyNumberFormat="1" applyFont="1" applyFill="1" applyBorder="1" applyAlignment="1">
      <alignment horizontal="center" wrapText="1"/>
    </xf>
    <xf numFmtId="10" fontId="19" fillId="0" borderId="0" xfId="42" applyNumberFormat="1" applyFont="1" applyFill="1" applyBorder="1" applyAlignment="1">
      <alignment horizontal="center" wrapText="1"/>
    </xf>
    <xf numFmtId="3" fontId="19" fillId="0" borderId="0" xfId="42" applyNumberFormat="1" applyFont="1" applyFill="1" applyBorder="1" applyAlignment="1">
      <alignment horizontal="center" wrapText="1"/>
    </xf>
    <xf numFmtId="0" fontId="22" fillId="4" borderId="0" xfId="42" applyFont="1" applyFill="1" applyAlignment="1">
      <alignment horizontal="centerContinuous" wrapText="1"/>
    </xf>
    <xf numFmtId="0" fontId="22" fillId="4" borderId="0" xfId="42" applyFont="1" applyFill="1" applyAlignment="1">
      <alignment horizontal="centerContinuous"/>
    </xf>
    <xf numFmtId="167" fontId="24" fillId="0" borderId="0" xfId="2" applyNumberFormat="1" applyFont="1" applyFill="1" applyAlignment="1">
      <alignment horizontal="center" wrapText="1"/>
    </xf>
    <xf numFmtId="0" fontId="23" fillId="0" borderId="0" xfId="42" applyFont="1" applyFill="1" applyAlignment="1">
      <alignment horizontal="center"/>
    </xf>
    <xf numFmtId="0" fontId="16" fillId="0" borderId="0" xfId="42"/>
    <xf numFmtId="165" fontId="19" fillId="0" borderId="3" xfId="42" applyNumberFormat="1" applyFont="1" applyFill="1" applyBorder="1" applyAlignment="1">
      <alignment horizontal="center"/>
    </xf>
    <xf numFmtId="6" fontId="24" fillId="0" borderId="3" xfId="42" applyNumberFormat="1" applyFont="1" applyFill="1" applyBorder="1" applyAlignment="1">
      <alignment horizontal="center" vertical="top" wrapText="1"/>
    </xf>
    <xf numFmtId="165" fontId="19" fillId="0" borderId="0" xfId="42" applyNumberFormat="1" applyFont="1" applyFill="1" applyAlignment="1">
      <alignment horizontal="center"/>
    </xf>
    <xf numFmtId="6" fontId="24" fillId="0" borderId="0" xfId="42" applyNumberFormat="1" applyFont="1" applyFill="1" applyAlignment="1">
      <alignment horizontal="center" vertical="top" wrapText="1"/>
    </xf>
    <xf numFmtId="165" fontId="19" fillId="0" borderId="0" xfId="42" applyNumberFormat="1" applyFont="1" applyFill="1" applyBorder="1" applyAlignment="1">
      <alignment horizontal="center"/>
    </xf>
    <xf numFmtId="165" fontId="19" fillId="0" borderId="0" xfId="42" applyNumberFormat="1" applyFont="1" applyFill="1" applyAlignment="1">
      <alignment horizontal="center" wrapText="1"/>
    </xf>
    <xf numFmtId="10" fontId="19" fillId="0" borderId="0" xfId="42" applyNumberFormat="1" applyFont="1" applyFill="1" applyBorder="1" applyAlignment="1">
      <alignment horizontal="center"/>
    </xf>
    <xf numFmtId="0" fontId="19" fillId="0" borderId="14" xfId="42" applyFont="1" applyBorder="1"/>
    <xf numFmtId="0" fontId="19" fillId="0" borderId="0" xfId="42" applyFont="1" applyFill="1" applyBorder="1"/>
    <xf numFmtId="3" fontId="19" fillId="0" borderId="0" xfId="42" applyNumberFormat="1" applyFont="1" applyFill="1" applyBorder="1"/>
    <xf numFmtId="1" fontId="19" fillId="8" borderId="0" xfId="42" applyNumberFormat="1" applyFont="1" applyFill="1" applyBorder="1"/>
    <xf numFmtId="164" fontId="19" fillId="0" borderId="0" xfId="42" applyNumberFormat="1" applyFont="1" applyFill="1" applyBorder="1"/>
    <xf numFmtId="0" fontId="19" fillId="0" borderId="0" xfId="42" applyFont="1" applyFill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3" fillId="0" borderId="0" xfId="0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3" fillId="0" borderId="0" xfId="0" applyFont="1" applyFill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2" fillId="4" borderId="0" xfId="42" applyFont="1" applyFill="1" applyAlignment="1">
      <alignment horizontal="center" wrapText="1"/>
    </xf>
    <xf numFmtId="0" fontId="19" fillId="4" borderId="0" xfId="42" applyFont="1" applyFill="1" applyAlignment="1">
      <alignment horizontal="centerContinuous"/>
    </xf>
    <xf numFmtId="0" fontId="19" fillId="0" borderId="3" xfId="42" applyFont="1" applyFill="1" applyBorder="1" applyAlignment="1">
      <alignment horizontal="center" wrapText="1"/>
    </xf>
    <xf numFmtId="0" fontId="26" fillId="0" borderId="28" xfId="42" applyFont="1" applyFill="1" applyBorder="1" applyAlignment="1">
      <alignment horizontal="left"/>
    </xf>
    <xf numFmtId="0" fontId="21" fillId="0" borderId="0" xfId="42" applyFont="1" applyFill="1" applyAlignment="1">
      <alignment horizontal="centerContinuous" wrapText="1"/>
    </xf>
    <xf numFmtId="0" fontId="26" fillId="0" borderId="28" xfId="42" applyNumberFormat="1" applyFont="1" applyFill="1" applyBorder="1" applyAlignment="1">
      <alignment horizontal="left"/>
    </xf>
    <xf numFmtId="3" fontId="19" fillId="10" borderId="0" xfId="0" applyNumberFormat="1" applyFont="1" applyFill="1" applyAlignment="1">
      <alignment horizontal="center"/>
    </xf>
    <xf numFmtId="3" fontId="19" fillId="10" borderId="0" xfId="0" applyNumberFormat="1" applyFont="1" applyFill="1" applyBorder="1" applyAlignment="1">
      <alignment horizontal="center"/>
    </xf>
    <xf numFmtId="167" fontId="19" fillId="10" borderId="0" xfId="2" applyNumberFormat="1" applyFont="1" applyFill="1" applyBorder="1" applyAlignment="1">
      <alignment horizontal="center"/>
    </xf>
    <xf numFmtId="0" fontId="26" fillId="10" borderId="0" xfId="0" applyFont="1" applyFill="1" applyBorder="1" applyAlignment="1">
      <alignment horizontal="left"/>
    </xf>
    <xf numFmtId="0" fontId="19" fillId="10" borderId="0" xfId="0" applyFont="1" applyFill="1" applyBorder="1"/>
    <xf numFmtId="0" fontId="26" fillId="10" borderId="0" xfId="0" applyFont="1" applyFill="1"/>
    <xf numFmtId="0" fontId="20" fillId="10" borderId="0" xfId="0" applyFont="1" applyFill="1" applyAlignment="1">
      <alignment horizontal="centerContinuous"/>
    </xf>
    <xf numFmtId="0" fontId="19" fillId="10" borderId="0" xfId="0" applyFont="1" applyFill="1"/>
    <xf numFmtId="167" fontId="25" fillId="10" borderId="3" xfId="2" applyNumberFormat="1" applyFont="1" applyFill="1" applyBorder="1" applyAlignment="1">
      <alignment horizontal="center"/>
    </xf>
    <xf numFmtId="3" fontId="19" fillId="10" borderId="3" xfId="0" applyNumberFormat="1" applyFont="1" applyFill="1" applyBorder="1" applyAlignment="1">
      <alignment horizontal="center"/>
    </xf>
    <xf numFmtId="0" fontId="26" fillId="10" borderId="28" xfId="0" applyFont="1" applyFill="1" applyBorder="1" applyAlignment="1">
      <alignment horizontal="left"/>
    </xf>
    <xf numFmtId="3" fontId="25" fillId="10" borderId="3" xfId="0" applyNumberFormat="1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2" fontId="22" fillId="4" borderId="1" xfId="0" applyNumberFormat="1" applyFont="1" applyFill="1" applyBorder="1" applyAlignment="1">
      <alignment horizontal="centerContinuous" wrapText="1"/>
    </xf>
    <xf numFmtId="0" fontId="22" fillId="4" borderId="1" xfId="0" applyFont="1" applyFill="1" applyBorder="1" applyAlignment="1">
      <alignment horizontal="centerContinuous" wrapText="1"/>
    </xf>
    <xf numFmtId="2" fontId="22" fillId="4" borderId="0" xfId="0" applyNumberFormat="1" applyFont="1" applyFill="1" applyAlignment="1">
      <alignment horizontal="centerContinuous" wrapText="1"/>
    </xf>
    <xf numFmtId="0" fontId="22" fillId="4" borderId="0" xfId="0" applyFont="1" applyFill="1" applyAlignment="1">
      <alignment horizontal="centerContinuous" wrapText="1"/>
    </xf>
    <xf numFmtId="0" fontId="26" fillId="10" borderId="0" xfId="0" applyFont="1" applyFill="1" applyBorder="1" applyAlignment="1">
      <alignment horizontal="centerContinuous"/>
    </xf>
    <xf numFmtId="0" fontId="22" fillId="4" borderId="1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7" fillId="0" borderId="0" xfId="0" applyFont="1" applyFill="1" applyAlignment="1">
      <alignment horizontal="center"/>
    </xf>
    <xf numFmtId="0" fontId="22" fillId="4" borderId="1" xfId="0" applyFont="1" applyFill="1" applyBorder="1" applyAlignment="1">
      <alignment horizontal="center"/>
    </xf>
    <xf numFmtId="167" fontId="25" fillId="10" borderId="0" xfId="2" applyNumberFormat="1" applyFont="1" applyFill="1" applyBorder="1" applyAlignment="1">
      <alignment horizontal="center"/>
    </xf>
    <xf numFmtId="167" fontId="25" fillId="10" borderId="0" xfId="2" applyNumberFormat="1" applyFont="1" applyFill="1" applyBorder="1"/>
    <xf numFmtId="10" fontId="19" fillId="10" borderId="0" xfId="2" applyNumberFormat="1" applyFont="1" applyFill="1" applyBorder="1" applyAlignment="1">
      <alignment horizontal="center" vertical="center"/>
    </xf>
    <xf numFmtId="10" fontId="25" fillId="10" borderId="0" xfId="2" applyNumberFormat="1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Continuous"/>
    </xf>
    <xf numFmtId="0" fontId="23" fillId="10" borderId="0" xfId="0" applyFont="1" applyFill="1" applyBorder="1" applyAlignment="1">
      <alignment horizontal="centerContinuous"/>
    </xf>
    <xf numFmtId="49" fontId="19" fillId="10" borderId="0" xfId="0" applyNumberFormat="1" applyFont="1" applyFill="1" applyBorder="1" applyAlignment="1">
      <alignment horizontal="left"/>
    </xf>
    <xf numFmtId="0" fontId="19" fillId="10" borderId="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3" fontId="25" fillId="10" borderId="0" xfId="0" applyNumberFormat="1" applyFont="1" applyFill="1" applyBorder="1" applyAlignment="1">
      <alignment horizontal="center"/>
    </xf>
    <xf numFmtId="0" fontId="25" fillId="10" borderId="0" xfId="0" applyFont="1" applyFill="1" applyBorder="1"/>
    <xf numFmtId="0" fontId="23" fillId="10" borderId="1" xfId="0" applyFont="1" applyFill="1" applyBorder="1" applyAlignment="1">
      <alignment horizontal="centerContinuous"/>
    </xf>
    <xf numFmtId="0" fontId="23" fillId="10" borderId="1" xfId="0" applyFont="1" applyFill="1" applyBorder="1" applyAlignment="1"/>
    <xf numFmtId="0" fontId="19" fillId="10" borderId="0" xfId="0" applyFont="1" applyFill="1" applyBorder="1" applyAlignment="1">
      <alignment horizontal="center" wrapText="1" shrinkToFit="1"/>
    </xf>
    <xf numFmtId="3" fontId="25" fillId="10" borderId="0" xfId="0" applyNumberFormat="1" applyFont="1" applyFill="1" applyBorder="1"/>
    <xf numFmtId="9" fontId="23" fillId="10" borderId="1" xfId="0" applyNumberFormat="1" applyFont="1" applyFill="1" applyBorder="1" applyAlignment="1">
      <alignment horizontal="centerContinuous"/>
    </xf>
    <xf numFmtId="10" fontId="19" fillId="10" borderId="0" xfId="0" applyNumberFormat="1" applyFont="1" applyFill="1" applyBorder="1" applyAlignment="1">
      <alignment horizontal="center"/>
    </xf>
    <xf numFmtId="0" fontId="19" fillId="10" borderId="0" xfId="0" applyFont="1" applyFill="1" applyBorder="1" applyAlignment="1">
      <alignment horizontal="left"/>
    </xf>
    <xf numFmtId="3" fontId="19" fillId="10" borderId="0" xfId="0" applyNumberFormat="1" applyFont="1" applyFill="1" applyBorder="1" applyAlignment="1">
      <alignment horizontal="left"/>
    </xf>
    <xf numFmtId="9" fontId="19" fillId="10" borderId="0" xfId="0" applyNumberFormat="1" applyFont="1" applyFill="1" applyBorder="1" applyAlignment="1">
      <alignment horizontal="left"/>
    </xf>
    <xf numFmtId="0" fontId="25" fillId="10" borderId="3" xfId="0" applyFont="1" applyFill="1" applyBorder="1"/>
    <xf numFmtId="0" fontId="25" fillId="10" borderId="3" xfId="0" applyFont="1" applyFill="1" applyBorder="1" applyAlignment="1">
      <alignment horizontal="center"/>
    </xf>
    <xf numFmtId="3" fontId="25" fillId="10" borderId="3" xfId="0" applyNumberFormat="1" applyFont="1" applyFill="1" applyBorder="1"/>
    <xf numFmtId="10" fontId="25" fillId="10" borderId="3" xfId="0" applyNumberFormat="1" applyFont="1" applyFill="1" applyBorder="1" applyAlignment="1">
      <alignment horizontal="center"/>
    </xf>
    <xf numFmtId="0" fontId="19" fillId="10" borderId="3" xfId="0" applyFont="1" applyFill="1" applyBorder="1"/>
    <xf numFmtId="10" fontId="25" fillId="10" borderId="0" xfId="0" applyNumberFormat="1" applyFont="1" applyFill="1" applyBorder="1" applyAlignment="1">
      <alignment horizontal="center"/>
    </xf>
    <xf numFmtId="167" fontId="19" fillId="10" borderId="3" xfId="2" applyNumberFormat="1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/>
    </xf>
    <xf numFmtId="0" fontId="19" fillId="10" borderId="28" xfId="0" applyFont="1" applyFill="1" applyBorder="1" applyAlignment="1">
      <alignment horizontal="left"/>
    </xf>
    <xf numFmtId="0" fontId="26" fillId="10" borderId="0" xfId="0" applyFont="1" applyFill="1" applyBorder="1" applyAlignment="1">
      <alignment wrapText="1"/>
    </xf>
    <xf numFmtId="0" fontId="19" fillId="10" borderId="0" xfId="0" applyFont="1" applyFill="1" applyBorder="1" applyAlignment="1"/>
    <xf numFmtId="0" fontId="25" fillId="10" borderId="3" xfId="0" applyFont="1" applyFill="1" applyBorder="1" applyAlignment="1">
      <alignment horizontal="left"/>
    </xf>
    <xf numFmtId="0" fontId="20" fillId="10" borderId="0" xfId="0" applyFont="1" applyFill="1"/>
    <xf numFmtId="0" fontId="19" fillId="0" borderId="28" xfId="0" applyFont="1" applyFill="1" applyBorder="1" applyAlignment="1">
      <alignment horizontal="left"/>
    </xf>
    <xf numFmtId="0" fontId="26" fillId="0" borderId="0" xfId="0" applyFont="1" applyFill="1" applyBorder="1" applyAlignment="1">
      <alignment wrapText="1"/>
    </xf>
    <xf numFmtId="0" fontId="19" fillId="10" borderId="0" xfId="0" applyFont="1" applyFill="1" applyBorder="1" applyAlignment="1">
      <alignment horizontal="center" vertical="center"/>
    </xf>
    <xf numFmtId="3" fontId="19" fillId="10" borderId="0" xfId="0" applyNumberFormat="1" applyFont="1" applyFill="1" applyBorder="1" applyAlignment="1">
      <alignment horizontal="center" vertical="center" wrapText="1"/>
    </xf>
    <xf numFmtId="167" fontId="19" fillId="10" borderId="0" xfId="2" applyNumberFormat="1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3" fontId="25" fillId="10" borderId="3" xfId="0" applyNumberFormat="1" applyFont="1" applyFill="1" applyBorder="1" applyAlignment="1">
      <alignment horizontal="center" vertical="center" wrapText="1"/>
    </xf>
    <xf numFmtId="167" fontId="25" fillId="10" borderId="3" xfId="2" applyNumberFormat="1" applyFont="1" applyFill="1" applyBorder="1" applyAlignment="1">
      <alignment horizontal="center" vertical="center" wrapText="1"/>
    </xf>
    <xf numFmtId="0" fontId="26" fillId="10" borderId="28" xfId="0" applyFont="1" applyFill="1" applyBorder="1" applyAlignment="1">
      <alignment horizontal="centerContinuous"/>
    </xf>
    <xf numFmtId="0" fontId="26" fillId="0" borderId="28" xfId="0" applyFont="1" applyFill="1" applyBorder="1" applyAlignment="1">
      <alignment horizontal="centerContinuous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19" fillId="0" borderId="5" xfId="116" applyFont="1" applyBorder="1"/>
    <xf numFmtId="3" fontId="24" fillId="0" borderId="5" xfId="116" applyNumberFormat="1" applyFont="1" applyBorder="1" applyAlignment="1">
      <alignment horizontal="center"/>
    </xf>
    <xf numFmtId="0" fontId="16" fillId="0" borderId="0" xfId="116"/>
    <xf numFmtId="0" fontId="16" fillId="5" borderId="0" xfId="116" applyFont="1" applyFill="1"/>
    <xf numFmtId="0" fontId="16" fillId="5" borderId="0" xfId="116" applyFill="1"/>
    <xf numFmtId="0" fontId="67" fillId="5" borderId="0" xfId="114" applyNumberFormat="1" applyFill="1"/>
    <xf numFmtId="0" fontId="22" fillId="2" borderId="42" xfId="116" applyFont="1" applyFill="1" applyBorder="1" applyAlignment="1">
      <alignment horizontal="center" wrapText="1"/>
    </xf>
    <xf numFmtId="0" fontId="22" fillId="2" borderId="29" xfId="116" applyFont="1" applyFill="1" applyBorder="1" applyAlignment="1">
      <alignment horizontal="center" wrapText="1"/>
    </xf>
    <xf numFmtId="0" fontId="22" fillId="2" borderId="43" xfId="116" applyFont="1" applyFill="1" applyBorder="1" applyAlignment="1">
      <alignment horizontal="center" wrapText="1"/>
    </xf>
    <xf numFmtId="0" fontId="16" fillId="0" borderId="0" xfId="116" applyNumberFormat="1"/>
    <xf numFmtId="166" fontId="24" fillId="0" borderId="5" xfId="4" applyNumberFormat="1" applyFont="1" applyBorder="1" applyAlignment="1">
      <alignment horizontal="center"/>
    </xf>
    <xf numFmtId="165" fontId="24" fillId="0" borderId="5" xfId="4" applyNumberFormat="1" applyFont="1" applyBorder="1" applyAlignment="1">
      <alignment horizontal="center"/>
    </xf>
    <xf numFmtId="0" fontId="68" fillId="0" borderId="0" xfId="116" applyFont="1"/>
    <xf numFmtId="0" fontId="16" fillId="0" borderId="0" xfId="116" applyFont="1"/>
    <xf numFmtId="10" fontId="16" fillId="0" borderId="0" xfId="116" applyNumberFormat="1"/>
    <xf numFmtId="8" fontId="16" fillId="0" borderId="0" xfId="116" applyNumberFormat="1"/>
    <xf numFmtId="6" fontId="16" fillId="0" borderId="0" xfId="116" applyNumberFormat="1"/>
    <xf numFmtId="3" fontId="16" fillId="0" borderId="0" xfId="116" applyNumberFormat="1"/>
    <xf numFmtId="0" fontId="26" fillId="0" borderId="0" xfId="42" applyNumberFormat="1" applyFont="1" applyFill="1" applyBorder="1" applyAlignment="1">
      <alignment horizontal="left"/>
    </xf>
    <xf numFmtId="0" fontId="42" fillId="4" borderId="0" xfId="42" applyFont="1" applyFill="1" applyAlignment="1">
      <alignment horizontal="centerContinuous" wrapText="1"/>
    </xf>
    <xf numFmtId="0" fontId="26" fillId="0" borderId="44" xfId="42" applyFont="1" applyBorder="1" applyAlignment="1">
      <alignment horizontal="center"/>
    </xf>
    <xf numFmtId="22" fontId="69" fillId="0" borderId="0" xfId="0" applyNumberFormat="1" applyFont="1"/>
    <xf numFmtId="22" fontId="33" fillId="0" borderId="0" xfId="0" applyNumberFormat="1" applyFont="1"/>
    <xf numFmtId="49" fontId="33" fillId="5" borderId="0" xfId="0" applyNumberFormat="1" applyFont="1" applyFill="1" applyProtection="1"/>
    <xf numFmtId="0" fontId="19" fillId="0" borderId="25" xfId="0" applyFont="1" applyBorder="1"/>
    <xf numFmtId="3" fontId="19" fillId="0" borderId="26" xfId="0" applyNumberFormat="1" applyFont="1" applyBorder="1"/>
    <xf numFmtId="0" fontId="19" fillId="8" borderId="26" xfId="0" applyFont="1" applyFill="1" applyBorder="1"/>
    <xf numFmtId="0" fontId="19" fillId="0" borderId="26" xfId="0" applyFont="1" applyFill="1" applyBorder="1"/>
    <xf numFmtId="0" fontId="19" fillId="0" borderId="45" xfId="0" applyFont="1" applyBorder="1"/>
    <xf numFmtId="0" fontId="19" fillId="0" borderId="46" xfId="0" applyFont="1" applyBorder="1"/>
    <xf numFmtId="0" fontId="34" fillId="0" borderId="0" xfId="0" applyFont="1"/>
    <xf numFmtId="0" fontId="12" fillId="0" borderId="0" xfId="0" applyFont="1"/>
    <xf numFmtId="0" fontId="31" fillId="0" borderId="0" xfId="0" quotePrefix="1" applyFont="1"/>
    <xf numFmtId="43" fontId="31" fillId="0" borderId="0" xfId="0" quotePrefix="1" applyNumberFormat="1" applyFont="1"/>
    <xf numFmtId="0" fontId="34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1" fillId="42" borderId="0" xfId="0" applyFont="1" applyFill="1" applyAlignment="1">
      <alignment horizontal="left"/>
    </xf>
    <xf numFmtId="165" fontId="31" fillId="42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/>
    </xf>
    <xf numFmtId="3" fontId="26" fillId="0" borderId="0" xfId="42" applyNumberFormat="1" applyFont="1" applyAlignment="1">
      <alignment horizontal="center"/>
    </xf>
    <xf numFmtId="3" fontId="26" fillId="0" borderId="4" xfId="42" applyNumberFormat="1" applyFont="1" applyBorder="1" applyAlignment="1">
      <alignment horizontal="center"/>
    </xf>
    <xf numFmtId="3" fontId="26" fillId="0" borderId="44" xfId="42" applyNumberFormat="1" applyFont="1" applyBorder="1" applyAlignment="1">
      <alignment horizontal="center"/>
    </xf>
    <xf numFmtId="0" fontId="16" fillId="0" borderId="0" xfId="0" applyFont="1"/>
    <xf numFmtId="0" fontId="19" fillId="0" borderId="23" xfId="42" applyFont="1" applyBorder="1" applyAlignment="1">
      <alignment horizontal="center" vertical="center"/>
    </xf>
    <xf numFmtId="0" fontId="19" fillId="0" borderId="6" xfId="42" applyFont="1" applyBorder="1" applyAlignment="1">
      <alignment horizontal="center" vertical="center"/>
    </xf>
    <xf numFmtId="0" fontId="19" fillId="0" borderId="24" xfId="42" applyFont="1" applyBorder="1" applyAlignment="1">
      <alignment horizontal="center" vertical="center"/>
    </xf>
    <xf numFmtId="0" fontId="19" fillId="0" borderId="25" xfId="42" applyFont="1" applyBorder="1" applyAlignment="1">
      <alignment horizontal="center" vertical="center"/>
    </xf>
    <xf numFmtId="0" fontId="19" fillId="0" borderId="0" xfId="42" applyFont="1" applyBorder="1" applyAlignment="1">
      <alignment horizontal="center" vertical="center"/>
    </xf>
    <xf numFmtId="0" fontId="19" fillId="0" borderId="26" xfId="42" applyFont="1" applyBorder="1" applyAlignment="1">
      <alignment horizontal="center" vertical="center"/>
    </xf>
    <xf numFmtId="0" fontId="19" fillId="0" borderId="45" xfId="42" applyFont="1" applyBorder="1" applyAlignment="1">
      <alignment horizontal="center" vertical="center"/>
    </xf>
    <xf numFmtId="0" fontId="19" fillId="0" borderId="47" xfId="42" applyFont="1" applyBorder="1" applyAlignment="1">
      <alignment horizontal="center" vertical="center"/>
    </xf>
    <xf numFmtId="0" fontId="19" fillId="0" borderId="46" xfId="42" applyFont="1" applyBorder="1" applyAlignment="1">
      <alignment horizontal="center" vertical="center"/>
    </xf>
    <xf numFmtId="4" fontId="26" fillId="0" borderId="0" xfId="0" applyNumberFormat="1" applyFont="1"/>
    <xf numFmtId="4" fontId="19" fillId="0" borderId="0" xfId="0" applyNumberFormat="1" applyFont="1"/>
    <xf numFmtId="0" fontId="19" fillId="0" borderId="0" xfId="42" applyFont="1" applyAlignment="1">
      <alignment horizontal="center"/>
    </xf>
    <xf numFmtId="0" fontId="22" fillId="4" borderId="0" xfId="42" applyFont="1" applyFill="1" applyAlignment="1"/>
    <xf numFmtId="2" fontId="22" fillId="4" borderId="0" xfId="42" applyNumberFormat="1" applyFont="1" applyFill="1" applyAlignment="1">
      <alignment wrapText="1"/>
    </xf>
    <xf numFmtId="3" fontId="0" fillId="0" borderId="0" xfId="0" applyNumberFormat="1"/>
    <xf numFmtId="0" fontId="72" fillId="0" borderId="0" xfId="0" applyFont="1"/>
    <xf numFmtId="0" fontId="0" fillId="43" borderId="0" xfId="0" applyFill="1"/>
    <xf numFmtId="0" fontId="19" fillId="0" borderId="0" xfId="2" applyNumberFormat="1" applyFont="1" applyBorder="1" applyAlignment="1">
      <alignment horizontal="center"/>
    </xf>
    <xf numFmtId="0" fontId="19" fillId="0" borderId="4" xfId="42" applyFont="1" applyFill="1" applyBorder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9" fontId="66" fillId="34" borderId="49" xfId="84" applyNumberFormat="1" applyFont="1" applyBorder="1"/>
    <xf numFmtId="0" fontId="22" fillId="4" borderId="0" xfId="0" applyFont="1" applyFill="1" applyAlignment="1">
      <alignment horizontal="center" vertical="center" wrapText="1"/>
    </xf>
    <xf numFmtId="167" fontId="19" fillId="0" borderId="0" xfId="2" applyNumberFormat="1" applyFont="1" applyFill="1" applyAlignment="1">
      <alignment horizontal="center" vertical="center" wrapText="1"/>
    </xf>
    <xf numFmtId="167" fontId="19" fillId="0" borderId="3" xfId="2" applyNumberFormat="1" applyFont="1" applyFill="1" applyBorder="1" applyAlignment="1">
      <alignment horizontal="center" vertical="center" wrapText="1"/>
    </xf>
    <xf numFmtId="0" fontId="33" fillId="9" borderId="17" xfId="42" applyFont="1" applyFill="1" applyBorder="1" applyAlignment="1">
      <alignment horizontal="left" vertical="center"/>
    </xf>
    <xf numFmtId="0" fontId="33" fillId="9" borderId="32" xfId="42" applyFont="1" applyFill="1" applyBorder="1" applyAlignment="1">
      <alignment horizontal="center" vertical="center"/>
    </xf>
    <xf numFmtId="49" fontId="33" fillId="9" borderId="17" xfId="42" applyNumberFormat="1" applyFont="1" applyFill="1" applyBorder="1" applyAlignment="1">
      <alignment horizontal="center" vertical="center"/>
    </xf>
    <xf numFmtId="170" fontId="33" fillId="9" borderId="32" xfId="42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Continuous" vertical="center"/>
    </xf>
    <xf numFmtId="0" fontId="22" fillId="4" borderId="47" xfId="0" applyFont="1" applyFill="1" applyBorder="1" applyAlignment="1">
      <alignment horizontal="center" vertical="center"/>
    </xf>
    <xf numFmtId="2" fontId="22" fillId="4" borderId="47" xfId="0" applyNumberFormat="1" applyFont="1" applyFill="1" applyBorder="1" applyAlignment="1">
      <alignment horizontal="centerContinuous" vertical="center" wrapText="1"/>
    </xf>
    <xf numFmtId="0" fontId="22" fillId="4" borderId="47" xfId="0" applyFont="1" applyFill="1" applyBorder="1" applyAlignment="1">
      <alignment horizontal="centerContinuous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 wrapText="1"/>
    </xf>
    <xf numFmtId="38" fontId="24" fillId="0" borderId="3" xfId="0" applyNumberFormat="1" applyFont="1" applyFill="1" applyBorder="1" applyAlignment="1">
      <alignment horizontal="center" vertical="center" wrapText="1"/>
    </xf>
    <xf numFmtId="3" fontId="19" fillId="0" borderId="3" xfId="0" applyNumberFormat="1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43" fontId="20" fillId="0" borderId="0" xfId="1" applyFont="1" applyFill="1" applyAlignment="1">
      <alignment horizontal="centerContinuous" vertical="center"/>
    </xf>
    <xf numFmtId="2" fontId="22" fillId="4" borderId="0" xfId="0" applyNumberFormat="1" applyFont="1" applyFill="1" applyAlignment="1">
      <alignment horizontal="centerContinuous" vertical="center" wrapText="1"/>
    </xf>
    <xf numFmtId="0" fontId="22" fillId="4" borderId="0" xfId="0" applyFont="1" applyFill="1" applyAlignment="1">
      <alignment horizontal="centerContinuous" vertical="center" wrapText="1"/>
    </xf>
    <xf numFmtId="0" fontId="20" fillId="0" borderId="0" xfId="0" applyFont="1" applyAlignment="1">
      <alignment horizontal="centerContinuous" vertical="center"/>
    </xf>
    <xf numFmtId="0" fontId="22" fillId="2" borderId="0" xfId="0" applyFont="1" applyFill="1" applyAlignment="1">
      <alignment horizontal="center" vertical="center"/>
    </xf>
    <xf numFmtId="2" fontId="22" fillId="2" borderId="47" xfId="0" applyNumberFormat="1" applyFont="1" applyFill="1" applyBorder="1" applyAlignment="1">
      <alignment horizontal="centerContinuous" vertical="center" wrapText="1"/>
    </xf>
    <xf numFmtId="0" fontId="22" fillId="2" borderId="47" xfId="0" applyFont="1" applyFill="1" applyBorder="1" applyAlignment="1">
      <alignment horizontal="centerContinuous" vertical="center" wrapText="1"/>
    </xf>
    <xf numFmtId="2" fontId="22" fillId="2" borderId="0" xfId="0" applyNumberFormat="1" applyFont="1" applyFill="1" applyAlignment="1">
      <alignment horizontal="centerContinuous" vertical="center" wrapText="1"/>
    </xf>
    <xf numFmtId="0" fontId="22" fillId="2" borderId="0" xfId="0" applyFont="1" applyFill="1" applyAlignment="1">
      <alignment horizontal="centerContinuous" vertical="center" wrapText="1"/>
    </xf>
    <xf numFmtId="0" fontId="27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2" fillId="2" borderId="0" xfId="0" applyFont="1" applyFill="1" applyAlignment="1">
      <alignment horizontal="center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center" vertical="center"/>
    </xf>
    <xf numFmtId="0" fontId="73" fillId="0" borderId="0" xfId="42" applyFont="1"/>
    <xf numFmtId="49" fontId="16" fillId="5" borderId="17" xfId="116" applyNumberFormat="1" applyFont="1" applyFill="1" applyBorder="1" applyAlignment="1">
      <alignment horizontal="left"/>
    </xf>
    <xf numFmtId="49" fontId="16" fillId="5" borderId="2" xfId="116" applyNumberFormat="1" applyFont="1" applyFill="1" applyBorder="1" applyAlignment="1">
      <alignment horizontal="left"/>
    </xf>
    <xf numFmtId="49" fontId="16" fillId="5" borderId="32" xfId="116" applyNumberFormat="1" applyFont="1" applyFill="1" applyBorder="1" applyAlignment="1">
      <alignment horizontal="left"/>
    </xf>
    <xf numFmtId="0" fontId="16" fillId="5" borderId="17" xfId="116" applyFont="1" applyFill="1" applyBorder="1" applyAlignment="1">
      <alignment horizontal="left"/>
    </xf>
    <xf numFmtId="0" fontId="16" fillId="5" borderId="2" xfId="116" applyFont="1" applyFill="1" applyBorder="1" applyAlignment="1">
      <alignment horizontal="left"/>
    </xf>
    <xf numFmtId="0" fontId="16" fillId="5" borderId="32" xfId="116" applyFont="1" applyFill="1" applyBorder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2" fillId="4" borderId="0" xfId="42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1" fillId="0" borderId="0" xfId="42" applyFont="1" applyFill="1" applyAlignment="1">
      <alignment horizontal="center"/>
    </xf>
    <xf numFmtId="0" fontId="25" fillId="3" borderId="50" xfId="116" applyFont="1" applyFill="1" applyBorder="1" applyAlignment="1">
      <alignment horizontal="center" wrapText="1"/>
    </xf>
    <xf numFmtId="0" fontId="25" fillId="3" borderId="44" xfId="116" applyFont="1" applyFill="1" applyBorder="1" applyAlignment="1">
      <alignment horizontal="center" wrapText="1"/>
    </xf>
    <xf numFmtId="0" fontId="25" fillId="3" borderId="51" xfId="116" applyFont="1" applyFill="1" applyBorder="1" applyAlignment="1">
      <alignment horizontal="center" wrapText="1"/>
    </xf>
    <xf numFmtId="0" fontId="26" fillId="10" borderId="6" xfId="116" applyFont="1" applyFill="1" applyBorder="1"/>
    <xf numFmtId="0" fontId="16" fillId="5" borderId="17" xfId="116" applyFont="1" applyFill="1" applyBorder="1" applyAlignment="1">
      <alignment horizontal="left"/>
    </xf>
    <xf numFmtId="0" fontId="16" fillId="5" borderId="2" xfId="116" applyFont="1" applyFill="1" applyBorder="1" applyAlignment="1">
      <alignment horizontal="left"/>
    </xf>
    <xf numFmtId="0" fontId="16" fillId="5" borderId="32" xfId="116" applyFont="1" applyFill="1" applyBorder="1" applyAlignment="1">
      <alignment horizontal="left"/>
    </xf>
    <xf numFmtId="0" fontId="20" fillId="10" borderId="0" xfId="0" applyFont="1" applyFill="1" applyBorder="1" applyAlignment="1">
      <alignment horizontal="center" wrapText="1"/>
    </xf>
    <xf numFmtId="0" fontId="25" fillId="0" borderId="23" xfId="42" applyFont="1" applyBorder="1" applyAlignment="1">
      <alignment horizontal="center"/>
    </xf>
    <xf numFmtId="0" fontId="25" fillId="0" borderId="6" xfId="42" applyFont="1" applyBorder="1" applyAlignment="1">
      <alignment horizontal="center"/>
    </xf>
    <xf numFmtId="0" fontId="25" fillId="0" borderId="24" xfId="42" applyFont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0" fillId="0" borderId="4" xfId="0" applyFont="1" applyBorder="1" applyAlignment="1">
      <alignment horizontal="center"/>
    </xf>
    <xf numFmtId="0" fontId="19" fillId="0" borderId="52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53" xfId="0" applyFont="1" applyBorder="1" applyAlignment="1">
      <alignment horizontal="left"/>
    </xf>
    <xf numFmtId="0" fontId="25" fillId="0" borderId="25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19" fillId="0" borderId="17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32" xfId="0" applyFont="1" applyBorder="1" applyAlignment="1">
      <alignment horizontal="left"/>
    </xf>
    <xf numFmtId="0" fontId="19" fillId="0" borderId="17" xfId="0" applyNumberFormat="1" applyFont="1" applyBorder="1" applyAlignment="1">
      <alignment horizontal="left"/>
    </xf>
    <xf numFmtId="0" fontId="19" fillId="0" borderId="2" xfId="0" applyNumberFormat="1" applyFont="1" applyBorder="1" applyAlignment="1">
      <alignment horizontal="left"/>
    </xf>
    <xf numFmtId="0" fontId="19" fillId="0" borderId="32" xfId="0" applyNumberFormat="1" applyFont="1" applyBorder="1" applyAlignment="1">
      <alignment horizontal="left"/>
    </xf>
    <xf numFmtId="0" fontId="19" fillId="0" borderId="50" xfId="0" applyNumberFormat="1" applyFont="1" applyBorder="1" applyAlignment="1">
      <alignment horizontal="left"/>
    </xf>
    <xf numFmtId="0" fontId="19" fillId="0" borderId="44" xfId="0" applyNumberFormat="1" applyFont="1" applyBorder="1" applyAlignment="1">
      <alignment horizontal="left"/>
    </xf>
    <xf numFmtId="0" fontId="19" fillId="0" borderId="51" xfId="0" applyNumberFormat="1" applyFont="1" applyBorder="1" applyAlignment="1">
      <alignment horizontal="left"/>
    </xf>
    <xf numFmtId="0" fontId="43" fillId="4" borderId="23" xfId="0" applyFont="1" applyFill="1" applyBorder="1" applyAlignment="1">
      <alignment horizontal="center"/>
    </xf>
    <xf numFmtId="0" fontId="43" fillId="4" borderId="24" xfId="0" applyFont="1" applyFill="1" applyBorder="1" applyAlignment="1">
      <alignment horizontal="center"/>
    </xf>
    <xf numFmtId="0" fontId="16" fillId="44" borderId="0" xfId="116" applyFill="1" applyAlignment="1">
      <alignment wrapText="1"/>
    </xf>
  </cellXfs>
  <cellStyles count="671">
    <cellStyle name="20% - Accent1" xfId="69" builtinId="30" customBuiltin="1"/>
    <cellStyle name="20% - Accent1 2" xfId="126"/>
    <cellStyle name="20% - Accent1 2 2" xfId="172"/>
    <cellStyle name="20% - Accent1 2 2 2" xfId="246"/>
    <cellStyle name="20% - Accent1 2 2 2 2" xfId="554"/>
    <cellStyle name="20% - Accent1 2 2 3" xfId="482"/>
    <cellStyle name="20% - Accent1 2 3" xfId="229"/>
    <cellStyle name="20% - Accent1 2 3 2" xfId="537"/>
    <cellStyle name="20% - Accent1 2 4" xfId="245"/>
    <cellStyle name="20% - Accent1 2 4 2" xfId="553"/>
    <cellStyle name="20% - Accent1 2 5" xfId="437"/>
    <cellStyle name="20% - Accent1 2 6" xfId="373"/>
    <cellStyle name="20% - Accent1 3" xfId="148"/>
    <cellStyle name="20% - Accent1 3 2" xfId="247"/>
    <cellStyle name="20% - Accent1 3 2 2" xfId="555"/>
    <cellStyle name="20% - Accent1 3 3" xfId="458"/>
    <cellStyle name="20% - Accent1 4" xfId="189"/>
    <cellStyle name="20% - Accent1 4 2" xfId="248"/>
    <cellStyle name="20% - Accent1 4 2 2" xfId="556"/>
    <cellStyle name="20% - Accent1 4 3" xfId="499"/>
    <cellStyle name="20% - Accent1 5" xfId="205"/>
    <cellStyle name="20% - Accent1 5 2" xfId="249"/>
    <cellStyle name="20% - Accent1 5 2 2" xfId="557"/>
    <cellStyle name="20% - Accent1 5 3" xfId="513"/>
    <cellStyle name="20% - Accent1 6" xfId="413"/>
    <cellStyle name="20% - Accent1 7" xfId="396"/>
    <cellStyle name="20% - Accent2" xfId="73" builtinId="34" customBuiltin="1"/>
    <cellStyle name="20% - Accent2 2" xfId="128"/>
    <cellStyle name="20% - Accent2 2 2" xfId="174"/>
    <cellStyle name="20% - Accent2 2 2 2" xfId="251"/>
    <cellStyle name="20% - Accent2 2 2 2 2" xfId="559"/>
    <cellStyle name="20% - Accent2 2 2 3" xfId="484"/>
    <cellStyle name="20% - Accent2 2 3" xfId="231"/>
    <cellStyle name="20% - Accent2 2 3 2" xfId="539"/>
    <cellStyle name="20% - Accent2 2 4" xfId="250"/>
    <cellStyle name="20% - Accent2 2 4 2" xfId="558"/>
    <cellStyle name="20% - Accent2 2 5" xfId="439"/>
    <cellStyle name="20% - Accent2 2 6" xfId="374"/>
    <cellStyle name="20% - Accent2 3" xfId="150"/>
    <cellStyle name="20% - Accent2 3 2" xfId="252"/>
    <cellStyle name="20% - Accent2 3 2 2" xfId="560"/>
    <cellStyle name="20% - Accent2 3 3" xfId="460"/>
    <cellStyle name="20% - Accent2 4" xfId="191"/>
    <cellStyle name="20% - Accent2 4 2" xfId="253"/>
    <cellStyle name="20% - Accent2 4 2 2" xfId="561"/>
    <cellStyle name="20% - Accent2 4 3" xfId="501"/>
    <cellStyle name="20% - Accent2 5" xfId="207"/>
    <cellStyle name="20% - Accent2 5 2" xfId="254"/>
    <cellStyle name="20% - Accent2 5 2 2" xfId="562"/>
    <cellStyle name="20% - Accent2 5 3" xfId="515"/>
    <cellStyle name="20% - Accent2 6" xfId="415"/>
    <cellStyle name="20% - Accent2 7" xfId="398"/>
    <cellStyle name="20% - Accent3" xfId="77" builtinId="38" customBuiltin="1"/>
    <cellStyle name="20% - Accent3 2" xfId="130"/>
    <cellStyle name="20% - Accent3 2 2" xfId="176"/>
    <cellStyle name="20% - Accent3 2 2 2" xfId="256"/>
    <cellStyle name="20% - Accent3 2 2 2 2" xfId="564"/>
    <cellStyle name="20% - Accent3 2 2 3" xfId="486"/>
    <cellStyle name="20% - Accent3 2 3" xfId="233"/>
    <cellStyle name="20% - Accent3 2 3 2" xfId="541"/>
    <cellStyle name="20% - Accent3 2 4" xfId="255"/>
    <cellStyle name="20% - Accent3 2 4 2" xfId="563"/>
    <cellStyle name="20% - Accent3 2 5" xfId="441"/>
    <cellStyle name="20% - Accent3 2 6" xfId="375"/>
    <cellStyle name="20% - Accent3 3" xfId="152"/>
    <cellStyle name="20% - Accent3 3 2" xfId="257"/>
    <cellStyle name="20% - Accent3 3 2 2" xfId="565"/>
    <cellStyle name="20% - Accent3 3 3" xfId="462"/>
    <cellStyle name="20% - Accent3 4" xfId="193"/>
    <cellStyle name="20% - Accent3 4 2" xfId="258"/>
    <cellStyle name="20% - Accent3 4 2 2" xfId="566"/>
    <cellStyle name="20% - Accent3 4 3" xfId="503"/>
    <cellStyle name="20% - Accent3 5" xfId="209"/>
    <cellStyle name="20% - Accent3 5 2" xfId="259"/>
    <cellStyle name="20% - Accent3 5 2 2" xfId="567"/>
    <cellStyle name="20% - Accent3 5 3" xfId="517"/>
    <cellStyle name="20% - Accent3 6" xfId="417"/>
    <cellStyle name="20% - Accent3 7" xfId="400"/>
    <cellStyle name="20% - Accent4" xfId="81" builtinId="42" customBuiltin="1"/>
    <cellStyle name="20% - Accent4 2" xfId="132"/>
    <cellStyle name="20% - Accent4 2 2" xfId="178"/>
    <cellStyle name="20% - Accent4 2 2 2" xfId="261"/>
    <cellStyle name="20% - Accent4 2 2 2 2" xfId="569"/>
    <cellStyle name="20% - Accent4 2 2 3" xfId="488"/>
    <cellStyle name="20% - Accent4 2 3" xfId="235"/>
    <cellStyle name="20% - Accent4 2 3 2" xfId="543"/>
    <cellStyle name="20% - Accent4 2 4" xfId="260"/>
    <cellStyle name="20% - Accent4 2 4 2" xfId="568"/>
    <cellStyle name="20% - Accent4 2 5" xfId="443"/>
    <cellStyle name="20% - Accent4 2 6" xfId="376"/>
    <cellStyle name="20% - Accent4 3" xfId="154"/>
    <cellStyle name="20% - Accent4 3 2" xfId="262"/>
    <cellStyle name="20% - Accent4 3 2 2" xfId="570"/>
    <cellStyle name="20% - Accent4 3 3" xfId="464"/>
    <cellStyle name="20% - Accent4 4" xfId="195"/>
    <cellStyle name="20% - Accent4 4 2" xfId="263"/>
    <cellStyle name="20% - Accent4 4 2 2" xfId="571"/>
    <cellStyle name="20% - Accent4 4 3" xfId="505"/>
    <cellStyle name="20% - Accent4 5" xfId="211"/>
    <cellStyle name="20% - Accent4 5 2" xfId="264"/>
    <cellStyle name="20% - Accent4 5 2 2" xfId="572"/>
    <cellStyle name="20% - Accent4 5 3" xfId="519"/>
    <cellStyle name="20% - Accent4 6" xfId="419"/>
    <cellStyle name="20% - Accent4 7" xfId="402"/>
    <cellStyle name="20% - Accent5" xfId="85" builtinId="46" customBuiltin="1"/>
    <cellStyle name="20% - Accent5 2" xfId="134"/>
    <cellStyle name="20% - Accent5 2 2" xfId="180"/>
    <cellStyle name="20% - Accent5 2 2 2" xfId="266"/>
    <cellStyle name="20% - Accent5 2 2 2 2" xfId="574"/>
    <cellStyle name="20% - Accent5 2 2 3" xfId="490"/>
    <cellStyle name="20% - Accent5 2 3" xfId="237"/>
    <cellStyle name="20% - Accent5 2 3 2" xfId="545"/>
    <cellStyle name="20% - Accent5 2 4" xfId="265"/>
    <cellStyle name="20% - Accent5 2 4 2" xfId="573"/>
    <cellStyle name="20% - Accent5 2 5" xfId="445"/>
    <cellStyle name="20% - Accent5 2 6" xfId="377"/>
    <cellStyle name="20% - Accent5 3" xfId="156"/>
    <cellStyle name="20% - Accent5 3 2" xfId="267"/>
    <cellStyle name="20% - Accent5 3 2 2" xfId="575"/>
    <cellStyle name="20% - Accent5 3 3" xfId="466"/>
    <cellStyle name="20% - Accent5 4" xfId="197"/>
    <cellStyle name="20% - Accent5 4 2" xfId="268"/>
    <cellStyle name="20% - Accent5 4 2 2" xfId="576"/>
    <cellStyle name="20% - Accent5 4 3" xfId="507"/>
    <cellStyle name="20% - Accent5 5" xfId="213"/>
    <cellStyle name="20% - Accent5 5 2" xfId="269"/>
    <cellStyle name="20% - Accent5 5 2 2" xfId="577"/>
    <cellStyle name="20% - Accent5 5 3" xfId="521"/>
    <cellStyle name="20% - Accent5 6" xfId="421"/>
    <cellStyle name="20% - Accent5 7" xfId="404"/>
    <cellStyle name="20% - Accent6" xfId="89" builtinId="50" customBuiltin="1"/>
    <cellStyle name="20% - Accent6 2" xfId="136"/>
    <cellStyle name="20% - Accent6 2 2" xfId="182"/>
    <cellStyle name="20% - Accent6 2 2 2" xfId="271"/>
    <cellStyle name="20% - Accent6 2 2 2 2" xfId="579"/>
    <cellStyle name="20% - Accent6 2 2 3" xfId="492"/>
    <cellStyle name="20% - Accent6 2 3" xfId="239"/>
    <cellStyle name="20% - Accent6 2 3 2" xfId="547"/>
    <cellStyle name="20% - Accent6 2 4" xfId="270"/>
    <cellStyle name="20% - Accent6 2 4 2" xfId="578"/>
    <cellStyle name="20% - Accent6 2 5" xfId="447"/>
    <cellStyle name="20% - Accent6 2 6" xfId="378"/>
    <cellStyle name="20% - Accent6 3" xfId="158"/>
    <cellStyle name="20% - Accent6 3 2" xfId="272"/>
    <cellStyle name="20% - Accent6 3 2 2" xfId="580"/>
    <cellStyle name="20% - Accent6 3 3" xfId="468"/>
    <cellStyle name="20% - Accent6 4" xfId="199"/>
    <cellStyle name="20% - Accent6 4 2" xfId="273"/>
    <cellStyle name="20% - Accent6 4 2 2" xfId="581"/>
    <cellStyle name="20% - Accent6 4 3" xfId="509"/>
    <cellStyle name="20% - Accent6 5" xfId="215"/>
    <cellStyle name="20% - Accent6 5 2" xfId="274"/>
    <cellStyle name="20% - Accent6 5 2 2" xfId="582"/>
    <cellStyle name="20% - Accent6 5 3" xfId="523"/>
    <cellStyle name="20% - Accent6 6" xfId="423"/>
    <cellStyle name="20% - Accent6 7" xfId="406"/>
    <cellStyle name="40% - Accent1" xfId="70" builtinId="31" customBuiltin="1"/>
    <cellStyle name="40% - Accent1 2" xfId="127"/>
    <cellStyle name="40% - Accent1 2 2" xfId="173"/>
    <cellStyle name="40% - Accent1 2 2 2" xfId="276"/>
    <cellStyle name="40% - Accent1 2 2 2 2" xfId="584"/>
    <cellStyle name="40% - Accent1 2 2 3" xfId="483"/>
    <cellStyle name="40% - Accent1 2 3" xfId="230"/>
    <cellStyle name="40% - Accent1 2 3 2" xfId="538"/>
    <cellStyle name="40% - Accent1 2 4" xfId="275"/>
    <cellStyle name="40% - Accent1 2 4 2" xfId="583"/>
    <cellStyle name="40% - Accent1 2 5" xfId="438"/>
    <cellStyle name="40% - Accent1 2 6" xfId="379"/>
    <cellStyle name="40% - Accent1 3" xfId="149"/>
    <cellStyle name="40% - Accent1 3 2" xfId="277"/>
    <cellStyle name="40% - Accent1 3 2 2" xfId="585"/>
    <cellStyle name="40% - Accent1 3 3" xfId="459"/>
    <cellStyle name="40% - Accent1 4" xfId="190"/>
    <cellStyle name="40% - Accent1 4 2" xfId="278"/>
    <cellStyle name="40% - Accent1 4 2 2" xfId="586"/>
    <cellStyle name="40% - Accent1 4 3" xfId="500"/>
    <cellStyle name="40% - Accent1 5" xfId="206"/>
    <cellStyle name="40% - Accent1 5 2" xfId="279"/>
    <cellStyle name="40% - Accent1 5 2 2" xfId="587"/>
    <cellStyle name="40% - Accent1 5 3" xfId="514"/>
    <cellStyle name="40% - Accent1 6" xfId="414"/>
    <cellStyle name="40% - Accent1 7" xfId="397"/>
    <cellStyle name="40% - Accent2" xfId="74" builtinId="35" customBuiltin="1"/>
    <cellStyle name="40% - Accent2 2" xfId="129"/>
    <cellStyle name="40% - Accent2 2 2" xfId="175"/>
    <cellStyle name="40% - Accent2 2 2 2" xfId="281"/>
    <cellStyle name="40% - Accent2 2 2 2 2" xfId="589"/>
    <cellStyle name="40% - Accent2 2 2 3" xfId="485"/>
    <cellStyle name="40% - Accent2 2 3" xfId="232"/>
    <cellStyle name="40% - Accent2 2 3 2" xfId="540"/>
    <cellStyle name="40% - Accent2 2 4" xfId="280"/>
    <cellStyle name="40% - Accent2 2 4 2" xfId="588"/>
    <cellStyle name="40% - Accent2 2 5" xfId="440"/>
    <cellStyle name="40% - Accent2 2 6" xfId="380"/>
    <cellStyle name="40% - Accent2 3" xfId="151"/>
    <cellStyle name="40% - Accent2 3 2" xfId="282"/>
    <cellStyle name="40% - Accent2 3 2 2" xfId="590"/>
    <cellStyle name="40% - Accent2 3 3" xfId="461"/>
    <cellStyle name="40% - Accent2 4" xfId="192"/>
    <cellStyle name="40% - Accent2 4 2" xfId="283"/>
    <cellStyle name="40% - Accent2 4 2 2" xfId="591"/>
    <cellStyle name="40% - Accent2 4 3" xfId="502"/>
    <cellStyle name="40% - Accent2 5" xfId="208"/>
    <cellStyle name="40% - Accent2 5 2" xfId="284"/>
    <cellStyle name="40% - Accent2 5 2 2" xfId="592"/>
    <cellStyle name="40% - Accent2 5 3" xfId="516"/>
    <cellStyle name="40% - Accent2 6" xfId="416"/>
    <cellStyle name="40% - Accent2 7" xfId="399"/>
    <cellStyle name="40% - Accent3" xfId="78" builtinId="39" customBuiltin="1"/>
    <cellStyle name="40% - Accent3 2" xfId="131"/>
    <cellStyle name="40% - Accent3 2 2" xfId="177"/>
    <cellStyle name="40% - Accent3 2 2 2" xfId="286"/>
    <cellStyle name="40% - Accent3 2 2 2 2" xfId="594"/>
    <cellStyle name="40% - Accent3 2 2 3" xfId="487"/>
    <cellStyle name="40% - Accent3 2 3" xfId="234"/>
    <cellStyle name="40% - Accent3 2 3 2" xfId="542"/>
    <cellStyle name="40% - Accent3 2 4" xfId="285"/>
    <cellStyle name="40% - Accent3 2 4 2" xfId="593"/>
    <cellStyle name="40% - Accent3 2 5" xfId="442"/>
    <cellStyle name="40% - Accent3 2 6" xfId="381"/>
    <cellStyle name="40% - Accent3 3" xfId="153"/>
    <cellStyle name="40% - Accent3 3 2" xfId="287"/>
    <cellStyle name="40% - Accent3 3 2 2" xfId="595"/>
    <cellStyle name="40% - Accent3 3 3" xfId="463"/>
    <cellStyle name="40% - Accent3 4" xfId="194"/>
    <cellStyle name="40% - Accent3 4 2" xfId="288"/>
    <cellStyle name="40% - Accent3 4 2 2" xfId="596"/>
    <cellStyle name="40% - Accent3 4 3" xfId="504"/>
    <cellStyle name="40% - Accent3 5" xfId="210"/>
    <cellStyle name="40% - Accent3 5 2" xfId="289"/>
    <cellStyle name="40% - Accent3 5 2 2" xfId="597"/>
    <cellStyle name="40% - Accent3 5 3" xfId="518"/>
    <cellStyle name="40% - Accent3 6" xfId="418"/>
    <cellStyle name="40% - Accent3 7" xfId="401"/>
    <cellStyle name="40% - Accent4" xfId="82" builtinId="43" customBuiltin="1"/>
    <cellStyle name="40% - Accent4 2" xfId="133"/>
    <cellStyle name="40% - Accent4 2 2" xfId="179"/>
    <cellStyle name="40% - Accent4 2 2 2" xfId="291"/>
    <cellStyle name="40% - Accent4 2 2 2 2" xfId="599"/>
    <cellStyle name="40% - Accent4 2 2 3" xfId="489"/>
    <cellStyle name="40% - Accent4 2 3" xfId="236"/>
    <cellStyle name="40% - Accent4 2 3 2" xfId="544"/>
    <cellStyle name="40% - Accent4 2 4" xfId="290"/>
    <cellStyle name="40% - Accent4 2 4 2" xfId="598"/>
    <cellStyle name="40% - Accent4 2 5" xfId="444"/>
    <cellStyle name="40% - Accent4 2 6" xfId="382"/>
    <cellStyle name="40% - Accent4 3" xfId="155"/>
    <cellStyle name="40% - Accent4 3 2" xfId="292"/>
    <cellStyle name="40% - Accent4 3 2 2" xfId="600"/>
    <cellStyle name="40% - Accent4 3 3" xfId="465"/>
    <cellStyle name="40% - Accent4 4" xfId="196"/>
    <cellStyle name="40% - Accent4 4 2" xfId="293"/>
    <cellStyle name="40% - Accent4 4 2 2" xfId="601"/>
    <cellStyle name="40% - Accent4 4 3" xfId="506"/>
    <cellStyle name="40% - Accent4 5" xfId="212"/>
    <cellStyle name="40% - Accent4 5 2" xfId="294"/>
    <cellStyle name="40% - Accent4 5 2 2" xfId="602"/>
    <cellStyle name="40% - Accent4 5 3" xfId="520"/>
    <cellStyle name="40% - Accent4 6" xfId="420"/>
    <cellStyle name="40% - Accent4 7" xfId="403"/>
    <cellStyle name="40% - Accent5" xfId="86" builtinId="47" customBuiltin="1"/>
    <cellStyle name="40% - Accent5 2" xfId="135"/>
    <cellStyle name="40% - Accent5 2 2" xfId="181"/>
    <cellStyle name="40% - Accent5 2 2 2" xfId="296"/>
    <cellStyle name="40% - Accent5 2 2 2 2" xfId="604"/>
    <cellStyle name="40% - Accent5 2 2 3" xfId="491"/>
    <cellStyle name="40% - Accent5 2 3" xfId="238"/>
    <cellStyle name="40% - Accent5 2 3 2" xfId="546"/>
    <cellStyle name="40% - Accent5 2 4" xfId="295"/>
    <cellStyle name="40% - Accent5 2 4 2" xfId="603"/>
    <cellStyle name="40% - Accent5 2 5" xfId="446"/>
    <cellStyle name="40% - Accent5 2 6" xfId="383"/>
    <cellStyle name="40% - Accent5 3" xfId="157"/>
    <cellStyle name="40% - Accent5 3 2" xfId="297"/>
    <cellStyle name="40% - Accent5 3 2 2" xfId="605"/>
    <cellStyle name="40% - Accent5 3 3" xfId="467"/>
    <cellStyle name="40% - Accent5 4" xfId="198"/>
    <cellStyle name="40% - Accent5 4 2" xfId="298"/>
    <cellStyle name="40% - Accent5 4 2 2" xfId="606"/>
    <cellStyle name="40% - Accent5 4 3" xfId="508"/>
    <cellStyle name="40% - Accent5 5" xfId="214"/>
    <cellStyle name="40% - Accent5 5 2" xfId="299"/>
    <cellStyle name="40% - Accent5 5 2 2" xfId="607"/>
    <cellStyle name="40% - Accent5 5 3" xfId="522"/>
    <cellStyle name="40% - Accent5 6" xfId="422"/>
    <cellStyle name="40% - Accent5 7" xfId="405"/>
    <cellStyle name="40% - Accent6" xfId="90" builtinId="51" customBuiltin="1"/>
    <cellStyle name="40% - Accent6 2" xfId="137"/>
    <cellStyle name="40% - Accent6 2 2" xfId="183"/>
    <cellStyle name="40% - Accent6 2 2 2" xfId="301"/>
    <cellStyle name="40% - Accent6 2 2 2 2" xfId="609"/>
    <cellStyle name="40% - Accent6 2 2 3" xfId="493"/>
    <cellStyle name="40% - Accent6 2 3" xfId="240"/>
    <cellStyle name="40% - Accent6 2 3 2" xfId="548"/>
    <cellStyle name="40% - Accent6 2 4" xfId="300"/>
    <cellStyle name="40% - Accent6 2 4 2" xfId="608"/>
    <cellStyle name="40% - Accent6 2 5" xfId="448"/>
    <cellStyle name="40% - Accent6 2 6" xfId="384"/>
    <cellStyle name="40% - Accent6 3" xfId="159"/>
    <cellStyle name="40% - Accent6 3 2" xfId="302"/>
    <cellStyle name="40% - Accent6 3 2 2" xfId="610"/>
    <cellStyle name="40% - Accent6 3 3" xfId="469"/>
    <cellStyle name="40% - Accent6 4" xfId="200"/>
    <cellStyle name="40% - Accent6 4 2" xfId="303"/>
    <cellStyle name="40% - Accent6 4 2 2" xfId="611"/>
    <cellStyle name="40% - Accent6 4 3" xfId="510"/>
    <cellStyle name="40% - Accent6 5" xfId="216"/>
    <cellStyle name="40% - Accent6 5 2" xfId="304"/>
    <cellStyle name="40% - Accent6 5 2 2" xfId="612"/>
    <cellStyle name="40% - Accent6 5 3" xfId="524"/>
    <cellStyle name="40% - Accent6 6" xfId="424"/>
    <cellStyle name="40% - Accent6 7" xfId="407"/>
    <cellStyle name="60% - Accent1" xfId="71" builtinId="32" customBuiltin="1"/>
    <cellStyle name="60% - Accent2" xfId="75" builtinId="36" customBuiltin="1"/>
    <cellStyle name="60% - Accent3" xfId="79" builtinId="40" customBuiltin="1"/>
    <cellStyle name="60% - Accent4" xfId="83" builtinId="44" customBuiltin="1"/>
    <cellStyle name="60% - Accent5" xfId="87" builtinId="48" customBuiltin="1"/>
    <cellStyle name="60% - Accent6" xfId="91" builtinId="52" customBuiltin="1"/>
    <cellStyle name="Accent1" xfId="68" builtinId="29" customBuiltin="1"/>
    <cellStyle name="Accent2" xfId="72" builtinId="33" customBuiltin="1"/>
    <cellStyle name="Accent3" xfId="76" builtinId="37" customBuiltin="1"/>
    <cellStyle name="Accent4" xfId="80" builtinId="41" customBuiltin="1"/>
    <cellStyle name="Accent5" xfId="84" builtinId="45" customBuiltin="1"/>
    <cellStyle name="Accent6" xfId="88" builtinId="49" customBuiltin="1"/>
    <cellStyle name="Bad" xfId="58" builtinId="27" customBuiltin="1"/>
    <cellStyle name="Calculation" xfId="62" builtinId="22" customBuiltin="1"/>
    <cellStyle name="Check Cell" xfId="64" builtinId="23" customBuiltin="1"/>
    <cellStyle name="Comma" xfId="1" builtinId="3"/>
    <cellStyle name="Comma  - Style1" xfId="6"/>
    <cellStyle name="Comma  - Style2" xfId="7"/>
    <cellStyle name="Comma  - Style3" xfId="8"/>
    <cellStyle name="Comma  - Style4" xfId="9"/>
    <cellStyle name="Comma  - Style5" xfId="10"/>
    <cellStyle name="Comma  - Style6" xfId="11"/>
    <cellStyle name="Comma  - Style7" xfId="12"/>
    <cellStyle name="Comma  - Style8" xfId="13"/>
    <cellStyle name="Comma - Full" xfId="14"/>
    <cellStyle name="Comma - Full 2" xfId="93"/>
    <cellStyle name="Comma - Style1" xfId="15"/>
    <cellStyle name="Comma - Style2" xfId="16"/>
    <cellStyle name="Comma - Style3" xfId="17"/>
    <cellStyle name="Comma - Style4" xfId="18"/>
    <cellStyle name="Comma 2" xfId="19"/>
    <cellStyle name="Comma 2 2" xfId="94"/>
    <cellStyle name="Comma 3" xfId="95"/>
    <cellStyle name="Comma 4" xfId="305"/>
    <cellStyle name="Comma 5" xfId="306"/>
    <cellStyle name="Comma 6" xfId="307"/>
    <cellStyle name="Comma 7" xfId="308"/>
    <cellStyle name="Curre - Style5" xfId="20"/>
    <cellStyle name="Curre - Style6" xfId="21"/>
    <cellStyle name="Curre - Style7" xfId="22"/>
    <cellStyle name="Curre - Style8" xfId="23"/>
    <cellStyle name="Currency - Full" xfId="24"/>
    <cellStyle name="Currency - Full 2" xfId="96"/>
    <cellStyle name="Currency 2" xfId="4"/>
    <cellStyle name="Currency 2 2" xfId="25"/>
    <cellStyle name="Currency 2 3" xfId="97"/>
    <cellStyle name="Currency 3" xfId="98"/>
    <cellStyle name="Currency 3 2" xfId="99"/>
    <cellStyle name="Currency 4" xfId="140"/>
    <cellStyle name="Currency 4 2" xfId="186"/>
    <cellStyle name="Currency 4 2 2" xfId="310"/>
    <cellStyle name="Currency 4 2 2 2" xfId="614"/>
    <cellStyle name="Currency 4 2 3" xfId="496"/>
    <cellStyle name="Currency 4 3" xfId="243"/>
    <cellStyle name="Currency 4 3 2" xfId="551"/>
    <cellStyle name="Currency 4 4" xfId="309"/>
    <cellStyle name="Currency 4 4 2" xfId="613"/>
    <cellStyle name="Currency 4 5" xfId="451"/>
    <cellStyle name="Currency 4 6" xfId="390"/>
    <cellStyle name="Day" xfId="26"/>
    <cellStyle name="Day 2" xfId="100"/>
    <cellStyle name="Explanatory Text" xfId="66" builtinId="53" customBuiltin="1"/>
    <cellStyle name="Good" xfId="57" builtinId="26" customBuiltin="1"/>
    <cellStyle name="Grey" xfId="27"/>
    <cellStyle name="Header1" xfId="28"/>
    <cellStyle name="Header2" xfId="29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HUD" xfId="30"/>
    <cellStyle name="HUD 2" xfId="146"/>
    <cellStyle name="HUD 2 2" xfId="456"/>
    <cellStyle name="HUD 3" xfId="362"/>
    <cellStyle name="Hyperlink" xfId="114" builtinId="8"/>
    <cellStyle name="Hyperlink 2" xfId="202"/>
    <cellStyle name="Input" xfId="60" builtinId="20" customBuiltin="1"/>
    <cellStyle name="Input [yellow]" xfId="31"/>
    <cellStyle name="Linked Cell" xfId="63" builtinId="24" customBuiltin="1"/>
    <cellStyle name="Month" xfId="32"/>
    <cellStyle name="Month 2" xfId="101"/>
    <cellStyle name="Neutral" xfId="59" builtinId="28" customBuiltin="1"/>
    <cellStyle name="no dec" xfId="33"/>
    <cellStyle name="Normal" xfId="0" builtinId="0"/>
    <cellStyle name="Normal - Style1" xfId="34"/>
    <cellStyle name="Normal - Style2" xfId="35"/>
    <cellStyle name="Normal - Style3" xfId="36"/>
    <cellStyle name="Normal - Style4" xfId="37"/>
    <cellStyle name="Normal - Style5" xfId="38"/>
    <cellStyle name="Normal - Style6" xfId="39"/>
    <cellStyle name="Normal - Style7" xfId="40"/>
    <cellStyle name="Normal - Style8" xfId="41"/>
    <cellStyle name="Normal 10" xfId="116"/>
    <cellStyle name="Normal 10 2" xfId="660"/>
    <cellStyle name="Normal 11" xfId="117"/>
    <cellStyle name="Normal 12" xfId="123"/>
    <cellStyle name="Normal 12 2" xfId="169"/>
    <cellStyle name="Normal 12 2 2" xfId="312"/>
    <cellStyle name="Normal 12 2 2 2" xfId="616"/>
    <cellStyle name="Normal 12 2 3" xfId="479"/>
    <cellStyle name="Normal 12 3" xfId="226"/>
    <cellStyle name="Normal 12 3 2" xfId="534"/>
    <cellStyle name="Normal 12 4" xfId="311"/>
    <cellStyle name="Normal 12 4 2" xfId="615"/>
    <cellStyle name="Normal 12 5" xfId="434"/>
    <cellStyle name="Normal 12 6" xfId="385"/>
    <cellStyle name="Normal 13" xfId="124"/>
    <cellStyle name="Normal 13 2" xfId="170"/>
    <cellStyle name="Normal 13 2 2" xfId="314"/>
    <cellStyle name="Normal 13 2 2 2" xfId="618"/>
    <cellStyle name="Normal 13 2 3" xfId="480"/>
    <cellStyle name="Normal 13 3" xfId="227"/>
    <cellStyle name="Normal 13 3 2" xfId="535"/>
    <cellStyle name="Normal 13 4" xfId="313"/>
    <cellStyle name="Normal 13 4 2" xfId="617"/>
    <cellStyle name="Normal 13 5" xfId="435"/>
    <cellStyle name="Normal 13 6" xfId="386"/>
    <cellStyle name="Normal 14" xfId="138"/>
    <cellStyle name="Normal 14 2" xfId="184"/>
    <cellStyle name="Normal 14 2 2" xfId="316"/>
    <cellStyle name="Normal 14 2 2 2" xfId="620"/>
    <cellStyle name="Normal 14 2 3" xfId="494"/>
    <cellStyle name="Normal 14 2 4" xfId="391"/>
    <cellStyle name="Normal 14 3" xfId="241"/>
    <cellStyle name="Normal 14 3 2" xfId="549"/>
    <cellStyle name="Normal 14 4" xfId="315"/>
    <cellStyle name="Normal 14 4 2" xfId="619"/>
    <cellStyle name="Normal 14 5" xfId="449"/>
    <cellStyle name="Normal 14 6" xfId="388"/>
    <cellStyle name="Normal 15" xfId="139"/>
    <cellStyle name="Normal 15 2" xfId="185"/>
    <cellStyle name="Normal 15 2 2" xfId="318"/>
    <cellStyle name="Normal 15 2 2 2" xfId="622"/>
    <cellStyle name="Normal 15 2 3" xfId="495"/>
    <cellStyle name="Normal 15 3" xfId="242"/>
    <cellStyle name="Normal 15 3 2" xfId="550"/>
    <cellStyle name="Normal 15 4" xfId="317"/>
    <cellStyle name="Normal 15 4 2" xfId="621"/>
    <cellStyle name="Normal 15 5" xfId="450"/>
    <cellStyle name="Normal 15 6" xfId="389"/>
    <cellStyle name="Normal 16" xfId="141"/>
    <cellStyle name="Normal 16 2" xfId="319"/>
    <cellStyle name="Normal 16 2 2" xfId="623"/>
    <cellStyle name="Normal 16 3" xfId="452"/>
    <cellStyle name="Normal 16 4" xfId="392"/>
    <cellStyle name="Normal 17" xfId="144"/>
    <cellStyle name="Normal 17 2" xfId="320"/>
    <cellStyle name="Normal 17 2 2" xfId="624"/>
    <cellStyle name="Normal 17 3" xfId="454"/>
    <cellStyle name="Normal 17 4" xfId="395"/>
    <cellStyle name="Normal 18" xfId="145"/>
    <cellStyle name="Normal 18 2" xfId="455"/>
    <cellStyle name="Normal 18 3" xfId="408"/>
    <cellStyle name="Normal 19" xfId="187"/>
    <cellStyle name="Normal 19 2" xfId="321"/>
    <cellStyle name="Normal 19 2 2" xfId="625"/>
    <cellStyle name="Normal 19 3" xfId="497"/>
    <cellStyle name="Normal 19 4" xfId="410"/>
    <cellStyle name="Normal 2" xfId="42"/>
    <cellStyle name="Normal 2 2" xfId="5"/>
    <cellStyle name="Normal 2 3" xfId="102"/>
    <cellStyle name="Normal 20" xfId="143"/>
    <cellStyle name="Normal 20 2" xfId="322"/>
    <cellStyle name="Normal 20 2 2" xfId="626"/>
    <cellStyle name="Normal 20 3" xfId="453"/>
    <cellStyle name="Normal 20 4" xfId="394"/>
    <cellStyle name="Normal 21" xfId="201"/>
    <cellStyle name="Normal 21 2" xfId="323"/>
    <cellStyle name="Normal 21 2 2" xfId="627"/>
    <cellStyle name="Normal 21 3" xfId="511"/>
    <cellStyle name="Normal 22" xfId="203"/>
    <cellStyle name="Normal 22 2" xfId="324"/>
    <cellStyle name="Normal 22 2 2" xfId="628"/>
    <cellStyle name="Normal 23" xfId="325"/>
    <cellStyle name="Normal 24" xfId="326"/>
    <cellStyle name="Normal 25" xfId="244"/>
    <cellStyle name="Normal 25 2" xfId="552"/>
    <cellStyle name="Normal 26" xfId="356"/>
    <cellStyle name="Normal 26 2" xfId="656"/>
    <cellStyle name="Normal 27" xfId="358"/>
    <cellStyle name="Normal 27 2" xfId="657"/>
    <cellStyle name="Normal 28" xfId="359"/>
    <cellStyle name="Normal 28 2" xfId="658"/>
    <cellStyle name="Normal 29" xfId="360"/>
    <cellStyle name="Normal 29 2" xfId="659"/>
    <cellStyle name="Normal 3" xfId="92"/>
    <cellStyle name="Normal 3 2" xfId="118"/>
    <cellStyle name="Normal 3 2 2" xfId="164"/>
    <cellStyle name="Normal 3 2 2 2" xfId="329"/>
    <cellStyle name="Normal 3 2 2 2 2" xfId="631"/>
    <cellStyle name="Normal 3 2 2 3" xfId="474"/>
    <cellStyle name="Normal 3 2 3" xfId="221"/>
    <cellStyle name="Normal 3 2 3 2" xfId="529"/>
    <cellStyle name="Normal 3 2 4" xfId="328"/>
    <cellStyle name="Normal 3 2 4 2" xfId="630"/>
    <cellStyle name="Normal 3 2 5" xfId="429"/>
    <cellStyle name="Normal 3 2 6" xfId="368"/>
    <cellStyle name="Normal 3 3" xfId="160"/>
    <cellStyle name="Normal 3 3 2" xfId="330"/>
    <cellStyle name="Normal 3 3 2 2" xfId="632"/>
    <cellStyle name="Normal 3 3 3" xfId="470"/>
    <cellStyle name="Normal 3 4" xfId="217"/>
    <cellStyle name="Normal 3 4 2" xfId="331"/>
    <cellStyle name="Normal 3 4 3" xfId="525"/>
    <cellStyle name="Normal 3 5" xfId="327"/>
    <cellStyle name="Normal 3 5 2" xfId="629"/>
    <cellStyle name="Normal 3 6" xfId="425"/>
    <cellStyle name="Normal 3 7" xfId="366"/>
    <cellStyle name="Normal 30" xfId="411"/>
    <cellStyle name="Normal 31" xfId="361"/>
    <cellStyle name="Normal 32" xfId="661"/>
    <cellStyle name="Normal 33" xfId="662"/>
    <cellStyle name="Normal 34" xfId="663"/>
    <cellStyle name="Normal 35" xfId="664"/>
    <cellStyle name="Normal 36" xfId="665"/>
    <cellStyle name="Normal 37" xfId="666"/>
    <cellStyle name="Normal 38" xfId="667"/>
    <cellStyle name="Normal 39" xfId="668"/>
    <cellStyle name="Normal 4" xfId="112"/>
    <cellStyle name="Normal 4 2" xfId="119"/>
    <cellStyle name="Normal 4 2 2" xfId="165"/>
    <cellStyle name="Normal 4 2 2 2" xfId="334"/>
    <cellStyle name="Normal 4 2 2 2 2" xfId="635"/>
    <cellStyle name="Normal 4 2 2 3" xfId="475"/>
    <cellStyle name="Normal 4 2 3" xfId="222"/>
    <cellStyle name="Normal 4 2 3 2" xfId="530"/>
    <cellStyle name="Normal 4 2 4" xfId="333"/>
    <cellStyle name="Normal 4 2 4 2" xfId="634"/>
    <cellStyle name="Normal 4 2 5" xfId="430"/>
    <cellStyle name="Normal 4 2 6" xfId="369"/>
    <cellStyle name="Normal 4 3" xfId="163"/>
    <cellStyle name="Normal 4 3 2" xfId="335"/>
    <cellStyle name="Normal 4 3 2 2" xfId="636"/>
    <cellStyle name="Normal 4 3 3" xfId="473"/>
    <cellStyle name="Normal 4 4" xfId="220"/>
    <cellStyle name="Normal 4 4 2" xfId="528"/>
    <cellStyle name="Normal 4 5" xfId="332"/>
    <cellStyle name="Normal 4 5 2" xfId="633"/>
    <cellStyle name="Normal 4 6" xfId="428"/>
    <cellStyle name="Normal 4 7" xfId="365"/>
    <cellStyle name="Normal 40" xfId="669"/>
    <cellStyle name="Normal 41" xfId="670"/>
    <cellStyle name="Normal 5" xfId="113"/>
    <cellStyle name="Normal 6" xfId="115"/>
    <cellStyle name="Normal 7" xfId="48"/>
    <cellStyle name="Normal 8" xfId="50"/>
    <cellStyle name="Normal 9" xfId="49"/>
    <cellStyle name="Normal 9 2" xfId="103"/>
    <cellStyle name="Normal 9 2 2" xfId="120"/>
    <cellStyle name="Normal 9 2 2 2" xfId="166"/>
    <cellStyle name="Normal 9 2 2 2 2" xfId="339"/>
    <cellStyle name="Normal 9 2 2 2 2 2" xfId="640"/>
    <cellStyle name="Normal 9 2 2 2 3" xfId="476"/>
    <cellStyle name="Normal 9 2 2 3" xfId="223"/>
    <cellStyle name="Normal 9 2 2 3 2" xfId="531"/>
    <cellStyle name="Normal 9 2 2 4" xfId="338"/>
    <cellStyle name="Normal 9 2 2 4 2" xfId="639"/>
    <cellStyle name="Normal 9 2 2 5" xfId="431"/>
    <cellStyle name="Normal 9 2 2 6" xfId="370"/>
    <cellStyle name="Normal 9 2 3" xfId="161"/>
    <cellStyle name="Normal 9 2 3 2" xfId="340"/>
    <cellStyle name="Normal 9 2 3 2 2" xfId="641"/>
    <cellStyle name="Normal 9 2 3 3" xfId="471"/>
    <cellStyle name="Normal 9 2 4" xfId="218"/>
    <cellStyle name="Normal 9 2 4 2" xfId="526"/>
    <cellStyle name="Normal 9 2 5" xfId="337"/>
    <cellStyle name="Normal 9 2 5 2" xfId="638"/>
    <cellStyle name="Normal 9 2 6" xfId="426"/>
    <cellStyle name="Normal 9 2 7" xfId="364"/>
    <cellStyle name="Normal 9 3" xfId="121"/>
    <cellStyle name="Normal 9 3 2" xfId="167"/>
    <cellStyle name="Normal 9 3 2 2" xfId="342"/>
    <cellStyle name="Normal 9 3 2 2 2" xfId="643"/>
    <cellStyle name="Normal 9 3 2 3" xfId="477"/>
    <cellStyle name="Normal 9 3 3" xfId="224"/>
    <cellStyle name="Normal 9 3 3 2" xfId="532"/>
    <cellStyle name="Normal 9 3 4" xfId="341"/>
    <cellStyle name="Normal 9 3 4 2" xfId="642"/>
    <cellStyle name="Normal 9 3 5" xfId="432"/>
    <cellStyle name="Normal 9 3 6" xfId="371"/>
    <cellStyle name="Normal 9 4" xfId="147"/>
    <cellStyle name="Normal 9 4 2" xfId="343"/>
    <cellStyle name="Normal 9 4 2 2" xfId="644"/>
    <cellStyle name="Normal 9 4 3" xfId="457"/>
    <cellStyle name="Normal 9 4 4" xfId="393"/>
    <cellStyle name="Normal 9 5" xfId="204"/>
    <cellStyle name="Normal 9 5 2" xfId="512"/>
    <cellStyle name="Normal 9 6" xfId="336"/>
    <cellStyle name="Normal 9 6 2" xfId="637"/>
    <cellStyle name="Normal 9 7" xfId="412"/>
    <cellStyle name="Normal 9 8" xfId="363"/>
    <cellStyle name="Note 2" xfId="104"/>
    <cellStyle name="Note 2 2" xfId="122"/>
    <cellStyle name="Note 2 2 2" xfId="168"/>
    <cellStyle name="Note 2 2 2 2" xfId="346"/>
    <cellStyle name="Note 2 2 2 2 2" xfId="647"/>
    <cellStyle name="Note 2 2 2 3" xfId="478"/>
    <cellStyle name="Note 2 2 3" xfId="225"/>
    <cellStyle name="Note 2 2 3 2" xfId="533"/>
    <cellStyle name="Note 2 2 4" xfId="345"/>
    <cellStyle name="Note 2 2 4 2" xfId="646"/>
    <cellStyle name="Note 2 2 5" xfId="433"/>
    <cellStyle name="Note 2 2 6" xfId="372"/>
    <cellStyle name="Note 2 3" xfId="162"/>
    <cellStyle name="Note 2 3 2" xfId="347"/>
    <cellStyle name="Note 2 3 2 2" xfId="648"/>
    <cellStyle name="Note 2 3 3" xfId="472"/>
    <cellStyle name="Note 2 4" xfId="219"/>
    <cellStyle name="Note 2 4 2" xfId="527"/>
    <cellStyle name="Note 2 5" xfId="344"/>
    <cellStyle name="Note 2 5 2" xfId="645"/>
    <cellStyle name="Note 2 6" xfId="427"/>
    <cellStyle name="Note 2 7" xfId="367"/>
    <cellStyle name="Note 3" xfId="125"/>
    <cellStyle name="Note 3 2" xfId="171"/>
    <cellStyle name="Note 3 2 2" xfId="349"/>
    <cellStyle name="Note 3 2 2 2" xfId="650"/>
    <cellStyle name="Note 3 2 3" xfId="481"/>
    <cellStyle name="Note 3 3" xfId="228"/>
    <cellStyle name="Note 3 3 2" xfId="536"/>
    <cellStyle name="Note 3 4" xfId="348"/>
    <cellStyle name="Note 3 4 2" xfId="649"/>
    <cellStyle name="Note 3 5" xfId="436"/>
    <cellStyle name="Note 3 6" xfId="387"/>
    <cellStyle name="Note 4" xfId="188"/>
    <cellStyle name="Note 4 2" xfId="350"/>
    <cellStyle name="Note 4 2 2" xfId="651"/>
    <cellStyle name="Note 4 3" xfId="498"/>
    <cellStyle name="Note 4 4" xfId="409"/>
    <cellStyle name="Note 5" xfId="351"/>
    <cellStyle name="Note 5 2" xfId="652"/>
    <cellStyle name="Output" xfId="61" builtinId="21" customBuiltin="1"/>
    <cellStyle name="Percent" xfId="2" builtinId="5"/>
    <cellStyle name="Percent - Full" xfId="43"/>
    <cellStyle name="Percent - Full 2" xfId="105"/>
    <cellStyle name="Percent [2]" xfId="44"/>
    <cellStyle name="Percent [2] 2" xfId="106"/>
    <cellStyle name="Percent 10" xfId="352"/>
    <cellStyle name="Percent 11" xfId="353"/>
    <cellStyle name="Percent 11 2" xfId="653"/>
    <cellStyle name="Percent 12" xfId="354"/>
    <cellStyle name="Percent 12 2" xfId="654"/>
    <cellStyle name="Percent 13" xfId="355"/>
    <cellStyle name="Percent 13 2" xfId="655"/>
    <cellStyle name="Percent 2" xfId="45"/>
    <cellStyle name="Percent 2 2" xfId="3"/>
    <cellStyle name="Percent 2 3" xfId="107"/>
    <cellStyle name="Percent 3" xfId="46"/>
    <cellStyle name="Percent 3 2" xfId="108"/>
    <cellStyle name="Percent 4" xfId="47"/>
    <cellStyle name="Percent 4 2" xfId="109"/>
    <cellStyle name="Percent 5" xfId="110"/>
    <cellStyle name="Percent 6" xfId="111"/>
    <cellStyle name="Percent 7" xfId="357"/>
    <cellStyle name="Percent 8" xfId="142"/>
    <cellStyle name="Percent 9" xfId="51"/>
    <cellStyle name="Title" xfId="52" builtinId="15" customBuiltin="1"/>
    <cellStyle name="Total" xfId="67" builtinId="25" customBuiltin="1"/>
    <cellStyle name="Warning Text" xfId="65" builtinId="11" customBuiltin="1"/>
  </cellStyles>
  <dxfs count="176"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99FFCC"/>
      <color rgb="FFFFFF99"/>
      <color rgb="FFFFCCCC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55+'!$A$4</c:f>
          <c:strCache>
            <c:ptCount val="1"/>
            <c:pt idx="0">
              <c:v>2016 Renter HH Income Distribution 55+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55+'!$C$6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55+'!$A$7:$A$18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55+'!$C$7:$C$18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55+'!$E$7:$E$18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55+'!$G$7:$G$18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763520"/>
        <c:axId val="359547648"/>
      </c:barChart>
      <c:catAx>
        <c:axId val="35876352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59547648"/>
        <c:crosses val="autoZero"/>
        <c:auto val="1"/>
        <c:lblAlgn val="ctr"/>
        <c:lblOffset val="100"/>
        <c:noMultiLvlLbl val="0"/>
      </c:catAx>
      <c:valAx>
        <c:axId val="359547648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58763520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55+'!$I$4</c:f>
          <c:strCache>
            <c:ptCount val="1"/>
            <c:pt idx="0">
              <c:v>2021 Renter HH Income Distribution 55+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55+'!$C$6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55+'!$A$7:$A$18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55+'!$K$7:$K$18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55+'!$M$7:$M$18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55+'!$O$7:$O$18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237568"/>
        <c:axId val="364239104"/>
      </c:barChart>
      <c:catAx>
        <c:axId val="3642375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64239104"/>
        <c:crosses val="autoZero"/>
        <c:auto val="1"/>
        <c:lblAlgn val="ctr"/>
        <c:lblOffset val="100"/>
        <c:noMultiLvlLbl val="0"/>
      </c:catAx>
      <c:valAx>
        <c:axId val="364239104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364237568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55+'!$B$51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55+'!$D$51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55+'!$A$52:$A$54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55+'!$D$52:$D$54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697664"/>
        <c:axId val="387741184"/>
      </c:barChart>
      <c:catAx>
        <c:axId val="387697664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87741184"/>
        <c:crosses val="autoZero"/>
        <c:auto val="1"/>
        <c:lblAlgn val="ctr"/>
        <c:lblOffset val="100"/>
        <c:noMultiLvlLbl val="0"/>
      </c:catAx>
      <c:valAx>
        <c:axId val="387741184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87697664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11979776"/>
        <c:axId val="411981312"/>
      </c:barChart>
      <c:catAx>
        <c:axId val="4119797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411981312"/>
        <c:crosses val="autoZero"/>
        <c:auto val="1"/>
        <c:lblAlgn val="ctr"/>
        <c:lblOffset val="100"/>
        <c:noMultiLvlLbl val="0"/>
      </c:catAx>
      <c:valAx>
        <c:axId val="41198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9797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16343936"/>
        <c:axId val="116345472"/>
      </c:barChart>
      <c:catAx>
        <c:axId val="11634393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16345472"/>
        <c:crosses val="autoZero"/>
        <c:auto val="1"/>
        <c:lblAlgn val="ctr"/>
        <c:lblOffset val="100"/>
        <c:noMultiLvlLbl val="0"/>
      </c:catAx>
      <c:valAx>
        <c:axId val="11634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439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55+'!$A$129</c:f>
          <c:strCache>
            <c:ptCount val="1"/>
            <c:pt idx="0">
              <c:v>PMA Household Size Distribution 55+ 2016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55+'!$B$129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371840"/>
        <c:axId val="116373376"/>
      </c:barChart>
      <c:catAx>
        <c:axId val="11637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373376"/>
        <c:crosses val="autoZero"/>
        <c:auto val="1"/>
        <c:lblAlgn val="ctr"/>
        <c:lblOffset val="100"/>
        <c:noMultiLvlLbl val="0"/>
      </c:catAx>
      <c:valAx>
        <c:axId val="1163733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637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55+'!$E$129</c:f>
          <c:strCache>
            <c:ptCount val="1"/>
            <c:pt idx="0">
              <c:v>SMA Household Size Distribution 55+ 2016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55+'!$F$129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55+'!$G$129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55+'!$A$130:$A$134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55+'!$G$130:$G$134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600192"/>
        <c:axId val="116614272"/>
      </c:barChart>
      <c:catAx>
        <c:axId val="11660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614272"/>
        <c:crosses val="autoZero"/>
        <c:auto val="1"/>
        <c:lblAlgn val="ctr"/>
        <c:lblOffset val="100"/>
        <c:noMultiLvlLbl val="0"/>
      </c:catAx>
      <c:valAx>
        <c:axId val="11661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6600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62+'!$A$4</c:f>
          <c:strCache>
            <c:ptCount val="1"/>
            <c:pt idx="0">
              <c:v>2016 Renter HH Income Distribution 62+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62+'!$C$6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62+'!$A$7:$A$18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62+'!$C$7:$C$18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62+'!$E$7:$E$18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62+'!$G$7:$G$18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624768"/>
        <c:axId val="116651136"/>
      </c:barChart>
      <c:catAx>
        <c:axId val="1166247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16651136"/>
        <c:crosses val="autoZero"/>
        <c:auto val="1"/>
        <c:lblAlgn val="ctr"/>
        <c:lblOffset val="100"/>
        <c:noMultiLvlLbl val="0"/>
      </c:catAx>
      <c:valAx>
        <c:axId val="116651136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116624768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62+'!$I$4</c:f>
          <c:strCache>
            <c:ptCount val="1"/>
            <c:pt idx="0">
              <c:v>2021 Renter HH Income Distribution 62+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62+'!$C$6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62+'!$A$7:$A$18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62+'!$K$7:$K$18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62+'!$M$7:$M$18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62+'!$O$7:$O$18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368512"/>
        <c:axId val="118374400"/>
      </c:barChart>
      <c:catAx>
        <c:axId val="11836851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18374400"/>
        <c:crosses val="autoZero"/>
        <c:auto val="1"/>
        <c:lblAlgn val="ctr"/>
        <c:lblOffset val="100"/>
        <c:noMultiLvlLbl val="0"/>
      </c:catAx>
      <c:valAx>
        <c:axId val="118374400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118368512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62+'!$B$51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62+'!$D$51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62+'!$A$52:$A$54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62+'!$D$52:$D$54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535680"/>
        <c:axId val="118537216"/>
      </c:barChart>
      <c:catAx>
        <c:axId val="118535680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118537216"/>
        <c:crosses val="autoZero"/>
        <c:auto val="1"/>
        <c:lblAlgn val="ctr"/>
        <c:lblOffset val="100"/>
        <c:noMultiLvlLbl val="0"/>
      </c:catAx>
      <c:valAx>
        <c:axId val="118537216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18535680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'Demographic Charts 62+'!$A$88</c:f>
          <c:strCache>
            <c:ptCount val="1"/>
            <c:pt idx="0">
              <c:v>PMA Household Distribution by Age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62+'!$B$89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62+'!$B$92:$B$98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62+'!$C$89</c:f>
              <c:strCache>
                <c:ptCount val="1"/>
                <c:pt idx="0">
                  <c:v>Owners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62+'!$C$92:$C$98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3341440"/>
        <c:axId val="163342976"/>
      </c:barChart>
      <c:catAx>
        <c:axId val="1633414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63342976"/>
        <c:crosses val="autoZero"/>
        <c:auto val="1"/>
        <c:lblAlgn val="ctr"/>
        <c:lblOffset val="100"/>
        <c:noMultiLvlLbl val="0"/>
      </c:catAx>
      <c:valAx>
        <c:axId val="1633429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33414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'Demographic Charts 62+'!$F$88</c:f>
          <c:strCache>
            <c:ptCount val="1"/>
            <c:pt idx="0">
              <c:v>SMA Household Distribution by Age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62+'!$G$89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62+'!$G$92:$G$98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62+'!$H$89</c:f>
              <c:strCache>
                <c:ptCount val="1"/>
                <c:pt idx="0">
                  <c:v>Owners</c:v>
                </c:pt>
              </c:strCache>
            </c:strRef>
          </c:tx>
          <c:invertIfNegative val="0"/>
          <c:cat>
            <c:numRef>
              <c:f>'Demographic Charts 62+'!$A$92:$A$98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'Demographic Charts 62+'!$H$92:$H$98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3369728"/>
        <c:axId val="163371264"/>
      </c:barChart>
      <c:catAx>
        <c:axId val="16336972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63371264"/>
        <c:crosses val="autoZero"/>
        <c:auto val="1"/>
        <c:lblAlgn val="ctr"/>
        <c:lblOffset val="100"/>
        <c:noMultiLvlLbl val="0"/>
      </c:catAx>
      <c:valAx>
        <c:axId val="1633712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3369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62+'!$E$129</c:f>
          <c:strCache>
            <c:ptCount val="1"/>
            <c:pt idx="0">
              <c:v>SMA Houshold Size Distribution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8324096"/>
        <c:axId val="248325632"/>
      </c:barChart>
      <c:catAx>
        <c:axId val="2483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325632"/>
        <c:crosses val="autoZero"/>
        <c:auto val="1"/>
        <c:lblAlgn val="ctr"/>
        <c:lblOffset val="100"/>
        <c:noMultiLvlLbl val="0"/>
      </c:catAx>
      <c:valAx>
        <c:axId val="24832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32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62+'!$A$129</c:f>
          <c:strCache>
            <c:ptCount val="1"/>
            <c:pt idx="0">
              <c:v>PMA Houshold Size Distribution 62+ 2016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62+'!$B$129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62+'!$C$129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62+'!$A$130:$A$134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62+'!$C$130:$C$134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8581120"/>
        <c:axId val="248587008"/>
      </c:barChart>
      <c:catAx>
        <c:axId val="24858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587008"/>
        <c:crosses val="autoZero"/>
        <c:auto val="1"/>
        <c:lblAlgn val="ctr"/>
        <c:lblOffset val="100"/>
        <c:noMultiLvlLbl val="0"/>
      </c:catAx>
      <c:valAx>
        <c:axId val="2485870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65+'!$A$4</c:f>
          <c:strCache>
            <c:ptCount val="1"/>
            <c:pt idx="0">
              <c:v>2016 Renter HH Income Distribution 65+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529664"/>
        <c:axId val="252556032"/>
      </c:barChart>
      <c:catAx>
        <c:axId val="25252966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52556032"/>
        <c:crosses val="autoZero"/>
        <c:auto val="1"/>
        <c:lblAlgn val="ctr"/>
        <c:lblOffset val="100"/>
        <c:noMultiLvlLbl val="0"/>
      </c:catAx>
      <c:valAx>
        <c:axId val="252556032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252529664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65+'!$I$4</c:f>
          <c:strCache>
            <c:ptCount val="1"/>
            <c:pt idx="0">
              <c:v>2021 Renter HH Income Distribution 65+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65+'!$C$6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65+'!$A$7:$A$18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65+'!$K$7:$K$18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65+'!$M$7:$M$18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65+'!$O$7:$O$18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958976"/>
        <c:axId val="253005824"/>
      </c:barChart>
      <c:catAx>
        <c:axId val="2529589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53005824"/>
        <c:crosses val="autoZero"/>
        <c:auto val="1"/>
        <c:lblAlgn val="ctr"/>
        <c:lblOffset val="100"/>
        <c:noMultiLvlLbl val="0"/>
      </c:catAx>
      <c:valAx>
        <c:axId val="253005824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252958976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65+'!$B$51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65+'!$D$51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65+'!$A$52:$A$54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65+'!$D$52:$D$54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060608"/>
        <c:axId val="253062144"/>
      </c:barChart>
      <c:catAx>
        <c:axId val="253060608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253062144"/>
        <c:crosses val="autoZero"/>
        <c:auto val="1"/>
        <c:lblAlgn val="ctr"/>
        <c:lblOffset val="100"/>
        <c:noMultiLvlLbl val="0"/>
      </c:catAx>
      <c:valAx>
        <c:axId val="253062144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53060608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65+'!$E$129</c:f>
          <c:strCache>
            <c:ptCount val="1"/>
            <c:pt idx="0">
              <c:v>SMA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096704"/>
        <c:axId val="253098240"/>
      </c:barChart>
      <c:catAx>
        <c:axId val="25309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3098240"/>
        <c:crosses val="autoZero"/>
        <c:auto val="1"/>
        <c:lblAlgn val="ctr"/>
        <c:lblOffset val="100"/>
        <c:noMultiLvlLbl val="0"/>
      </c:catAx>
      <c:valAx>
        <c:axId val="2530982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309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65+'!$A$129</c:f>
          <c:strCache>
            <c:ptCount val="1"/>
            <c:pt idx="0">
              <c:v>PMA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65+'!$B$129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65+'!$C$129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65+'!$A$130:$A$134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65+'!$C$130:$C$134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483328"/>
        <c:axId val="256484864"/>
      </c:barChart>
      <c:catAx>
        <c:axId val="25648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6484864"/>
        <c:crosses val="autoZero"/>
        <c:auto val="1"/>
        <c:lblAlgn val="ctr"/>
        <c:lblOffset val="100"/>
        <c:noMultiLvlLbl val="0"/>
      </c:catAx>
      <c:valAx>
        <c:axId val="2564848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6483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75+'!$A$4</c:f>
          <c:strCache>
            <c:ptCount val="1"/>
            <c:pt idx="0">
              <c:v>2016 Renter HH Income Distribution 75+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75+'!$C$6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75+'!$A$7:$A$18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75+'!$C$7:$C$18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75+'!$E$6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75+'!$E$7:$E$18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75+'!$G$6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75+'!$G$7:$G$18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573440"/>
        <c:axId val="256574976"/>
      </c:barChart>
      <c:catAx>
        <c:axId val="25657344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56574976"/>
        <c:crosses val="autoZero"/>
        <c:auto val="1"/>
        <c:lblAlgn val="ctr"/>
        <c:lblOffset val="100"/>
        <c:noMultiLvlLbl val="0"/>
      </c:catAx>
      <c:valAx>
        <c:axId val="256574976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256573440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75+'!$I$4</c:f>
          <c:strCache>
            <c:ptCount val="1"/>
            <c:pt idx="0">
              <c:v>2021 Renter HH Income Distribution 75+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Charts 75+'!$C$6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strRef>
              <c:f>'Demographic Charts 75+'!$A$7:$A$18</c:f>
              <c:strCache>
                <c:ptCount val="12"/>
                <c:pt idx="0">
                  <c:v>$0-9,999</c:v>
                </c:pt>
                <c:pt idx="1">
                  <c:v>$10,000-19,999</c:v>
                </c:pt>
                <c:pt idx="2">
                  <c:v>$20,000-29,999</c:v>
                </c:pt>
                <c:pt idx="3">
                  <c:v>$30,000-39,999</c:v>
                </c:pt>
                <c:pt idx="4">
                  <c:v>$40,000-49,999</c:v>
                </c:pt>
                <c:pt idx="5">
                  <c:v>$50,000-59,999</c:v>
                </c:pt>
                <c:pt idx="6">
                  <c:v>$60,000-74,999</c:v>
                </c:pt>
                <c:pt idx="7">
                  <c:v>$75,000-99,999</c:v>
                </c:pt>
                <c:pt idx="8">
                  <c:v>$100,000-124,999</c:v>
                </c:pt>
                <c:pt idx="9">
                  <c:v>$125,000-149,999</c:v>
                </c:pt>
                <c:pt idx="10">
                  <c:v>$150,000-199,999</c:v>
                </c:pt>
                <c:pt idx="11">
                  <c:v>$200,000+</c:v>
                </c:pt>
              </c:strCache>
            </c:strRef>
          </c:cat>
          <c:val>
            <c:numRef>
              <c:f>'Demographic Charts 75+'!$K$7:$K$18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75+'!$M$6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val>
            <c:numRef>
              <c:f>'Demographic Charts 75+'!$M$7:$M$18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75+'!$O$6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val>
            <c:numRef>
              <c:f>'Demographic Charts 75+'!$O$7:$O$18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609280"/>
        <c:axId val="256611072"/>
      </c:barChart>
      <c:catAx>
        <c:axId val="25660928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56611072"/>
        <c:crosses val="autoZero"/>
        <c:auto val="1"/>
        <c:lblAlgn val="ctr"/>
        <c:lblOffset val="100"/>
        <c:noMultiLvlLbl val="0"/>
      </c:catAx>
      <c:valAx>
        <c:axId val="256611072"/>
        <c:scaling>
          <c:orientation val="minMax"/>
        </c:scaling>
        <c:delete val="0"/>
        <c:axPos val="l"/>
        <c:majorGridlines/>
        <c:minorGridlines/>
        <c:numFmt formatCode="0.0%" sourceLinked="1"/>
        <c:majorTickMark val="none"/>
        <c:minorTickMark val="none"/>
        <c:tickLblPos val="nextTo"/>
        <c:crossAx val="256609280"/>
        <c:crosses val="autoZero"/>
        <c:crossBetween val="between"/>
        <c:majorUnit val="2.5000000000000005E-2"/>
        <c:minorUnit val="5.000000000000001E-3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HH Income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Charts 75+'!$B$51</c:f>
              <c:strCache>
                <c:ptCount val="1"/>
                <c:pt idx="0">
                  <c:v>PMA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75+'!$B$52:$B$54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75+'!$C$51</c:f>
              <c:strCache>
                <c:ptCount val="1"/>
                <c:pt idx="0">
                  <c:v>SMA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75+'!$C$52:$C$54</c:f>
              <c:numCache>
                <c:formatCode>"$"#,##0_);[Red]\("$"#,##0\)</c:formatCode>
                <c:ptCount val="3"/>
                <c:pt idx="0" formatCode="&quot;$&quot;#,##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'Demographic Charts 75+'!$D$51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numRef>
              <c:f>'Demographic Charts 75+'!$A$52:$A$54</c:f>
              <c:numCache>
                <c:formatCode>General</c:formatCode>
                <c:ptCount val="3"/>
                <c:pt idx="0">
                  <c:v>2000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'Demographic Charts 75+'!$D$52:$D$54</c:f>
              <c:numCache>
                <c:formatCode>"$"#,##0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637184"/>
        <c:axId val="257257472"/>
      </c:barChart>
      <c:catAx>
        <c:axId val="256637184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257257472"/>
        <c:crosses val="autoZero"/>
        <c:auto val="1"/>
        <c:lblAlgn val="ctr"/>
        <c:lblOffset val="100"/>
        <c:noMultiLvlLbl val="0"/>
      </c:catAx>
      <c:valAx>
        <c:axId val="257257472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56637184"/>
        <c:crosses val="autoZero"/>
        <c:crossBetween val="between"/>
        <c:majorUnit val="500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65+'!$E$129</c:f>
          <c:strCache>
            <c:ptCount val="1"/>
            <c:pt idx="0">
              <c:v>SMA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75+'!$F$129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75+'!$F$130:$F$134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75+'!$G$129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75+'!$G$130:$G$134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283584"/>
        <c:axId val="257285120"/>
      </c:barChart>
      <c:catAx>
        <c:axId val="25728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285120"/>
        <c:crosses val="autoZero"/>
        <c:auto val="1"/>
        <c:lblAlgn val="ctr"/>
        <c:lblOffset val="100"/>
        <c:noMultiLvlLbl val="0"/>
      </c:catAx>
      <c:valAx>
        <c:axId val="2572851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728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'Demographic Charts 65+'!$A$129</c:f>
          <c:strCache>
            <c:ptCount val="1"/>
            <c:pt idx="0">
              <c:v>PMA Houshold Size Distribution 65+ 2016</c:v>
            </c:pt>
          </c:strCache>
        </c:strRef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Charts 75+'!$B$129</c:f>
              <c:strCache>
                <c:ptCount val="1"/>
                <c:pt idx="0">
                  <c:v>Renters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75+'!$B$130:$B$134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'Demographic Charts 75+'!$C$129</c:f>
              <c:strCache>
                <c:ptCount val="1"/>
                <c:pt idx="0">
                  <c:v>Owner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'Demographic Charts 75+'!$A$130:$A$134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'Demographic Charts 75+'!$C$130:$C$134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9531520"/>
        <c:axId val="259533056"/>
      </c:barChart>
      <c:catAx>
        <c:axId val="25953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533056"/>
        <c:crosses val="autoZero"/>
        <c:auto val="1"/>
        <c:lblAlgn val="ctr"/>
        <c:lblOffset val="100"/>
        <c:noMultiLvlLbl val="0"/>
      </c:catAx>
      <c:valAx>
        <c:axId val="2595330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9531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Button" lockText="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A09F67-D681-4E58-BC6B-32B6A016D753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24D6EB0-2C94-460A-ACA5-447B0D83A9EE}">
      <dgm:prSet phldrT="[Text]"/>
      <dgm:spPr/>
      <dgm:t>
        <a:bodyPr/>
        <a:lstStyle/>
        <a:p>
          <a:r>
            <a:rPr lang="en-US"/>
            <a:t>Demo</a:t>
          </a:r>
        </a:p>
      </dgm:t>
    </dgm:pt>
    <dgm:pt modelId="{280F2ACE-86FF-4A3B-A7E2-78CD66172739}" type="parTrans" cxnId="{AC819739-B28C-4A82-93AA-F75828709AFC}">
      <dgm:prSet/>
      <dgm:spPr/>
      <dgm:t>
        <a:bodyPr/>
        <a:lstStyle/>
        <a:p>
          <a:endParaRPr lang="en-US"/>
        </a:p>
      </dgm:t>
    </dgm:pt>
    <dgm:pt modelId="{394DFCAA-DEFC-467B-B476-130800CFB6A1}" type="sibTrans" cxnId="{AC819739-B28C-4A82-93AA-F75828709AFC}">
      <dgm:prSet/>
      <dgm:spPr/>
      <dgm:t>
        <a:bodyPr/>
        <a:lstStyle/>
        <a:p>
          <a:endParaRPr lang="en-US"/>
        </a:p>
      </dgm:t>
    </dgm:pt>
    <dgm:pt modelId="{4E25DA1B-8C65-49C0-A887-3C15F6388522}">
      <dgm:prSet phldrT="[Text]"/>
      <dgm:spPr/>
      <dgm:t>
        <a:bodyPr/>
        <a:lstStyle/>
        <a:p>
          <a:r>
            <a:rPr lang="en-US"/>
            <a:t>Building Block Data</a:t>
          </a:r>
        </a:p>
      </dgm:t>
    </dgm:pt>
    <dgm:pt modelId="{5B53EB78-0BBD-4C5D-9B54-E24C9F7EFA6C}" type="parTrans" cxnId="{58FB6249-797F-4638-A4F7-2BF07D5F3AC6}">
      <dgm:prSet/>
      <dgm:spPr/>
      <dgm:t>
        <a:bodyPr/>
        <a:lstStyle/>
        <a:p>
          <a:endParaRPr lang="en-US"/>
        </a:p>
      </dgm:t>
    </dgm:pt>
    <dgm:pt modelId="{7AD2E433-74D9-4BC4-93F8-B3B57D458B17}" type="sibTrans" cxnId="{58FB6249-797F-4638-A4F7-2BF07D5F3AC6}">
      <dgm:prSet/>
      <dgm:spPr/>
      <dgm:t>
        <a:bodyPr/>
        <a:lstStyle/>
        <a:p>
          <a:endParaRPr lang="en-US"/>
        </a:p>
      </dgm:t>
    </dgm:pt>
    <dgm:pt modelId="{DB77FE18-EBD2-4C2C-BCFB-8F6094D150DE}">
      <dgm:prSet phldrT="[Text]"/>
      <dgm:spPr/>
      <dgm:t>
        <a:bodyPr/>
        <a:lstStyle/>
        <a:p>
          <a:r>
            <a:rPr lang="en-US"/>
            <a:t>Compiled Report</a:t>
          </a:r>
        </a:p>
      </dgm:t>
    </dgm:pt>
    <dgm:pt modelId="{EC4B350A-6D74-430B-911B-CB7070129F2B}" type="parTrans" cxnId="{44FFC960-0871-459E-BB0C-C68557675702}">
      <dgm:prSet/>
      <dgm:spPr/>
      <dgm:t>
        <a:bodyPr/>
        <a:lstStyle/>
        <a:p>
          <a:endParaRPr lang="en-US"/>
        </a:p>
      </dgm:t>
    </dgm:pt>
    <dgm:pt modelId="{A5CAE8E0-46DA-4441-AA1F-0968BFED8841}" type="sibTrans" cxnId="{44FFC960-0871-459E-BB0C-C68557675702}">
      <dgm:prSet/>
      <dgm:spPr/>
      <dgm:t>
        <a:bodyPr/>
        <a:lstStyle/>
        <a:p>
          <a:endParaRPr lang="en-US"/>
        </a:p>
      </dgm:t>
    </dgm:pt>
    <dgm:pt modelId="{06690188-10B4-4D3C-A048-0233520AE7D4}" type="pres">
      <dgm:prSet presAssocID="{03A09F67-D681-4E58-BC6B-32B6A016D753}" presName="Name0" presStyleCnt="0">
        <dgm:presLayoutVars>
          <dgm:dir/>
          <dgm:resizeHandles val="exact"/>
        </dgm:presLayoutVars>
      </dgm:prSet>
      <dgm:spPr/>
    </dgm:pt>
    <dgm:pt modelId="{6D5F29EC-EB9F-4B65-971D-5D0F13AE35C8}" type="pres">
      <dgm:prSet presAssocID="{024D6EB0-2C94-460A-ACA5-447B0D83A9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60655EC-796D-4CD4-888A-848EA07602FF}" type="pres">
      <dgm:prSet presAssocID="{394DFCAA-DEFC-467B-B476-130800CFB6A1}" presName="sibTrans" presStyleLbl="sibTrans2D1" presStyleIdx="0" presStyleCnt="2"/>
      <dgm:spPr/>
      <dgm:t>
        <a:bodyPr/>
        <a:lstStyle/>
        <a:p>
          <a:endParaRPr lang="en-US"/>
        </a:p>
      </dgm:t>
    </dgm:pt>
    <dgm:pt modelId="{D5F781BB-2205-4D64-8F48-C0F4FD7E802B}" type="pres">
      <dgm:prSet presAssocID="{394DFCAA-DEFC-467B-B476-130800CFB6A1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6048B5A0-F7F4-4E2F-A758-6B3633B502C3}" type="pres">
      <dgm:prSet presAssocID="{4E25DA1B-8C65-49C0-A887-3C15F6388522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83CD22F-BFBB-4D6E-B81E-DC77D3386C23}" type="pres">
      <dgm:prSet presAssocID="{7AD2E433-74D9-4BC4-93F8-B3B57D458B17}" presName="sibTrans" presStyleLbl="sibTrans2D1" presStyleIdx="1" presStyleCnt="2"/>
      <dgm:spPr/>
      <dgm:t>
        <a:bodyPr/>
        <a:lstStyle/>
        <a:p>
          <a:endParaRPr lang="en-US"/>
        </a:p>
      </dgm:t>
    </dgm:pt>
    <dgm:pt modelId="{C9D78233-C002-43F7-8DC0-7E550CD93246}" type="pres">
      <dgm:prSet presAssocID="{7AD2E433-74D9-4BC4-93F8-B3B57D458B17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6DD336ED-7247-4BA9-BB69-505FB5ED8F61}" type="pres">
      <dgm:prSet presAssocID="{DB77FE18-EBD2-4C2C-BCFB-8F6094D150DE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D9DD818-8730-42E5-A5C5-5193CF2F3AC8}" type="presOf" srcId="{024D6EB0-2C94-460A-ACA5-447B0D83A9EE}" destId="{6D5F29EC-EB9F-4B65-971D-5D0F13AE35C8}" srcOrd="0" destOrd="0" presId="urn:microsoft.com/office/officeart/2005/8/layout/process1"/>
    <dgm:cxn modelId="{64E768EC-83D0-44B0-9427-19A840C16F8C}" type="presOf" srcId="{7AD2E433-74D9-4BC4-93F8-B3B57D458B17}" destId="{183CD22F-BFBB-4D6E-B81E-DC77D3386C23}" srcOrd="0" destOrd="0" presId="urn:microsoft.com/office/officeart/2005/8/layout/process1"/>
    <dgm:cxn modelId="{44FFC960-0871-459E-BB0C-C68557675702}" srcId="{03A09F67-D681-4E58-BC6B-32B6A016D753}" destId="{DB77FE18-EBD2-4C2C-BCFB-8F6094D150DE}" srcOrd="2" destOrd="0" parTransId="{EC4B350A-6D74-430B-911B-CB7070129F2B}" sibTransId="{A5CAE8E0-46DA-4441-AA1F-0968BFED8841}"/>
    <dgm:cxn modelId="{BD4F4D23-3427-4806-B59B-706273A81628}" type="presOf" srcId="{394DFCAA-DEFC-467B-B476-130800CFB6A1}" destId="{D5F781BB-2205-4D64-8F48-C0F4FD7E802B}" srcOrd="1" destOrd="0" presId="urn:microsoft.com/office/officeart/2005/8/layout/process1"/>
    <dgm:cxn modelId="{B44DBB3D-DE44-4984-AD74-79E22C2A39ED}" type="presOf" srcId="{7AD2E433-74D9-4BC4-93F8-B3B57D458B17}" destId="{C9D78233-C002-43F7-8DC0-7E550CD93246}" srcOrd="1" destOrd="0" presId="urn:microsoft.com/office/officeart/2005/8/layout/process1"/>
    <dgm:cxn modelId="{58FB6249-797F-4638-A4F7-2BF07D5F3AC6}" srcId="{03A09F67-D681-4E58-BC6B-32B6A016D753}" destId="{4E25DA1B-8C65-49C0-A887-3C15F6388522}" srcOrd="1" destOrd="0" parTransId="{5B53EB78-0BBD-4C5D-9B54-E24C9F7EFA6C}" sibTransId="{7AD2E433-74D9-4BC4-93F8-B3B57D458B17}"/>
    <dgm:cxn modelId="{AC819739-B28C-4A82-93AA-F75828709AFC}" srcId="{03A09F67-D681-4E58-BC6B-32B6A016D753}" destId="{024D6EB0-2C94-460A-ACA5-447B0D83A9EE}" srcOrd="0" destOrd="0" parTransId="{280F2ACE-86FF-4A3B-A7E2-78CD66172739}" sibTransId="{394DFCAA-DEFC-467B-B476-130800CFB6A1}"/>
    <dgm:cxn modelId="{70E28051-E10D-43D8-9372-B040DE44CBFA}" type="presOf" srcId="{DB77FE18-EBD2-4C2C-BCFB-8F6094D150DE}" destId="{6DD336ED-7247-4BA9-BB69-505FB5ED8F61}" srcOrd="0" destOrd="0" presId="urn:microsoft.com/office/officeart/2005/8/layout/process1"/>
    <dgm:cxn modelId="{F0E3773D-BA55-400F-8CDF-5670894B8837}" type="presOf" srcId="{394DFCAA-DEFC-467B-B476-130800CFB6A1}" destId="{060655EC-796D-4CD4-888A-848EA07602FF}" srcOrd="0" destOrd="0" presId="urn:microsoft.com/office/officeart/2005/8/layout/process1"/>
    <dgm:cxn modelId="{AC4A68D4-C809-43A9-AA02-5DFEA08874F0}" type="presOf" srcId="{03A09F67-D681-4E58-BC6B-32B6A016D753}" destId="{06690188-10B4-4D3C-A048-0233520AE7D4}" srcOrd="0" destOrd="0" presId="urn:microsoft.com/office/officeart/2005/8/layout/process1"/>
    <dgm:cxn modelId="{906028A5-6671-4912-AF72-A4EC7EC1C90C}" type="presOf" srcId="{4E25DA1B-8C65-49C0-A887-3C15F6388522}" destId="{6048B5A0-F7F4-4E2F-A758-6B3633B502C3}" srcOrd="0" destOrd="0" presId="urn:microsoft.com/office/officeart/2005/8/layout/process1"/>
    <dgm:cxn modelId="{D8F0C868-11D2-404C-AEA3-4498013745D8}" type="presParOf" srcId="{06690188-10B4-4D3C-A048-0233520AE7D4}" destId="{6D5F29EC-EB9F-4B65-971D-5D0F13AE35C8}" srcOrd="0" destOrd="0" presId="urn:microsoft.com/office/officeart/2005/8/layout/process1"/>
    <dgm:cxn modelId="{97B44E63-F647-4B64-A1C9-56A771BDF3D3}" type="presParOf" srcId="{06690188-10B4-4D3C-A048-0233520AE7D4}" destId="{060655EC-796D-4CD4-888A-848EA07602FF}" srcOrd="1" destOrd="0" presId="urn:microsoft.com/office/officeart/2005/8/layout/process1"/>
    <dgm:cxn modelId="{CB80102F-4E0F-4FE5-8114-5795DC0AE57E}" type="presParOf" srcId="{060655EC-796D-4CD4-888A-848EA07602FF}" destId="{D5F781BB-2205-4D64-8F48-C0F4FD7E802B}" srcOrd="0" destOrd="0" presId="urn:microsoft.com/office/officeart/2005/8/layout/process1"/>
    <dgm:cxn modelId="{6B6EA338-F10F-410D-83A7-AA98913D1761}" type="presParOf" srcId="{06690188-10B4-4D3C-A048-0233520AE7D4}" destId="{6048B5A0-F7F4-4E2F-A758-6B3633B502C3}" srcOrd="2" destOrd="0" presId="urn:microsoft.com/office/officeart/2005/8/layout/process1"/>
    <dgm:cxn modelId="{3FA2290C-DF8E-4F1A-8DD9-2D966094B03F}" type="presParOf" srcId="{06690188-10B4-4D3C-A048-0233520AE7D4}" destId="{183CD22F-BFBB-4D6E-B81E-DC77D3386C23}" srcOrd="3" destOrd="0" presId="urn:microsoft.com/office/officeart/2005/8/layout/process1"/>
    <dgm:cxn modelId="{B267864C-5DE9-400A-8775-B7037A7A942D}" type="presParOf" srcId="{183CD22F-BFBB-4D6E-B81E-DC77D3386C23}" destId="{C9D78233-C002-43F7-8DC0-7E550CD93246}" srcOrd="0" destOrd="0" presId="urn:microsoft.com/office/officeart/2005/8/layout/process1"/>
    <dgm:cxn modelId="{5144B254-18F7-4420-B8A3-C5005A36CCD3}" type="presParOf" srcId="{06690188-10B4-4D3C-A048-0233520AE7D4}" destId="{6DD336ED-7247-4BA9-BB69-505FB5ED8F61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</xdr:row>
      <xdr:rowOff>90487</xdr:rowOff>
    </xdr:from>
    <xdr:to>
      <xdr:col>7</xdr:col>
      <xdr:colOff>38100</xdr:colOff>
      <xdr:row>42</xdr:row>
      <xdr:rowOff>80962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123825</xdr:rowOff>
    </xdr:from>
    <xdr:to>
      <xdr:col>7</xdr:col>
      <xdr:colOff>47625</xdr:colOff>
      <xdr:row>27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771525"/>
          <a:ext cx="3800475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</xdr:row>
      <xdr:rowOff>142875</xdr:rowOff>
    </xdr:from>
    <xdr:to>
      <xdr:col>11</xdr:col>
      <xdr:colOff>361950</xdr:colOff>
      <xdr:row>20</xdr:row>
      <xdr:rowOff>57150</xdr:rowOff>
    </xdr:to>
    <xdr:pic>
      <xdr:nvPicPr>
        <xdr:cNvPr id="3" name="id_665" descr="http://onthemap.ces.census.gov/cgi-bin/report.py?mode=get&amp;component=polar_chart&amp;settings=%7B%22labor%22%3A%22s000%22%2C%22year%22%3A2010%2C%22analysis_type%22%3A%22distance_direction_report%22%2C%22job_type%22%3A%22jt01%22%2C%22origin_type%22%3A%22work%22%2C%22distance%22%3A%22all%22%2C%22color%22%3A%5B%22%230000AA%22%5D%7D&amp;report_id=otm_bdf608be97cf4dc8a68c22d611cb7bfe&amp;format=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90575"/>
          <a:ext cx="24574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160020</xdr:colOff>
          <xdr:row>0</xdr:row>
          <xdr:rowOff>76200</xdr:rowOff>
        </xdr:from>
        <xdr:to>
          <xdr:col>6</xdr:col>
          <xdr:colOff>777240</xdr:colOff>
          <xdr:row>3</xdr:row>
          <xdr:rowOff>30480</xdr:rowOff>
        </xdr:to>
        <xdr:grpSp>
          <xdr:nvGrpSpPr>
            <xdr:cNvPr id="6" name="Group 5"/>
            <xdr:cNvGrpSpPr/>
          </xdr:nvGrpSpPr>
          <xdr:grpSpPr>
            <a:xfrm>
              <a:off x="4986020" y="76200"/>
              <a:ext cx="3030220" cy="449580"/>
              <a:chOff x="4989217" y="28575"/>
              <a:chExt cx="2979288" cy="440405"/>
            </a:xfrm>
          </xdr:grpSpPr>
          <xdr:sp macro="" textlink="">
            <xdr:nvSpPr>
              <xdr:cNvPr id="59398" name="ToggleButton1" hidden="1">
                <a:extLst>
                  <a:ext uri="{63B3BB69-23CF-44E3-9099-C40C66FF867C}">
                    <a14:compatExt spid="_x0000_s59398"/>
                  </a:ext>
                </a:extLst>
              </xdr:cNvPr>
              <xdr:cNvSpPr/>
            </xdr:nvSpPr>
            <xdr:spPr>
              <a:xfrm>
                <a:off x="4989217" y="28575"/>
                <a:ext cx="891540" cy="440405"/>
              </a:xfrm>
              <a:prstGeom prst="rect">
                <a:avLst/>
              </a:prstGeom>
            </xdr:spPr>
          </xdr:sp>
          <xdr:sp macro="" textlink="">
            <xdr:nvSpPr>
              <xdr:cNvPr id="59399" name="ToggleButton2" hidden="1">
                <a:extLst>
                  <a:ext uri="{63B3BB69-23CF-44E3-9099-C40C66FF867C}">
                    <a14:compatExt spid="_x0000_s59399"/>
                  </a:ext>
                </a:extLst>
              </xdr:cNvPr>
              <xdr:cNvSpPr/>
            </xdr:nvSpPr>
            <xdr:spPr>
              <a:xfrm>
                <a:off x="7264264" y="28575"/>
                <a:ext cx="704241" cy="432940"/>
              </a:xfrm>
              <a:prstGeom prst="rect">
                <a:avLst/>
              </a:prstGeom>
            </xdr:spPr>
          </xdr:sp>
          <xdr:sp macro="" textlink="">
            <xdr:nvSpPr>
              <xdr:cNvPr id="59400" name="ToggleButton3" hidden="1">
                <a:extLst>
                  <a:ext uri="{63B3BB69-23CF-44E3-9099-C40C66FF867C}">
                    <a14:compatExt spid="_x0000_s59400"/>
                  </a:ext>
                </a:extLst>
              </xdr:cNvPr>
              <xdr:cNvSpPr/>
            </xdr:nvSpPr>
            <xdr:spPr>
              <a:xfrm>
                <a:off x="5940691" y="36039"/>
                <a:ext cx="894037" cy="418011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59401" name="ToggleButton4" hidden="1">
              <a:extLst>
                <a:ext uri="{63B3BB69-23CF-44E3-9099-C40C66FF867C}">
                  <a14:compatExt spid="_x0000_s59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0</xdr:row>
          <xdr:rowOff>22860</xdr:rowOff>
        </xdr:from>
        <xdr:to>
          <xdr:col>6</xdr:col>
          <xdr:colOff>655320</xdr:colOff>
          <xdr:row>2</xdr:row>
          <xdr:rowOff>144780</xdr:rowOff>
        </xdr:to>
        <xdr:grpSp>
          <xdr:nvGrpSpPr>
            <xdr:cNvPr id="11" name="Group 10"/>
            <xdr:cNvGrpSpPr/>
          </xdr:nvGrpSpPr>
          <xdr:grpSpPr>
            <a:xfrm>
              <a:off x="4914900" y="22860"/>
              <a:ext cx="2998470" cy="464820"/>
              <a:chOff x="4991042" y="32233"/>
              <a:chExt cx="2941895" cy="446227"/>
            </a:xfrm>
          </xdr:grpSpPr>
          <xdr:sp macro="" textlink="">
            <xdr:nvSpPr>
              <xdr:cNvPr id="89096" name="ToggleButton1" hidden="1">
                <a:extLst>
                  <a:ext uri="{63B3BB69-23CF-44E3-9099-C40C66FF867C}">
                    <a14:compatExt spid="_x0000_s89096"/>
                  </a:ext>
                </a:extLst>
              </xdr:cNvPr>
              <xdr:cNvSpPr/>
            </xdr:nvSpPr>
            <xdr:spPr>
              <a:xfrm>
                <a:off x="4991042" y="32233"/>
                <a:ext cx="889671" cy="446227"/>
              </a:xfrm>
              <a:prstGeom prst="rect">
                <a:avLst/>
              </a:prstGeom>
            </xdr:spPr>
          </xdr:sp>
          <xdr:sp macro="" textlink="">
            <xdr:nvSpPr>
              <xdr:cNvPr id="89097" name="ToggleButton2" hidden="1">
                <a:extLst>
                  <a:ext uri="{63B3BB69-23CF-44E3-9099-C40C66FF867C}">
                    <a14:compatExt spid="_x0000_s89097"/>
                  </a:ext>
                </a:extLst>
              </xdr:cNvPr>
              <xdr:cNvSpPr/>
            </xdr:nvSpPr>
            <xdr:spPr>
              <a:xfrm>
                <a:off x="7232041" y="32233"/>
                <a:ext cx="700896" cy="438912"/>
              </a:xfrm>
              <a:prstGeom prst="rect">
                <a:avLst/>
              </a:prstGeom>
            </xdr:spPr>
          </xdr:sp>
          <xdr:sp macro="" textlink="">
            <xdr:nvSpPr>
              <xdr:cNvPr id="89098" name="ToggleButton3" hidden="1">
                <a:extLst>
                  <a:ext uri="{63B3BB69-23CF-44E3-9099-C40C66FF867C}">
                    <a14:compatExt spid="_x0000_s89098"/>
                  </a:ext>
                </a:extLst>
              </xdr:cNvPr>
              <xdr:cNvSpPr/>
            </xdr:nvSpPr>
            <xdr:spPr>
              <a:xfrm>
                <a:off x="5933048" y="39548"/>
                <a:ext cx="895278" cy="424282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89099" name="ToggleButton4" hidden="1">
              <a:extLst>
                <a:ext uri="{63B3BB69-23CF-44E3-9099-C40C66FF867C}">
                  <a14:compatExt spid="_x0000_s89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0</xdr:row>
          <xdr:rowOff>68580</xdr:rowOff>
        </xdr:from>
        <xdr:to>
          <xdr:col>6</xdr:col>
          <xdr:colOff>815341</xdr:colOff>
          <xdr:row>3</xdr:row>
          <xdr:rowOff>22861</xdr:rowOff>
        </xdr:to>
        <xdr:grpSp>
          <xdr:nvGrpSpPr>
            <xdr:cNvPr id="15" name="Group 14"/>
            <xdr:cNvGrpSpPr/>
          </xdr:nvGrpSpPr>
          <xdr:grpSpPr>
            <a:xfrm>
              <a:off x="5036820" y="68580"/>
              <a:ext cx="3036571" cy="468631"/>
              <a:chOff x="4989173" y="30368"/>
              <a:chExt cx="2979277" cy="441064"/>
            </a:xfrm>
          </xdr:grpSpPr>
          <xdr:sp macro="" textlink="">
            <xdr:nvSpPr>
              <xdr:cNvPr id="90123" name="ToggleButton1" hidden="1">
                <a:extLst>
                  <a:ext uri="{63B3BB69-23CF-44E3-9099-C40C66FF867C}">
                    <a14:compatExt spid="_x0000_s90123"/>
                  </a:ext>
                </a:extLst>
              </xdr:cNvPr>
              <xdr:cNvSpPr/>
            </xdr:nvSpPr>
            <xdr:spPr>
              <a:xfrm>
                <a:off x="4989173" y="30368"/>
                <a:ext cx="889671" cy="441064"/>
              </a:xfrm>
              <a:prstGeom prst="rect">
                <a:avLst/>
              </a:prstGeom>
            </xdr:spPr>
          </xdr:sp>
          <xdr:sp macro="" textlink="">
            <xdr:nvSpPr>
              <xdr:cNvPr id="90124" name="ToggleButton2" hidden="1">
                <a:extLst>
                  <a:ext uri="{63B3BB69-23CF-44E3-9099-C40C66FF867C}">
                    <a14:compatExt spid="_x0000_s90124"/>
                  </a:ext>
                </a:extLst>
              </xdr:cNvPr>
              <xdr:cNvSpPr/>
            </xdr:nvSpPr>
            <xdr:spPr>
              <a:xfrm>
                <a:off x="7265684" y="30368"/>
                <a:ext cx="702766" cy="433892"/>
              </a:xfrm>
              <a:prstGeom prst="rect">
                <a:avLst/>
              </a:prstGeom>
            </xdr:spPr>
          </xdr:sp>
          <xdr:sp macro="" textlink="">
            <xdr:nvSpPr>
              <xdr:cNvPr id="90125" name="ToggleButton3" hidden="1">
                <a:extLst>
                  <a:ext uri="{63B3BB69-23CF-44E3-9099-C40C66FF867C}">
                    <a14:compatExt spid="_x0000_s90125"/>
                  </a:ext>
                </a:extLst>
              </xdr:cNvPr>
              <xdr:cNvSpPr/>
            </xdr:nvSpPr>
            <xdr:spPr>
              <a:xfrm>
                <a:off x="5938655" y="37540"/>
                <a:ext cx="895278" cy="419548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90126" name="ToggleButton4" hidden="1">
              <a:extLst>
                <a:ext uri="{63B3BB69-23CF-44E3-9099-C40C66FF867C}">
                  <a14:compatExt spid="_x0000_s90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285750</xdr:colOff>
          <xdr:row>0</xdr:row>
          <xdr:rowOff>57150</xdr:rowOff>
        </xdr:from>
        <xdr:to>
          <xdr:col>6</xdr:col>
          <xdr:colOff>899160</xdr:colOff>
          <xdr:row>3</xdr:row>
          <xdr:rowOff>28575</xdr:rowOff>
        </xdr:to>
        <xdr:grpSp>
          <xdr:nvGrpSpPr>
            <xdr:cNvPr id="6" name="Group 5"/>
            <xdr:cNvGrpSpPr/>
          </xdr:nvGrpSpPr>
          <xdr:grpSpPr>
            <a:xfrm>
              <a:off x="5124450" y="57150"/>
              <a:ext cx="3032760" cy="485775"/>
              <a:chOff x="4991033" y="28575"/>
              <a:chExt cx="2975539" cy="457200"/>
            </a:xfrm>
          </xdr:grpSpPr>
          <xdr:sp macro="" textlink="">
            <xdr:nvSpPr>
              <xdr:cNvPr id="91141" name="ToggleButton1" hidden="1">
                <a:extLst>
                  <a:ext uri="{63B3BB69-23CF-44E3-9099-C40C66FF867C}">
                    <a14:compatExt spid="_x0000_s91141"/>
                  </a:ext>
                </a:extLst>
              </xdr:cNvPr>
              <xdr:cNvSpPr/>
            </xdr:nvSpPr>
            <xdr:spPr>
              <a:xfrm>
                <a:off x="4991033" y="28575"/>
                <a:ext cx="904884" cy="457200"/>
              </a:xfrm>
              <a:prstGeom prst="rect">
                <a:avLst/>
              </a:prstGeom>
            </xdr:spPr>
          </xdr:sp>
          <xdr:sp macro="" textlink="">
            <xdr:nvSpPr>
              <xdr:cNvPr id="91142" name="ToggleButton2" hidden="1">
                <a:extLst>
                  <a:ext uri="{63B3BB69-23CF-44E3-9099-C40C66FF867C}">
                    <a14:compatExt spid="_x0000_s91142"/>
                  </a:ext>
                </a:extLst>
              </xdr:cNvPr>
              <xdr:cNvSpPr/>
            </xdr:nvSpPr>
            <xdr:spPr>
              <a:xfrm>
                <a:off x="7263806" y="32161"/>
                <a:ext cx="702766" cy="433892"/>
              </a:xfrm>
              <a:prstGeom prst="rect">
                <a:avLst/>
              </a:prstGeom>
            </xdr:spPr>
          </xdr:sp>
          <xdr:sp macro="" textlink="">
            <xdr:nvSpPr>
              <xdr:cNvPr id="91143" name="ToggleButton3" hidden="1">
                <a:extLst>
                  <a:ext uri="{63B3BB69-23CF-44E3-9099-C40C66FF867C}">
                    <a14:compatExt spid="_x0000_s91143"/>
                  </a:ext>
                </a:extLst>
              </xdr:cNvPr>
              <xdr:cNvSpPr/>
            </xdr:nvSpPr>
            <xdr:spPr>
              <a:xfrm>
                <a:off x="5964812" y="39333"/>
                <a:ext cx="897148" cy="419548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0</xdr:row>
          <xdr:rowOff>76200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91144" name="ToggleButton4" hidden="1">
              <a:extLst>
                <a:ext uri="{63B3BB69-23CF-44E3-9099-C40C66FF867C}">
                  <a14:compatExt spid="_x0000_s9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386953</xdr:colOff>
      <xdr:row>100</xdr:row>
      <xdr:rowOff>14883</xdr:rowOff>
    </xdr:from>
    <xdr:to>
      <xdr:col>11</xdr:col>
      <xdr:colOff>181689</xdr:colOff>
      <xdr:row>125</xdr:row>
      <xdr:rowOff>117718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564271</xdr:colOff>
      <xdr:row>100</xdr:row>
      <xdr:rowOff>24707</xdr:rowOff>
    </xdr:from>
    <xdr:to>
      <xdr:col>23</xdr:col>
      <xdr:colOff>457659</xdr:colOff>
      <xdr:row>125</xdr:row>
      <xdr:rowOff>127542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135</xdr:row>
      <xdr:rowOff>0</xdr:rowOff>
    </xdr:from>
    <xdr:to>
      <xdr:col>10</xdr:col>
      <xdr:colOff>360283</xdr:colOff>
      <xdr:row>160</xdr:row>
      <xdr:rowOff>102835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193476</xdr:colOff>
      <xdr:row>135</xdr:row>
      <xdr:rowOff>9826</xdr:rowOff>
    </xdr:from>
    <xdr:to>
      <xdr:col>23</xdr:col>
      <xdr:colOff>86864</xdr:colOff>
      <xdr:row>160</xdr:row>
      <xdr:rowOff>112236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185822</xdr:colOff>
      <xdr:row>98</xdr:row>
      <xdr:rowOff>34825</xdr:rowOff>
    </xdr:from>
    <xdr:to>
      <xdr:col>9</xdr:col>
      <xdr:colOff>63902</xdr:colOff>
      <xdr:row>123</xdr:row>
      <xdr:rowOff>148291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446484</xdr:colOff>
      <xdr:row>98</xdr:row>
      <xdr:rowOff>44649</xdr:rowOff>
    </xdr:from>
    <xdr:to>
      <xdr:col>21</xdr:col>
      <xdr:colOff>458509</xdr:colOff>
      <xdr:row>123</xdr:row>
      <xdr:rowOff>158115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185822</xdr:colOff>
      <xdr:row>21</xdr:row>
      <xdr:rowOff>149678</xdr:rowOff>
    </xdr:from>
    <xdr:to>
      <xdr:col>9</xdr:col>
      <xdr:colOff>63902</xdr:colOff>
      <xdr:row>47</xdr:row>
      <xdr:rowOff>99434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282348</xdr:colOff>
      <xdr:row>21</xdr:row>
      <xdr:rowOff>149678</xdr:rowOff>
    </xdr:from>
    <xdr:to>
      <xdr:col>21</xdr:col>
      <xdr:colOff>294373</xdr:colOff>
      <xdr:row>47</xdr:row>
      <xdr:rowOff>99434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437555</xdr:colOff>
      <xdr:row>57</xdr:row>
      <xdr:rowOff>94355</xdr:rowOff>
    </xdr:from>
    <xdr:to>
      <xdr:col>14</xdr:col>
      <xdr:colOff>494229</xdr:colOff>
      <xdr:row>83</xdr:row>
      <xdr:rowOff>44111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491132</xdr:colOff>
      <xdr:row>137</xdr:row>
      <xdr:rowOff>133946</xdr:rowOff>
    </xdr:from>
    <xdr:to>
      <xdr:col>21</xdr:col>
      <xdr:colOff>503157</xdr:colOff>
      <xdr:row>163</xdr:row>
      <xdr:rowOff>83703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137</xdr:row>
      <xdr:rowOff>148828</xdr:rowOff>
    </xdr:from>
    <xdr:to>
      <xdr:col>9</xdr:col>
      <xdr:colOff>29766</xdr:colOff>
      <xdr:row>164</xdr:row>
      <xdr:rowOff>29766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594360</xdr:colOff>
          <xdr:row>4</xdr:row>
          <xdr:rowOff>137160</xdr:rowOff>
        </xdr:from>
        <xdr:to>
          <xdr:col>5</xdr:col>
          <xdr:colOff>1280160</xdr:colOff>
          <xdr:row>7</xdr:row>
          <xdr:rowOff>45720</xdr:rowOff>
        </xdr:to>
        <xdr:sp macro="" textlink="">
          <xdr:nvSpPr>
            <xdr:cNvPr id="162817" name="Button 1" hidden="1">
              <a:extLst>
                <a:ext uri="{63B3BB69-23CF-44E3-9099-C40C66FF867C}">
                  <a14:compatExt spid="_x0000_s162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Table by Annual Wages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5233" name="Button 1" hidden="1">
              <a:extLst>
                <a:ext uri="{63B3BB69-23CF-44E3-9099-C40C66FF867C}">
                  <a14:compatExt spid="_x0000_s95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5234" name="Button 2" hidden="1">
              <a:extLst>
                <a:ext uri="{63B3BB69-23CF-44E3-9099-C40C66FF867C}">
                  <a14:compatExt spid="_x0000_s95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5235" name="Group Box 3" hidden="1">
              <a:extLst>
                <a:ext uri="{63B3BB69-23CF-44E3-9099-C40C66FF867C}">
                  <a14:compatExt spid="_x0000_s95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6257" name="Button 1" hidden="1">
              <a:extLst>
                <a:ext uri="{63B3BB69-23CF-44E3-9099-C40C66FF867C}">
                  <a14:compatExt spid="_x0000_s9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6258" name="Button 2" hidden="1">
              <a:extLst>
                <a:ext uri="{63B3BB69-23CF-44E3-9099-C40C66FF867C}">
                  <a14:compatExt spid="_x0000_s9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6259" name="Group Box 3" hidden="1">
              <a:extLst>
                <a:ext uri="{63B3BB69-23CF-44E3-9099-C40C66FF867C}">
                  <a14:compatExt spid="_x0000_s9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7281" name="Button 1" hidden="1">
              <a:extLst>
                <a:ext uri="{63B3BB69-23CF-44E3-9099-C40C66FF867C}">
                  <a14:compatExt spid="_x0000_s9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7282" name="Button 2" hidden="1">
              <a:extLst>
                <a:ext uri="{63B3BB69-23CF-44E3-9099-C40C66FF867C}">
                  <a14:compatExt spid="_x0000_s9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7283" name="Group Box 3" hidden="1">
              <a:extLst>
                <a:ext uri="{63B3BB69-23CF-44E3-9099-C40C66FF867C}">
                  <a14:compatExt spid="_x0000_s9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1</xdr:row>
          <xdr:rowOff>190500</xdr:rowOff>
        </xdr:from>
        <xdr:to>
          <xdr:col>13</xdr:col>
          <xdr:colOff>60960</xdr:colOff>
          <xdr:row>3</xdr:row>
          <xdr:rowOff>45720</xdr:rowOff>
        </xdr:to>
        <xdr:sp macro="" textlink="">
          <xdr:nvSpPr>
            <xdr:cNvPr id="98305" name="Button 1" hidden="1">
              <a:extLst>
                <a:ext uri="{63B3BB69-23CF-44E3-9099-C40C66FF867C}">
                  <a14:compatExt spid="_x0000_s98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236220</xdr:colOff>
          <xdr:row>2</xdr:row>
          <xdr:rowOff>0</xdr:rowOff>
        </xdr:from>
        <xdr:to>
          <xdr:col>11</xdr:col>
          <xdr:colOff>83820</xdr:colOff>
          <xdr:row>3</xdr:row>
          <xdr:rowOff>60960</xdr:rowOff>
        </xdr:to>
        <xdr:sp macro="" textlink="">
          <xdr:nvSpPr>
            <xdr:cNvPr id="98306" name="Button 2" hidden="1">
              <a:extLst>
                <a:ext uri="{63B3BB69-23CF-44E3-9099-C40C66FF867C}">
                  <a14:compatExt spid="_x0000_s98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114300</xdr:rowOff>
        </xdr:from>
        <xdr:to>
          <xdr:col>13</xdr:col>
          <xdr:colOff>236220</xdr:colOff>
          <xdr:row>3</xdr:row>
          <xdr:rowOff>121920</xdr:rowOff>
        </xdr:to>
        <xdr:sp macro="" textlink="">
          <xdr:nvSpPr>
            <xdr:cNvPr id="98307" name="Group Box 3" hidden="1">
              <a:extLst>
                <a:ext uri="{63B3BB69-23CF-44E3-9099-C40C66FF867C}">
                  <a14:compatExt spid="_x0000_s98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175260</xdr:colOff>
          <xdr:row>0</xdr:row>
          <xdr:rowOff>152400</xdr:rowOff>
        </xdr:from>
        <xdr:to>
          <xdr:col>9</xdr:col>
          <xdr:colOff>99060</xdr:colOff>
          <xdr:row>2</xdr:row>
          <xdr:rowOff>68580</xdr:rowOff>
        </xdr:to>
        <xdr:sp macro="" textlink="">
          <xdr:nvSpPr>
            <xdr:cNvPr id="16386" name="Button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99060</xdr:rowOff>
        </xdr:from>
        <xdr:to>
          <xdr:col>9</xdr:col>
          <xdr:colOff>228600</xdr:colOff>
          <xdr:row>2</xdr:row>
          <xdr:rowOff>144780</xdr:rowOff>
        </xdr:to>
        <xdr:sp macro="" textlink="">
          <xdr:nvSpPr>
            <xdr:cNvPr id="16387" name="Group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68580</xdr:colOff>
          <xdr:row>0</xdr:row>
          <xdr:rowOff>175260</xdr:rowOff>
        </xdr:from>
        <xdr:to>
          <xdr:col>7</xdr:col>
          <xdr:colOff>137160</xdr:colOff>
          <xdr:row>2</xdr:row>
          <xdr:rowOff>76200</xdr:rowOff>
        </xdr:to>
        <xdr:sp macro="" textlink="">
          <xdr:nvSpPr>
            <xdr:cNvPr id="16388" name="Button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144780</xdr:colOff>
          <xdr:row>0</xdr:row>
          <xdr:rowOff>182880</xdr:rowOff>
        </xdr:from>
        <xdr:to>
          <xdr:col>10</xdr:col>
          <xdr:colOff>198120</xdr:colOff>
          <xdr:row>2</xdr:row>
          <xdr:rowOff>99060</xdr:rowOff>
        </xdr:to>
        <xdr:sp macro="" textlink="">
          <xdr:nvSpPr>
            <xdr:cNvPr id="17410" name="Button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0</xdr:row>
          <xdr:rowOff>121920</xdr:rowOff>
        </xdr:from>
        <xdr:to>
          <xdr:col>10</xdr:col>
          <xdr:colOff>335280</xdr:colOff>
          <xdr:row>2</xdr:row>
          <xdr:rowOff>175260</xdr:rowOff>
        </xdr:to>
        <xdr:sp macro="" textlink="">
          <xdr:nvSpPr>
            <xdr:cNvPr id="17411" name="Group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754380</xdr:colOff>
          <xdr:row>1</xdr:row>
          <xdr:rowOff>0</xdr:rowOff>
        </xdr:from>
        <xdr:to>
          <xdr:col>8</xdr:col>
          <xdr:colOff>106680</xdr:colOff>
          <xdr:row>2</xdr:row>
          <xdr:rowOff>106680</xdr:rowOff>
        </xdr:to>
        <xdr:sp macro="" textlink="">
          <xdr:nvSpPr>
            <xdr:cNvPr id="17412" name="Button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274320</xdr:colOff>
          <xdr:row>0</xdr:row>
          <xdr:rowOff>190500</xdr:rowOff>
        </xdr:from>
        <xdr:to>
          <xdr:col>10</xdr:col>
          <xdr:colOff>335280</xdr:colOff>
          <xdr:row>2</xdr:row>
          <xdr:rowOff>106680</xdr:rowOff>
        </xdr:to>
        <xdr:sp macro="" textlink="">
          <xdr:nvSpPr>
            <xdr:cNvPr id="18434" name="Button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822960</xdr:colOff>
          <xdr:row>0</xdr:row>
          <xdr:rowOff>137160</xdr:rowOff>
        </xdr:from>
        <xdr:to>
          <xdr:col>10</xdr:col>
          <xdr:colOff>464820</xdr:colOff>
          <xdr:row>2</xdr:row>
          <xdr:rowOff>182880</xdr:rowOff>
        </xdr:to>
        <xdr:sp macro="" textlink="">
          <xdr:nvSpPr>
            <xdr:cNvPr id="18435" name="Group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883920</xdr:colOff>
          <xdr:row>1</xdr:row>
          <xdr:rowOff>7620</xdr:rowOff>
        </xdr:from>
        <xdr:to>
          <xdr:col>8</xdr:col>
          <xdr:colOff>236220</xdr:colOff>
          <xdr:row>2</xdr:row>
          <xdr:rowOff>114300</xdr:rowOff>
        </xdr:to>
        <xdr:sp macro="" textlink="">
          <xdr:nvSpPr>
            <xdr:cNvPr id="18436" name="Button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19458" name="Button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19459" name="Group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19460" name="Button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39938" name="Button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39939" name="Group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39940" name="Button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0963" name="Group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0964" name="Button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1986" name="Button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1987" name="Group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1988" name="Button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3010" name="Button 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3011" name="Group Box 3" hidden="1">
              <a:extLst>
                <a:ext uri="{63B3BB69-23CF-44E3-9099-C40C66FF867C}">
                  <a14:compatExt spid="_x0000_s430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3012" name="Button 4" hidden="1">
              <a:extLst>
                <a:ext uri="{63B3BB69-23CF-44E3-9099-C40C66FF867C}">
                  <a14:compatExt spid="_x0000_s430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7171" name="Group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7172" name="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9219" name="Group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10243" name="Group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8130" name="Button 2" hidden="1">
              <a:extLst>
                <a:ext uri="{63B3BB69-23CF-44E3-9099-C40C66FF867C}">
                  <a14:compatExt spid="_x0000_s48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8131" name="Group Box 3" hidden="1">
              <a:extLst>
                <a:ext uri="{63B3BB69-23CF-44E3-9099-C40C66FF867C}">
                  <a14:compatExt spid="_x0000_s48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8132" name="Button 4" hidden="1">
              <a:extLst>
                <a:ext uri="{63B3BB69-23CF-44E3-9099-C40C66FF867C}">
                  <a14:compatExt spid="_x0000_s48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49155" name="Group Box 3" hidden="1">
              <a:extLst>
                <a:ext uri="{63B3BB69-23CF-44E3-9099-C40C66FF867C}">
                  <a14:compatExt spid="_x0000_s49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50179" name="Group Box 3" hidden="1">
              <a:extLst>
                <a:ext uri="{63B3BB69-23CF-44E3-9099-C40C66FF867C}">
                  <a14:compatExt spid="_x0000_s50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0</xdr:row>
          <xdr:rowOff>160020</xdr:rowOff>
        </xdr:from>
        <xdr:to>
          <xdr:col>11</xdr:col>
          <xdr:colOff>38100</xdr:colOff>
          <xdr:row>2</xdr:row>
          <xdr:rowOff>76200</xdr:rowOff>
        </xdr:to>
        <xdr:sp macro="" textlink="">
          <xdr:nvSpPr>
            <xdr:cNvPr id="51202" name="Button 2" hidden="1">
              <a:extLst>
                <a:ext uri="{63B3BB69-23CF-44E3-9099-C40C66FF867C}">
                  <a14:compatExt spid="_x0000_s5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White Background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1104900</xdr:colOff>
          <xdr:row>0</xdr:row>
          <xdr:rowOff>106680</xdr:rowOff>
        </xdr:from>
        <xdr:to>
          <xdr:col>11</xdr:col>
          <xdr:colOff>175260</xdr:colOff>
          <xdr:row>2</xdr:row>
          <xdr:rowOff>152400</xdr:rowOff>
        </xdr:to>
        <xdr:sp macro="" textlink="">
          <xdr:nvSpPr>
            <xdr:cNvPr id="51203" name="Group Box 3" hidden="1">
              <a:extLst>
                <a:ext uri="{63B3BB69-23CF-44E3-9099-C40C66FF867C}">
                  <a14:compatExt spid="_x0000_s5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Text Formatting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0</xdr:row>
          <xdr:rowOff>182880</xdr:rowOff>
        </xdr:from>
        <xdr:to>
          <xdr:col>8</xdr:col>
          <xdr:colOff>525780</xdr:colOff>
          <xdr:row>2</xdr:row>
          <xdr:rowOff>83820</xdr:rowOff>
        </xdr:to>
        <xdr:sp macro="" textlink="">
          <xdr:nvSpPr>
            <xdr:cNvPr id="51204" name="Button 4" hidden="1">
              <a:extLst>
                <a:ext uri="{63B3BB69-23CF-44E3-9099-C40C66FF867C}">
                  <a14:compatExt spid="_x0000_s5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Revert</a:t>
              </a:r>
            </a:p>
          </xdr:txBody>
        </xdr:sp>
        <xdr:clientData fPrintsWithSheet="0"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TM.Util.updateReportSetting(%22distance%22,%22distance2%22)" TargetMode="External"/><Relationship Id="rId2" Type="http://schemas.openxmlformats.org/officeDocument/2006/relationships/hyperlink" Target="javascript:OTM.Util.updateReportSetting(%22distance%22,%22distance1%22)" TargetMode="External"/><Relationship Id="rId1" Type="http://schemas.openxmlformats.org/officeDocument/2006/relationships/hyperlink" Target="javascript:OTM.Util.updateReportSetting(%22distance%22,%22distance0%22)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javascript:OTM.Util.updateReportSetting(%22distance%22,%22distance3%22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6.xml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0" Type="http://schemas.openxmlformats.org/officeDocument/2006/relationships/control" Target="../activeX/activeX8.xml"/><Relationship Id="rId4" Type="http://schemas.openxmlformats.org/officeDocument/2006/relationships/control" Target="../activeX/activeX5.xml"/><Relationship Id="rId9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2.emf"/><Relationship Id="rId12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0.xml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13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6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4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7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bls.gov/oes/current/oessrcma.htm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comments" Target="../comments2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comments" Target="../comments3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19.xml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comments" Target="../comments4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comments" Target="../comments5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7" Type="http://schemas.openxmlformats.org/officeDocument/2006/relationships/comments" Target="../comments6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7" Type="http://schemas.openxmlformats.org/officeDocument/2006/relationships/comments" Target="../comments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31.xml"/><Relationship Id="rId5" Type="http://schemas.openxmlformats.org/officeDocument/2006/relationships/ctrlProp" Target="../ctrlProps/ctrlProp30.xml"/><Relationship Id="rId4" Type="http://schemas.openxmlformats.org/officeDocument/2006/relationships/ctrlProp" Target="../ctrlProps/ctrlProp2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7" Type="http://schemas.openxmlformats.org/officeDocument/2006/relationships/comments" Target="../comments8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ctrlProp" Target="../ctrlProps/ctrlProp3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7" Type="http://schemas.openxmlformats.org/officeDocument/2006/relationships/comments" Target="../comments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37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7" Type="http://schemas.openxmlformats.org/officeDocument/2006/relationships/comments" Target="../comments1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40.xml"/><Relationship Id="rId5" Type="http://schemas.openxmlformats.org/officeDocument/2006/relationships/ctrlProp" Target="../ctrlProps/ctrlProp39.xml"/><Relationship Id="rId4" Type="http://schemas.openxmlformats.org/officeDocument/2006/relationships/ctrlProp" Target="../ctrlProps/ctrlProp3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7" Type="http://schemas.openxmlformats.org/officeDocument/2006/relationships/comments" Target="../comments11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7" Type="http://schemas.openxmlformats.org/officeDocument/2006/relationships/comments" Target="../comments12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46.xml"/><Relationship Id="rId5" Type="http://schemas.openxmlformats.org/officeDocument/2006/relationships/ctrlProp" Target="../ctrlProps/ctrlProp45.xml"/><Relationship Id="rId4" Type="http://schemas.openxmlformats.org/officeDocument/2006/relationships/ctrlProp" Target="../ctrlProps/ctrlProp4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7" Type="http://schemas.openxmlformats.org/officeDocument/2006/relationships/comments" Target="../comments13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49.xml"/><Relationship Id="rId5" Type="http://schemas.openxmlformats.org/officeDocument/2006/relationships/ctrlProp" Target="../ctrlProps/ctrlProp48.xml"/><Relationship Id="rId4" Type="http://schemas.openxmlformats.org/officeDocument/2006/relationships/ctrlProp" Target="../ctrlProps/ctrlProp4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7" Type="http://schemas.openxmlformats.org/officeDocument/2006/relationships/comments" Target="../comments14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52.xml"/><Relationship Id="rId5" Type="http://schemas.openxmlformats.org/officeDocument/2006/relationships/ctrlProp" Target="../ctrlProps/ctrlProp51.xml"/><Relationship Id="rId4" Type="http://schemas.openxmlformats.org/officeDocument/2006/relationships/ctrlProp" Target="../ctrlProps/ctrlProp5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7" Type="http://schemas.openxmlformats.org/officeDocument/2006/relationships/comments" Target="../comments15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55.xml"/><Relationship Id="rId5" Type="http://schemas.openxmlformats.org/officeDocument/2006/relationships/ctrlProp" Target="../ctrlProps/ctrlProp54.xml"/><Relationship Id="rId4" Type="http://schemas.openxmlformats.org/officeDocument/2006/relationships/ctrlProp" Target="../ctrlProps/ctrlProp5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7" Type="http://schemas.openxmlformats.org/officeDocument/2006/relationships/comments" Target="../comments16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58.xml"/><Relationship Id="rId5" Type="http://schemas.openxmlformats.org/officeDocument/2006/relationships/ctrlProp" Target="../ctrlProps/ctrlProp57.xml"/><Relationship Id="rId4" Type="http://schemas.openxmlformats.org/officeDocument/2006/relationships/ctrlProp" Target="../ctrlProps/ctrlProp5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omments" Target="../comments17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61.xml"/><Relationship Id="rId5" Type="http://schemas.openxmlformats.org/officeDocument/2006/relationships/ctrlProp" Target="../ctrlProps/ctrlProp60.xml"/><Relationship Id="rId4" Type="http://schemas.openxmlformats.org/officeDocument/2006/relationships/ctrlProp" Target="../ctrlProps/ctrlProp5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TemplateReference"/>
  <dimension ref="A1:O17"/>
  <sheetViews>
    <sheetView workbookViewId="0">
      <selection activeCell="C3" sqref="C3"/>
    </sheetView>
  </sheetViews>
  <sheetFormatPr defaultColWidth="9.109375" defaultRowHeight="10.199999999999999" x14ac:dyDescent="0.2"/>
  <cols>
    <col min="1" max="1" width="12.5546875" style="215" customWidth="1"/>
    <col min="2" max="2" width="21.44140625" style="215" bestFit="1" customWidth="1"/>
    <col min="3" max="4" width="10.5546875" style="215" customWidth="1"/>
    <col min="5" max="5" width="11.88671875" style="215" bestFit="1" customWidth="1"/>
    <col min="6" max="7" width="9.109375" style="215"/>
    <col min="8" max="8" width="12.33203125" style="215" bestFit="1" customWidth="1"/>
    <col min="9" max="11" width="9.109375" style="215"/>
    <col min="12" max="13" width="13.5546875" style="215" bestFit="1" customWidth="1"/>
    <col min="14" max="16384" width="9.109375" style="215"/>
  </cols>
  <sheetData>
    <row r="1" spans="1:15" s="214" customFormat="1" x14ac:dyDescent="0.2">
      <c r="A1" s="212" t="s">
        <v>150</v>
      </c>
      <c r="B1" s="213" t="s">
        <v>151</v>
      </c>
      <c r="C1" s="213" t="s">
        <v>152</v>
      </c>
      <c r="D1" s="213" t="s">
        <v>153</v>
      </c>
      <c r="E1" s="213" t="s">
        <v>341</v>
      </c>
      <c r="L1" s="214" t="s">
        <v>342</v>
      </c>
      <c r="M1" s="214" t="s">
        <v>343</v>
      </c>
      <c r="O1" s="215" t="s">
        <v>371</v>
      </c>
    </row>
    <row r="2" spans="1:15" x14ac:dyDescent="0.2">
      <c r="A2" s="215" t="s">
        <v>154</v>
      </c>
      <c r="B2" s="216">
        <v>2000</v>
      </c>
      <c r="C2" s="216">
        <v>2016</v>
      </c>
      <c r="D2" s="216">
        <v>2021</v>
      </c>
      <c r="E2" s="216">
        <v>2010</v>
      </c>
      <c r="H2" s="215">
        <f ca="1">MONTH(TODAY())</f>
        <v>9</v>
      </c>
      <c r="I2" s="215" t="str">
        <f ca="1">VLOOKUP(H2,H4:I15,2)</f>
        <v>September</v>
      </c>
      <c r="J2" s="215">
        <f ca="1">YEAR(TODAY())</f>
        <v>2017</v>
      </c>
      <c r="L2" s="215" t="s">
        <v>119</v>
      </c>
      <c r="M2" s="215" t="s">
        <v>142</v>
      </c>
      <c r="O2" s="215" t="s">
        <v>372</v>
      </c>
    </row>
    <row r="3" spans="1:15" x14ac:dyDescent="0.2">
      <c r="A3" s="215" t="s">
        <v>155</v>
      </c>
      <c r="B3" s="216">
        <v>2000</v>
      </c>
      <c r="C3" s="216">
        <v>2014</v>
      </c>
      <c r="D3" s="216">
        <v>2019</v>
      </c>
      <c r="E3" s="216">
        <v>2010</v>
      </c>
      <c r="L3" s="215" t="s">
        <v>120</v>
      </c>
      <c r="M3" s="215" t="s">
        <v>143</v>
      </c>
      <c r="O3" s="215" t="s">
        <v>373</v>
      </c>
    </row>
    <row r="4" spans="1:15" x14ac:dyDescent="0.2">
      <c r="H4" s="215">
        <v>1</v>
      </c>
      <c r="I4" s="215" t="s">
        <v>215</v>
      </c>
      <c r="L4" s="215" t="s">
        <v>121</v>
      </c>
      <c r="M4" s="215" t="s">
        <v>144</v>
      </c>
    </row>
    <row r="5" spans="1:15" x14ac:dyDescent="0.2">
      <c r="A5" s="212" t="s">
        <v>156</v>
      </c>
      <c r="H5" s="215">
        <v>2</v>
      </c>
      <c r="I5" s="215" t="s">
        <v>216</v>
      </c>
      <c r="L5" s="215" t="s">
        <v>122</v>
      </c>
      <c r="M5" s="215" t="s">
        <v>145</v>
      </c>
    </row>
    <row r="6" spans="1:15" x14ac:dyDescent="0.2">
      <c r="A6" s="215" t="s">
        <v>157</v>
      </c>
      <c r="B6" s="216" t="s">
        <v>158</v>
      </c>
      <c r="H6" s="215">
        <v>3</v>
      </c>
      <c r="I6" s="215" t="s">
        <v>217</v>
      </c>
      <c r="L6" s="215" t="s">
        <v>123</v>
      </c>
      <c r="M6" s="215" t="s">
        <v>146</v>
      </c>
    </row>
    <row r="7" spans="1:15" x14ac:dyDescent="0.2">
      <c r="A7" s="215" t="s">
        <v>154</v>
      </c>
      <c r="B7" s="216" t="str">
        <f>"Esri Demographics " &amp; ESRI_CY</f>
        <v>Esri Demographics 2016</v>
      </c>
      <c r="H7" s="215">
        <v>4</v>
      </c>
      <c r="I7" s="215" t="s">
        <v>218</v>
      </c>
      <c r="L7" s="215" t="s">
        <v>124</v>
      </c>
      <c r="M7" s="215" t="s">
        <v>147</v>
      </c>
    </row>
    <row r="8" spans="1:15" x14ac:dyDescent="0.2">
      <c r="A8" s="215" t="s">
        <v>155</v>
      </c>
      <c r="B8" s="216" t="str">
        <f>"Ribbon Demographics " &amp; HISTA_CY</f>
        <v>Ribbon Demographics 2014</v>
      </c>
      <c r="H8" s="215">
        <v>5</v>
      </c>
      <c r="I8" s="215" t="s">
        <v>54</v>
      </c>
      <c r="L8" s="215" t="s">
        <v>125</v>
      </c>
      <c r="M8" s="215" t="s">
        <v>148</v>
      </c>
    </row>
    <row r="9" spans="1:15" x14ac:dyDescent="0.2">
      <c r="A9" s="215" t="s">
        <v>159</v>
      </c>
      <c r="B9" s="216" t="str">
        <f ca="1">"U.S. Bureau of Labor Statistics "&amp; I2&amp; " " &amp;J2</f>
        <v>U.S. Bureau of Labor Statistics September 2017</v>
      </c>
      <c r="H9" s="215">
        <v>6</v>
      </c>
      <c r="I9" s="215" t="s">
        <v>114</v>
      </c>
      <c r="L9" s="215" t="s">
        <v>126</v>
      </c>
      <c r="M9" s="215" t="s">
        <v>149</v>
      </c>
    </row>
    <row r="10" spans="1:15" x14ac:dyDescent="0.2">
      <c r="A10" s="215" t="s">
        <v>160</v>
      </c>
      <c r="B10" s="396" t="s">
        <v>376</v>
      </c>
      <c r="H10" s="215">
        <v>7</v>
      </c>
      <c r="I10" s="215" t="s">
        <v>115</v>
      </c>
      <c r="L10" s="215" t="s">
        <v>337</v>
      </c>
      <c r="M10" s="215" t="s">
        <v>344</v>
      </c>
    </row>
    <row r="11" spans="1:15" x14ac:dyDescent="0.2">
      <c r="A11" s="215" t="s">
        <v>53</v>
      </c>
      <c r="B11" s="215" t="str">
        <f>"Esri Demographics " &amp; ESRI_CY</f>
        <v>Esri Demographics 2016</v>
      </c>
      <c r="H11" s="215">
        <v>8</v>
      </c>
      <c r="I11" s="215" t="s">
        <v>219</v>
      </c>
      <c r="L11" s="215" t="s">
        <v>338</v>
      </c>
      <c r="M11" s="215" t="s">
        <v>345</v>
      </c>
    </row>
    <row r="12" spans="1:15" x14ac:dyDescent="0.2">
      <c r="A12" s="212" t="s">
        <v>161</v>
      </c>
      <c r="B12" s="212" t="s">
        <v>39</v>
      </c>
      <c r="C12" s="212" t="s">
        <v>162</v>
      </c>
      <c r="D12" s="212" t="s">
        <v>40</v>
      </c>
      <c r="H12" s="215">
        <v>9</v>
      </c>
      <c r="I12" s="215" t="s">
        <v>220</v>
      </c>
      <c r="L12" s="215" t="s">
        <v>339</v>
      </c>
      <c r="M12" s="215" t="s">
        <v>346</v>
      </c>
    </row>
    <row r="13" spans="1:15" x14ac:dyDescent="0.2">
      <c r="A13" s="215" t="s">
        <v>163</v>
      </c>
      <c r="B13" s="216" t="e">
        <f>#REF!</f>
        <v>#REF!</v>
      </c>
      <c r="C13" s="216" t="e">
        <f>#REF!</f>
        <v>#REF!</v>
      </c>
      <c r="D13" s="216" t="e">
        <f>#REF!</f>
        <v>#REF!</v>
      </c>
      <c r="H13" s="215">
        <v>10</v>
      </c>
      <c r="I13" s="215" t="s">
        <v>221</v>
      </c>
      <c r="L13" s="215" t="s">
        <v>340</v>
      </c>
      <c r="M13" s="215" t="s">
        <v>340</v>
      </c>
    </row>
    <row r="14" spans="1:15" x14ac:dyDescent="0.2">
      <c r="H14" s="215">
        <v>11</v>
      </c>
      <c r="I14" s="215" t="s">
        <v>222</v>
      </c>
    </row>
    <row r="15" spans="1:15" x14ac:dyDescent="0.2">
      <c r="H15" s="215">
        <v>12</v>
      </c>
      <c r="I15" s="215" t="s">
        <v>223</v>
      </c>
    </row>
    <row r="17" spans="2:8" ht="12.6" x14ac:dyDescent="0.2">
      <c r="B17" s="394"/>
      <c r="H17" s="3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5" tint="-0.249977111117893"/>
  </sheetPr>
  <dimension ref="A1:J38"/>
  <sheetViews>
    <sheetView workbookViewId="0">
      <selection activeCell="H22" sqref="H22"/>
    </sheetView>
  </sheetViews>
  <sheetFormatPr defaultColWidth="9.109375" defaultRowHeight="13.8" x14ac:dyDescent="0.3"/>
  <cols>
    <col min="1" max="1" width="23.88671875" style="137" bestFit="1" customWidth="1"/>
    <col min="2" max="2" width="38.33203125" style="408" customWidth="1"/>
    <col min="3" max="5" width="5.88671875" style="137" customWidth="1"/>
    <col min="6" max="6" width="30.6640625" style="137" bestFit="1" customWidth="1"/>
    <col min="7" max="7" width="31.44140625" style="137" bestFit="1" customWidth="1"/>
    <col min="8" max="9" width="9.109375" style="137"/>
    <col min="10" max="10" width="29.6640625" style="137" bestFit="1" customWidth="1"/>
    <col min="11" max="14" width="9.109375" style="137"/>
    <col min="15" max="15" width="13.33203125" style="137" bestFit="1" customWidth="1"/>
    <col min="16" max="16384" width="9.109375" style="137"/>
  </cols>
  <sheetData>
    <row r="1" spans="1:10" ht="14.4" x14ac:dyDescent="0.3">
      <c r="A1" s="403" t="s">
        <v>231</v>
      </c>
      <c r="B1" s="407" t="s">
        <v>232</v>
      </c>
      <c r="F1" s="403" t="s">
        <v>233</v>
      </c>
      <c r="G1" s="404"/>
      <c r="J1" s="403"/>
    </row>
    <row r="2" spans="1:10" x14ac:dyDescent="0.3">
      <c r="A2" s="137" t="s">
        <v>234</v>
      </c>
      <c r="B2" s="409" t="s">
        <v>306</v>
      </c>
      <c r="F2" s="137" t="s">
        <v>235</v>
      </c>
      <c r="G2" s="405" t="s">
        <v>236</v>
      </c>
    </row>
    <row r="3" spans="1:10" x14ac:dyDescent="0.3">
      <c r="A3" s="137" t="s">
        <v>237</v>
      </c>
      <c r="B3" s="409" t="s">
        <v>238</v>
      </c>
      <c r="F3" s="137" t="s">
        <v>239</v>
      </c>
      <c r="G3" s="405" t="s">
        <v>240</v>
      </c>
    </row>
    <row r="4" spans="1:10" x14ac:dyDescent="0.3">
      <c r="A4" s="137" t="s">
        <v>241</v>
      </c>
      <c r="B4" s="409" t="s">
        <v>353</v>
      </c>
      <c r="F4" s="137" t="s">
        <v>242</v>
      </c>
      <c r="G4" s="405" t="s">
        <v>243</v>
      </c>
    </row>
    <row r="5" spans="1:10" x14ac:dyDescent="0.3">
      <c r="A5" s="137" t="s">
        <v>303</v>
      </c>
      <c r="B5" s="409" t="s">
        <v>354</v>
      </c>
      <c r="F5" s="137" t="s">
        <v>245</v>
      </c>
      <c r="G5" s="405" t="s">
        <v>246</v>
      </c>
    </row>
    <row r="6" spans="1:10" x14ac:dyDescent="0.3">
      <c r="A6" s="137" t="s">
        <v>244</v>
      </c>
      <c r="B6" s="409" t="s">
        <v>333</v>
      </c>
      <c r="F6" s="137" t="s">
        <v>254</v>
      </c>
      <c r="G6" s="405" t="s">
        <v>255</v>
      </c>
    </row>
    <row r="7" spans="1:10" x14ac:dyDescent="0.3">
      <c r="A7" s="137" t="s">
        <v>247</v>
      </c>
      <c r="B7" s="409" t="s">
        <v>334</v>
      </c>
      <c r="F7" s="137" t="s">
        <v>257</v>
      </c>
      <c r="G7" s="405" t="s">
        <v>258</v>
      </c>
    </row>
    <row r="8" spans="1:10" x14ac:dyDescent="0.3">
      <c r="A8" s="137" t="s">
        <v>250</v>
      </c>
      <c r="B8" s="409" t="s">
        <v>335</v>
      </c>
      <c r="F8" s="137" t="s">
        <v>248</v>
      </c>
      <c r="G8" s="405" t="s">
        <v>249</v>
      </c>
    </row>
    <row r="9" spans="1:10" x14ac:dyDescent="0.3">
      <c r="A9" s="137" t="s">
        <v>253</v>
      </c>
      <c r="B9" s="409">
        <v>20815</v>
      </c>
      <c r="F9" s="137" t="s">
        <v>292</v>
      </c>
      <c r="G9" s="405" t="s">
        <v>293</v>
      </c>
    </row>
    <row r="10" spans="1:10" x14ac:dyDescent="0.3">
      <c r="A10" s="137" t="s">
        <v>256</v>
      </c>
      <c r="B10" s="409" t="s">
        <v>307</v>
      </c>
      <c r="F10" s="137" t="s">
        <v>286</v>
      </c>
      <c r="G10" s="405" t="s">
        <v>287</v>
      </c>
    </row>
    <row r="11" spans="1:10" x14ac:dyDescent="0.3">
      <c r="A11" s="137" t="s">
        <v>259</v>
      </c>
      <c r="B11" s="409" t="s">
        <v>336</v>
      </c>
      <c r="F11" s="137" t="s">
        <v>289</v>
      </c>
      <c r="G11" s="405" t="s">
        <v>290</v>
      </c>
    </row>
    <row r="12" spans="1:10" x14ac:dyDescent="0.3">
      <c r="A12" s="137" t="s">
        <v>260</v>
      </c>
      <c r="B12" s="409" t="s">
        <v>304</v>
      </c>
      <c r="F12" s="137" t="s">
        <v>251</v>
      </c>
      <c r="G12" s="405" t="s">
        <v>252</v>
      </c>
    </row>
    <row r="13" spans="1:10" x14ac:dyDescent="0.3">
      <c r="A13" s="137" t="s">
        <v>261</v>
      </c>
      <c r="B13" s="409" t="s">
        <v>262</v>
      </c>
      <c r="F13" s="137" t="s">
        <v>295</v>
      </c>
      <c r="G13" s="405" t="s">
        <v>296</v>
      </c>
    </row>
    <row r="14" spans="1:10" x14ac:dyDescent="0.3">
      <c r="A14" s="137" t="s">
        <v>265</v>
      </c>
      <c r="B14" s="409">
        <v>20010</v>
      </c>
      <c r="F14" s="137" t="s">
        <v>298</v>
      </c>
      <c r="G14" s="405" t="s">
        <v>299</v>
      </c>
    </row>
    <row r="15" spans="1:10" x14ac:dyDescent="0.3">
      <c r="A15" s="137" t="s">
        <v>268</v>
      </c>
      <c r="B15" s="409" t="s">
        <v>305</v>
      </c>
      <c r="F15" s="137" t="s">
        <v>308</v>
      </c>
      <c r="G15" s="405" t="s">
        <v>329</v>
      </c>
    </row>
    <row r="16" spans="1:10" x14ac:dyDescent="0.3">
      <c r="A16" s="137" t="s">
        <v>271</v>
      </c>
      <c r="B16" s="409" t="s">
        <v>272</v>
      </c>
      <c r="F16" s="137" t="s">
        <v>309</v>
      </c>
      <c r="G16" s="405" t="s">
        <v>330</v>
      </c>
    </row>
    <row r="17" spans="1:7" x14ac:dyDescent="0.3">
      <c r="A17" s="137" t="s">
        <v>275</v>
      </c>
      <c r="B17" s="409">
        <v>20010</v>
      </c>
      <c r="F17" s="137" t="s">
        <v>310</v>
      </c>
      <c r="G17" s="405" t="s">
        <v>331</v>
      </c>
    </row>
    <row r="18" spans="1:7" x14ac:dyDescent="0.3">
      <c r="A18" s="137" t="s">
        <v>278</v>
      </c>
      <c r="B18" s="409" t="s">
        <v>279</v>
      </c>
      <c r="F18" s="137" t="s">
        <v>311</v>
      </c>
      <c r="G18" s="405" t="s">
        <v>332</v>
      </c>
    </row>
    <row r="19" spans="1:7" x14ac:dyDescent="0.3">
      <c r="A19" s="137" t="s">
        <v>282</v>
      </c>
      <c r="B19" s="409" t="s">
        <v>328</v>
      </c>
      <c r="F19" s="137" t="s">
        <v>276</v>
      </c>
      <c r="G19" s="405" t="s">
        <v>277</v>
      </c>
    </row>
    <row r="20" spans="1:7" x14ac:dyDescent="0.3">
      <c r="A20" s="137" t="s">
        <v>284</v>
      </c>
      <c r="B20" s="409" t="s">
        <v>285</v>
      </c>
      <c r="F20" s="137" t="s">
        <v>263</v>
      </c>
      <c r="G20" s="405" t="s">
        <v>264</v>
      </c>
    </row>
    <row r="21" spans="1:7" x14ac:dyDescent="0.3">
      <c r="A21" s="137" t="s">
        <v>288</v>
      </c>
      <c r="B21" s="409" t="s">
        <v>285</v>
      </c>
      <c r="F21" s="137" t="s">
        <v>266</v>
      </c>
      <c r="G21" s="406" t="s">
        <v>267</v>
      </c>
    </row>
    <row r="22" spans="1:7" x14ac:dyDescent="0.3">
      <c r="A22" s="137" t="s">
        <v>291</v>
      </c>
      <c r="B22" s="409">
        <v>2.44</v>
      </c>
      <c r="F22" s="137" t="s">
        <v>280</v>
      </c>
      <c r="G22" s="405" t="s">
        <v>281</v>
      </c>
    </row>
    <row r="23" spans="1:7" x14ac:dyDescent="0.3">
      <c r="A23" s="137" t="s">
        <v>294</v>
      </c>
      <c r="B23" s="409">
        <v>15</v>
      </c>
      <c r="F23" s="137" t="s">
        <v>269</v>
      </c>
      <c r="G23" s="405" t="s">
        <v>270</v>
      </c>
    </row>
    <row r="24" spans="1:7" x14ac:dyDescent="0.3">
      <c r="A24" s="137" t="s">
        <v>297</v>
      </c>
      <c r="B24" s="409">
        <v>155</v>
      </c>
      <c r="F24" s="137" t="s">
        <v>273</v>
      </c>
      <c r="G24" s="406" t="s">
        <v>274</v>
      </c>
    </row>
    <row r="25" spans="1:7" x14ac:dyDescent="0.3">
      <c r="A25" s="137" t="s">
        <v>300</v>
      </c>
      <c r="B25" s="410">
        <v>54500</v>
      </c>
      <c r="F25" s="137" t="s">
        <v>283</v>
      </c>
      <c r="G25" s="405" t="s">
        <v>281</v>
      </c>
    </row>
    <row r="26" spans="1:7" x14ac:dyDescent="0.3">
      <c r="A26" s="137" t="s">
        <v>301</v>
      </c>
      <c r="B26" s="409">
        <v>50</v>
      </c>
      <c r="G26" s="405"/>
    </row>
    <row r="27" spans="1:7" x14ac:dyDescent="0.3">
      <c r="A27" s="137" t="s">
        <v>302</v>
      </c>
      <c r="B27" s="409">
        <v>2012</v>
      </c>
      <c r="G27" s="405"/>
    </row>
    <row r="28" spans="1:7" x14ac:dyDescent="0.3">
      <c r="A28" s="137" t="s">
        <v>162</v>
      </c>
      <c r="B28" s="409" t="e">
        <f>#REF!</f>
        <v>#REF!</v>
      </c>
      <c r="G28" s="405"/>
    </row>
    <row r="29" spans="1:7" x14ac:dyDescent="0.3">
      <c r="A29" s="137" t="s">
        <v>320</v>
      </c>
      <c r="B29" s="409">
        <v>1966</v>
      </c>
      <c r="G29" s="405"/>
    </row>
    <row r="30" spans="1:7" x14ac:dyDescent="0.3">
      <c r="A30" s="137" t="s">
        <v>319</v>
      </c>
      <c r="B30" s="409" t="s">
        <v>327</v>
      </c>
      <c r="G30" s="405"/>
    </row>
    <row r="31" spans="1:7" x14ac:dyDescent="0.3">
      <c r="A31" s="137" t="s">
        <v>312</v>
      </c>
      <c r="B31" s="409" t="s">
        <v>314</v>
      </c>
      <c r="G31" s="405"/>
    </row>
    <row r="32" spans="1:7" x14ac:dyDescent="0.3">
      <c r="A32" s="137" t="s">
        <v>321</v>
      </c>
      <c r="B32" s="409">
        <v>2</v>
      </c>
      <c r="G32" s="405"/>
    </row>
    <row r="33" spans="1:7" x14ac:dyDescent="0.3">
      <c r="A33" s="137" t="s">
        <v>322</v>
      </c>
      <c r="B33" s="409" t="s">
        <v>313</v>
      </c>
      <c r="G33" s="405"/>
    </row>
    <row r="34" spans="1:7" x14ac:dyDescent="0.3">
      <c r="A34" s="137" t="s">
        <v>323</v>
      </c>
      <c r="B34" s="409" t="s">
        <v>317</v>
      </c>
    </row>
    <row r="35" spans="1:7" x14ac:dyDescent="0.3">
      <c r="A35" s="137" t="s">
        <v>324</v>
      </c>
      <c r="B35" s="409" t="s">
        <v>318</v>
      </c>
    </row>
    <row r="36" spans="1:7" x14ac:dyDescent="0.3">
      <c r="A36" s="137" t="s">
        <v>315</v>
      </c>
      <c r="B36" s="409">
        <v>55</v>
      </c>
    </row>
    <row r="37" spans="1:7" x14ac:dyDescent="0.3">
      <c r="A37" s="137" t="s">
        <v>316</v>
      </c>
      <c r="B37" s="409">
        <v>515</v>
      </c>
    </row>
    <row r="38" spans="1:7" x14ac:dyDescent="0.3">
      <c r="A38" s="137" t="s">
        <v>325</v>
      </c>
      <c r="B38" s="409" t="s">
        <v>326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K6:P15"/>
  <sheetViews>
    <sheetView workbookViewId="0">
      <selection activeCell="M6" sqref="M6:P13"/>
    </sheetView>
  </sheetViews>
  <sheetFormatPr defaultRowHeight="13.2" x14ac:dyDescent="0.25"/>
  <sheetData>
    <row r="6" spans="11:16" x14ac:dyDescent="0.25">
      <c r="M6" s="435" t="s">
        <v>358</v>
      </c>
      <c r="N6" s="435"/>
      <c r="O6" s="435"/>
      <c r="P6" s="435"/>
    </row>
    <row r="7" spans="11:16" x14ac:dyDescent="0.25">
      <c r="M7" s="435"/>
      <c r="N7" s="435"/>
      <c r="O7" s="435">
        <v>2010</v>
      </c>
      <c r="P7" s="435"/>
    </row>
    <row r="8" spans="11:16" x14ac:dyDescent="0.25">
      <c r="M8" s="435"/>
      <c r="N8" s="435"/>
      <c r="O8" s="435" t="s">
        <v>359</v>
      </c>
      <c r="P8" s="435" t="s">
        <v>360</v>
      </c>
    </row>
    <row r="9" spans="11:16" ht="16.8" x14ac:dyDescent="0.3">
      <c r="K9" s="434"/>
      <c r="M9" s="435"/>
      <c r="N9" s="435" t="s">
        <v>361</v>
      </c>
      <c r="O9" s="435">
        <v>3639</v>
      </c>
      <c r="P9" s="435">
        <v>1</v>
      </c>
    </row>
    <row r="10" spans="11:16" x14ac:dyDescent="0.25">
      <c r="M10" s="435"/>
      <c r="N10" s="435" t="s">
        <v>362</v>
      </c>
      <c r="O10" s="435">
        <v>1714</v>
      </c>
      <c r="P10" s="435">
        <v>0.47099999999999997</v>
      </c>
    </row>
    <row r="11" spans="11:16" x14ac:dyDescent="0.25">
      <c r="M11" s="435"/>
      <c r="N11" s="435" t="s">
        <v>363</v>
      </c>
      <c r="O11" s="435">
        <v>1057</v>
      </c>
      <c r="P11" s="435">
        <v>0.28999999999999998</v>
      </c>
    </row>
    <row r="12" spans="11:16" x14ac:dyDescent="0.25">
      <c r="M12" s="435"/>
      <c r="N12" s="435" t="s">
        <v>364</v>
      </c>
      <c r="O12" s="435">
        <v>216</v>
      </c>
      <c r="P12" s="435">
        <v>5.8999999999999997E-2</v>
      </c>
    </row>
    <row r="13" spans="11:16" x14ac:dyDescent="0.25">
      <c r="M13" s="435"/>
      <c r="N13" s="435" t="s">
        <v>365</v>
      </c>
      <c r="O13" s="435">
        <v>652</v>
      </c>
      <c r="P13" s="435">
        <v>0.17899999999999999</v>
      </c>
    </row>
    <row r="14" spans="11:16" ht="22.5" customHeight="1" x14ac:dyDescent="0.25"/>
    <row r="15" spans="11:16" ht="12.75" customHeight="1" x14ac:dyDescent="0.25"/>
  </sheetData>
  <hyperlinks>
    <hyperlink ref="N10" r:id="rId1" display="javascript:OTM.Util.updateReportSetting(%22distance%22,%22distance0%22)"/>
    <hyperlink ref="N11" r:id="rId2" display="javascript:OTM.Util.updateReportSetting(%22distance%22,%22distance1%22)"/>
    <hyperlink ref="N12" r:id="rId3" display="javascript:OTM.Util.updateReportSetting(%22distance%22,%22distance2%22)"/>
    <hyperlink ref="N13" r:id="rId4" display="javascript:OTM.Util.updateReportSetting(%22distance%22,%22distance3%22)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U236"/>
  <sheetViews>
    <sheetView zoomScale="60" zoomScaleNormal="60" workbookViewId="0">
      <selection sqref="A1:D1"/>
    </sheetView>
  </sheetViews>
  <sheetFormatPr defaultColWidth="9.109375" defaultRowHeight="13.2" x14ac:dyDescent="0.25"/>
  <cols>
    <col min="1" max="9" width="17.6640625" style="12" customWidth="1"/>
    <col min="10" max="14" width="17.5546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166</v>
      </c>
      <c r="B6" s="447"/>
      <c r="C6" s="447"/>
      <c r="D6" s="447"/>
      <c r="E6" s="447"/>
      <c r="F6" s="447"/>
      <c r="G6" s="447"/>
      <c r="H6" s="2"/>
    </row>
    <row r="7" spans="1:11" s="252" customFormat="1" ht="12.75" customHeight="1" x14ac:dyDescent="0.25">
      <c r="A7" s="448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49" t="e">
        <f>USA_Name</f>
        <v>#REF!</v>
      </c>
      <c r="G7" s="450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5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5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5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2.75" customHeight="1" x14ac:dyDescent="0.25">
      <c r="A16" s="462" t="s">
        <v>167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8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49" t="e">
        <f>USA_Name</f>
        <v>#REF!</v>
      </c>
      <c r="G17" s="450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5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53">
        <f>ESRI_IY</f>
        <v>2010</v>
      </c>
      <c r="B20" s="104" t="e">
        <f>#REF!</f>
        <v>#REF!</v>
      </c>
      <c r="C20" s="441" t="e">
        <f>(B20-B19)/B19/10</f>
        <v>#REF!</v>
      </c>
      <c r="D20" s="104" t="e">
        <f>#REF!</f>
        <v>#REF!</v>
      </c>
      <c r="E20" s="441" t="e">
        <f>(D20-D19)/D19/10</f>
        <v>#REF!</v>
      </c>
      <c r="F20" s="454" t="e">
        <f>#REF!</f>
        <v>#REF!</v>
      </c>
      <c r="G20" s="441" t="e">
        <f>(F20-F19)/F19/10</f>
        <v>#REF!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5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ht="12.7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327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19" t="e">
        <f>USA_Name</f>
        <v>#REF!</v>
      </c>
      <c r="G27" s="320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299"/>
      <c r="G28" s="299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ht="15.6" x14ac:dyDescent="0.3">
      <c r="A33" s="195"/>
      <c r="B33" s="195"/>
      <c r="C33" s="195"/>
      <c r="D33" s="195"/>
      <c r="E33" s="195"/>
      <c r="F33" s="195"/>
      <c r="G33" s="195"/>
      <c r="H33" s="2"/>
      <c r="I33" s="4" t="s">
        <v>168</v>
      </c>
      <c r="J33" s="4"/>
      <c r="K33" s="4"/>
      <c r="L33" s="4"/>
      <c r="M33" s="4"/>
    </row>
    <row r="34" spans="1:13" ht="12.75" customHeight="1" x14ac:dyDescent="0.25">
      <c r="A34" s="1"/>
      <c r="B34" s="2"/>
      <c r="C34" s="2"/>
      <c r="D34" s="2"/>
      <c r="E34" s="2"/>
      <c r="F34" s="2"/>
      <c r="G34" s="2"/>
      <c r="H34" s="2"/>
      <c r="I34" s="209" t="s">
        <v>50</v>
      </c>
      <c r="J34" s="227">
        <f>ESRI_CY</f>
        <v>2016</v>
      </c>
      <c r="K34" s="227"/>
      <c r="L34" s="227">
        <f>ESRI_FY</f>
        <v>2021</v>
      </c>
      <c r="M34" s="227"/>
    </row>
    <row r="35" spans="1:13" ht="15.6" x14ac:dyDescent="0.3">
      <c r="A35" s="4" t="str">
        <f>"HOUSEHOLD INCOME OF SENIORS 55+ IN " &amp; ESRI_CY</f>
        <v>HOUSEHOLD INCOME OF SENIORS 55+ IN 2016</v>
      </c>
      <c r="B35" s="4"/>
      <c r="C35" s="4"/>
      <c r="D35" s="4"/>
      <c r="E35" s="4"/>
      <c r="F35" s="4"/>
      <c r="G35" s="4"/>
      <c r="H35" s="2"/>
      <c r="I35" s="37"/>
      <c r="J35" s="250" t="s">
        <v>44</v>
      </c>
      <c r="K35" s="250" t="s">
        <v>51</v>
      </c>
      <c r="L35" s="250" t="s">
        <v>44</v>
      </c>
      <c r="M35" s="250" t="s">
        <v>51</v>
      </c>
    </row>
    <row r="36" spans="1:13" ht="15.6" x14ac:dyDescent="0.3">
      <c r="A36" s="327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19" t="e">
        <f>USA_Name</f>
        <v>#REF!</v>
      </c>
      <c r="G36" s="320"/>
      <c r="H36" s="326"/>
      <c r="I36" s="261" t="str">
        <f t="array" ref="I36:I47">Novo_Cohort_Ref</f>
        <v>$0-9,999</v>
      </c>
      <c r="J36" s="34" t="e">
        <f>#REF!</f>
        <v>#REF!</v>
      </c>
      <c r="K36" s="138" t="e">
        <f>J36/J$48</f>
        <v>#REF!</v>
      </c>
      <c r="L36" s="34" t="e">
        <f>#REF!</f>
        <v>#REF!</v>
      </c>
      <c r="M36" s="138" t="e">
        <f>L36/L$48</f>
        <v>#REF!</v>
      </c>
    </row>
    <row r="37" spans="1:13" ht="15.6" x14ac:dyDescent="0.3">
      <c r="A37" s="37"/>
      <c r="B37" s="298" t="s">
        <v>44</v>
      </c>
      <c r="C37" s="298" t="s">
        <v>51</v>
      </c>
      <c r="D37" s="298" t="s">
        <v>44</v>
      </c>
      <c r="E37" s="298" t="s">
        <v>51</v>
      </c>
      <c r="F37" s="298" t="s">
        <v>42</v>
      </c>
      <c r="G37" s="298" t="s">
        <v>51</v>
      </c>
      <c r="H37" s="36"/>
      <c r="I37" s="261" t="str">
        <v>$10,000-19,999</v>
      </c>
      <c r="J37" s="34" t="e">
        <f>#REF!</f>
        <v>#REF!</v>
      </c>
      <c r="K37" s="138" t="e">
        <f t="shared" ref="K37:K47" si="1">J37/J$48</f>
        <v>#REF!</v>
      </c>
      <c r="L37" s="34" t="e">
        <f>#REF!</f>
        <v>#REF!</v>
      </c>
      <c r="M37" s="138" t="e">
        <f t="shared" ref="M37:M47" si="2">L37/L$48</f>
        <v>#REF!</v>
      </c>
    </row>
    <row r="38" spans="1:13" x14ac:dyDescent="0.25">
      <c r="A38" s="261" t="str">
        <f t="array" ref="A38:A49">Novo_Cohort_Ref</f>
        <v>$0-9,999</v>
      </c>
      <c r="B38" s="34" t="e">
        <f>#REF!+#REF!</f>
        <v>#REF!</v>
      </c>
      <c r="C38" s="138" t="e">
        <f t="shared" ref="C38:C49" si="3">B38/$B$50</f>
        <v>#REF!</v>
      </c>
      <c r="D38" s="34" t="e">
        <f>#REF!+#REF!</f>
        <v>#REF!</v>
      </c>
      <c r="E38" s="138" t="e">
        <f t="shared" ref="E38:E49" si="4">D38/$D$50</f>
        <v>#REF!</v>
      </c>
      <c r="F38" s="34" t="e">
        <f>#REF!+#REF!</f>
        <v>#REF!</v>
      </c>
      <c r="G38" s="140" t="e">
        <f t="shared" ref="G38:G49" si="5">F38/$F$50</f>
        <v>#REF!</v>
      </c>
      <c r="H38" s="2"/>
      <c r="I38" s="261" t="str">
        <v>$20,000-29,999</v>
      </c>
      <c r="J38" s="34" t="e">
        <f>#REF!</f>
        <v>#REF!</v>
      </c>
      <c r="K38" s="138" t="e">
        <f t="shared" si="1"/>
        <v>#REF!</v>
      </c>
      <c r="L38" s="34" t="e">
        <f>#REF!</f>
        <v>#REF!</v>
      </c>
      <c r="M38" s="138" t="e">
        <f t="shared" si="2"/>
        <v>#REF!</v>
      </c>
    </row>
    <row r="39" spans="1:13" x14ac:dyDescent="0.25">
      <c r="A39" s="261" t="str">
        <v>$10,000-19,999</v>
      </c>
      <c r="B39" s="34" t="e">
        <f>#REF!+#REF!</f>
        <v>#REF!</v>
      </c>
      <c r="C39" s="138" t="e">
        <f t="shared" si="3"/>
        <v>#REF!</v>
      </c>
      <c r="D39" s="34" t="e">
        <f>#REF!+#REF!</f>
        <v>#REF!</v>
      </c>
      <c r="E39" s="138" t="e">
        <f t="shared" si="4"/>
        <v>#REF!</v>
      </c>
      <c r="F39" s="34" t="e">
        <f>#REF!+#REF!</f>
        <v>#REF!</v>
      </c>
      <c r="G39" s="140" t="e">
        <f t="shared" si="5"/>
        <v>#REF!</v>
      </c>
      <c r="H39" s="2"/>
      <c r="I39" s="261" t="str">
        <v>$30,000-39,999</v>
      </c>
      <c r="J39" s="34" t="e">
        <f>#REF!</f>
        <v>#REF!</v>
      </c>
      <c r="K39" s="138" t="e">
        <f t="shared" si="1"/>
        <v>#REF!</v>
      </c>
      <c r="L39" s="34" t="e">
        <f>#REF!</f>
        <v>#REF!</v>
      </c>
      <c r="M39" s="138" t="e">
        <f t="shared" si="2"/>
        <v>#REF!</v>
      </c>
    </row>
    <row r="40" spans="1:13" x14ac:dyDescent="0.25">
      <c r="A40" s="261" t="str">
        <v>$20,000-29,999</v>
      </c>
      <c r="B40" s="34" t="e">
        <f>#REF!+#REF!</f>
        <v>#REF!</v>
      </c>
      <c r="C40" s="138" t="e">
        <f t="shared" si="3"/>
        <v>#REF!</v>
      </c>
      <c r="D40" s="34" t="e">
        <f>#REF!+#REF!</f>
        <v>#REF!</v>
      </c>
      <c r="E40" s="138" t="e">
        <f t="shared" si="4"/>
        <v>#REF!</v>
      </c>
      <c r="F40" s="34" t="e">
        <f>#REF!+#REF!</f>
        <v>#REF!</v>
      </c>
      <c r="G40" s="140" t="e">
        <f t="shared" si="5"/>
        <v>#REF!</v>
      </c>
      <c r="H40" s="2"/>
      <c r="I40" s="261" t="str">
        <v>$40,000-49,999</v>
      </c>
      <c r="J40" s="34" t="e">
        <f>#REF!</f>
        <v>#REF!</v>
      </c>
      <c r="K40" s="138" t="e">
        <f t="shared" si="1"/>
        <v>#REF!</v>
      </c>
      <c r="L40" s="34" t="e">
        <f>#REF!</f>
        <v>#REF!</v>
      </c>
      <c r="M40" s="138" t="e">
        <f t="shared" si="2"/>
        <v>#REF!</v>
      </c>
    </row>
    <row r="41" spans="1:13" x14ac:dyDescent="0.25">
      <c r="A41" s="261" t="str">
        <v>$30,000-39,999</v>
      </c>
      <c r="B41" s="34" t="e">
        <f>#REF!+#REF!</f>
        <v>#REF!</v>
      </c>
      <c r="C41" s="138" t="e">
        <f t="shared" si="3"/>
        <v>#REF!</v>
      </c>
      <c r="D41" s="34" t="e">
        <f>#REF!+#REF!</f>
        <v>#REF!</v>
      </c>
      <c r="E41" s="138" t="e">
        <f t="shared" si="4"/>
        <v>#REF!</v>
      </c>
      <c r="F41" s="34" t="e">
        <f>#REF!+#REF!</f>
        <v>#REF!</v>
      </c>
      <c r="G41" s="140" t="e">
        <f t="shared" si="5"/>
        <v>#REF!</v>
      </c>
      <c r="H41" s="2"/>
      <c r="I41" s="261" t="str">
        <v>$50,000-59,999</v>
      </c>
      <c r="J41" s="34" t="e">
        <f>#REF!</f>
        <v>#REF!</v>
      </c>
      <c r="K41" s="138" t="e">
        <f t="shared" si="1"/>
        <v>#REF!</v>
      </c>
      <c r="L41" s="34" t="e">
        <f>#REF!</f>
        <v>#REF!</v>
      </c>
      <c r="M41" s="138" t="e">
        <f t="shared" si="2"/>
        <v>#REF!</v>
      </c>
    </row>
    <row r="42" spans="1:13" x14ac:dyDescent="0.25">
      <c r="A42" s="261" t="str">
        <v>$40,000-49,999</v>
      </c>
      <c r="B42" s="34" t="e">
        <f>#REF!+#REF!</f>
        <v>#REF!</v>
      </c>
      <c r="C42" s="138" t="e">
        <f t="shared" si="3"/>
        <v>#REF!</v>
      </c>
      <c r="D42" s="34" t="e">
        <f>#REF!+#REF!</f>
        <v>#REF!</v>
      </c>
      <c r="E42" s="138" t="e">
        <f t="shared" si="4"/>
        <v>#REF!</v>
      </c>
      <c r="F42" s="34" t="e">
        <f>#REF!+#REF!</f>
        <v>#REF!</v>
      </c>
      <c r="G42" s="140" t="e">
        <f t="shared" si="5"/>
        <v>#REF!</v>
      </c>
      <c r="H42" s="2"/>
      <c r="I42" s="261" t="str">
        <v>$60,000-74,999</v>
      </c>
      <c r="J42" s="34" t="e">
        <f>#REF!</f>
        <v>#REF!</v>
      </c>
      <c r="K42" s="138" t="e">
        <f t="shared" si="1"/>
        <v>#REF!</v>
      </c>
      <c r="L42" s="34" t="e">
        <f>#REF!</f>
        <v>#REF!</v>
      </c>
      <c r="M42" s="138" t="e">
        <f t="shared" si="2"/>
        <v>#REF!</v>
      </c>
    </row>
    <row r="43" spans="1:13" x14ac:dyDescent="0.25">
      <c r="A43" s="261" t="str">
        <v>$50,000-59,999</v>
      </c>
      <c r="B43" s="34" t="e">
        <f>#REF!+#REF!</f>
        <v>#REF!</v>
      </c>
      <c r="C43" s="138" t="e">
        <f t="shared" si="3"/>
        <v>#REF!</v>
      </c>
      <c r="D43" s="34" t="e">
        <f>#REF!+#REF!</f>
        <v>#REF!</v>
      </c>
      <c r="E43" s="138" t="e">
        <f t="shared" si="4"/>
        <v>#REF!</v>
      </c>
      <c r="F43" s="34" t="e">
        <f>#REF!+#REF!</f>
        <v>#REF!</v>
      </c>
      <c r="G43" s="140" t="e">
        <f t="shared" si="5"/>
        <v>#REF!</v>
      </c>
      <c r="H43" s="2"/>
      <c r="I43" s="261" t="str">
        <v>$75,000-99,999</v>
      </c>
      <c r="J43" s="34" t="e">
        <f>#REF!</f>
        <v>#REF!</v>
      </c>
      <c r="K43" s="138" t="e">
        <f t="shared" si="1"/>
        <v>#REF!</v>
      </c>
      <c r="L43" s="34" t="e">
        <f>#REF!</f>
        <v>#REF!</v>
      </c>
      <c r="M43" s="138" t="e">
        <f t="shared" si="2"/>
        <v>#REF!</v>
      </c>
    </row>
    <row r="44" spans="1:13" x14ac:dyDescent="0.25">
      <c r="A44" s="261" t="str">
        <v>$60,000-74,999</v>
      </c>
      <c r="B44" s="34" t="e">
        <f>#REF!+#REF!</f>
        <v>#REF!</v>
      </c>
      <c r="C44" s="138" t="e">
        <f t="shared" si="3"/>
        <v>#REF!</v>
      </c>
      <c r="D44" s="34" t="e">
        <f>#REF!+#REF!</f>
        <v>#REF!</v>
      </c>
      <c r="E44" s="138" t="e">
        <f t="shared" si="4"/>
        <v>#REF!</v>
      </c>
      <c r="F44" s="34" t="e">
        <f>#REF!+#REF!</f>
        <v>#REF!</v>
      </c>
      <c r="G44" s="140" t="e">
        <f t="shared" si="5"/>
        <v>#REF!</v>
      </c>
      <c r="H44" s="2"/>
      <c r="I44" s="261" t="str">
        <v>$100,000-124,999</v>
      </c>
      <c r="J44" s="34" t="e">
        <f>#REF!</f>
        <v>#REF!</v>
      </c>
      <c r="K44" s="138" t="e">
        <f t="shared" si="1"/>
        <v>#REF!</v>
      </c>
      <c r="L44" s="34" t="e">
        <f>#REF!</f>
        <v>#REF!</v>
      </c>
      <c r="M44" s="138" t="e">
        <f t="shared" si="2"/>
        <v>#REF!</v>
      </c>
    </row>
    <row r="45" spans="1:13" x14ac:dyDescent="0.25">
      <c r="A45" s="261" t="str">
        <v>$75,000-99,999</v>
      </c>
      <c r="B45" s="34" t="e">
        <f>#REF!+#REF!</f>
        <v>#REF!</v>
      </c>
      <c r="C45" s="138" t="e">
        <f t="shared" si="3"/>
        <v>#REF!</v>
      </c>
      <c r="D45" s="34" t="e">
        <f>#REF!+#REF!</f>
        <v>#REF!</v>
      </c>
      <c r="E45" s="138" t="e">
        <f t="shared" si="4"/>
        <v>#REF!</v>
      </c>
      <c r="F45" s="34" t="e">
        <f>#REF!+#REF!</f>
        <v>#REF!</v>
      </c>
      <c r="G45" s="140" t="e">
        <f t="shared" si="5"/>
        <v>#REF!</v>
      </c>
      <c r="H45" s="2"/>
      <c r="I45" s="261" t="str">
        <v>$125,000-149,999</v>
      </c>
      <c r="J45" s="34" t="e">
        <f>#REF!</f>
        <v>#REF!</v>
      </c>
      <c r="K45" s="138" t="e">
        <f t="shared" si="1"/>
        <v>#REF!</v>
      </c>
      <c r="L45" s="34" t="e">
        <f>#REF!</f>
        <v>#REF!</v>
      </c>
      <c r="M45" s="138" t="e">
        <f t="shared" si="2"/>
        <v>#REF!</v>
      </c>
    </row>
    <row r="46" spans="1:13" x14ac:dyDescent="0.25">
      <c r="A46" s="261" t="str">
        <v>$100,000-124,999</v>
      </c>
      <c r="B46" s="34" t="e">
        <f>#REF!+#REF!</f>
        <v>#REF!</v>
      </c>
      <c r="C46" s="138" t="e">
        <f t="shared" si="3"/>
        <v>#REF!</v>
      </c>
      <c r="D46" s="34" t="e">
        <f>#REF!+#REF!</f>
        <v>#REF!</v>
      </c>
      <c r="E46" s="138" t="e">
        <f t="shared" si="4"/>
        <v>#REF!</v>
      </c>
      <c r="F46" s="34" t="e">
        <f>#REF!+#REF!</f>
        <v>#REF!</v>
      </c>
      <c r="G46" s="140" t="e">
        <f t="shared" si="5"/>
        <v>#REF!</v>
      </c>
      <c r="H46" s="2"/>
      <c r="I46" s="261" t="str">
        <v>$150,000-199,999</v>
      </c>
      <c r="J46" s="34" t="e">
        <f>#REF!</f>
        <v>#REF!</v>
      </c>
      <c r="K46" s="138" t="e">
        <f t="shared" si="1"/>
        <v>#REF!</v>
      </c>
      <c r="L46" s="34" t="e">
        <f>#REF!</f>
        <v>#REF!</v>
      </c>
      <c r="M46" s="138" t="e">
        <f t="shared" si="2"/>
        <v>#REF!</v>
      </c>
    </row>
    <row r="47" spans="1:13" ht="12.75" customHeight="1" x14ac:dyDescent="0.25">
      <c r="A47" s="261" t="str">
        <v>$125,000-149,999</v>
      </c>
      <c r="B47" s="34" t="e">
        <f>#REF!+#REF!</f>
        <v>#REF!</v>
      </c>
      <c r="C47" s="138" t="e">
        <f t="shared" si="3"/>
        <v>#REF!</v>
      </c>
      <c r="D47" s="34" t="e">
        <f>#REF!+#REF!</f>
        <v>#REF!</v>
      </c>
      <c r="E47" s="138" t="e">
        <f t="shared" si="4"/>
        <v>#REF!</v>
      </c>
      <c r="F47" s="34" t="e">
        <f>#REF!+#REF!</f>
        <v>#REF!</v>
      </c>
      <c r="G47" s="140" t="e">
        <f t="shared" si="5"/>
        <v>#REF!</v>
      </c>
      <c r="H47" s="2"/>
      <c r="I47" s="261" t="str">
        <v>$200,000+</v>
      </c>
      <c r="J47" s="34" t="e">
        <f>#REF!</f>
        <v>#REF!</v>
      </c>
      <c r="K47" s="138" t="e">
        <f t="shared" si="1"/>
        <v>#REF!</v>
      </c>
      <c r="L47" s="34" t="e">
        <f>#REF!</f>
        <v>#REF!</v>
      </c>
      <c r="M47" s="138" t="e">
        <f t="shared" si="2"/>
        <v>#REF!</v>
      </c>
    </row>
    <row r="48" spans="1:13" ht="13.8" thickBot="1" x14ac:dyDescent="0.3">
      <c r="A48" s="261" t="str">
        <v>$150,000-199,999</v>
      </c>
      <c r="B48" s="34" t="e">
        <f>#REF!+#REF!</f>
        <v>#REF!</v>
      </c>
      <c r="C48" s="138" t="e">
        <f t="shared" si="3"/>
        <v>#REF!</v>
      </c>
      <c r="D48" s="34" t="e">
        <f>#REF!+#REF!</f>
        <v>#REF!</v>
      </c>
      <c r="E48" s="138" t="e">
        <f t="shared" si="4"/>
        <v>#REF!</v>
      </c>
      <c r="F48" s="34" t="e">
        <f>#REF!+#REF!</f>
        <v>#REF!</v>
      </c>
      <c r="G48" s="140" t="e">
        <f t="shared" si="5"/>
        <v>#REF!</v>
      </c>
      <c r="H48" s="2"/>
      <c r="I48" s="8" t="s">
        <v>11</v>
      </c>
      <c r="J48" s="32" t="e">
        <f>SUM(J36:J47)</f>
        <v>#REF!</v>
      </c>
      <c r="K48" s="139" t="e">
        <f>SUM(K36:K47)</f>
        <v>#REF!</v>
      </c>
      <c r="L48" s="32" t="e">
        <f>SUM(L36:L47)</f>
        <v>#REF!</v>
      </c>
      <c r="M48" s="139" t="e">
        <f>SUM(M36:M47)</f>
        <v>#REF!</v>
      </c>
    </row>
    <row r="49" spans="1:17" ht="13.8" thickTop="1" x14ac:dyDescent="0.25">
      <c r="A49" s="261" t="str">
        <v>$200,000+</v>
      </c>
      <c r="B49" s="34" t="e">
        <f>#REF!+#REF!</f>
        <v>#REF!</v>
      </c>
      <c r="C49" s="138" t="e">
        <f t="shared" si="3"/>
        <v>#REF!</v>
      </c>
      <c r="D49" s="34" t="e">
        <f>#REF!+#REF!</f>
        <v>#REF!</v>
      </c>
      <c r="E49" s="138" t="e">
        <f t="shared" si="4"/>
        <v>#REF!</v>
      </c>
      <c r="F49" s="34" t="e">
        <f>#REF!+#REF!</f>
        <v>#REF!</v>
      </c>
      <c r="G49" s="140" t="e">
        <f t="shared" si="5"/>
        <v>#REF!</v>
      </c>
      <c r="H49" s="2"/>
      <c r="I49" s="187" t="str">
        <f>"Source: " &amp; Source_HISTA &amp; ", " &amp; Source_Novogradac &amp; ", " &amp; Source_Date</f>
        <v>Source: Ribbon Demographics 2014, Novogradac &amp; Company LLP, August 2017</v>
      </c>
      <c r="J49" s="187"/>
      <c r="K49" s="187"/>
      <c r="L49" s="187"/>
      <c r="M49" s="187"/>
    </row>
    <row r="50" spans="1:17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</row>
    <row r="51" spans="1:17" ht="13.8" thickTop="1" x14ac:dyDescent="0.25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O51"/>
      <c r="P51"/>
      <c r="Q51"/>
    </row>
    <row r="52" spans="1:17" x14ac:dyDescent="0.25">
      <c r="A52" s="197" t="s">
        <v>139</v>
      </c>
      <c r="B52" s="22"/>
      <c r="C52" s="22"/>
      <c r="D52" s="22"/>
      <c r="E52" s="22"/>
      <c r="F52" s="2"/>
      <c r="G52" s="2"/>
      <c r="H52" s="2"/>
      <c r="O52"/>
      <c r="P52"/>
      <c r="Q52"/>
    </row>
    <row r="53" spans="1:17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  <c r="O53"/>
      <c r="P53"/>
      <c r="Q53"/>
    </row>
    <row r="54" spans="1:17" ht="15.6" x14ac:dyDescent="0.3">
      <c r="A54" s="4" t="str">
        <f>"HOUSEHOLD INCOME OF SENIORS 55+ IN " &amp; ESRI_FY</f>
        <v>HOUSEHOLD INCOME OF SENIORS 55+ IN 2021</v>
      </c>
      <c r="B54" s="4"/>
      <c r="C54" s="4"/>
      <c r="D54" s="4"/>
      <c r="E54" s="4"/>
      <c r="F54" s="4"/>
      <c r="G54" s="4"/>
      <c r="H54" s="2"/>
      <c r="I54"/>
      <c r="J54"/>
      <c r="K54"/>
      <c r="L54"/>
      <c r="M54"/>
      <c r="N54"/>
      <c r="O54"/>
      <c r="P54"/>
      <c r="Q54"/>
    </row>
    <row r="55" spans="1:17" x14ac:dyDescent="0.25">
      <c r="A55" s="327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19" t="e">
        <f>USA_Name</f>
        <v>#REF!</v>
      </c>
      <c r="G55" s="320"/>
      <c r="H55" s="2"/>
      <c r="I55"/>
      <c r="J55"/>
      <c r="K55"/>
      <c r="L55"/>
      <c r="M55"/>
      <c r="N55"/>
      <c r="O55"/>
      <c r="P55"/>
      <c r="Q55"/>
    </row>
    <row r="56" spans="1:17" ht="15.6" x14ac:dyDescent="0.3">
      <c r="A56" s="37"/>
      <c r="B56" s="298" t="s">
        <v>44</v>
      </c>
      <c r="C56" s="298" t="s">
        <v>51</v>
      </c>
      <c r="D56" s="298" t="s">
        <v>44</v>
      </c>
      <c r="E56" s="298" t="s">
        <v>51</v>
      </c>
      <c r="F56" s="298" t="s">
        <v>42</v>
      </c>
      <c r="G56" s="298" t="s">
        <v>51</v>
      </c>
      <c r="H56" s="2"/>
      <c r="I56"/>
      <c r="J56"/>
      <c r="K56"/>
      <c r="L56"/>
      <c r="M56"/>
      <c r="N56"/>
      <c r="O56"/>
      <c r="P56"/>
      <c r="Q56"/>
    </row>
    <row r="57" spans="1:17" x14ac:dyDescent="0.25">
      <c r="A57" s="261" t="str">
        <f t="array" ref="A57:A68">Novo_Cohort_Ref</f>
        <v>$0-9,999</v>
      </c>
      <c r="B57" s="34" t="e">
        <f>#REF!+#REF!</f>
        <v>#REF!</v>
      </c>
      <c r="C57" s="138" t="e">
        <f>B57/$B$69</f>
        <v>#REF!</v>
      </c>
      <c r="D57" s="34" t="e">
        <f>#REF!+#REF!</f>
        <v>#REF!</v>
      </c>
      <c r="E57" s="138" t="e">
        <f>D57/$D$69</f>
        <v>#REF!</v>
      </c>
      <c r="F57" s="34" t="e">
        <f>#REF!+#REF!</f>
        <v>#REF!</v>
      </c>
      <c r="G57" s="140" t="e">
        <f>F57/$F$69</f>
        <v>#REF!</v>
      </c>
      <c r="H57" s="2"/>
      <c r="I57"/>
      <c r="J57"/>
      <c r="K57"/>
      <c r="L57"/>
      <c r="M57"/>
      <c r="N57"/>
      <c r="O57"/>
      <c r="P57"/>
      <c r="Q57"/>
    </row>
    <row r="58" spans="1:17" x14ac:dyDescent="0.25">
      <c r="A58" s="261" t="str">
        <v>$10,000-19,999</v>
      </c>
      <c r="B58" s="34" t="e">
        <f>#REF!+#REF!</f>
        <v>#REF!</v>
      </c>
      <c r="C58" s="138" t="e">
        <f t="shared" ref="C58:C68" si="7">B58/$B$69</f>
        <v>#REF!</v>
      </c>
      <c r="D58" s="34" t="e">
        <f>#REF!+#REF!</f>
        <v>#REF!</v>
      </c>
      <c r="E58" s="138" t="e">
        <f t="shared" ref="E58:E68" si="8">D58/$D$69</f>
        <v>#REF!</v>
      </c>
      <c r="F58" s="34" t="e">
        <f>#REF!+#REF!</f>
        <v>#REF!</v>
      </c>
      <c r="G58" s="140" t="e">
        <f t="shared" ref="G58:G68" si="9">F58/$F$69</f>
        <v>#REF!</v>
      </c>
      <c r="H58" s="2"/>
      <c r="I58"/>
      <c r="J58"/>
      <c r="K58"/>
      <c r="L58"/>
      <c r="M58"/>
      <c r="N58"/>
      <c r="O58"/>
      <c r="P58"/>
      <c r="Q58"/>
    </row>
    <row r="59" spans="1:17" x14ac:dyDescent="0.25">
      <c r="A59" s="261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/>
      <c r="J59"/>
      <c r="K59"/>
      <c r="L59"/>
      <c r="M59"/>
      <c r="N59"/>
      <c r="O59"/>
      <c r="P59"/>
      <c r="Q59"/>
    </row>
    <row r="60" spans="1:17" x14ac:dyDescent="0.25">
      <c r="A60" s="261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/>
      <c r="J60"/>
      <c r="K60"/>
      <c r="L60"/>
      <c r="M60"/>
      <c r="N60"/>
      <c r="O60"/>
      <c r="P60"/>
      <c r="Q60"/>
    </row>
    <row r="61" spans="1:17" x14ac:dyDescent="0.25">
      <c r="A61" s="261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/>
      <c r="J61"/>
      <c r="K61"/>
      <c r="L61"/>
      <c r="M61"/>
      <c r="N61"/>
      <c r="O61"/>
      <c r="P61"/>
      <c r="Q61"/>
    </row>
    <row r="62" spans="1:17" x14ac:dyDescent="0.25">
      <c r="A62" s="261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/>
      <c r="J62"/>
      <c r="K62"/>
      <c r="L62"/>
      <c r="M62"/>
      <c r="N62"/>
      <c r="O62"/>
      <c r="P62"/>
      <c r="Q62"/>
    </row>
    <row r="63" spans="1:17" x14ac:dyDescent="0.25">
      <c r="A63" s="261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/>
      <c r="J63"/>
      <c r="K63"/>
      <c r="L63"/>
      <c r="M63"/>
      <c r="N63"/>
      <c r="O63"/>
      <c r="P63"/>
      <c r="Q63"/>
    </row>
    <row r="64" spans="1:17" ht="12.75" customHeight="1" x14ac:dyDescent="0.25">
      <c r="A64" s="261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/>
      <c r="J64"/>
      <c r="K64"/>
      <c r="L64"/>
      <c r="M64"/>
      <c r="N64"/>
      <c r="O64"/>
      <c r="P64"/>
      <c r="Q64"/>
    </row>
    <row r="65" spans="1:21" x14ac:dyDescent="0.25">
      <c r="A65" s="261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/>
      <c r="J65"/>
      <c r="K65"/>
      <c r="L65"/>
      <c r="M65"/>
      <c r="N65"/>
      <c r="O65"/>
      <c r="P65"/>
      <c r="Q65"/>
    </row>
    <row r="66" spans="1:21" x14ac:dyDescent="0.25">
      <c r="A66" s="261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/>
      <c r="J66"/>
      <c r="K66"/>
      <c r="L66"/>
      <c r="M66"/>
      <c r="N66"/>
      <c r="O66"/>
      <c r="P66"/>
      <c r="Q66"/>
    </row>
    <row r="67" spans="1:21" x14ac:dyDescent="0.25">
      <c r="A67" s="261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/>
      <c r="J67"/>
      <c r="K67"/>
      <c r="L67"/>
      <c r="M67"/>
      <c r="N67"/>
      <c r="O67"/>
      <c r="P67"/>
      <c r="Q67"/>
    </row>
    <row r="68" spans="1:21" x14ac:dyDescent="0.25">
      <c r="A68" s="261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/>
      <c r="J68"/>
      <c r="K68"/>
      <c r="L68"/>
      <c r="M68"/>
      <c r="N68"/>
      <c r="O68"/>
      <c r="P68"/>
      <c r="Q68"/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>
        <v>50433171.946757577</v>
      </c>
      <c r="G69" s="141" t="e">
        <f t="shared" si="10"/>
        <v>#REF!</v>
      </c>
      <c r="H69" s="2"/>
      <c r="I69"/>
      <c r="J69"/>
      <c r="K69"/>
      <c r="L69"/>
      <c r="M69"/>
      <c r="N69"/>
      <c r="O69" s="254"/>
    </row>
    <row r="70" spans="1:21" ht="13.8" thickTop="1" x14ac:dyDescent="0.25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/>
      <c r="J70"/>
      <c r="K70"/>
      <c r="L70"/>
      <c r="M70"/>
      <c r="N70"/>
      <c r="O70" s="254"/>
    </row>
    <row r="71" spans="1:21" x14ac:dyDescent="0.25">
      <c r="A71" s="2"/>
      <c r="B71" s="198"/>
      <c r="C71" s="198"/>
      <c r="D71" s="199"/>
      <c r="E71" s="199"/>
      <c r="F71" s="2"/>
      <c r="G71" s="2"/>
      <c r="H71" s="2"/>
      <c r="I71"/>
      <c r="J71"/>
      <c r="K71"/>
      <c r="L71"/>
      <c r="M71"/>
      <c r="N71"/>
      <c r="O71" s="254"/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262"/>
      <c r="J72" s="267"/>
      <c r="K72" s="267"/>
      <c r="L72" s="254"/>
      <c r="M72" s="254"/>
      <c r="N72" s="254"/>
      <c r="O72" s="254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62"/>
      <c r="J73" s="267"/>
      <c r="K73" s="267"/>
      <c r="L73" s="254"/>
      <c r="M73" s="254"/>
      <c r="N73" s="254"/>
      <c r="O73" s="254"/>
    </row>
    <row r="74" spans="1:21" ht="15.6" x14ac:dyDescent="0.3">
      <c r="A74" s="324" t="s">
        <v>52</v>
      </c>
      <c r="B74" s="319" t="e">
        <f>PMA_Name</f>
        <v>#REF!</v>
      </c>
      <c r="C74" s="320"/>
      <c r="D74" s="319" t="e">
        <f>SMA_Name</f>
        <v>#REF!</v>
      </c>
      <c r="E74" s="320"/>
      <c r="F74" s="22"/>
      <c r="G74" s="2"/>
      <c r="H74" s="2"/>
      <c r="I74" s="266" t="s">
        <v>211</v>
      </c>
      <c r="J74" s="266"/>
      <c r="K74" s="266"/>
      <c r="L74" s="266"/>
      <c r="M74" s="266"/>
      <c r="N74" s="266"/>
      <c r="O74" s="262"/>
    </row>
    <row r="75" spans="1:21" ht="15.6" x14ac:dyDescent="0.3">
      <c r="A75" s="37"/>
      <c r="B75" s="298" t="s">
        <v>44</v>
      </c>
      <c r="C75" s="298" t="s">
        <v>51</v>
      </c>
      <c r="D75" s="298" t="s">
        <v>44</v>
      </c>
      <c r="E75" s="298" t="s">
        <v>51</v>
      </c>
      <c r="F75" s="22"/>
      <c r="G75" s="2"/>
      <c r="H75" s="2"/>
      <c r="I75" s="392" t="e">
        <f>PMA_Name &amp; " " &amp; ESRI_CY</f>
        <v>#REF!</v>
      </c>
      <c r="J75" s="392"/>
      <c r="K75" s="392"/>
      <c r="L75" s="392"/>
      <c r="M75" s="392"/>
      <c r="N75" s="392"/>
      <c r="O75" s="262"/>
    </row>
    <row r="76" spans="1:21" x14ac:dyDescent="0.25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 t="shared" ref="E76:E93" si="12">D76/$D$94</f>
        <v>#REF!</v>
      </c>
      <c r="F76" s="22"/>
      <c r="G76" s="2"/>
      <c r="H76" s="2"/>
      <c r="I76" s="271" t="s">
        <v>50</v>
      </c>
      <c r="J76" s="271" t="e">
        <f>#REF!</f>
        <v>#REF!</v>
      </c>
      <c r="K76" s="271" t="e">
        <f>#REF!</f>
        <v>#REF!</v>
      </c>
      <c r="L76" s="271" t="e">
        <f>#REF!</f>
        <v>#REF!</v>
      </c>
      <c r="M76" s="271" t="e">
        <f>#REF!</f>
        <v>#REF!</v>
      </c>
      <c r="N76" s="271" t="e">
        <f>#REF!</f>
        <v>#REF!</v>
      </c>
      <c r="O76" s="262"/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si="12"/>
        <v>#REF!</v>
      </c>
      <c r="F77" s="22"/>
      <c r="G77" s="2"/>
      <c r="H77" s="2"/>
      <c r="I77" s="261" t="str">
        <f t="array" ref="I77:I88">Novo_Cohort_Ref</f>
        <v>$0-9,999</v>
      </c>
      <c r="J77" s="415" t="e">
        <f>#REF!</f>
        <v>#REF!</v>
      </c>
      <c r="K77" s="415" t="e">
        <f>#REF!</f>
        <v>#REF!</v>
      </c>
      <c r="L77" s="415" t="e">
        <f>#REF!</f>
        <v>#REF!</v>
      </c>
      <c r="M77" s="415" t="e">
        <f>#REF!</f>
        <v>#REF!</v>
      </c>
      <c r="N77" s="415" t="e">
        <f>#REF!</f>
        <v>#REF!</v>
      </c>
      <c r="O77" s="262"/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261" t="str">
        <v>$10,000-19,999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  <c r="O78" s="262"/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261" t="str">
        <v>$20,000-29,999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  <c r="O79" s="262"/>
    </row>
    <row r="80" spans="1:21" s="18" customFormat="1" ht="12.75" customHeigh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261" t="str">
        <v>$30,000-39,999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26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261" t="str">
        <v>$40,000-49,999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26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261" t="str">
        <v>$50,000-59,999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26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261" t="str">
        <v>$60,000-74,999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26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261" t="str">
        <v>$75,000-99,999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O84" s="26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261" t="str">
        <v>$100,000-124,999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O85" s="26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261" t="str">
        <v>$125,000-149,999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  <c r="O86" s="262"/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261" t="str">
        <v>$150,000-199,999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  <c r="O87" s="254"/>
    </row>
    <row r="88" spans="1:21" s="18" customFormat="1" ht="13.8" thickBot="1" x14ac:dyDescent="0.3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437" t="str">
        <v>$200,000+</v>
      </c>
      <c r="J88" s="416" t="e">
        <f>#REF!</f>
        <v>#REF!</v>
      </c>
      <c r="K88" s="416" t="e">
        <f>#REF!</f>
        <v>#REF!</v>
      </c>
      <c r="L88" s="416" t="e">
        <f>#REF!</f>
        <v>#REF!</v>
      </c>
      <c r="M88" s="416" t="e">
        <f>#REF!</f>
        <v>#REF!</v>
      </c>
      <c r="N88" s="416" t="e">
        <f>#REF!</f>
        <v>#REF!</v>
      </c>
      <c r="O88" s="254"/>
    </row>
    <row r="89" spans="1:21" x14ac:dyDescent="0.25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10"/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  <c r="O89" s="254"/>
      <c r="P89" s="18"/>
      <c r="Q89" s="18"/>
      <c r="R89" s="18"/>
      <c r="S89" s="18"/>
      <c r="T89" s="18"/>
      <c r="U89" s="18"/>
    </row>
    <row r="90" spans="1:21" x14ac:dyDescent="0.25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1" t="str">
        <f>"Source: " &amp; Source_HISTA &amp; ", " &amp; Source_Novogradac &amp; ", " &amp; Source_Date</f>
        <v>Source: Ribbon Demographics 2014, Novogradac &amp; Company LLP, August 2017</v>
      </c>
      <c r="J90" s="262"/>
      <c r="K90" s="262"/>
      <c r="L90" s="262"/>
      <c r="M90" s="262"/>
      <c r="N90" s="262"/>
      <c r="O90" s="254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254"/>
      <c r="J91" s="254"/>
      <c r="K91" s="254"/>
      <c r="L91" s="254"/>
      <c r="M91" s="254"/>
      <c r="N91" s="262"/>
      <c r="O91" s="254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62"/>
      <c r="J92" s="262"/>
      <c r="K92" s="262"/>
      <c r="L92" s="262"/>
      <c r="M92" s="262"/>
      <c r="N92" s="262"/>
      <c r="O92" s="254"/>
    </row>
    <row r="93" spans="1:21" ht="15.6" x14ac:dyDescent="0.3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66" t="s">
        <v>211</v>
      </c>
      <c r="J93" s="266"/>
      <c r="K93" s="266"/>
      <c r="L93" s="266"/>
      <c r="M93" s="266"/>
      <c r="N93" s="266"/>
      <c r="O93" s="254"/>
    </row>
    <row r="94" spans="1:21" ht="16.2" thickBot="1" x14ac:dyDescent="0.35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392" t="e">
        <f>PMA_Name &amp; " " &amp; ESRI_FY</f>
        <v>#REF!</v>
      </c>
      <c r="J94" s="392"/>
      <c r="K94" s="392"/>
      <c r="L94" s="392"/>
      <c r="M94" s="392"/>
      <c r="N94" s="392"/>
      <c r="O94" s="254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71" t="s">
        <v>50</v>
      </c>
      <c r="J95" s="271" t="e">
        <f>#REF!</f>
        <v>#REF!</v>
      </c>
      <c r="K95" s="271" t="e">
        <f>#REF!</f>
        <v>#REF!</v>
      </c>
      <c r="L95" s="271" t="e">
        <f>#REF!</f>
        <v>#REF!</v>
      </c>
      <c r="M95" s="271" t="e">
        <f>#REF!</f>
        <v>#REF!</v>
      </c>
      <c r="N95" s="271" t="e">
        <f>#REF!</f>
        <v>#REF!</v>
      </c>
      <c r="O95" s="254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61" t="str">
        <f t="array" ref="I96:I107">Novo_Cohort_Ref</f>
        <v>$0-9,999</v>
      </c>
      <c r="J96" s="415" t="e">
        <f>#REF!</f>
        <v>#REF!</v>
      </c>
      <c r="K96" s="415" t="e">
        <f>#REF!</f>
        <v>#REF!</v>
      </c>
      <c r="L96" s="415" t="e">
        <f>#REF!</f>
        <v>#REF!</v>
      </c>
      <c r="M96" s="415" t="e">
        <f>#REF!</f>
        <v>#REF!</v>
      </c>
      <c r="N96" s="415" t="e">
        <f>#REF!</f>
        <v>#REF!</v>
      </c>
      <c r="O96" s="265"/>
    </row>
    <row r="97" spans="1:15" x14ac:dyDescent="0.25">
      <c r="A97" s="199"/>
      <c r="B97" s="199"/>
      <c r="C97" s="199"/>
      <c r="D97" s="199"/>
      <c r="E97" s="199"/>
      <c r="F97" s="2"/>
      <c r="G97" s="22"/>
      <c r="H97" s="2"/>
      <c r="I97" s="261" t="str">
        <v>$10,000-19,999</v>
      </c>
      <c r="J97" s="415" t="e">
        <f>#REF!</f>
        <v>#REF!</v>
      </c>
      <c r="K97" s="415" t="e">
        <f>#REF!</f>
        <v>#REF!</v>
      </c>
      <c r="L97" s="415" t="e">
        <f>#REF!</f>
        <v>#REF!</v>
      </c>
      <c r="M97" s="415" t="e">
        <f>#REF!</f>
        <v>#REF!</v>
      </c>
      <c r="N97" s="415" t="e">
        <f>#REF!</f>
        <v>#REF!</v>
      </c>
      <c r="O97" s="262"/>
    </row>
    <row r="98" spans="1:15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261" t="str">
        <v>$20,000-29,999</v>
      </c>
      <c r="J98" s="415" t="e">
        <f>#REF!</f>
        <v>#REF!</v>
      </c>
      <c r="K98" s="415" t="e">
        <f>#REF!</f>
        <v>#REF!</v>
      </c>
      <c r="L98" s="415" t="e">
        <f>#REF!</f>
        <v>#REF!</v>
      </c>
      <c r="M98" s="415" t="e">
        <f>#REF!</f>
        <v>#REF!</v>
      </c>
      <c r="N98" s="415" t="e">
        <f>#REF!</f>
        <v>#REF!</v>
      </c>
      <c r="O98" s="262"/>
    </row>
    <row r="99" spans="1:15" ht="12.75" customHeight="1" x14ac:dyDescent="0.3">
      <c r="A99" s="4" t="s">
        <v>37</v>
      </c>
      <c r="B99" s="4"/>
      <c r="C99" s="4"/>
      <c r="D99" s="4"/>
      <c r="E99" s="4"/>
      <c r="F99" s="4"/>
      <c r="G99" s="4"/>
      <c r="H99" s="2"/>
      <c r="I99" s="261" t="str">
        <v>$30,000-39,999</v>
      </c>
      <c r="J99" s="415" t="e">
        <f>#REF!</f>
        <v>#REF!</v>
      </c>
      <c r="K99" s="415" t="e">
        <f>#REF!</f>
        <v>#REF!</v>
      </c>
      <c r="L99" s="415" t="e">
        <f>#REF!</f>
        <v>#REF!</v>
      </c>
      <c r="M99" s="415" t="e">
        <f>#REF!</f>
        <v>#REF!</v>
      </c>
      <c r="N99" s="415" t="e">
        <f>#REF!</f>
        <v>#REF!</v>
      </c>
      <c r="O99" s="262"/>
    </row>
    <row r="100" spans="1:15" x14ac:dyDescent="0.25">
      <c r="A100" s="327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19" t="e">
        <f>USA_Name</f>
        <v>#REF!</v>
      </c>
      <c r="G100" s="320"/>
      <c r="H100" s="2"/>
      <c r="I100" s="261" t="str">
        <v>$40,000-49,999</v>
      </c>
      <c r="J100" s="415" t="e">
        <f>#REF!</f>
        <v>#REF!</v>
      </c>
      <c r="K100" s="415" t="e">
        <f>#REF!</f>
        <v>#REF!</v>
      </c>
      <c r="L100" s="415" t="e">
        <f>#REF!</f>
        <v>#REF!</v>
      </c>
      <c r="M100" s="415" t="e">
        <f>#REF!</f>
        <v>#REF!</v>
      </c>
      <c r="N100" s="415" t="e">
        <f>#REF!</f>
        <v>#REF!</v>
      </c>
      <c r="O100" s="262"/>
    </row>
    <row r="101" spans="1:15" ht="15.6" x14ac:dyDescent="0.3">
      <c r="A101" s="37"/>
      <c r="B101" s="298" t="s">
        <v>44</v>
      </c>
      <c r="C101" s="298" t="s">
        <v>43</v>
      </c>
      <c r="D101" s="298" t="s">
        <v>42</v>
      </c>
      <c r="E101" s="298" t="s">
        <v>43</v>
      </c>
      <c r="F101" s="298" t="s">
        <v>44</v>
      </c>
      <c r="G101" s="298" t="s">
        <v>43</v>
      </c>
      <c r="H101" s="2"/>
      <c r="I101" s="261" t="str">
        <v>$50,000-59,999</v>
      </c>
      <c r="J101" s="415" t="e">
        <f>#REF!</f>
        <v>#REF!</v>
      </c>
      <c r="K101" s="415" t="e">
        <f>#REF!</f>
        <v>#REF!</v>
      </c>
      <c r="L101" s="415" t="e">
        <f>#REF!</f>
        <v>#REF!</v>
      </c>
      <c r="M101" s="415" t="e">
        <f>#REF!</f>
        <v>#REF!</v>
      </c>
      <c r="N101" s="415" t="e">
        <f>#REF!</f>
        <v>#REF!</v>
      </c>
    </row>
    <row r="102" spans="1:15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261" t="str">
        <v>$60,000-74,999</v>
      </c>
      <c r="J102" s="415" t="e">
        <f>#REF!</f>
        <v>#REF!</v>
      </c>
      <c r="K102" s="415" t="e">
        <f>#REF!</f>
        <v>#REF!</v>
      </c>
      <c r="L102" s="415" t="e">
        <f>#REF!</f>
        <v>#REF!</v>
      </c>
      <c r="M102" s="415" t="e">
        <f>#REF!</f>
        <v>#REF!</v>
      </c>
      <c r="N102" s="415" t="e">
        <f>#REF!</f>
        <v>#REF!</v>
      </c>
    </row>
    <row r="103" spans="1:15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261" t="str">
        <v>$75,000-99,999</v>
      </c>
      <c r="J103" s="415" t="e">
        <f>#REF!</f>
        <v>#REF!</v>
      </c>
      <c r="K103" s="415" t="e">
        <f>#REF!</f>
        <v>#REF!</v>
      </c>
      <c r="L103" s="415" t="e">
        <f>#REF!</f>
        <v>#REF!</v>
      </c>
      <c r="M103" s="415" t="e">
        <f>#REF!</f>
        <v>#REF!</v>
      </c>
      <c r="N103" s="415" t="e">
        <f>#REF!</f>
        <v>#REF!</v>
      </c>
    </row>
    <row r="104" spans="1:15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  <c r="I104" s="261" t="str">
        <v>$100,000-124,999</v>
      </c>
      <c r="J104" s="415" t="e">
        <f>#REF!</f>
        <v>#REF!</v>
      </c>
      <c r="K104" s="415" t="e">
        <f>#REF!</f>
        <v>#REF!</v>
      </c>
      <c r="L104" s="415" t="e">
        <f>#REF!</f>
        <v>#REF!</v>
      </c>
      <c r="M104" s="415" t="e">
        <f>#REF!</f>
        <v>#REF!</v>
      </c>
      <c r="N104" s="415" t="e">
        <f>#REF!</f>
        <v>#REF!</v>
      </c>
    </row>
    <row r="105" spans="1:15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  <c r="I105" s="261" t="str">
        <v>$125,000-149,999</v>
      </c>
      <c r="J105" s="415" t="e">
        <f>#REF!</f>
        <v>#REF!</v>
      </c>
      <c r="K105" s="415" t="e">
        <f>#REF!</f>
        <v>#REF!</v>
      </c>
      <c r="L105" s="415" t="e">
        <f>#REF!</f>
        <v>#REF!</v>
      </c>
      <c r="M105" s="415" t="e">
        <f>#REF!</f>
        <v>#REF!</v>
      </c>
      <c r="N105" s="415" t="e">
        <f>#REF!</f>
        <v>#REF!</v>
      </c>
    </row>
    <row r="106" spans="1:15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  <c r="I106" s="261" t="str">
        <v>$150,000-199,999</v>
      </c>
      <c r="J106" s="415" t="e">
        <f>#REF!</f>
        <v>#REF!</v>
      </c>
      <c r="K106" s="415" t="e">
        <f>#REF!</f>
        <v>#REF!</v>
      </c>
      <c r="L106" s="415" t="e">
        <f>#REF!</f>
        <v>#REF!</v>
      </c>
      <c r="M106" s="415" t="e">
        <f>#REF!</f>
        <v>#REF!</v>
      </c>
      <c r="N106" s="415" t="e">
        <f>#REF!</f>
        <v>#REF!</v>
      </c>
    </row>
    <row r="107" spans="1:15" ht="13.8" thickBot="1" x14ac:dyDescent="0.3">
      <c r="A107" s="195"/>
      <c r="B107" s="195"/>
      <c r="C107" s="195"/>
      <c r="D107" s="195"/>
      <c r="E107" s="195"/>
      <c r="F107" s="195"/>
      <c r="G107" s="195"/>
      <c r="H107" s="2"/>
      <c r="I107" s="437" t="str">
        <v>$200,000+</v>
      </c>
      <c r="J107" s="416" t="e">
        <f>#REF!</f>
        <v>#REF!</v>
      </c>
      <c r="K107" s="416" t="e">
        <f>#REF!</f>
        <v>#REF!</v>
      </c>
      <c r="L107" s="416" t="e">
        <f>#REF!</f>
        <v>#REF!</v>
      </c>
      <c r="M107" s="416" t="e">
        <f>#REF!</f>
        <v>#REF!</v>
      </c>
      <c r="N107" s="416" t="e">
        <f>#REF!</f>
        <v>#REF!</v>
      </c>
    </row>
    <row r="108" spans="1:15" x14ac:dyDescent="0.25">
      <c r="A108" s="1"/>
      <c r="B108" s="2"/>
      <c r="C108" s="2"/>
      <c r="D108" s="2"/>
      <c r="E108" s="2"/>
      <c r="F108" s="2"/>
      <c r="G108" s="2"/>
      <c r="H108" s="2"/>
      <c r="I108" s="10"/>
      <c r="J108" s="415" t="e">
        <f>#REF!</f>
        <v>#REF!</v>
      </c>
      <c r="K108" s="415" t="e">
        <f>#REF!</f>
        <v>#REF!</v>
      </c>
      <c r="L108" s="415" t="e">
        <f>#REF!</f>
        <v>#REF!</v>
      </c>
      <c r="M108" s="415" t="e">
        <f>#REF!</f>
        <v>#REF!</v>
      </c>
      <c r="N108" s="415" t="e">
        <f>#REF!</f>
        <v>#REF!</v>
      </c>
    </row>
    <row r="109" spans="1:15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  <c r="I109" s="391" t="str">
        <f>"Source: " &amp; Source_HISTA &amp; ", " &amp; Source_Novogradac &amp; ", " &amp; Source_Date</f>
        <v>Source: Ribbon Demographics 2014, Novogradac &amp; Company LLP, August 2017</v>
      </c>
      <c r="J109"/>
      <c r="K109"/>
      <c r="L109"/>
      <c r="M109"/>
      <c r="N109"/>
    </row>
    <row r="110" spans="1:15" x14ac:dyDescent="0.25">
      <c r="A110" s="327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19" t="e">
        <f>USA_Name</f>
        <v>#REF!</v>
      </c>
      <c r="G110" s="320"/>
      <c r="H110" s="2"/>
      <c r="I110"/>
      <c r="J110"/>
      <c r="K110"/>
      <c r="L110"/>
      <c r="M110"/>
      <c r="N110"/>
    </row>
    <row r="111" spans="1:15" ht="15.6" x14ac:dyDescent="0.3">
      <c r="A111" s="37"/>
      <c r="B111" s="298" t="s">
        <v>44</v>
      </c>
      <c r="C111" s="298" t="s">
        <v>43</v>
      </c>
      <c r="D111" s="298" t="s">
        <v>42</v>
      </c>
      <c r="E111" s="298" t="s">
        <v>43</v>
      </c>
      <c r="F111" s="298" t="s">
        <v>44</v>
      </c>
      <c r="G111" s="298" t="s">
        <v>43</v>
      </c>
      <c r="H111" s="2"/>
    </row>
    <row r="112" spans="1:15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327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19" t="e">
        <f>USA_Name</f>
        <v>#REF!</v>
      </c>
      <c r="G120" s="320"/>
      <c r="H120" s="2"/>
    </row>
    <row r="121" spans="1:8" ht="15.6" x14ac:dyDescent="0.3">
      <c r="A121" s="37"/>
      <c r="B121" s="298" t="s">
        <v>44</v>
      </c>
      <c r="C121" s="298" t="s">
        <v>43</v>
      </c>
      <c r="D121" s="298" t="s">
        <v>42</v>
      </c>
      <c r="E121" s="298" t="s">
        <v>43</v>
      </c>
      <c r="F121" s="299" t="s">
        <v>42</v>
      </c>
      <c r="G121" s="299" t="s">
        <v>43</v>
      </c>
      <c r="H121" s="2"/>
    </row>
    <row r="122" spans="1:8" x14ac:dyDescent="0.25">
      <c r="A122" s="10">
        <v>1990</v>
      </c>
      <c r="B122" s="19" t="e">
        <f>#REF!</f>
        <v>#REF!</v>
      </c>
      <c r="C122" s="143"/>
      <c r="D122" s="19" t="e">
        <f>#REF!</f>
        <v>#REF!</v>
      </c>
      <c r="E122" s="143"/>
      <c r="F122" s="204" t="e">
        <f>#REF!</f>
        <v>#REF!</v>
      </c>
      <c r="G122" s="143"/>
      <c r="H122" s="2"/>
    </row>
    <row r="123" spans="1:8" ht="12.75" customHeight="1" x14ac:dyDescent="0.25">
      <c r="A123" s="325">
        <f>ESRI_BY</f>
        <v>2000</v>
      </c>
      <c r="B123" s="19" t="e">
        <f>#REF!</f>
        <v>#REF!</v>
      </c>
      <c r="C123" s="143" t="e">
        <f>+(B123-B122)/$B$122/10</f>
        <v>#REF!</v>
      </c>
      <c r="D123" s="19" t="e">
        <f>#REF!</f>
        <v>#REF!</v>
      </c>
      <c r="E123" s="143" t="e">
        <f>+(D123-D122)/D122/10</f>
        <v>#REF!</v>
      </c>
      <c r="F123" s="204" t="e">
        <f>#REF!</f>
        <v>#REF!</v>
      </c>
      <c r="G123" s="143" t="e">
        <f>+(F123-F122)/F122/10</f>
        <v>#REF!</v>
      </c>
      <c r="H123" s="2"/>
    </row>
    <row r="124" spans="1:8" x14ac:dyDescent="0.25">
      <c r="A124" s="325">
        <f>ESRI_CY</f>
        <v>2016</v>
      </c>
      <c r="B124" s="20" t="e">
        <f>#REF!</f>
        <v>#REF!</v>
      </c>
      <c r="C124" s="143" t="e">
        <f>+(B124-B123)/$B$123/$B$1</f>
        <v>#REF!</v>
      </c>
      <c r="D124" s="19" t="e">
        <f>#REF!</f>
        <v>#REF!</v>
      </c>
      <c r="E124" s="143" t="e">
        <f>+(D124-D123)/D123/$B$1</f>
        <v>#REF!</v>
      </c>
      <c r="F124" s="204" t="e">
        <f>#REF!</f>
        <v>#REF!</v>
      </c>
      <c r="G124" s="143" t="e">
        <f>+(F124-F123)/F123/$B$1</f>
        <v>#REF!</v>
      </c>
      <c r="H124" s="2"/>
    </row>
    <row r="125" spans="1:8" ht="13.8" thickBot="1" x14ac:dyDescent="0.3">
      <c r="A125" s="186">
        <f>ESRI_FY</f>
        <v>2021</v>
      </c>
      <c r="B125" s="20" t="e">
        <f>#REF!</f>
        <v>#REF!</v>
      </c>
      <c r="C125" s="144" t="e">
        <f>+(B125-B124)/$B$124/5</f>
        <v>#REF!</v>
      </c>
      <c r="D125" s="21" t="e">
        <f>#REF!</f>
        <v>#REF!</v>
      </c>
      <c r="E125" s="144" t="e">
        <f>+(D125-D124)/D124/5</f>
        <v>#REF!</v>
      </c>
      <c r="F125" s="205" t="e">
        <f>#REF!</f>
        <v>#REF!</v>
      </c>
      <c r="G125" s="144" t="e">
        <f>+(F125-F124)/F124/5</f>
        <v>#REF!</v>
      </c>
      <c r="H125" s="2"/>
    </row>
    <row r="126" spans="1:8" ht="13.8" thickTop="1" x14ac:dyDescent="0.25">
      <c r="A126" s="187" t="str">
        <f>"Source: " &amp; Source_ESRI &amp; ", " &amp; Source_Novogradac &amp; ", " &amp; Source_Date</f>
        <v>Source: Esri Demographics 2016, Novogradac &amp; Company LLP, August 2017</v>
      </c>
      <c r="B126" s="187"/>
      <c r="C126" s="187"/>
      <c r="D126" s="187"/>
      <c r="E126" s="187"/>
      <c r="F126" s="187"/>
      <c r="G126" s="187"/>
      <c r="H126" s="2"/>
    </row>
    <row r="127" spans="1:8" x14ac:dyDescent="0.25">
      <c r="A127" s="2"/>
      <c r="B127" s="2"/>
      <c r="C127" s="2"/>
      <c r="D127" s="2"/>
      <c r="E127" s="2"/>
      <c r="F127" s="22"/>
      <c r="G127" s="22"/>
      <c r="H127" s="2"/>
    </row>
    <row r="128" spans="1:8" x14ac:dyDescent="0.25">
      <c r="A128" s="1"/>
      <c r="B128" s="2"/>
      <c r="C128" s="2"/>
      <c r="D128" s="2"/>
      <c r="E128" s="2"/>
      <c r="F128" s="2"/>
      <c r="G128" s="2"/>
      <c r="H128" s="2"/>
    </row>
    <row r="129" spans="1:8" ht="15.6" x14ac:dyDescent="0.3">
      <c r="A129" s="224" t="s">
        <v>48</v>
      </c>
      <c r="B129" s="224"/>
      <c r="C129" s="224"/>
      <c r="D129" s="224"/>
      <c r="E129" s="224"/>
      <c r="F129" s="224"/>
      <c r="G129" s="224"/>
      <c r="H129" s="2"/>
    </row>
    <row r="130" spans="1:8" x14ac:dyDescent="0.25">
      <c r="A130" s="327" t="s">
        <v>38</v>
      </c>
      <c r="B130" s="319" t="e">
        <f>PMA_Name</f>
        <v>#REF!</v>
      </c>
      <c r="C130" s="320"/>
      <c r="D130" s="319" t="e">
        <f>SMA_Name</f>
        <v>#REF!</v>
      </c>
      <c r="E130" s="320"/>
      <c r="F130" s="319" t="e">
        <f>USA_Name</f>
        <v>#REF!</v>
      </c>
      <c r="G130" s="320"/>
      <c r="H130" s="2"/>
    </row>
    <row r="131" spans="1:8" ht="15.6" x14ac:dyDescent="0.3">
      <c r="A131" s="37"/>
      <c r="B131" s="298" t="s">
        <v>49</v>
      </c>
      <c r="C131" s="298" t="s">
        <v>43</v>
      </c>
      <c r="D131" s="298" t="s">
        <v>49</v>
      </c>
      <c r="E131" s="298" t="s">
        <v>43</v>
      </c>
      <c r="F131" s="299" t="s">
        <v>49</v>
      </c>
      <c r="G131" s="299" t="s">
        <v>43</v>
      </c>
      <c r="H131" s="2"/>
    </row>
    <row r="132" spans="1:8" x14ac:dyDescent="0.25">
      <c r="A132" s="325">
        <f>ESRI_BY</f>
        <v>2000</v>
      </c>
      <c r="B132" s="23" t="e">
        <f>#REF!</f>
        <v>#REF!</v>
      </c>
      <c r="C132" s="138" t="s">
        <v>45</v>
      </c>
      <c r="D132" s="23" t="e">
        <f>#REF!</f>
        <v>#REF!</v>
      </c>
      <c r="E132" s="138" t="s">
        <v>45</v>
      </c>
      <c r="F132" s="24" t="e">
        <f>#REF!</f>
        <v>#REF!</v>
      </c>
      <c r="G132" s="138" t="s">
        <v>45</v>
      </c>
      <c r="H132" s="2"/>
    </row>
    <row r="133" spans="1:8" x14ac:dyDescent="0.25">
      <c r="A133" s="325">
        <f>ESRI_CY</f>
        <v>2016</v>
      </c>
      <c r="B133" s="25" t="e">
        <f>#REF!</f>
        <v>#REF!</v>
      </c>
      <c r="C133" s="138" t="e">
        <f>+(B133-B132)/$B$132/$B$1</f>
        <v>#REF!</v>
      </c>
      <c r="D133" s="25" t="e">
        <f>#REF!</f>
        <v>#REF!</v>
      </c>
      <c r="E133" s="138" t="e">
        <f>+(D133-D132)/D132/$B$1</f>
        <v>#REF!</v>
      </c>
      <c r="F133" s="9" t="e">
        <f>#REF!</f>
        <v>#REF!</v>
      </c>
      <c r="G133" s="138" t="e">
        <f>+(F133-F132)/F132/$B$1</f>
        <v>#REF!</v>
      </c>
      <c r="H133" s="2"/>
    </row>
    <row r="134" spans="1:8" ht="13.8" thickBot="1" x14ac:dyDescent="0.3">
      <c r="A134" s="186">
        <f>ESRI_FY</f>
        <v>2021</v>
      </c>
      <c r="B134" s="26" t="e">
        <f>#REF!</f>
        <v>#REF!</v>
      </c>
      <c r="C134" s="144" t="e">
        <f>+(B134-B133)/$B$133/5</f>
        <v>#REF!</v>
      </c>
      <c r="D134" s="26" t="e">
        <f>#REF!</f>
        <v>#REF!</v>
      </c>
      <c r="E134" s="144" t="e">
        <f>+(D134-D133)/D133/5</f>
        <v>#REF!</v>
      </c>
      <c r="F134" s="27" t="e">
        <f>#REF!</f>
        <v>#REF!</v>
      </c>
      <c r="G134" s="144" t="e">
        <f>+(F134-F133)/F133/5</f>
        <v>#REF!</v>
      </c>
      <c r="H134" s="2"/>
    </row>
    <row r="135" spans="1:8" ht="13.8" thickTop="1" x14ac:dyDescent="0.25">
      <c r="A135" s="187" t="str">
        <f>"Source: " &amp; Source_ESRI &amp; ", " &amp; Source_Novogradac &amp; ", " &amp; Source_Date</f>
        <v>Source: Esri Demographics 2016, Novogradac &amp; Company LLP, August 2017</v>
      </c>
      <c r="B135" s="187"/>
      <c r="C135" s="187"/>
      <c r="D135" s="187"/>
      <c r="E135" s="187"/>
      <c r="F135" s="187"/>
      <c r="G135" s="187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x14ac:dyDescent="0.25">
      <c r="A137" s="41"/>
      <c r="B137" s="41"/>
      <c r="C137" s="41"/>
      <c r="D137" s="41"/>
      <c r="E137" s="41"/>
      <c r="F137" s="41"/>
      <c r="G137" s="41"/>
      <c r="H137" s="2"/>
    </row>
    <row r="138" spans="1:8" ht="15.6" x14ac:dyDescent="0.3">
      <c r="A138" s="228" t="str">
        <f>ESRI_CY &amp; " HOUSEHOLD INCOME"</f>
        <v>2016 HOUSEHOLD INCOME</v>
      </c>
      <c r="B138" s="228"/>
      <c r="C138" s="228"/>
      <c r="D138" s="228"/>
      <c r="E138" s="228"/>
      <c r="F138" s="228"/>
      <c r="G138" s="228"/>
      <c r="H138" s="2"/>
    </row>
    <row r="139" spans="1:8" x14ac:dyDescent="0.25">
      <c r="A139" s="327" t="s">
        <v>50</v>
      </c>
      <c r="B139" s="319" t="e">
        <f>PMA_Name</f>
        <v>#REF!</v>
      </c>
      <c r="C139" s="320"/>
      <c r="D139" s="319" t="e">
        <f>SMA_Name</f>
        <v>#REF!</v>
      </c>
      <c r="E139" s="320"/>
      <c r="F139" s="319" t="e">
        <f>USA_Name</f>
        <v>#REF!</v>
      </c>
      <c r="G139" s="320"/>
      <c r="H139" s="2"/>
    </row>
    <row r="140" spans="1:8" ht="15.6" x14ac:dyDescent="0.3">
      <c r="A140" s="37"/>
      <c r="B140" s="298" t="s">
        <v>44</v>
      </c>
      <c r="C140" s="298" t="s">
        <v>51</v>
      </c>
      <c r="D140" s="298" t="s">
        <v>44</v>
      </c>
      <c r="E140" s="298" t="s">
        <v>51</v>
      </c>
      <c r="F140" s="299" t="s">
        <v>42</v>
      </c>
      <c r="G140" s="298" t="s">
        <v>51</v>
      </c>
      <c r="H140" s="2"/>
    </row>
    <row r="141" spans="1:8" x14ac:dyDescent="0.25">
      <c r="A141" s="261" t="str">
        <f t="array" ref="A141:A152">Novo_Cohort_Ref</f>
        <v>$0-9,999</v>
      </c>
      <c r="B141" s="34" t="e">
        <f>#REF!</f>
        <v>#REF!</v>
      </c>
      <c r="C141" s="138" t="e">
        <f>B141/$B$153</f>
        <v>#REF!</v>
      </c>
      <c r="D141" s="34" t="e">
        <f>#REF!</f>
        <v>#REF!</v>
      </c>
      <c r="E141" s="138" t="e">
        <f>D141/$D$153</f>
        <v>#REF!</v>
      </c>
      <c r="F141" s="31" t="e">
        <f>#REF!</f>
        <v>#REF!</v>
      </c>
      <c r="G141" s="142" t="e">
        <f>F141/$F$153</f>
        <v>#REF!</v>
      </c>
      <c r="H141" s="2"/>
    </row>
    <row r="142" spans="1:8" x14ac:dyDescent="0.25">
      <c r="A142" s="261" t="str">
        <v>$10,000-19,999</v>
      </c>
      <c r="B142" s="34" t="e">
        <f>#REF!</f>
        <v>#REF!</v>
      </c>
      <c r="C142" s="138" t="e">
        <f t="shared" ref="C142:C152" si="13">B142/$B$153</f>
        <v>#REF!</v>
      </c>
      <c r="D142" s="34" t="e">
        <f>#REF!</f>
        <v>#REF!</v>
      </c>
      <c r="E142" s="138" t="e">
        <f t="shared" ref="E142:E152" si="14">D142/$D$153</f>
        <v>#REF!</v>
      </c>
      <c r="F142" s="31" t="e">
        <f>#REF!</f>
        <v>#REF!</v>
      </c>
      <c r="G142" s="142" t="e">
        <f t="shared" ref="G142:G152" si="15">F142/$F$153</f>
        <v>#REF!</v>
      </c>
      <c r="H142" s="2"/>
    </row>
    <row r="143" spans="1:8" x14ac:dyDescent="0.25">
      <c r="A143" s="261" t="str">
        <v>$20,000-29,999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261" t="str">
        <v>$30,000-39,999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261" t="str">
        <v>$40,000-49,999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261" t="str">
        <v>$50,000-59,999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261" t="str">
        <v>$60,000-74,999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261" t="str">
        <v>$75,000-99,999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261" t="str">
        <v>$100,000-124,999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261" t="str">
        <v>$125,000-149,999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261" t="str">
        <v>$150,000-199,999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x14ac:dyDescent="0.25">
      <c r="A152" s="261" t="str">
        <v>$200,000+</v>
      </c>
      <c r="B152" s="34" t="e">
        <f>#REF!</f>
        <v>#REF!</v>
      </c>
      <c r="C152" s="138" t="e">
        <f t="shared" si="13"/>
        <v>#REF!</v>
      </c>
      <c r="D152" s="34" t="e">
        <f>#REF!</f>
        <v>#REF!</v>
      </c>
      <c r="E152" s="138" t="e">
        <f t="shared" si="14"/>
        <v>#REF!</v>
      </c>
      <c r="F152" s="31" t="e">
        <f>#REF!</f>
        <v>#REF!</v>
      </c>
      <c r="G152" s="142" t="e">
        <f t="shared" si="15"/>
        <v>#REF!</v>
      </c>
      <c r="H152" s="2"/>
    </row>
    <row r="153" spans="1:8" ht="13.8" thickBot="1" x14ac:dyDescent="0.3">
      <c r="A153" s="8" t="s">
        <v>11</v>
      </c>
      <c r="B153" s="32" t="e">
        <f>SUM(B141:B152)</f>
        <v>#REF!</v>
      </c>
      <c r="C153" s="139" t="e">
        <f t="shared" ref="C153:G153" si="16">SUM(C141:C152)</f>
        <v>#REF!</v>
      </c>
      <c r="D153" s="32" t="e">
        <f t="shared" si="16"/>
        <v>#REF!</v>
      </c>
      <c r="E153" s="139" t="e">
        <f t="shared" si="16"/>
        <v>#REF!</v>
      </c>
      <c r="F153" s="33" t="e">
        <f t="shared" si="16"/>
        <v>#REF!</v>
      </c>
      <c r="G153" s="141" t="e">
        <f t="shared" si="16"/>
        <v>#REF!</v>
      </c>
      <c r="H153" s="2"/>
    </row>
    <row r="154" spans="1:8" ht="13.8" thickTop="1" x14ac:dyDescent="0.25">
      <c r="A154" s="187" t="str">
        <f>"Source: " &amp; Source_ESRI &amp; ", " &amp; Source_Novogradac &amp; ", " &amp; Source_Date</f>
        <v>Source: Esri Demographics 2016, Novogradac &amp; Company LLP, August 2017</v>
      </c>
      <c r="B154" s="187"/>
      <c r="C154" s="187"/>
      <c r="D154" s="187"/>
      <c r="E154" s="187"/>
      <c r="F154" s="187"/>
      <c r="G154" s="187"/>
      <c r="H154" s="2"/>
    </row>
    <row r="155" spans="1:8" x14ac:dyDescent="0.25">
      <c r="A155" s="199"/>
      <c r="B155" s="199"/>
      <c r="C155" s="199"/>
      <c r="D155" s="199"/>
      <c r="E155" s="199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ht="15.6" x14ac:dyDescent="0.3">
      <c r="A157" s="228" t="str">
        <f>ESRI_FY &amp; " HOUSEHOLD INCOME"</f>
        <v>2021 HOUSEHOLD INCOME</v>
      </c>
      <c r="B157" s="228"/>
      <c r="C157" s="228"/>
      <c r="D157" s="228"/>
      <c r="E157" s="228"/>
      <c r="F157" s="228"/>
      <c r="G157" s="228"/>
      <c r="H157" s="2"/>
    </row>
    <row r="158" spans="1:8" x14ac:dyDescent="0.25">
      <c r="A158" s="327" t="s">
        <v>50</v>
      </c>
      <c r="B158" s="319" t="e">
        <f>PMA_Name</f>
        <v>#REF!</v>
      </c>
      <c r="C158" s="320"/>
      <c r="D158" s="319" t="e">
        <f>SMA_Name</f>
        <v>#REF!</v>
      </c>
      <c r="E158" s="320"/>
      <c r="F158" s="319" t="e">
        <f>USA_Name</f>
        <v>#REF!</v>
      </c>
      <c r="G158" s="320"/>
      <c r="H158" s="2"/>
    </row>
    <row r="159" spans="1:8" ht="15.6" x14ac:dyDescent="0.3">
      <c r="A159" s="37"/>
      <c r="B159" s="298" t="s">
        <v>44</v>
      </c>
      <c r="C159" s="298" t="s">
        <v>51</v>
      </c>
      <c r="D159" s="298" t="s">
        <v>44</v>
      </c>
      <c r="E159" s="298" t="s">
        <v>51</v>
      </c>
      <c r="F159" s="299" t="s">
        <v>42</v>
      </c>
      <c r="G159" s="298" t="s">
        <v>51</v>
      </c>
      <c r="H159" s="2"/>
    </row>
    <row r="160" spans="1:8" x14ac:dyDescent="0.25">
      <c r="A160" s="261" t="str">
        <f t="array" ref="A160:A171">Novo_Cohort_Ref</f>
        <v>$0-9,999</v>
      </c>
      <c r="B160" s="34" t="e">
        <f>#REF!</f>
        <v>#REF!</v>
      </c>
      <c r="C160" s="138" t="e">
        <f>B160/$B$172</f>
        <v>#REF!</v>
      </c>
      <c r="D160" s="34" t="e">
        <f>#REF!</f>
        <v>#REF!</v>
      </c>
      <c r="E160" s="138" t="e">
        <f>D160/$D$172</f>
        <v>#REF!</v>
      </c>
      <c r="F160" s="31" t="e">
        <f>#REF!</f>
        <v>#REF!</v>
      </c>
      <c r="G160" s="142" t="e">
        <f>F160/$F$172</f>
        <v>#REF!</v>
      </c>
      <c r="H160" s="2"/>
    </row>
    <row r="161" spans="1:8" x14ac:dyDescent="0.25">
      <c r="A161" s="261" t="str">
        <v>$10,000-19,999</v>
      </c>
      <c r="B161" s="34" t="e">
        <f>#REF!</f>
        <v>#REF!</v>
      </c>
      <c r="C161" s="138" t="e">
        <f t="shared" ref="C161:C171" si="17">B161/$B$172</f>
        <v>#REF!</v>
      </c>
      <c r="D161" s="34" t="e">
        <f>#REF!</f>
        <v>#REF!</v>
      </c>
      <c r="E161" s="138" t="e">
        <f t="shared" ref="E161:E171" si="18">D161/$D$172</f>
        <v>#REF!</v>
      </c>
      <c r="F161" s="31" t="e">
        <f>#REF!</f>
        <v>#REF!</v>
      </c>
      <c r="G161" s="142" t="e">
        <f t="shared" ref="G161:G171" si="19">F161/$F$172</f>
        <v>#REF!</v>
      </c>
      <c r="H161" s="2"/>
    </row>
    <row r="162" spans="1:8" x14ac:dyDescent="0.25">
      <c r="A162" s="261" t="str">
        <v>$20,000-29,999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261" t="str">
        <v>$30,000-39,999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261" t="str">
        <v>$40,000-49,999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261" t="str">
        <v>$50,000-59,999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261" t="str">
        <v>$60,000-74,999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261" t="str">
        <v>$75,000-99,999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261" t="str">
        <v>$100,000-124,999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261" t="str">
        <v>$125,000-149,999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261" t="str">
        <v>$150,000-199,999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x14ac:dyDescent="0.25">
      <c r="A171" s="261" t="str">
        <v>$200,000+</v>
      </c>
      <c r="B171" s="34" t="e">
        <f>#REF!</f>
        <v>#REF!</v>
      </c>
      <c r="C171" s="138" t="e">
        <f t="shared" si="17"/>
        <v>#REF!</v>
      </c>
      <c r="D171" s="34" t="e">
        <f>#REF!</f>
        <v>#REF!</v>
      </c>
      <c r="E171" s="138" t="e">
        <f t="shared" si="18"/>
        <v>#REF!</v>
      </c>
      <c r="F171" s="31" t="e">
        <f>#REF!</f>
        <v>#REF!</v>
      </c>
      <c r="G171" s="142" t="e">
        <f t="shared" si="19"/>
        <v>#REF!</v>
      </c>
      <c r="H171" s="2"/>
    </row>
    <row r="172" spans="1:8" ht="13.8" thickBot="1" x14ac:dyDescent="0.3">
      <c r="A172" s="8" t="s">
        <v>11</v>
      </c>
      <c r="B172" s="32" t="e">
        <f t="shared" ref="B172:G172" si="20">SUM(B160:B171)</f>
        <v>#REF!</v>
      </c>
      <c r="C172" s="139" t="e">
        <f t="shared" si="20"/>
        <v>#REF!</v>
      </c>
      <c r="D172" s="32" t="e">
        <f t="shared" si="20"/>
        <v>#REF!</v>
      </c>
      <c r="E172" s="139" t="e">
        <f t="shared" si="20"/>
        <v>#REF!</v>
      </c>
      <c r="F172" s="33" t="e">
        <f t="shared" si="20"/>
        <v>#REF!</v>
      </c>
      <c r="G172" s="141" t="e">
        <f t="shared" si="20"/>
        <v>#REF!</v>
      </c>
      <c r="H172" s="2"/>
    </row>
    <row r="173" spans="1:8" ht="22.5" customHeight="1" thickTop="1" x14ac:dyDescent="0.25">
      <c r="A173" s="187" t="str">
        <f>"Source: " &amp; Source_ESRI &amp; ", " &amp; Source_Novogradac &amp; ", " &amp; Source_Date</f>
        <v>Source: Esri Demographics 2016, Novogradac &amp; Company LLP, August 2017</v>
      </c>
      <c r="B173" s="187"/>
      <c r="C173" s="187"/>
      <c r="D173" s="187"/>
      <c r="E173" s="187"/>
      <c r="F173" s="187"/>
      <c r="G173" s="187"/>
      <c r="H173" s="2"/>
    </row>
    <row r="174" spans="1:8" ht="22.5" customHeight="1" x14ac:dyDescent="0.25">
      <c r="A174"/>
      <c r="B174"/>
      <c r="C174"/>
      <c r="D174"/>
      <c r="E174"/>
      <c r="F174"/>
      <c r="G174" s="2"/>
      <c r="H174" s="2"/>
    </row>
    <row r="175" spans="1:8" x14ac:dyDescent="0.25">
      <c r="A175"/>
      <c r="B175"/>
      <c r="C175"/>
      <c r="D175"/>
      <c r="E175"/>
      <c r="F175"/>
      <c r="G175" s="2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A179"/>
      <c r="B179"/>
      <c r="C179"/>
      <c r="D179"/>
      <c r="E179"/>
      <c r="F179"/>
      <c r="H179" s="2"/>
    </row>
    <row r="180" spans="1:8" x14ac:dyDescent="0.25">
      <c r="A180"/>
      <c r="B180"/>
      <c r="C180"/>
      <c r="D180"/>
      <c r="E180"/>
      <c r="F180"/>
      <c r="H180" s="2"/>
    </row>
    <row r="181" spans="1:8" x14ac:dyDescent="0.25">
      <c r="A181"/>
      <c r="B181"/>
      <c r="C181"/>
      <c r="D181"/>
      <c r="E181"/>
      <c r="F181"/>
      <c r="H181" s="2"/>
    </row>
    <row r="182" spans="1:8" x14ac:dyDescent="0.25">
      <c r="A182"/>
      <c r="B182"/>
      <c r="C182"/>
      <c r="D182"/>
      <c r="E182"/>
      <c r="F182"/>
      <c r="H182" s="2"/>
    </row>
    <row r="183" spans="1:8" x14ac:dyDescent="0.25">
      <c r="A183"/>
      <c r="B183"/>
      <c r="C183"/>
      <c r="D183"/>
      <c r="E183"/>
      <c r="F183"/>
      <c r="H183" s="2"/>
    </row>
    <row r="184" spans="1:8" x14ac:dyDescent="0.25">
      <c r="A184"/>
      <c r="B184"/>
      <c r="C184"/>
      <c r="D184"/>
      <c r="E184"/>
      <c r="F184"/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</sheetData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9398" r:id="rId4" name="ToggleButton1">
          <controlPr defaultSize="0" autoLine="0" r:id="rId5">
            <anchor moveWithCells="1">
              <from>
                <xdr:col>4</xdr:col>
                <xdr:colOff>160020</xdr:colOff>
                <xdr:row>0</xdr:row>
                <xdr:rowOff>76200</xdr:rowOff>
              </from>
              <to>
                <xdr:col>4</xdr:col>
                <xdr:colOff>1066800</xdr:colOff>
                <xdr:row>3</xdr:row>
                <xdr:rowOff>30480</xdr:rowOff>
              </to>
            </anchor>
          </controlPr>
        </control>
      </mc:Choice>
      <mc:Fallback>
        <control shapeId="59398" r:id="rId4" name="ToggleButton1"/>
      </mc:Fallback>
    </mc:AlternateContent>
    <mc:AlternateContent xmlns:mc="http://schemas.openxmlformats.org/markup-compatibility/2006">
      <mc:Choice Requires="x14">
        <control shapeId="59399" r:id="rId6" name="ToggleButton2">
          <controlPr defaultSize="0" autoLine="0" r:id="rId7">
            <anchor moveWithCells="1">
              <from>
                <xdr:col>6</xdr:col>
                <xdr:colOff>60960</xdr:colOff>
                <xdr:row>0</xdr:row>
                <xdr:rowOff>76200</xdr:rowOff>
              </from>
              <to>
                <xdr:col>6</xdr:col>
                <xdr:colOff>777240</xdr:colOff>
                <xdr:row>3</xdr:row>
                <xdr:rowOff>22860</xdr:rowOff>
              </to>
            </anchor>
          </controlPr>
        </control>
      </mc:Choice>
      <mc:Fallback>
        <control shapeId="59399" r:id="rId6" name="ToggleButton2"/>
      </mc:Fallback>
    </mc:AlternateContent>
    <mc:AlternateContent xmlns:mc="http://schemas.openxmlformats.org/markup-compatibility/2006">
      <mc:Choice Requires="x14">
        <control shapeId="59400" r:id="rId8" name="ToggleButton3">
          <controlPr defaultSize="0" autoLine="0" r:id="rId9">
            <anchor moveWithCells="1">
              <from>
                <xdr:col>4</xdr:col>
                <xdr:colOff>1127760</xdr:colOff>
                <xdr:row>0</xdr:row>
                <xdr:rowOff>83820</xdr:rowOff>
              </from>
              <to>
                <xdr:col>5</xdr:col>
                <xdr:colOff>830580</xdr:colOff>
                <xdr:row>3</xdr:row>
                <xdr:rowOff>15240</xdr:rowOff>
              </to>
            </anchor>
          </controlPr>
        </control>
      </mc:Choice>
      <mc:Fallback>
        <control shapeId="59400" r:id="rId8" name="ToggleButton3"/>
      </mc:Fallback>
    </mc:AlternateContent>
    <mc:AlternateContent xmlns:mc="http://schemas.openxmlformats.org/markup-compatibility/2006">
      <mc:Choice Requires="x14">
        <control shapeId="59401" r:id="rId10" name="ToggleButton4">
          <controlPr defaultSize="0" autoLine="0" r:id="rId11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59401" r:id="rId10" name="ToggleButton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U236"/>
  <sheetViews>
    <sheetView topLeftCell="A103" zoomScale="80" zoomScaleNormal="80" workbookViewId="0">
      <selection activeCell="E114" sqref="E114"/>
    </sheetView>
  </sheetViews>
  <sheetFormatPr defaultColWidth="9.109375" defaultRowHeight="13.2" x14ac:dyDescent="0.25"/>
  <cols>
    <col min="1" max="13" width="17.6640625" style="12" customWidth="1"/>
    <col min="14" max="14" width="17.5546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311"/>
      <c r="F1" s="313"/>
      <c r="G1" s="313"/>
      <c r="H1" s="313"/>
    </row>
    <row r="2" spans="1:11" x14ac:dyDescent="0.25">
      <c r="A2" s="309"/>
      <c r="B2" s="323"/>
      <c r="C2" s="323"/>
      <c r="D2" s="323"/>
      <c r="E2" s="323"/>
      <c r="F2" s="313"/>
      <c r="G2" s="313"/>
      <c r="H2" s="313"/>
    </row>
    <row r="3" spans="1:11" x14ac:dyDescent="0.25">
      <c r="A3" s="313"/>
      <c r="B3" s="313"/>
      <c r="C3" s="313"/>
      <c r="D3" s="313"/>
      <c r="E3" s="323"/>
      <c r="F3" s="313"/>
      <c r="G3" s="313"/>
      <c r="H3" s="313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169</v>
      </c>
      <c r="B6" s="447"/>
      <c r="C6" s="447"/>
      <c r="D6" s="447"/>
      <c r="E6" s="447"/>
      <c r="F6" s="447"/>
      <c r="G6" s="447"/>
      <c r="H6" s="2"/>
    </row>
    <row r="7" spans="1:11" s="291" customFormat="1" x14ac:dyDescent="0.25">
      <c r="A7" s="440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63" t="e">
        <f>USA_Name</f>
        <v>#REF!</v>
      </c>
      <c r="G7" s="464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5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5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5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170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0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63" t="e">
        <f>USA_Name</f>
        <v>#REF!</v>
      </c>
      <c r="G17" s="464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5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53">
        <f>ESRI_IY</f>
        <v>2010</v>
      </c>
      <c r="B20" s="104" t="e">
        <f>#REF!</f>
        <v>#REF!</v>
      </c>
      <c r="C20" s="441" t="e">
        <f>(B20-B19)/B19/10</f>
        <v>#REF!</v>
      </c>
      <c r="D20" s="104" t="e">
        <f>#REF!</f>
        <v>#REF!</v>
      </c>
      <c r="E20" s="441" t="e">
        <f>(D20-D19)/D19/10</f>
        <v>#REF!</v>
      </c>
      <c r="F20" s="104" t="e">
        <f>#REF!</f>
        <v>#REF!</v>
      </c>
      <c r="G20" s="441" t="e">
        <f>(F20-F19)/F19/10</f>
        <v>#REF!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5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324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19" t="e">
        <f>USA_Name</f>
        <v>#REF!</v>
      </c>
      <c r="G27" s="320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372"/>
      <c r="G28" s="372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x14ac:dyDescent="0.25">
      <c r="A33" s="195"/>
      <c r="B33" s="195"/>
      <c r="C33" s="195"/>
      <c r="D33" s="195"/>
      <c r="E33" s="195"/>
      <c r="F33" s="195"/>
      <c r="G33" s="195"/>
      <c r="H33" s="2"/>
      <c r="I33" s="18"/>
      <c r="J33" s="18"/>
      <c r="K33" s="18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18"/>
      <c r="J34" s="18"/>
      <c r="K34" s="18"/>
    </row>
    <row r="35" spans="1:13" ht="15.6" x14ac:dyDescent="0.3">
      <c r="A35" s="4" t="str">
        <f>"HOUSEHOLD INCOME OF SENIORS 62+ IN " &amp; ESRI_CY</f>
        <v>HOUSEHOLD INCOME OF SENIORS 62+ IN 2016</v>
      </c>
      <c r="B35" s="4"/>
      <c r="C35" s="4"/>
      <c r="D35" s="4"/>
      <c r="E35" s="4"/>
      <c r="F35" s="4"/>
      <c r="G35" s="4"/>
      <c r="H35" s="2"/>
    </row>
    <row r="36" spans="1:13" ht="15.6" x14ac:dyDescent="0.3">
      <c r="A36" s="324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19" t="e">
        <f>USA_Name</f>
        <v>#REF!</v>
      </c>
      <c r="G36" s="320"/>
      <c r="H36" s="326"/>
      <c r="I36" s="4" t="s">
        <v>171</v>
      </c>
      <c r="J36" s="4"/>
      <c r="K36" s="4"/>
      <c r="L36" s="4"/>
      <c r="M36" s="4"/>
    </row>
    <row r="37" spans="1:13" ht="15.6" x14ac:dyDescent="0.3">
      <c r="A37" s="37"/>
      <c r="B37" s="371" t="s">
        <v>44</v>
      </c>
      <c r="C37" s="371" t="s">
        <v>51</v>
      </c>
      <c r="D37" s="371" t="s">
        <v>44</v>
      </c>
      <c r="E37" s="371" t="s">
        <v>51</v>
      </c>
      <c r="F37" s="371" t="s">
        <v>42</v>
      </c>
      <c r="G37" s="371" t="s">
        <v>51</v>
      </c>
      <c r="H37" s="36"/>
      <c r="I37" s="209" t="s">
        <v>50</v>
      </c>
      <c r="J37" s="227">
        <f>ESRI_CY</f>
        <v>2016</v>
      </c>
      <c r="K37" s="227"/>
      <c r="L37" s="227">
        <f>ESRI_FY</f>
        <v>2021</v>
      </c>
      <c r="M37" s="227"/>
    </row>
    <row r="38" spans="1:13" ht="15.6" x14ac:dyDescent="0.3">
      <c r="A38" s="10" t="str">
        <f t="array" ref="A38:A49">Novo_Cohort_Ref</f>
        <v>$0-9,999</v>
      </c>
      <c r="B38" s="34" t="e">
        <f>#REF!+#REF!</f>
        <v>#REF!</v>
      </c>
      <c r="C38" s="138" t="e">
        <f t="shared" ref="C38:C49" si="1">B38/$B$50</f>
        <v>#REF!</v>
      </c>
      <c r="D38" s="34" t="e">
        <f>#REF!+#REF!</f>
        <v>#REF!</v>
      </c>
      <c r="E38" s="138" t="e">
        <f t="shared" ref="E38:E49" si="2">D38/$D$50</f>
        <v>#REF!</v>
      </c>
      <c r="F38" s="34" t="e">
        <f>#REF!+#REF!</f>
        <v>#REF!</v>
      </c>
      <c r="G38" s="140" t="e">
        <f t="shared" ref="G38:G49" si="3">F38/$F$50</f>
        <v>#REF!</v>
      </c>
      <c r="H38" s="2"/>
      <c r="I38" s="37"/>
      <c r="J38" s="289" t="s">
        <v>44</v>
      </c>
      <c r="K38" s="289" t="s">
        <v>51</v>
      </c>
      <c r="L38" s="289" t="s">
        <v>44</v>
      </c>
      <c r="M38" s="289" t="s">
        <v>51</v>
      </c>
    </row>
    <row r="39" spans="1:13" x14ac:dyDescent="0.25">
      <c r="A39" s="10" t="str">
        <v>$10,000-19,999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10" t="str">
        <f t="array" ref="I39:I50">Novo_Cohort_Ref</f>
        <v>$0-9,999</v>
      </c>
      <c r="J39" s="34" t="e">
        <f>#REF!</f>
        <v>#REF!</v>
      </c>
      <c r="K39" s="138" t="e">
        <f>J39/J$51</f>
        <v>#REF!</v>
      </c>
      <c r="L39" s="34" t="e">
        <f>#REF!</f>
        <v>#REF!</v>
      </c>
      <c r="M39" s="138" t="e">
        <f>L39/L$51</f>
        <v>#REF!</v>
      </c>
    </row>
    <row r="40" spans="1:13" x14ac:dyDescent="0.25">
      <c r="A40" s="10" t="str">
        <v>$20,000-29,999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v>$10,000-19,999</v>
      </c>
      <c r="J40" s="34" t="e">
        <f>#REF!</f>
        <v>#REF!</v>
      </c>
      <c r="K40" s="138" t="e">
        <f t="shared" ref="K40:K50" si="4">J40/J$51</f>
        <v>#REF!</v>
      </c>
      <c r="L40" s="34" t="e">
        <f>#REF!</f>
        <v>#REF!</v>
      </c>
      <c r="M40" s="138" t="e">
        <f t="shared" ref="M40:M50" si="5">L40/L$51</f>
        <v>#REF!</v>
      </c>
    </row>
    <row r="41" spans="1:13" x14ac:dyDescent="0.25">
      <c r="A41" s="10" t="str">
        <v>$30,000-39,999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$20,000-29,999</v>
      </c>
      <c r="J41" s="34" t="e">
        <f>#REF!</f>
        <v>#REF!</v>
      </c>
      <c r="K41" s="138" t="e">
        <f t="shared" si="4"/>
        <v>#REF!</v>
      </c>
      <c r="L41" s="34" t="e">
        <f>#REF!</f>
        <v>#REF!</v>
      </c>
      <c r="M41" s="138" t="e">
        <f t="shared" si="5"/>
        <v>#REF!</v>
      </c>
    </row>
    <row r="42" spans="1:13" x14ac:dyDescent="0.25">
      <c r="A42" s="10" t="str">
        <v>$40,000-49,999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$30,000-39,999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</row>
    <row r="43" spans="1:13" x14ac:dyDescent="0.25">
      <c r="A43" s="10" t="str">
        <v>$50,000-59,999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$40,000-49,999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</row>
    <row r="44" spans="1:13" x14ac:dyDescent="0.25">
      <c r="A44" s="10" t="str">
        <v>$60,000-74,999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$50,000-59,999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</row>
    <row r="45" spans="1:13" x14ac:dyDescent="0.25">
      <c r="A45" s="10" t="str">
        <v>$75,000-99,999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$60,000-74,999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</row>
    <row r="46" spans="1:13" x14ac:dyDescent="0.25">
      <c r="A46" s="10" t="str">
        <v>$100,000-124,999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$75,000-99,999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</row>
    <row r="47" spans="1:13" x14ac:dyDescent="0.25">
      <c r="A47" s="10" t="str">
        <v>$125,000-149,999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$100,000-124,999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</row>
    <row r="48" spans="1:13" x14ac:dyDescent="0.25">
      <c r="A48" s="10" t="str">
        <v>$150,000-199,999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$125,000-149,999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</row>
    <row r="49" spans="1:14" x14ac:dyDescent="0.25">
      <c r="A49" s="10" t="str">
        <v>$200,000+</v>
      </c>
      <c r="B49" s="34" t="e">
        <f>#REF!+#REF!</f>
        <v>#REF!</v>
      </c>
      <c r="C49" s="138" t="e">
        <f t="shared" si="1"/>
        <v>#REF!</v>
      </c>
      <c r="D49" s="34" t="e">
        <f>#REF!+#REF!</f>
        <v>#REF!</v>
      </c>
      <c r="E49" s="138" t="e">
        <f t="shared" si="2"/>
        <v>#REF!</v>
      </c>
      <c r="F49" s="34" t="e">
        <f>#REF!+#REF!</f>
        <v>#REF!</v>
      </c>
      <c r="G49" s="140" t="e">
        <f t="shared" si="3"/>
        <v>#REF!</v>
      </c>
      <c r="H49" s="2"/>
      <c r="I49" s="10" t="str">
        <v>$150,000-199,999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</row>
    <row r="50" spans="1:14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  <c r="I50" s="10" t="str">
        <v>$200,000+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</row>
    <row r="51" spans="1:14" ht="14.4" thickTop="1" thickBot="1" x14ac:dyDescent="0.3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I51" s="8" t="s">
        <v>11</v>
      </c>
      <c r="J51" s="32" t="e">
        <f>SUM(J39:J50)</f>
        <v>#REF!</v>
      </c>
      <c r="K51" s="139" t="e">
        <f>SUM(K39:K50)</f>
        <v>#REF!</v>
      </c>
      <c r="L51" s="32" t="e">
        <f>SUM(L39:L50)</f>
        <v>#REF!</v>
      </c>
      <c r="M51" s="139" t="e">
        <f>SUM(M39:M50)</f>
        <v>#REF!</v>
      </c>
    </row>
    <row r="52" spans="1:14" ht="13.8" thickTop="1" x14ac:dyDescent="0.25">
      <c r="A52" s="197" t="s">
        <v>139</v>
      </c>
      <c r="B52" s="22"/>
      <c r="C52" s="22"/>
      <c r="D52" s="22"/>
      <c r="E52" s="22"/>
      <c r="F52" s="2"/>
      <c r="G52" s="2"/>
      <c r="H52" s="2"/>
      <c r="I52" s="187" t="str">
        <f>"Source: " &amp; Source_HISTA &amp; ", " &amp; Source_Novogradac &amp; ", " &amp; Source_Date</f>
        <v>Source: Ribbon Demographics 2014, Novogradac &amp; Company LLP, August 2017</v>
      </c>
      <c r="J52" s="187"/>
      <c r="K52" s="187"/>
      <c r="L52" s="187"/>
      <c r="M52" s="187"/>
    </row>
    <row r="53" spans="1:14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</row>
    <row r="54" spans="1:14" ht="15.6" x14ac:dyDescent="0.3">
      <c r="A54" s="4" t="str">
        <f>"HOUSEHOLD INCOME OF SENIORS 62+ IN " &amp; ESRI_FY</f>
        <v>HOUSEHOLD INCOME OF SENIORS 62+ IN 2021</v>
      </c>
      <c r="B54" s="4"/>
      <c r="C54" s="4"/>
      <c r="D54" s="4"/>
      <c r="E54" s="4"/>
      <c r="F54" s="4"/>
      <c r="G54" s="4"/>
      <c r="H54" s="2"/>
      <c r="L54" s="13"/>
      <c r="M54" s="196"/>
    </row>
    <row r="55" spans="1:14" x14ac:dyDescent="0.25">
      <c r="A55" s="324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19" t="e">
        <f>USA_Name</f>
        <v>#REF!</v>
      </c>
      <c r="G55" s="320"/>
      <c r="H55" s="2"/>
      <c r="L55" s="13"/>
      <c r="M55" s="196"/>
    </row>
    <row r="56" spans="1:14" ht="15.6" x14ac:dyDescent="0.3">
      <c r="A56" s="37"/>
      <c r="B56" s="371" t="s">
        <v>44</v>
      </c>
      <c r="C56" s="371" t="s">
        <v>51</v>
      </c>
      <c r="D56" s="371" t="s">
        <v>44</v>
      </c>
      <c r="E56" s="371" t="s">
        <v>51</v>
      </c>
      <c r="F56" s="371" t="s">
        <v>42</v>
      </c>
      <c r="G56" s="371" t="s">
        <v>51</v>
      </c>
      <c r="H56" s="2"/>
      <c r="I56" s="266" t="s">
        <v>212</v>
      </c>
      <c r="J56" s="266"/>
      <c r="K56" s="266"/>
      <c r="L56" s="266"/>
      <c r="M56" s="266"/>
      <c r="N56" s="266"/>
    </row>
    <row r="57" spans="1:14" ht="15.6" x14ac:dyDescent="0.3">
      <c r="A57" s="10" t="str">
        <f t="array" ref="A57:A68">Novo_Cohort_Ref</f>
        <v>$0-9,999</v>
      </c>
      <c r="B57" s="34" t="e">
        <f>#REF!+#REF!</f>
        <v>#REF!</v>
      </c>
      <c r="C57" s="138" t="e">
        <f>B57/$B$69</f>
        <v>#REF!</v>
      </c>
      <c r="D57" s="34" t="e">
        <f>#REF!+#REF!</f>
        <v>#REF!</v>
      </c>
      <c r="E57" s="138" t="e">
        <f>D57/$D$69</f>
        <v>#REF!</v>
      </c>
      <c r="F57" s="34" t="e">
        <f>#REF!+#REF!</f>
        <v>#REF!</v>
      </c>
      <c r="G57" s="140" t="e">
        <f>F57/$F$69</f>
        <v>#REF!</v>
      </c>
      <c r="H57" s="2"/>
      <c r="I57" s="392" t="e">
        <f>PMA_Name &amp; " " &amp; ESRI_CY</f>
        <v>#REF!</v>
      </c>
      <c r="J57" s="392"/>
      <c r="K57" s="392"/>
      <c r="L57" s="392"/>
      <c r="M57" s="392"/>
      <c r="N57" s="392"/>
    </row>
    <row r="58" spans="1:14" x14ac:dyDescent="0.25">
      <c r="A58" s="10" t="str">
        <v>$10,000-19,999</v>
      </c>
      <c r="B58" s="34" t="e">
        <f>#REF!+#REF!</f>
        <v>#REF!</v>
      </c>
      <c r="C58" s="138" t="e">
        <f t="shared" ref="C58:C68" si="7">B58/$B$69</f>
        <v>#REF!</v>
      </c>
      <c r="D58" s="34" t="e">
        <f>#REF!+#REF!</f>
        <v>#REF!</v>
      </c>
      <c r="E58" s="138" t="e">
        <f t="shared" ref="E58:E68" si="8">D58/$D$69</f>
        <v>#REF!</v>
      </c>
      <c r="F58" s="34" t="e">
        <f>#REF!+#REF!</f>
        <v>#REF!</v>
      </c>
      <c r="G58" s="140" t="e">
        <f t="shared" ref="G58:G68" si="9">F58/$F$69</f>
        <v>#REF!</v>
      </c>
      <c r="H58" s="2"/>
      <c r="I58" s="271" t="s">
        <v>50</v>
      </c>
      <c r="J58" s="271">
        <v>1</v>
      </c>
      <c r="K58" s="271">
        <v>2</v>
      </c>
      <c r="L58" s="271">
        <v>3</v>
      </c>
      <c r="M58" s="271">
        <v>4</v>
      </c>
      <c r="N58" s="271">
        <v>5</v>
      </c>
    </row>
    <row r="59" spans="1:14" x14ac:dyDescent="0.25">
      <c r="A59" s="10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 s="10" t="str">
        <f t="array" ref="I59:I70">Novo_Cohort_Ref</f>
        <v>$0-9,999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14" x14ac:dyDescent="0.25">
      <c r="A60" s="10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 s="10" t="str">
        <v>$10,000-19,999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14" x14ac:dyDescent="0.25">
      <c r="A61" s="10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 s="10" t="str">
        <v>$20,000-29,999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14" x14ac:dyDescent="0.25">
      <c r="A62" s="10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 s="10" t="str">
        <v>$30,000-39,999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14" x14ac:dyDescent="0.25">
      <c r="A63" s="10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 s="10" t="str">
        <v>$40,000-49,999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14" x14ac:dyDescent="0.25">
      <c r="A64" s="10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 s="10" t="str">
        <v>$50,000-59,999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21" x14ac:dyDescent="0.25">
      <c r="A65" s="10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 s="10" t="str">
        <v>$60,000-74,999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21" x14ac:dyDescent="0.25">
      <c r="A66" s="10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 s="10" t="str">
        <v>$75,000-99,999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21" x14ac:dyDescent="0.25">
      <c r="A67" s="10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 s="10" t="str">
        <v>$100,000-124,999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21" x14ac:dyDescent="0.25">
      <c r="A68" s="10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 s="10" t="str">
        <v>$125,000-149,999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 t="e">
        <f t="shared" si="10"/>
        <v>#REF!</v>
      </c>
      <c r="G69" s="141" t="e">
        <f t="shared" si="10"/>
        <v>#REF!</v>
      </c>
      <c r="H69" s="2"/>
      <c r="I69" s="10" t="str">
        <v>$150,000-199,999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21" ht="13.8" thickTop="1" x14ac:dyDescent="0.25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 s="10" t="str">
        <v>$200,000+</v>
      </c>
      <c r="J70" s="415" t="e">
        <f>#REF!</f>
        <v>#REF!</v>
      </c>
      <c r="K70" s="415" t="e">
        <f>#REF!</f>
        <v>#REF!</v>
      </c>
      <c r="L70" s="415" t="e">
        <f>#REF!</f>
        <v>#REF!</v>
      </c>
      <c r="M70" s="415" t="e">
        <f>#REF!</f>
        <v>#REF!</v>
      </c>
      <c r="N70" s="415" t="e">
        <f>#REF!</f>
        <v>#REF!</v>
      </c>
    </row>
    <row r="71" spans="1:21" ht="13.8" thickBot="1" x14ac:dyDescent="0.3">
      <c r="A71" s="2"/>
      <c r="B71" s="198"/>
      <c r="C71" s="198"/>
      <c r="D71" s="199"/>
      <c r="E71" s="199"/>
      <c r="F71" s="2"/>
      <c r="G71" s="2"/>
      <c r="H71" s="2"/>
      <c r="I71" s="393" t="s">
        <v>11</v>
      </c>
      <c r="J71" s="417" t="e">
        <f>#REF!</f>
        <v>#REF!</v>
      </c>
      <c r="K71" s="417" t="e">
        <f>#REF!</f>
        <v>#REF!</v>
      </c>
      <c r="L71" s="417" t="e">
        <f>#REF!</f>
        <v>#REF!</v>
      </c>
      <c r="M71" s="417" t="e">
        <f>#REF!</f>
        <v>#REF!</v>
      </c>
      <c r="N71" s="417" t="e">
        <f>#REF!</f>
        <v>#REF!</v>
      </c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391" t="str">
        <f>"Source: " &amp; Source_HISTA &amp; ", " &amp; Source_Novogradac &amp; ", " &amp; Source_Date</f>
        <v>Source: Ribbon Demographics 2014, Novogradac &amp; Company LLP, August 2017</v>
      </c>
      <c r="J72" s="262"/>
      <c r="K72" s="262"/>
      <c r="L72" s="262"/>
      <c r="M72" s="262"/>
      <c r="N72" s="262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54"/>
      <c r="J73" s="254"/>
      <c r="K73" s="254"/>
      <c r="L73" s="254"/>
      <c r="M73" s="254"/>
      <c r="N73" s="262"/>
    </row>
    <row r="74" spans="1:21" x14ac:dyDescent="0.25">
      <c r="A74" s="132" t="s">
        <v>52</v>
      </c>
      <c r="B74" s="321" t="e">
        <f>PMA_Name</f>
        <v>#REF!</v>
      </c>
      <c r="C74" s="322"/>
      <c r="D74" s="321" t="e">
        <f>SMA_Name</f>
        <v>#REF!</v>
      </c>
      <c r="E74" s="322"/>
      <c r="F74" s="22"/>
      <c r="G74" s="2"/>
      <c r="H74" s="2"/>
      <c r="I74" s="262"/>
      <c r="J74" s="262"/>
      <c r="K74" s="262"/>
      <c r="L74" s="262"/>
      <c r="M74" s="262"/>
      <c r="N74" s="262"/>
    </row>
    <row r="75" spans="1:21" ht="15.6" x14ac:dyDescent="0.3">
      <c r="A75" s="37"/>
      <c r="B75" s="371" t="s">
        <v>44</v>
      </c>
      <c r="C75" s="371" t="s">
        <v>51</v>
      </c>
      <c r="D75" s="371" t="s">
        <v>44</v>
      </c>
      <c r="E75" s="371" t="s">
        <v>51</v>
      </c>
      <c r="F75" s="22"/>
      <c r="G75" s="2"/>
      <c r="H75" s="2"/>
      <c r="I75" s="266" t="s">
        <v>212</v>
      </c>
      <c r="J75" s="266"/>
      <c r="K75" s="266"/>
      <c r="L75" s="266"/>
      <c r="M75" s="266"/>
      <c r="N75" s="266"/>
    </row>
    <row r="76" spans="1:21" ht="15.6" x14ac:dyDescent="0.3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>D76/$D$94</f>
        <v>#REF!</v>
      </c>
      <c r="F76" s="22"/>
      <c r="G76" s="2"/>
      <c r="H76" s="2"/>
      <c r="I76" s="495" t="e">
        <f>PMA_Name &amp; " " &amp; ESRI_FY</f>
        <v>#REF!</v>
      </c>
      <c r="J76" s="495"/>
      <c r="K76" s="495"/>
      <c r="L76" s="495"/>
      <c r="M76" s="495"/>
      <c r="N76" s="495"/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ref="E77:E93" si="12">D77/$D$94</f>
        <v>#REF!</v>
      </c>
      <c r="F77" s="22"/>
      <c r="G77" s="2"/>
      <c r="H77" s="2"/>
      <c r="I77" s="271" t="s">
        <v>50</v>
      </c>
      <c r="J77" s="271">
        <v>1</v>
      </c>
      <c r="K77" s="271">
        <v>2</v>
      </c>
      <c r="L77" s="271">
        <v>3</v>
      </c>
      <c r="M77" s="271">
        <v>4</v>
      </c>
      <c r="N77" s="271">
        <v>5</v>
      </c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10" t="str">
        <f t="array" ref="I78:I89">Novo_Cohort_Ref</f>
        <v>$0-9,999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10" t="str">
        <v>$10,000-19,999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21" s="18" customForma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10" t="str">
        <v>$20,000-29,999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1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10" t="str">
        <v>$30,000-39,999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10" t="str">
        <v>$40,000-49,999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10" t="str">
        <v>$50,000-59,999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P83" s="12"/>
      <c r="Q83" s="12"/>
      <c r="R83" s="12"/>
      <c r="S83" s="1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10" t="str">
        <v>$60,000-74,999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P84" s="12"/>
      <c r="Q84" s="12"/>
      <c r="R84" s="12"/>
      <c r="S84" s="1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10" t="str">
        <v>$75,000-99,999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P85" s="12"/>
      <c r="Q85" s="12"/>
      <c r="R85" s="12"/>
      <c r="S85" s="1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10" t="str">
        <v>$100,000-124,999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10" t="str">
        <v>$125,000-149,999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10" t="str">
        <v>$150,000-199,999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x14ac:dyDescent="0.25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10" t="str">
        <v>$200,000+</v>
      </c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  <c r="O89" s="18"/>
      <c r="P89" s="18"/>
      <c r="Q89" s="18"/>
      <c r="R89" s="18"/>
      <c r="S89" s="18"/>
      <c r="T89" s="18"/>
      <c r="U89" s="18"/>
    </row>
    <row r="90" spans="1:21" ht="13.8" thickBot="1" x14ac:dyDescent="0.3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3" t="s">
        <v>11</v>
      </c>
      <c r="J90" s="417" t="e">
        <f>#REF!</f>
        <v>#REF!</v>
      </c>
      <c r="K90" s="417" t="e">
        <f>#REF!</f>
        <v>#REF!</v>
      </c>
      <c r="L90" s="417" t="e">
        <f>#REF!</f>
        <v>#REF!</v>
      </c>
      <c r="M90" s="417" t="e">
        <f>#REF!</f>
        <v>#REF!</v>
      </c>
      <c r="N90" s="417" t="e">
        <f>#REF!</f>
        <v>#REF!</v>
      </c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391" t="str">
        <f>"Source: " &amp; Source_HISTA &amp; ", " &amp; Source_Novogradac &amp; ", " &amp; Source_Date</f>
        <v>Source: Ribbon Demographics 2014, Novogradac &amp; Company LLP, August 2017</v>
      </c>
      <c r="J91" s="262"/>
      <c r="K91" s="262"/>
      <c r="L91" s="262"/>
      <c r="M91" s="262"/>
      <c r="N91" s="262"/>
      <c r="O91" s="18"/>
      <c r="P91" s="18"/>
      <c r="Q91" s="18"/>
      <c r="R91" s="18"/>
      <c r="S91" s="18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9"/>
      <c r="J92" s="13"/>
      <c r="K92" s="196"/>
      <c r="L92" s="200"/>
      <c r="M92" s="18"/>
      <c r="N92" s="18"/>
      <c r="P92" s="18"/>
      <c r="Q92" s="18"/>
      <c r="R92" s="18"/>
      <c r="S92" s="18"/>
    </row>
    <row r="93" spans="1:21" x14ac:dyDescent="0.25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9"/>
      <c r="J93" s="13"/>
      <c r="K93" s="196"/>
      <c r="L93" s="18"/>
      <c r="M93" s="18"/>
      <c r="N93" s="18"/>
      <c r="P93" s="18"/>
      <c r="Q93" s="18"/>
      <c r="R93" s="18"/>
      <c r="S93" s="18"/>
    </row>
    <row r="94" spans="1:21" ht="13.8" thickBot="1" x14ac:dyDescent="0.3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29"/>
      <c r="J94" s="13"/>
      <c r="K94" s="196"/>
      <c r="L94" s="18"/>
      <c r="M94" s="18"/>
      <c r="N94" s="18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9"/>
      <c r="J95" s="13"/>
      <c r="K95" s="196"/>
      <c r="L95" s="18"/>
      <c r="M95" s="18"/>
      <c r="N95" s="1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01"/>
      <c r="J96" s="13"/>
      <c r="K96" s="196"/>
      <c r="L96" s="18"/>
      <c r="M96" s="18"/>
      <c r="N96" s="18"/>
    </row>
    <row r="97" spans="1:14" x14ac:dyDescent="0.25">
      <c r="A97" s="199"/>
      <c r="B97" s="199"/>
      <c r="C97" s="199"/>
      <c r="D97" s="199"/>
      <c r="E97" s="199"/>
      <c r="F97" s="2"/>
      <c r="G97" s="22"/>
      <c r="H97" s="2"/>
      <c r="I97" s="202"/>
      <c r="J97" s="200"/>
      <c r="K97" s="203"/>
      <c r="L97" s="18"/>
      <c r="M97" s="18"/>
      <c r="N97" s="18"/>
    </row>
    <row r="98" spans="1:14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18"/>
      <c r="J98" s="18"/>
      <c r="K98" s="18"/>
      <c r="L98" s="18"/>
    </row>
    <row r="99" spans="1:14" ht="15.6" x14ac:dyDescent="0.3">
      <c r="A99" s="4" t="s">
        <v>37</v>
      </c>
      <c r="B99" s="4"/>
      <c r="C99" s="4"/>
      <c r="D99" s="4"/>
      <c r="E99" s="4"/>
      <c r="F99" s="4"/>
      <c r="G99" s="4"/>
      <c r="H99" s="2"/>
      <c r="I99" s="18"/>
      <c r="J99" s="18"/>
      <c r="K99" s="18"/>
      <c r="L99" s="18"/>
    </row>
    <row r="100" spans="1:14" x14ac:dyDescent="0.25">
      <c r="A100" s="318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21" t="e">
        <f>USA_Name</f>
        <v>#REF!</v>
      </c>
      <c r="G100" s="322"/>
      <c r="H100" s="2"/>
      <c r="I100" s="18"/>
      <c r="J100" s="18"/>
      <c r="K100" s="18"/>
    </row>
    <row r="101" spans="1:14" ht="15.6" x14ac:dyDescent="0.3">
      <c r="A101" s="37"/>
      <c r="B101" s="371" t="s">
        <v>44</v>
      </c>
      <c r="C101" s="371" t="s">
        <v>43</v>
      </c>
      <c r="D101" s="371" t="s">
        <v>42</v>
      </c>
      <c r="E101" s="371" t="s">
        <v>43</v>
      </c>
      <c r="F101" s="371" t="s">
        <v>44</v>
      </c>
      <c r="G101" s="371" t="s">
        <v>43</v>
      </c>
      <c r="H101" s="2"/>
      <c r="I101" s="18"/>
      <c r="J101" s="18"/>
      <c r="K101" s="18"/>
    </row>
    <row r="102" spans="1:14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18"/>
      <c r="J102" s="18"/>
      <c r="K102" s="18"/>
    </row>
    <row r="103" spans="1:14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18"/>
      <c r="J103" s="18"/>
      <c r="K103" s="18"/>
    </row>
    <row r="104" spans="1:14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</row>
    <row r="105" spans="1:14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</row>
    <row r="106" spans="1:14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</row>
    <row r="107" spans="1:14" x14ac:dyDescent="0.25">
      <c r="A107" s="195"/>
      <c r="B107" s="195"/>
      <c r="C107" s="195"/>
      <c r="D107" s="195"/>
      <c r="E107" s="195"/>
      <c r="F107" s="195"/>
      <c r="G107" s="195"/>
      <c r="H107" s="2"/>
    </row>
    <row r="108" spans="1:14" x14ac:dyDescent="0.25">
      <c r="A108" s="1"/>
      <c r="B108" s="2"/>
      <c r="C108" s="2"/>
      <c r="D108" s="2"/>
      <c r="E108" s="2"/>
      <c r="F108" s="2"/>
      <c r="G108" s="2"/>
      <c r="H108" s="2"/>
    </row>
    <row r="109" spans="1:14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</row>
    <row r="110" spans="1:14" x14ac:dyDescent="0.25">
      <c r="A110" s="132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21" t="e">
        <f>USA_Name</f>
        <v>#REF!</v>
      </c>
      <c r="G110" s="322"/>
      <c r="H110" s="2"/>
    </row>
    <row r="111" spans="1:14" ht="15.6" x14ac:dyDescent="0.3">
      <c r="A111" s="37"/>
      <c r="B111" s="371" t="s">
        <v>44</v>
      </c>
      <c r="C111" s="371" t="s">
        <v>43</v>
      </c>
      <c r="D111" s="371" t="s">
        <v>42</v>
      </c>
      <c r="E111" s="371" t="s">
        <v>43</v>
      </c>
      <c r="F111" s="371" t="s">
        <v>44</v>
      </c>
      <c r="G111" s="371" t="s">
        <v>43</v>
      </c>
      <c r="H111" s="2"/>
    </row>
    <row r="112" spans="1:14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132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21" t="e">
        <f>USA_Name</f>
        <v>#REF!</v>
      </c>
      <c r="G120" s="322"/>
      <c r="H120" s="2"/>
    </row>
    <row r="121" spans="1:8" ht="15.6" x14ac:dyDescent="0.3">
      <c r="A121" s="37"/>
      <c r="B121" s="371" t="s">
        <v>44</v>
      </c>
      <c r="C121" s="371" t="s">
        <v>43</v>
      </c>
      <c r="D121" s="371" t="s">
        <v>42</v>
      </c>
      <c r="E121" s="371" t="s">
        <v>43</v>
      </c>
      <c r="F121" s="372" t="s">
        <v>42</v>
      </c>
      <c r="G121" s="372" t="s">
        <v>43</v>
      </c>
      <c r="H121" s="2"/>
    </row>
    <row r="122" spans="1:8" x14ac:dyDescent="0.25">
      <c r="A122" s="10">
        <v>1990</v>
      </c>
      <c r="B122" s="19" t="e">
        <f>#REF!</f>
        <v>#REF!</v>
      </c>
      <c r="C122" s="143"/>
      <c r="D122" s="19" t="e">
        <f>#REF!</f>
        <v>#REF!</v>
      </c>
      <c r="E122" s="143"/>
      <c r="F122" s="204" t="e">
        <f>#REF!</f>
        <v>#REF!</v>
      </c>
      <c r="G122" s="143"/>
      <c r="H122" s="2"/>
    </row>
    <row r="123" spans="1:8" x14ac:dyDescent="0.25">
      <c r="A123" s="325">
        <f>ESRI_BY</f>
        <v>2000</v>
      </c>
      <c r="B123" s="19" t="e">
        <f>#REF!</f>
        <v>#REF!</v>
      </c>
      <c r="C123" s="143" t="e">
        <f>+(B123-B122)/$B$122/10</f>
        <v>#REF!</v>
      </c>
      <c r="D123" s="19" t="e">
        <f>#REF!</f>
        <v>#REF!</v>
      </c>
      <c r="E123" s="143" t="e">
        <f>+(D123-D122)/D122/10</f>
        <v>#REF!</v>
      </c>
      <c r="F123" s="204" t="e">
        <f>#REF!</f>
        <v>#REF!</v>
      </c>
      <c r="G123" s="143" t="e">
        <f>+(F123-F122)/F122/10</f>
        <v>#REF!</v>
      </c>
      <c r="H123" s="2"/>
    </row>
    <row r="124" spans="1:8" x14ac:dyDescent="0.25">
      <c r="A124" s="325">
        <f>ESRI_CY</f>
        <v>2016</v>
      </c>
      <c r="B124" s="20" t="e">
        <f>#REF!</f>
        <v>#REF!</v>
      </c>
      <c r="C124" s="143" t="e">
        <f>+(B124-B123)/$B$123/$B$1</f>
        <v>#REF!</v>
      </c>
      <c r="D124" s="19" t="e">
        <f>#REF!</f>
        <v>#REF!</v>
      </c>
      <c r="E124" s="143" t="e">
        <f>+(D124-D123)/D123/$B$1</f>
        <v>#REF!</v>
      </c>
      <c r="F124" s="204" t="e">
        <f>#REF!</f>
        <v>#REF!</v>
      </c>
      <c r="G124" s="143" t="e">
        <f>+(F124-F123)/F123/$B$1</f>
        <v>#REF!</v>
      </c>
      <c r="H124" s="2"/>
    </row>
    <row r="125" spans="1:8" ht="13.8" thickBot="1" x14ac:dyDescent="0.3">
      <c r="A125" s="186">
        <f>ESRI_FY</f>
        <v>2021</v>
      </c>
      <c r="B125" s="20" t="e">
        <f>#REF!</f>
        <v>#REF!</v>
      </c>
      <c r="C125" s="144" t="e">
        <f>+(B125-B124)/$B$124/5</f>
        <v>#REF!</v>
      </c>
      <c r="D125" s="21" t="e">
        <f>#REF!</f>
        <v>#REF!</v>
      </c>
      <c r="E125" s="144" t="e">
        <f>+(D125-D124)/D124/5</f>
        <v>#REF!</v>
      </c>
      <c r="F125" s="205" t="e">
        <f>#REF!</f>
        <v>#REF!</v>
      </c>
      <c r="G125" s="144" t="e">
        <f>+(F125-F124)/F124/5</f>
        <v>#REF!</v>
      </c>
      <c r="H125" s="2"/>
    </row>
    <row r="126" spans="1:8" ht="13.8" thickTop="1" x14ac:dyDescent="0.25">
      <c r="A126" s="187" t="str">
        <f>"Source: " &amp; Source_ESRI &amp; ", " &amp; Source_Novogradac &amp; ", " &amp; Source_Date</f>
        <v>Source: Esri Demographics 2016, Novogradac &amp; Company LLP, August 2017</v>
      </c>
      <c r="B126" s="187"/>
      <c r="C126" s="187"/>
      <c r="D126" s="187"/>
      <c r="E126" s="187"/>
      <c r="F126" s="187"/>
      <c r="G126" s="187"/>
      <c r="H126" s="2"/>
    </row>
    <row r="127" spans="1:8" x14ac:dyDescent="0.25">
      <c r="A127" s="2"/>
      <c r="B127" s="2"/>
      <c r="C127" s="2"/>
      <c r="D127" s="2"/>
      <c r="E127" s="2"/>
      <c r="F127" s="22"/>
      <c r="G127" s="22"/>
      <c r="H127" s="2"/>
    </row>
    <row r="128" spans="1:8" x14ac:dyDescent="0.25">
      <c r="A128" s="1"/>
      <c r="B128" s="2"/>
      <c r="C128" s="2"/>
      <c r="D128" s="2"/>
      <c r="E128" s="2"/>
      <c r="F128" s="2"/>
      <c r="G128" s="2"/>
      <c r="H128" s="2"/>
    </row>
    <row r="129" spans="1:8" ht="15.6" x14ac:dyDescent="0.3">
      <c r="A129" s="224" t="s">
        <v>48</v>
      </c>
      <c r="B129" s="224"/>
      <c r="C129" s="224"/>
      <c r="D129" s="224"/>
      <c r="E129" s="224"/>
      <c r="F129" s="224"/>
      <c r="G129" s="224"/>
      <c r="H129" s="2"/>
    </row>
    <row r="130" spans="1:8" x14ac:dyDescent="0.25">
      <c r="A130" s="132" t="s">
        <v>38</v>
      </c>
      <c r="B130" s="319" t="e">
        <f>PMA_Name</f>
        <v>#REF!</v>
      </c>
      <c r="C130" s="320"/>
      <c r="D130" s="319" t="e">
        <f>SMA_Name</f>
        <v>#REF!</v>
      </c>
      <c r="E130" s="320"/>
      <c r="F130" s="321" t="e">
        <f>USA_Name</f>
        <v>#REF!</v>
      </c>
      <c r="G130" s="322"/>
      <c r="H130" s="2"/>
    </row>
    <row r="131" spans="1:8" ht="15.6" x14ac:dyDescent="0.3">
      <c r="A131" s="37"/>
      <c r="B131" s="371" t="s">
        <v>49</v>
      </c>
      <c r="C131" s="371" t="s">
        <v>43</v>
      </c>
      <c r="D131" s="371" t="s">
        <v>49</v>
      </c>
      <c r="E131" s="371" t="s">
        <v>43</v>
      </c>
      <c r="F131" s="372" t="s">
        <v>49</v>
      </c>
      <c r="G131" s="372" t="s">
        <v>43</v>
      </c>
      <c r="H131" s="2"/>
    </row>
    <row r="132" spans="1:8" x14ac:dyDescent="0.25">
      <c r="A132" s="325">
        <f>ESRI_BY</f>
        <v>2000</v>
      </c>
      <c r="B132" s="23" t="e">
        <f>#REF!</f>
        <v>#REF!</v>
      </c>
      <c r="C132" s="138" t="s">
        <v>45</v>
      </c>
      <c r="D132" s="23" t="e">
        <f>#REF!</f>
        <v>#REF!</v>
      </c>
      <c r="E132" s="138" t="s">
        <v>45</v>
      </c>
      <c r="F132" s="24" t="e">
        <f>#REF!</f>
        <v>#REF!</v>
      </c>
      <c r="G132" s="138" t="s">
        <v>45</v>
      </c>
      <c r="H132" s="2"/>
    </row>
    <row r="133" spans="1:8" x14ac:dyDescent="0.25">
      <c r="A133" s="325">
        <f>ESRI_CY</f>
        <v>2016</v>
      </c>
      <c r="B133" s="25" t="e">
        <f>#REF!</f>
        <v>#REF!</v>
      </c>
      <c r="C133" s="138" t="e">
        <f>+(B133-B132)/$B$132/$B$1</f>
        <v>#REF!</v>
      </c>
      <c r="D133" s="25" t="e">
        <f>#REF!</f>
        <v>#REF!</v>
      </c>
      <c r="E133" s="138" t="e">
        <f>+(D133-D132)/D132/$B$1</f>
        <v>#REF!</v>
      </c>
      <c r="F133" s="9" t="e">
        <f>#REF!</f>
        <v>#REF!</v>
      </c>
      <c r="G133" s="138" t="e">
        <f>+(F133-F132)/F132/$B$1</f>
        <v>#REF!</v>
      </c>
      <c r="H133" s="2"/>
    </row>
    <row r="134" spans="1:8" ht="13.8" thickBot="1" x14ac:dyDescent="0.3">
      <c r="A134" s="186">
        <f>ESRI_FY</f>
        <v>2021</v>
      </c>
      <c r="B134" s="26" t="e">
        <f>#REF!</f>
        <v>#REF!</v>
      </c>
      <c r="C134" s="144" t="e">
        <f>+(B134-B133)/$B$133/5</f>
        <v>#REF!</v>
      </c>
      <c r="D134" s="26" t="e">
        <f>#REF!</f>
        <v>#REF!</v>
      </c>
      <c r="E134" s="144" t="e">
        <f>+(D134-D133)/D133/5</f>
        <v>#REF!</v>
      </c>
      <c r="F134" s="27" t="e">
        <f>#REF!</f>
        <v>#REF!</v>
      </c>
      <c r="G134" s="144" t="e">
        <f>+(F134-F133)/F133/5</f>
        <v>#REF!</v>
      </c>
      <c r="H134" s="2"/>
    </row>
    <row r="135" spans="1:8" ht="13.8" thickTop="1" x14ac:dyDescent="0.25">
      <c r="A135" s="187" t="str">
        <f>"Source: " &amp; Source_ESRI &amp; ", " &amp; Source_Novogradac &amp; ", " &amp; Source_Date</f>
        <v>Source: Esri Demographics 2016, Novogradac &amp; Company LLP, August 2017</v>
      </c>
      <c r="B135" s="187"/>
      <c r="C135" s="187"/>
      <c r="D135" s="187"/>
      <c r="E135" s="187"/>
      <c r="F135" s="187"/>
      <c r="G135" s="187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x14ac:dyDescent="0.25">
      <c r="A137" s="41"/>
      <c r="B137" s="41"/>
      <c r="C137" s="41"/>
      <c r="D137" s="41"/>
      <c r="E137" s="41"/>
      <c r="F137" s="41"/>
      <c r="G137" s="41"/>
      <c r="H137" s="2"/>
    </row>
    <row r="138" spans="1:8" ht="15.6" x14ac:dyDescent="0.3">
      <c r="A138" s="228" t="str">
        <f>ESRI_CY &amp; " HOUSEHOLD INCOME"</f>
        <v>2016 HOUSEHOLD INCOME</v>
      </c>
      <c r="B138" s="228"/>
      <c r="C138" s="228"/>
      <c r="D138" s="228"/>
      <c r="E138" s="228"/>
      <c r="F138" s="228"/>
      <c r="G138" s="228"/>
      <c r="H138" s="2"/>
    </row>
    <row r="139" spans="1:8" x14ac:dyDescent="0.25">
      <c r="A139" s="327" t="s">
        <v>50</v>
      </c>
      <c r="B139" s="319" t="e">
        <f>PMA_Name</f>
        <v>#REF!</v>
      </c>
      <c r="C139" s="320"/>
      <c r="D139" s="319" t="e">
        <f>SMA_Name</f>
        <v>#REF!</v>
      </c>
      <c r="E139" s="320"/>
      <c r="F139" s="319" t="e">
        <f>USA_Name</f>
        <v>#REF!</v>
      </c>
      <c r="G139" s="320"/>
      <c r="H139" s="2"/>
    </row>
    <row r="140" spans="1:8" ht="15.6" x14ac:dyDescent="0.3">
      <c r="A140" s="37"/>
      <c r="B140" s="411" t="s">
        <v>44</v>
      </c>
      <c r="C140" s="411" t="s">
        <v>51</v>
      </c>
      <c r="D140" s="411" t="s">
        <v>44</v>
      </c>
      <c r="E140" s="411" t="s">
        <v>51</v>
      </c>
      <c r="F140" s="412" t="s">
        <v>42</v>
      </c>
      <c r="G140" s="411" t="s">
        <v>51</v>
      </c>
      <c r="H140" s="2"/>
    </row>
    <row r="141" spans="1:8" x14ac:dyDescent="0.25">
      <c r="A141" s="10" t="str">
        <f t="array" ref="A141:A152">Novo_Cohort_Ref</f>
        <v>$0-9,999</v>
      </c>
      <c r="B141" s="34" t="e">
        <f>#REF!</f>
        <v>#REF!</v>
      </c>
      <c r="C141" s="138" t="e">
        <f t="shared" ref="C141:C152" si="13">B141/$B$153</f>
        <v>#REF!</v>
      </c>
      <c r="D141" s="34" t="e">
        <f>#REF!</f>
        <v>#REF!</v>
      </c>
      <c r="E141" s="138" t="e">
        <f t="shared" ref="E141:E152" si="14">D141/$D$153</f>
        <v>#REF!</v>
      </c>
      <c r="F141" s="31" t="e">
        <f>#REF!</f>
        <v>#REF!</v>
      </c>
      <c r="G141" s="142" t="e">
        <f t="shared" ref="G141:G152" si="15">F141/$F$153</f>
        <v>#REF!</v>
      </c>
      <c r="H141" s="2"/>
    </row>
    <row r="142" spans="1:8" x14ac:dyDescent="0.25">
      <c r="A142" s="10" t="str">
        <v>$10,000-19,999</v>
      </c>
      <c r="B142" s="34" t="e">
        <f>#REF!</f>
        <v>#REF!</v>
      </c>
      <c r="C142" s="138" t="e">
        <f t="shared" si="13"/>
        <v>#REF!</v>
      </c>
      <c r="D142" s="34" t="e">
        <f>#REF!</f>
        <v>#REF!</v>
      </c>
      <c r="E142" s="138" t="e">
        <f t="shared" si="14"/>
        <v>#REF!</v>
      </c>
      <c r="F142" s="31" t="e">
        <f>#REF!</f>
        <v>#REF!</v>
      </c>
      <c r="G142" s="142" t="e">
        <f t="shared" si="15"/>
        <v>#REF!</v>
      </c>
      <c r="H142" s="2"/>
    </row>
    <row r="143" spans="1:8" x14ac:dyDescent="0.25">
      <c r="A143" s="10" t="str">
        <v>$20,000-29,999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10" t="str">
        <v>$30,000-39,999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10" t="str">
        <v>$40,000-49,999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10" t="str">
        <v>$50,000-59,999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10" t="str">
        <v>$60,000-74,999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10" t="str">
        <v>$75,000-99,999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10" t="str">
        <v>$100,000-124,999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10" t="str">
        <v>$125,000-149,999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10" t="str">
        <v>$150,000-199,999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x14ac:dyDescent="0.25">
      <c r="A152" s="10" t="str">
        <v>$200,000+</v>
      </c>
      <c r="B152" s="34" t="e">
        <f>#REF!</f>
        <v>#REF!</v>
      </c>
      <c r="C152" s="138" t="e">
        <f t="shared" si="13"/>
        <v>#REF!</v>
      </c>
      <c r="D152" s="34" t="e">
        <f>#REF!</f>
        <v>#REF!</v>
      </c>
      <c r="E152" s="138" t="e">
        <f t="shared" si="14"/>
        <v>#REF!</v>
      </c>
      <c r="F152" s="31" t="e">
        <f>#REF!</f>
        <v>#REF!</v>
      </c>
      <c r="G152" s="142" t="e">
        <f t="shared" si="15"/>
        <v>#REF!</v>
      </c>
      <c r="H152" s="2"/>
    </row>
    <row r="153" spans="1:8" ht="13.8" thickBot="1" x14ac:dyDescent="0.3">
      <c r="A153" s="8" t="s">
        <v>11</v>
      </c>
      <c r="B153" s="32" t="e">
        <f t="shared" ref="B153:G153" si="16">SUM(B141:B152)</f>
        <v>#REF!</v>
      </c>
      <c r="C153" s="139" t="e">
        <f t="shared" si="16"/>
        <v>#REF!</v>
      </c>
      <c r="D153" s="32" t="e">
        <f t="shared" si="16"/>
        <v>#REF!</v>
      </c>
      <c r="E153" s="139" t="e">
        <f t="shared" si="16"/>
        <v>#REF!</v>
      </c>
      <c r="F153" s="33" t="e">
        <f t="shared" si="16"/>
        <v>#REF!</v>
      </c>
      <c r="G153" s="141" t="e">
        <f t="shared" si="16"/>
        <v>#REF!</v>
      </c>
      <c r="H153" s="2"/>
    </row>
    <row r="154" spans="1:8" ht="13.8" thickTop="1" x14ac:dyDescent="0.25">
      <c r="A154" s="187" t="str">
        <f>"Source: " &amp; Source_ESRI &amp; ", " &amp; Source_Novogradac &amp; ", " &amp; Source_Date</f>
        <v>Source: Esri Demographics 2016, Novogradac &amp; Company LLP, August 2017</v>
      </c>
      <c r="B154" s="187"/>
      <c r="C154" s="187"/>
      <c r="D154" s="187"/>
      <c r="E154" s="187"/>
      <c r="F154" s="187"/>
      <c r="G154" s="187"/>
      <c r="H154" s="2"/>
    </row>
    <row r="155" spans="1:8" x14ac:dyDescent="0.25">
      <c r="A155" s="199"/>
      <c r="B155" s="199"/>
      <c r="C155" s="199"/>
      <c r="D155" s="199"/>
      <c r="E155" s="199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ht="15.6" x14ac:dyDescent="0.3">
      <c r="A157" s="228" t="str">
        <f>ESRI_FY &amp; " HOUSEHOLD INCOME"</f>
        <v>2021 HOUSEHOLD INCOME</v>
      </c>
      <c r="B157" s="228"/>
      <c r="C157" s="228"/>
      <c r="D157" s="228"/>
      <c r="E157" s="228"/>
      <c r="F157" s="228"/>
      <c r="G157" s="228"/>
      <c r="H157" s="2"/>
    </row>
    <row r="158" spans="1:8" x14ac:dyDescent="0.25">
      <c r="A158" s="327" t="s">
        <v>50</v>
      </c>
      <c r="B158" s="319" t="e">
        <f>PMA_Name</f>
        <v>#REF!</v>
      </c>
      <c r="C158" s="320"/>
      <c r="D158" s="319" t="e">
        <f>SMA_Name</f>
        <v>#REF!</v>
      </c>
      <c r="E158" s="320"/>
      <c r="F158" s="319" t="e">
        <f>USA_Name</f>
        <v>#REF!</v>
      </c>
      <c r="G158" s="320"/>
      <c r="H158" s="2"/>
    </row>
    <row r="159" spans="1:8" ht="15.6" x14ac:dyDescent="0.3">
      <c r="A159" s="37"/>
      <c r="B159" s="411" t="s">
        <v>44</v>
      </c>
      <c r="C159" s="411" t="s">
        <v>51</v>
      </c>
      <c r="D159" s="411" t="s">
        <v>44</v>
      </c>
      <c r="E159" s="411" t="s">
        <v>51</v>
      </c>
      <c r="F159" s="412" t="s">
        <v>42</v>
      </c>
      <c r="G159" s="411" t="s">
        <v>51</v>
      </c>
      <c r="H159" s="2"/>
    </row>
    <row r="160" spans="1:8" x14ac:dyDescent="0.25">
      <c r="A160" s="10" t="str">
        <f t="array" ref="A160:A171">Novo_Cohort_Ref</f>
        <v>$0-9,999</v>
      </c>
      <c r="B160" s="34" t="e">
        <f>#REF!</f>
        <v>#REF!</v>
      </c>
      <c r="C160" s="138" t="e">
        <f t="shared" ref="C160:C171" si="17">B160/$B$172</f>
        <v>#REF!</v>
      </c>
      <c r="D160" s="34" t="e">
        <f>#REF!</f>
        <v>#REF!</v>
      </c>
      <c r="E160" s="138" t="e">
        <f t="shared" ref="E160:E171" si="18">D160/$D$172</f>
        <v>#REF!</v>
      </c>
      <c r="F160" s="31" t="e">
        <f>#REF!</f>
        <v>#REF!</v>
      </c>
      <c r="G160" s="142" t="e">
        <f t="shared" ref="G160:G171" si="19">F160/$F$172</f>
        <v>#REF!</v>
      </c>
      <c r="H160" s="2"/>
    </row>
    <row r="161" spans="1:8" x14ac:dyDescent="0.25">
      <c r="A161" s="10" t="str">
        <v>$10,000-19,999</v>
      </c>
      <c r="B161" s="34" t="e">
        <f>#REF!</f>
        <v>#REF!</v>
      </c>
      <c r="C161" s="138" t="e">
        <f t="shared" si="17"/>
        <v>#REF!</v>
      </c>
      <c r="D161" s="34" t="e">
        <f>#REF!</f>
        <v>#REF!</v>
      </c>
      <c r="E161" s="138" t="e">
        <f t="shared" si="18"/>
        <v>#REF!</v>
      </c>
      <c r="F161" s="31" t="e">
        <f>#REF!</f>
        <v>#REF!</v>
      </c>
      <c r="G161" s="142" t="e">
        <f t="shared" si="19"/>
        <v>#REF!</v>
      </c>
      <c r="H161" s="2"/>
    </row>
    <row r="162" spans="1:8" x14ac:dyDescent="0.25">
      <c r="A162" s="10" t="str">
        <v>$20,000-29,999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10" t="str">
        <v>$30,000-39,999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10" t="str">
        <v>$40,000-49,999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10" t="str">
        <v>$50,000-59,999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10" t="str">
        <v>$60,000-74,999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10" t="str">
        <v>$75,000-99,999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10" t="str">
        <v>$100,000-124,999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10" t="str">
        <v>$125,000-149,999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10" t="str">
        <v>$150,000-199,999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x14ac:dyDescent="0.25">
      <c r="A171" s="10" t="str">
        <v>$200,000+</v>
      </c>
      <c r="B171" s="34" t="e">
        <f>#REF!</f>
        <v>#REF!</v>
      </c>
      <c r="C171" s="138" t="e">
        <f t="shared" si="17"/>
        <v>#REF!</v>
      </c>
      <c r="D171" s="34" t="e">
        <f>#REF!</f>
        <v>#REF!</v>
      </c>
      <c r="E171" s="138" t="e">
        <f t="shared" si="18"/>
        <v>#REF!</v>
      </c>
      <c r="F171" s="31" t="e">
        <f>#REF!</f>
        <v>#REF!</v>
      </c>
      <c r="G171" s="142" t="e">
        <f t="shared" si="19"/>
        <v>#REF!</v>
      </c>
      <c r="H171" s="2"/>
    </row>
    <row r="172" spans="1:8" ht="13.8" thickBot="1" x14ac:dyDescent="0.3">
      <c r="A172" s="8" t="s">
        <v>11</v>
      </c>
      <c r="B172" s="32" t="e">
        <f t="shared" ref="B172:G172" si="20">SUM(B160:B171)</f>
        <v>#REF!</v>
      </c>
      <c r="C172" s="139" t="e">
        <f t="shared" si="20"/>
        <v>#REF!</v>
      </c>
      <c r="D172" s="32" t="e">
        <f t="shared" si="20"/>
        <v>#REF!</v>
      </c>
      <c r="E172" s="139" t="e">
        <f t="shared" si="20"/>
        <v>#REF!</v>
      </c>
      <c r="F172" s="33" t="e">
        <f t="shared" si="20"/>
        <v>#REF!</v>
      </c>
      <c r="G172" s="141" t="e">
        <f t="shared" si="20"/>
        <v>#REF!</v>
      </c>
      <c r="H172" s="2"/>
    </row>
    <row r="173" spans="1:8" ht="25.5" customHeight="1" thickTop="1" x14ac:dyDescent="0.25">
      <c r="A173" s="187" t="str">
        <f>"Source: " &amp; Source_ESRI &amp; ", " &amp; Source_Novogradac &amp; ", " &amp; Source_Date</f>
        <v>Source: Esri Demographics 2016, Novogradac &amp; Company LLP, August 2017</v>
      </c>
      <c r="B173" s="187"/>
      <c r="C173" s="187"/>
      <c r="D173" s="187"/>
      <c r="E173" s="187"/>
      <c r="F173" s="187"/>
      <c r="G173" s="187"/>
      <c r="H173" s="2"/>
    </row>
    <row r="174" spans="1:8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</sheetData>
  <mergeCells count="1">
    <mergeCell ref="I76:N76"/>
  </mergeCells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9096" r:id="rId4" name="ToggleButton1">
          <controlPr defaultSize="0" autoLine="0" r:id="rId5">
            <anchor moveWithCells="1">
              <from>
                <xdr:col>4</xdr:col>
                <xdr:colOff>76200</xdr:colOff>
                <xdr:row>0</xdr:row>
                <xdr:rowOff>22860</xdr:rowOff>
              </from>
              <to>
                <xdr:col>4</xdr:col>
                <xdr:colOff>982980</xdr:colOff>
                <xdr:row>2</xdr:row>
                <xdr:rowOff>144780</xdr:rowOff>
              </to>
            </anchor>
          </controlPr>
        </control>
      </mc:Choice>
      <mc:Fallback>
        <control shapeId="89096" r:id="rId4" name="ToggleButton1"/>
      </mc:Fallback>
    </mc:AlternateContent>
    <mc:AlternateContent xmlns:mc="http://schemas.openxmlformats.org/markup-compatibility/2006">
      <mc:Choice Requires="x14">
        <control shapeId="89097" r:id="rId6" name="ToggleButton2">
          <controlPr defaultSize="0" autoLine="0" r:id="rId7">
            <anchor moveWithCells="1">
              <from>
                <xdr:col>5</xdr:col>
                <xdr:colOff>1150620</xdr:colOff>
                <xdr:row>0</xdr:row>
                <xdr:rowOff>22860</xdr:rowOff>
              </from>
              <to>
                <xdr:col>6</xdr:col>
                <xdr:colOff>655320</xdr:colOff>
                <xdr:row>2</xdr:row>
                <xdr:rowOff>137160</xdr:rowOff>
              </to>
            </anchor>
          </controlPr>
        </control>
      </mc:Choice>
      <mc:Fallback>
        <control shapeId="89097" r:id="rId6" name="ToggleButton2"/>
      </mc:Fallback>
    </mc:AlternateContent>
    <mc:AlternateContent xmlns:mc="http://schemas.openxmlformats.org/markup-compatibility/2006">
      <mc:Choice Requires="x14">
        <control shapeId="89098" r:id="rId8" name="ToggleButton3">
          <controlPr defaultSize="0" autoLine="0" r:id="rId9">
            <anchor moveWithCells="1">
              <from>
                <xdr:col>4</xdr:col>
                <xdr:colOff>1036320</xdr:colOff>
                <xdr:row>0</xdr:row>
                <xdr:rowOff>30480</xdr:rowOff>
              </from>
              <to>
                <xdr:col>5</xdr:col>
                <xdr:colOff>739140</xdr:colOff>
                <xdr:row>2</xdr:row>
                <xdr:rowOff>129540</xdr:rowOff>
              </to>
            </anchor>
          </controlPr>
        </control>
      </mc:Choice>
      <mc:Fallback>
        <control shapeId="89098" r:id="rId8" name="ToggleButton3"/>
      </mc:Fallback>
    </mc:AlternateContent>
    <mc:AlternateContent xmlns:mc="http://schemas.openxmlformats.org/markup-compatibility/2006">
      <mc:Choice Requires="x14">
        <control shapeId="89099" r:id="rId10" name="ToggleButton4">
          <controlPr defaultSize="0" autoLine="0" r:id="rId11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89099" r:id="rId10" name="ToggleButton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W237"/>
  <sheetViews>
    <sheetView zoomScale="80" zoomScaleNormal="80" workbookViewId="0">
      <selection activeCell="A3" sqref="A3"/>
    </sheetView>
  </sheetViews>
  <sheetFormatPr defaultColWidth="9.109375" defaultRowHeight="13.2" x14ac:dyDescent="0.25"/>
  <cols>
    <col min="1" max="13" width="17.6640625" style="12" customWidth="1"/>
    <col min="14" max="14" width="17.5546875" style="12" customWidth="1"/>
    <col min="15" max="21" width="17.6640625" style="12" customWidth="1"/>
    <col min="22" max="23" width="18" style="12" customWidth="1"/>
    <col min="24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5" spans="1:11" x14ac:dyDescent="0.25">
      <c r="A5" s="2"/>
      <c r="B5" s="7"/>
    </row>
    <row r="6" spans="1:11" ht="15.6" x14ac:dyDescent="0.25">
      <c r="A6" s="465" t="s">
        <v>137</v>
      </c>
      <c r="B6" s="465"/>
      <c r="C6" s="465"/>
      <c r="D6" s="465"/>
      <c r="E6" s="465"/>
      <c r="F6" s="465"/>
      <c r="G6" s="465"/>
    </row>
    <row r="7" spans="1:11" s="184" customFormat="1" x14ac:dyDescent="0.25">
      <c r="A7" s="466" t="s">
        <v>38</v>
      </c>
      <c r="B7" s="467" t="e">
        <f>PMA_Name</f>
        <v>#REF!</v>
      </c>
      <c r="C7" s="468"/>
      <c r="D7" s="467" t="e">
        <f>SMA_Name</f>
        <v>#REF!</v>
      </c>
      <c r="E7" s="468"/>
      <c r="F7" s="469" t="e">
        <f>USA_Name</f>
        <v>#REF!</v>
      </c>
      <c r="G7" s="470"/>
      <c r="I7" s="248" t="s">
        <v>41</v>
      </c>
      <c r="J7" s="248"/>
      <c r="K7" s="248"/>
    </row>
    <row r="8" spans="1:11" ht="15.6" x14ac:dyDescent="0.25">
      <c r="A8" s="471"/>
      <c r="B8" s="472" t="s">
        <v>44</v>
      </c>
      <c r="C8" s="472" t="s">
        <v>43</v>
      </c>
      <c r="D8" s="472" t="s">
        <v>42</v>
      </c>
      <c r="E8" s="472" t="s">
        <v>43</v>
      </c>
      <c r="F8" s="452" t="s">
        <v>44</v>
      </c>
      <c r="G8" s="452" t="s">
        <v>43</v>
      </c>
      <c r="I8" s="249" t="s">
        <v>164</v>
      </c>
      <c r="J8" s="249"/>
      <c r="K8" s="249"/>
    </row>
    <row r="9" spans="1:11" x14ac:dyDescent="0.25">
      <c r="A9" s="47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I9" s="220">
        <v>1999</v>
      </c>
      <c r="J9" s="221"/>
      <c r="K9" s="222" t="s">
        <v>45</v>
      </c>
    </row>
    <row r="10" spans="1:11" x14ac:dyDescent="0.25">
      <c r="A10" s="47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#REF!</f>
        <v>#REF!</v>
      </c>
      <c r="E10" s="441" t="e">
        <f>(D10-D9)/D9/10</f>
        <v>#REF!</v>
      </c>
      <c r="F10" s="104" t="e">
        <f>+#REF!</f>
        <v>#REF!</v>
      </c>
      <c r="G10" s="441" t="e">
        <f>(F10-F9)/F9/10</f>
        <v>#REF!</v>
      </c>
      <c r="I10" s="220">
        <v>2000</v>
      </c>
      <c r="J10" s="221"/>
      <c r="K10" s="223" t="e">
        <f>(J10-J9)/J9</f>
        <v>#DIV/0!</v>
      </c>
    </row>
    <row r="11" spans="1:11" x14ac:dyDescent="0.25">
      <c r="A11" s="47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74" t="str">
        <f>"Source: " &amp; Source_ESRI &amp; ", " &amp; Source_Novogradac &amp; ", " &amp; Source_Date</f>
        <v>Source: Esri Demographics 2016, Novogradac &amp; Company LLP, August 2017</v>
      </c>
      <c r="B13" s="474"/>
      <c r="C13" s="474"/>
      <c r="D13" s="474"/>
      <c r="E13" s="474"/>
      <c r="F13" s="474"/>
      <c r="G13" s="474"/>
      <c r="I13" s="220">
        <v>2003</v>
      </c>
      <c r="J13" s="221"/>
      <c r="K13" s="223" t="e">
        <f>(J13-J12)/J12</f>
        <v>#DIV/0!</v>
      </c>
    </row>
    <row r="14" spans="1:11" x14ac:dyDescent="0.25">
      <c r="A14" s="475"/>
      <c r="B14" s="475"/>
      <c r="C14" s="475"/>
      <c r="D14" s="475"/>
      <c r="E14" s="475"/>
      <c r="F14" s="475"/>
      <c r="G14" s="475"/>
      <c r="I14" s="220">
        <v>2004</v>
      </c>
      <c r="J14" s="221"/>
      <c r="K14" s="223" t="e">
        <f>(J14-J13)/J13</f>
        <v>#DIV/0!</v>
      </c>
    </row>
    <row r="15" spans="1:11" x14ac:dyDescent="0.25">
      <c r="A15" s="476"/>
      <c r="B15" s="477"/>
      <c r="C15" s="477"/>
      <c r="D15" s="477"/>
      <c r="E15" s="477"/>
      <c r="F15" s="477"/>
      <c r="G15" s="477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138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78" t="s">
        <v>38</v>
      </c>
      <c r="B17" s="467" t="e">
        <f>PMA_Name</f>
        <v>#REF!</v>
      </c>
      <c r="C17" s="468"/>
      <c r="D17" s="467" t="e">
        <f>SMA_Name</f>
        <v>#REF!</v>
      </c>
      <c r="E17" s="468"/>
      <c r="F17" s="469" t="e">
        <f>USA_Name</f>
        <v>#REF!</v>
      </c>
      <c r="G17" s="470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I18" s="220">
        <v>2008</v>
      </c>
      <c r="J18" s="221"/>
      <c r="K18" s="223" t="e">
        <f t="shared" si="0"/>
        <v>#DIV/0!</v>
      </c>
    </row>
    <row r="19" spans="1:11" x14ac:dyDescent="0.25">
      <c r="A19" s="47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73">
        <f>ESRI_IY</f>
        <v>2010</v>
      </c>
      <c r="B20" s="104" t="e">
        <f>#REF!</f>
        <v>#REF!</v>
      </c>
      <c r="C20" s="441" t="s">
        <v>45</v>
      </c>
      <c r="D20" s="104" t="e">
        <f>#REF!</f>
        <v>#REF!</v>
      </c>
      <c r="E20" s="441" t="s">
        <v>45</v>
      </c>
      <c r="F20" s="104" t="e">
        <f>#REF!</f>
        <v>#REF!</v>
      </c>
      <c r="G20" s="441" t="s">
        <v>45</v>
      </c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7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</row>
    <row r="23" spans="1:11" ht="13.8" thickTop="1" x14ac:dyDescent="0.25">
      <c r="A23" s="474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</row>
    <row r="24" spans="1:11" x14ac:dyDescent="0.25">
      <c r="A24" s="479"/>
      <c r="B24" s="480"/>
      <c r="C24" s="480"/>
      <c r="D24" s="480"/>
      <c r="E24" s="480"/>
      <c r="F24" s="480"/>
      <c r="G24" s="480"/>
    </row>
    <row r="25" spans="1:11" ht="15.6" x14ac:dyDescent="0.3">
      <c r="A25" s="224" t="s">
        <v>48</v>
      </c>
      <c r="B25" s="224"/>
      <c r="C25" s="224"/>
      <c r="D25" s="224"/>
      <c r="E25" s="224"/>
      <c r="F25" s="224"/>
      <c r="G25" s="224"/>
    </row>
    <row r="26" spans="1:11" x14ac:dyDescent="0.25">
      <c r="A26" s="183" t="s">
        <v>38</v>
      </c>
      <c r="B26" s="230" t="e">
        <f>PMA_Name</f>
        <v>#REF!</v>
      </c>
      <c r="C26" s="231"/>
      <c r="D26" s="230" t="e">
        <f>SMA_Name</f>
        <v>#REF!</v>
      </c>
      <c r="E26" s="231"/>
      <c r="F26" s="225" t="e">
        <f>USA_Name</f>
        <v>#REF!</v>
      </c>
      <c r="G26" s="226"/>
    </row>
    <row r="27" spans="1:11" ht="15.6" x14ac:dyDescent="0.3">
      <c r="A27" s="37"/>
      <c r="B27" s="189" t="s">
        <v>44</v>
      </c>
      <c r="C27" s="189" t="s">
        <v>43</v>
      </c>
      <c r="D27" s="189" t="s">
        <v>42</v>
      </c>
      <c r="E27" s="189" t="s">
        <v>43</v>
      </c>
      <c r="F27" s="181"/>
      <c r="G27" s="181"/>
      <c r="I27" s="18"/>
      <c r="J27" s="18"/>
      <c r="K27" s="18"/>
    </row>
    <row r="28" spans="1:11" x14ac:dyDescent="0.25">
      <c r="A28" s="297" t="s">
        <v>127</v>
      </c>
      <c r="B28" s="297"/>
      <c r="C28" s="297"/>
      <c r="D28" s="297"/>
      <c r="E28" s="297"/>
      <c r="F28" s="297"/>
      <c r="G28" s="297"/>
    </row>
    <row r="29" spans="1:11" s="18" customFormat="1" x14ac:dyDescent="0.25">
      <c r="A29" s="190">
        <f>ESRI_CY</f>
        <v>2016</v>
      </c>
      <c r="B29" s="25" t="e">
        <f>#REF!</f>
        <v>#REF!</v>
      </c>
      <c r="C29" s="138" t="s">
        <v>45</v>
      </c>
      <c r="D29" s="25" t="e">
        <f>#REF!</f>
        <v>#REF!</v>
      </c>
      <c r="E29" s="138" t="s">
        <v>45</v>
      </c>
      <c r="F29" s="191" t="e">
        <f>#REF!</f>
        <v>#REF!</v>
      </c>
      <c r="G29" s="138" t="s">
        <v>45</v>
      </c>
      <c r="I29" s="12"/>
      <c r="J29" s="12"/>
      <c r="K29" s="12"/>
    </row>
    <row r="30" spans="1:11" ht="13.8" thickBot="1" x14ac:dyDescent="0.3">
      <c r="A30" s="192">
        <f>ESRI_FY</f>
        <v>2021</v>
      </c>
      <c r="B30" s="193" t="e">
        <f>#REF!</f>
        <v>#REF!</v>
      </c>
      <c r="C30" s="206" t="e">
        <f>+(B30-B29)/B29/5</f>
        <v>#REF!</v>
      </c>
      <c r="D30" s="193" t="e">
        <f>#REF!</f>
        <v>#REF!</v>
      </c>
      <c r="E30" s="206" t="e">
        <f>+(D30-D29)/D29/5</f>
        <v>#REF!</v>
      </c>
      <c r="F30" s="194" t="e">
        <f>#REF!</f>
        <v>#REF!</v>
      </c>
      <c r="G30" s="206" t="e">
        <f>+(F30-F29)/F29/5</f>
        <v>#REF!</v>
      </c>
    </row>
    <row r="31" spans="1:11" ht="13.8" thickTop="1" x14ac:dyDescent="0.25">
      <c r="A31" s="211" t="str">
        <f>"Source: " &amp; Source_ESRI &amp; ", " &amp; Source_Novogradac &amp; ", " &amp; Source_Date</f>
        <v>Source: Esri Demographics 2016, Novogradac &amp; Company LLP, August 2017</v>
      </c>
      <c r="B31" s="187"/>
      <c r="C31" s="187"/>
      <c r="D31" s="187"/>
      <c r="E31" s="187"/>
      <c r="F31" s="187"/>
      <c r="G31" s="187"/>
    </row>
    <row r="32" spans="1:11" x14ac:dyDescent="0.25">
      <c r="A32" s="195"/>
      <c r="B32" s="195"/>
      <c r="C32" s="195"/>
      <c r="D32" s="195"/>
      <c r="E32" s="195"/>
      <c r="F32" s="195"/>
      <c r="G32" s="195"/>
    </row>
    <row r="33" spans="1:23" x14ac:dyDescent="0.25">
      <c r="A33" s="1"/>
      <c r="B33" s="2"/>
      <c r="C33" s="2"/>
      <c r="D33" s="2"/>
      <c r="E33" s="2"/>
      <c r="F33" s="2"/>
      <c r="G33" s="2"/>
    </row>
    <row r="34" spans="1:23" ht="16.2" thickBot="1" x14ac:dyDescent="0.35">
      <c r="A34" s="4" t="str">
        <f>"HOUSEHOLD INCOME OF SENIORS 65+ IN " &amp; ESRI_CY</f>
        <v>HOUSEHOLD INCOME OF SENIORS 65+ IN 2016</v>
      </c>
      <c r="B34" s="4"/>
      <c r="C34" s="4"/>
      <c r="D34" s="4"/>
      <c r="E34" s="4"/>
      <c r="F34" s="4"/>
      <c r="G34" s="4"/>
      <c r="I34" s="18"/>
      <c r="J34" s="18"/>
      <c r="K34" s="18"/>
    </row>
    <row r="35" spans="1:23" ht="14.4" thickBot="1" x14ac:dyDescent="0.3">
      <c r="A35" s="183" t="s">
        <v>50</v>
      </c>
      <c r="B35" s="230" t="e">
        <f>PMA_Name</f>
        <v>#REF!</v>
      </c>
      <c r="C35" s="231"/>
      <c r="D35" s="230" t="e">
        <f>SMA_Name</f>
        <v>#REF!</v>
      </c>
      <c r="E35" s="231"/>
      <c r="F35" s="225" t="e">
        <f>USA_Name</f>
        <v>#REF!</v>
      </c>
      <c r="G35" s="226"/>
      <c r="I35" s="18"/>
      <c r="J35" s="18"/>
      <c r="K35" s="18"/>
      <c r="O35" s="439">
        <v>0.05</v>
      </c>
    </row>
    <row r="36" spans="1:23" ht="15.6" x14ac:dyDescent="0.3">
      <c r="A36" s="37"/>
      <c r="B36" s="180" t="s">
        <v>44</v>
      </c>
      <c r="C36" s="180" t="s">
        <v>51</v>
      </c>
      <c r="D36" s="180" t="s">
        <v>44</v>
      </c>
      <c r="E36" s="180" t="s">
        <v>51</v>
      </c>
      <c r="F36" s="180" t="s">
        <v>42</v>
      </c>
      <c r="G36" s="180" t="s">
        <v>51</v>
      </c>
    </row>
    <row r="37" spans="1:23" ht="15.6" x14ac:dyDescent="0.3">
      <c r="A37" s="10" t="str">
        <f t="array" ref="A37:A48">Novo_Cohort_Ref</f>
        <v>$0-9,999</v>
      </c>
      <c r="B37" s="34" t="e">
        <f>#REF!+#REF!</f>
        <v>#REF!</v>
      </c>
      <c r="C37" s="138" t="e">
        <f>B37/$B$49</f>
        <v>#REF!</v>
      </c>
      <c r="D37" s="34" t="e">
        <f>#REF!+#REF!</f>
        <v>#REF!</v>
      </c>
      <c r="E37" s="138" t="e">
        <f>D37/$D$49</f>
        <v>#REF!</v>
      </c>
      <c r="F37" s="34" t="e">
        <f>#REF!+#REF!</f>
        <v>#REF!</v>
      </c>
      <c r="G37" s="140" t="e">
        <f>F37/$F$49</f>
        <v>#REF!</v>
      </c>
      <c r="H37" s="28"/>
      <c r="I37" s="4" t="s">
        <v>141</v>
      </c>
      <c r="J37" s="4"/>
      <c r="K37" s="4"/>
      <c r="L37" s="4"/>
      <c r="M37" s="4"/>
      <c r="O37" s="496" t="str">
        <f>ESRI_CY &amp; " DISTRIBUTION OF HOUSEHOLD INCOME BY TENURE"</f>
        <v>2016 DISTRIBUTION OF HOUSEHOLD INCOME BY TENURE</v>
      </c>
      <c r="P37" s="496"/>
      <c r="Q37" s="496"/>
      <c r="R37" s="496"/>
      <c r="S37" s="496"/>
      <c r="T37" s="496"/>
      <c r="U37" s="496"/>
      <c r="V37" s="496"/>
      <c r="W37" s="496"/>
    </row>
    <row r="38" spans="1:23" x14ac:dyDescent="0.25">
      <c r="A38" s="10" t="str">
        <v>$10,000-19,999</v>
      </c>
      <c r="B38" s="34" t="e">
        <f>#REF!+#REF!</f>
        <v>#REF!</v>
      </c>
      <c r="C38" s="138" t="e">
        <f t="shared" ref="C38:C48" si="1">B38/$B$49</f>
        <v>#REF!</v>
      </c>
      <c r="D38" s="34" t="e">
        <f>#REF!+#REF!</f>
        <v>#REF!</v>
      </c>
      <c r="E38" s="138" t="e">
        <f t="shared" ref="E38:E48" si="2">D38/$D$49</f>
        <v>#REF!</v>
      </c>
      <c r="F38" s="34" t="e">
        <f>#REF!+#REF!</f>
        <v>#REF!</v>
      </c>
      <c r="G38" s="140" t="e">
        <f t="shared" ref="G38:G48" si="3">F38/$F$49</f>
        <v>#REF!</v>
      </c>
      <c r="H38" s="36"/>
      <c r="I38" s="183" t="s">
        <v>50</v>
      </c>
      <c r="J38" s="227">
        <f>ESRI_CY</f>
        <v>2016</v>
      </c>
      <c r="K38" s="227"/>
      <c r="L38" s="227">
        <f>ESRI_FY</f>
        <v>2021</v>
      </c>
      <c r="M38" s="227"/>
      <c r="O38" s="209" t="s">
        <v>50</v>
      </c>
      <c r="P38" s="227" t="s">
        <v>356</v>
      </c>
      <c r="Q38" s="227"/>
      <c r="R38" s="227" t="s">
        <v>355</v>
      </c>
      <c r="S38" s="227"/>
      <c r="T38" s="227" t="s">
        <v>12</v>
      </c>
      <c r="U38" s="227"/>
      <c r="V38" s="227" t="str">
        <f>"Total Eligible (" &amp; TEXT(O35, "0%") &amp; " Owners + Renters)"</f>
        <v>Total Eligible (5% Owners + Renters)</v>
      </c>
      <c r="W38" s="227"/>
    </row>
    <row r="39" spans="1:23" ht="15.6" x14ac:dyDescent="0.3">
      <c r="A39" s="10" t="str">
        <v>$20,000-29,999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37"/>
      <c r="J39" s="180" t="s">
        <v>44</v>
      </c>
      <c r="K39" s="180" t="s">
        <v>51</v>
      </c>
      <c r="L39" s="208" t="s">
        <v>44</v>
      </c>
      <c r="M39" s="208" t="s">
        <v>51</v>
      </c>
      <c r="O39" s="37"/>
      <c r="P39" s="438" t="s">
        <v>44</v>
      </c>
      <c r="Q39" s="438" t="s">
        <v>51</v>
      </c>
      <c r="R39" s="438" t="s">
        <v>44</v>
      </c>
      <c r="S39" s="438" t="s">
        <v>51</v>
      </c>
      <c r="T39" s="438" t="s">
        <v>44</v>
      </c>
      <c r="U39" s="438" t="s">
        <v>51</v>
      </c>
      <c r="V39" s="438" t="s">
        <v>44</v>
      </c>
      <c r="W39" s="438" t="s">
        <v>51</v>
      </c>
    </row>
    <row r="40" spans="1:23" x14ac:dyDescent="0.25">
      <c r="A40" s="10" t="str">
        <v>$30,000-39,999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f t="array" ref="I40:I51">Novo_Cohort_Ref</f>
        <v>$0-9,999</v>
      </c>
      <c r="J40" s="34" t="e">
        <f>#REF!</f>
        <v>#REF!</v>
      </c>
      <c r="K40" s="138" t="e">
        <f>J40/J$52</f>
        <v>#REF!</v>
      </c>
      <c r="L40" s="34" t="e">
        <f>#REF!</f>
        <v>#REF!</v>
      </c>
      <c r="M40" s="138" t="e">
        <f>L40/L$52</f>
        <v>#REF!</v>
      </c>
      <c r="O40" s="10" t="str">
        <f t="array" ref="O40:O51">Novo_Cohort_Ref</f>
        <v>$0-9,999</v>
      </c>
      <c r="P40" s="34" t="e">
        <f>#REF!</f>
        <v>#REF!</v>
      </c>
      <c r="Q40" s="138" t="e">
        <f>P40/P$52</f>
        <v>#REF!</v>
      </c>
      <c r="R40" s="34" t="e">
        <f>#REF!</f>
        <v>#REF!</v>
      </c>
      <c r="S40" s="138" t="e">
        <f>R40/R$52</f>
        <v>#REF!</v>
      </c>
      <c r="T40" s="34" t="e">
        <f>+P40+R40</f>
        <v>#REF!</v>
      </c>
      <c r="U40" s="138" t="e">
        <f>T40/T$52</f>
        <v>#REF!</v>
      </c>
      <c r="V40" s="12" t="e">
        <f>+P40+ (R40*$O$35)</f>
        <v>#REF!</v>
      </c>
      <c r="W40" s="138" t="e">
        <f>V40/V$52</f>
        <v>#REF!</v>
      </c>
    </row>
    <row r="41" spans="1:23" x14ac:dyDescent="0.25">
      <c r="A41" s="10" t="str">
        <v>$40,000-49,999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$10,000-19,999</v>
      </c>
      <c r="J41" s="34" t="e">
        <f>#REF!</f>
        <v>#REF!</v>
      </c>
      <c r="K41" s="138" t="e">
        <f t="shared" ref="K41:K51" si="4">J41/J$52</f>
        <v>#REF!</v>
      </c>
      <c r="L41" s="34" t="e">
        <f>#REF!</f>
        <v>#REF!</v>
      </c>
      <c r="M41" s="138" t="e">
        <f t="shared" ref="M41:M51" si="5">L41/L$52</f>
        <v>#REF!</v>
      </c>
      <c r="O41" s="10" t="str">
        <v>$10,000-19,999</v>
      </c>
      <c r="P41" s="34" t="e">
        <f>#REF!</f>
        <v>#REF!</v>
      </c>
      <c r="Q41" s="138" t="e">
        <f t="shared" ref="Q41:Q51" si="6">P41/P$52</f>
        <v>#REF!</v>
      </c>
      <c r="R41" s="34" t="e">
        <f>#REF!</f>
        <v>#REF!</v>
      </c>
      <c r="S41" s="138" t="e">
        <f t="shared" ref="S41:S51" si="7">R41/R$52</f>
        <v>#REF!</v>
      </c>
      <c r="T41" s="34" t="e">
        <f t="shared" ref="T41:T51" si="8">+P41+R41</f>
        <v>#REF!</v>
      </c>
      <c r="U41" s="138" t="e">
        <f t="shared" ref="U41:W51" si="9">T41/T$52</f>
        <v>#REF!</v>
      </c>
      <c r="V41" s="12" t="e">
        <f t="shared" ref="V41:V52" si="10">+P41+ (R41*$O$35)</f>
        <v>#REF!</v>
      </c>
      <c r="W41" s="138" t="e">
        <f t="shared" si="9"/>
        <v>#REF!</v>
      </c>
    </row>
    <row r="42" spans="1:23" x14ac:dyDescent="0.25">
      <c r="A42" s="10" t="str">
        <v>$50,000-59,999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$20,000-29,999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  <c r="O42" s="10" t="str">
        <v>$20,000-29,999</v>
      </c>
      <c r="P42" s="34" t="e">
        <f>#REF!</f>
        <v>#REF!</v>
      </c>
      <c r="Q42" s="138" t="e">
        <f t="shared" si="6"/>
        <v>#REF!</v>
      </c>
      <c r="R42" s="34" t="e">
        <f>#REF!</f>
        <v>#REF!</v>
      </c>
      <c r="S42" s="138" t="e">
        <f t="shared" si="7"/>
        <v>#REF!</v>
      </c>
      <c r="T42" s="34" t="e">
        <f t="shared" si="8"/>
        <v>#REF!</v>
      </c>
      <c r="U42" s="138" t="e">
        <f t="shared" si="9"/>
        <v>#REF!</v>
      </c>
      <c r="V42" s="12" t="e">
        <f t="shared" si="10"/>
        <v>#REF!</v>
      </c>
      <c r="W42" s="138" t="e">
        <f t="shared" si="9"/>
        <v>#REF!</v>
      </c>
    </row>
    <row r="43" spans="1:23" x14ac:dyDescent="0.25">
      <c r="A43" s="10" t="str">
        <v>$60,000-74,999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$30,000-39,999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  <c r="O43" s="10" t="str">
        <v>$30,000-39,999</v>
      </c>
      <c r="P43" s="34" t="e">
        <f>#REF!</f>
        <v>#REF!</v>
      </c>
      <c r="Q43" s="138" t="e">
        <f t="shared" si="6"/>
        <v>#REF!</v>
      </c>
      <c r="R43" s="34" t="e">
        <f>#REF!</f>
        <v>#REF!</v>
      </c>
      <c r="S43" s="138" t="e">
        <f t="shared" si="7"/>
        <v>#REF!</v>
      </c>
      <c r="T43" s="34" t="e">
        <f t="shared" si="8"/>
        <v>#REF!</v>
      </c>
      <c r="U43" s="138" t="e">
        <f t="shared" si="9"/>
        <v>#REF!</v>
      </c>
      <c r="V43" s="12" t="e">
        <f t="shared" si="10"/>
        <v>#REF!</v>
      </c>
      <c r="W43" s="138" t="e">
        <f t="shared" si="9"/>
        <v>#REF!</v>
      </c>
    </row>
    <row r="44" spans="1:23" x14ac:dyDescent="0.25">
      <c r="A44" s="10" t="str">
        <v>$75,000-99,999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$40,000-49,999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  <c r="O44" s="10" t="str">
        <v>$40,000-49,999</v>
      </c>
      <c r="P44" s="34" t="e">
        <f>#REF!</f>
        <v>#REF!</v>
      </c>
      <c r="Q44" s="138" t="e">
        <f t="shared" si="6"/>
        <v>#REF!</v>
      </c>
      <c r="R44" s="34" t="e">
        <f>#REF!</f>
        <v>#REF!</v>
      </c>
      <c r="S44" s="138" t="e">
        <f t="shared" si="7"/>
        <v>#REF!</v>
      </c>
      <c r="T44" s="34" t="e">
        <f t="shared" si="8"/>
        <v>#REF!</v>
      </c>
      <c r="U44" s="138" t="e">
        <f t="shared" si="9"/>
        <v>#REF!</v>
      </c>
      <c r="V44" s="12" t="e">
        <f t="shared" si="10"/>
        <v>#REF!</v>
      </c>
      <c r="W44" s="138" t="e">
        <f t="shared" si="9"/>
        <v>#REF!</v>
      </c>
    </row>
    <row r="45" spans="1:23" x14ac:dyDescent="0.25">
      <c r="A45" s="10" t="str">
        <v>$100,000-124,999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$50,000-59,999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  <c r="O45" s="10" t="str">
        <v>$50,000-59,999</v>
      </c>
      <c r="P45" s="34" t="e">
        <f>#REF!</f>
        <v>#REF!</v>
      </c>
      <c r="Q45" s="138" t="e">
        <f t="shared" si="6"/>
        <v>#REF!</v>
      </c>
      <c r="R45" s="34" t="e">
        <f>#REF!</f>
        <v>#REF!</v>
      </c>
      <c r="S45" s="138" t="e">
        <f t="shared" si="7"/>
        <v>#REF!</v>
      </c>
      <c r="T45" s="34" t="e">
        <f t="shared" si="8"/>
        <v>#REF!</v>
      </c>
      <c r="U45" s="138" t="e">
        <f t="shared" si="9"/>
        <v>#REF!</v>
      </c>
      <c r="V45" s="12" t="e">
        <f t="shared" si="10"/>
        <v>#REF!</v>
      </c>
      <c r="W45" s="138" t="e">
        <f t="shared" si="9"/>
        <v>#REF!</v>
      </c>
    </row>
    <row r="46" spans="1:23" x14ac:dyDescent="0.25">
      <c r="A46" s="10" t="str">
        <v>$125,000-149,999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$60,000-74,999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  <c r="O46" s="10" t="str">
        <v>$60,000-74,999</v>
      </c>
      <c r="P46" s="34" t="e">
        <f>#REF!</f>
        <v>#REF!</v>
      </c>
      <c r="Q46" s="138" t="e">
        <f t="shared" si="6"/>
        <v>#REF!</v>
      </c>
      <c r="R46" s="34" t="e">
        <f>#REF!</f>
        <v>#REF!</v>
      </c>
      <c r="S46" s="138" t="e">
        <f t="shared" si="7"/>
        <v>#REF!</v>
      </c>
      <c r="T46" s="34" t="e">
        <f t="shared" si="8"/>
        <v>#REF!</v>
      </c>
      <c r="U46" s="138" t="e">
        <f t="shared" si="9"/>
        <v>#REF!</v>
      </c>
      <c r="V46" s="12" t="e">
        <f t="shared" si="10"/>
        <v>#REF!</v>
      </c>
      <c r="W46" s="138" t="e">
        <f t="shared" si="9"/>
        <v>#REF!</v>
      </c>
    </row>
    <row r="47" spans="1:23" x14ac:dyDescent="0.25">
      <c r="A47" s="10" t="str">
        <v>$150,000-199,999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$75,000-99,999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  <c r="O47" s="10" t="str">
        <v>$75,000-99,999</v>
      </c>
      <c r="P47" s="34" t="e">
        <f>#REF!</f>
        <v>#REF!</v>
      </c>
      <c r="Q47" s="138" t="e">
        <f t="shared" si="6"/>
        <v>#REF!</v>
      </c>
      <c r="R47" s="34" t="e">
        <f>#REF!</f>
        <v>#REF!</v>
      </c>
      <c r="S47" s="138" t="e">
        <f t="shared" si="7"/>
        <v>#REF!</v>
      </c>
      <c r="T47" s="34" t="e">
        <f t="shared" si="8"/>
        <v>#REF!</v>
      </c>
      <c r="U47" s="138" t="e">
        <f t="shared" si="9"/>
        <v>#REF!</v>
      </c>
      <c r="V47" s="12" t="e">
        <f t="shared" si="10"/>
        <v>#REF!</v>
      </c>
      <c r="W47" s="138" t="e">
        <f t="shared" si="9"/>
        <v>#REF!</v>
      </c>
    </row>
    <row r="48" spans="1:23" x14ac:dyDescent="0.25">
      <c r="A48" s="10" t="str">
        <v>$200,000+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$100,000-124,999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  <c r="O48" s="10" t="str">
        <v>$100,000-124,999</v>
      </c>
      <c r="P48" s="34" t="e">
        <f>#REF!</f>
        <v>#REF!</v>
      </c>
      <c r="Q48" s="138" t="e">
        <f t="shared" si="6"/>
        <v>#REF!</v>
      </c>
      <c r="R48" s="34" t="e">
        <f>#REF!</f>
        <v>#REF!</v>
      </c>
      <c r="S48" s="138" t="e">
        <f t="shared" si="7"/>
        <v>#REF!</v>
      </c>
      <c r="T48" s="34" t="e">
        <f t="shared" si="8"/>
        <v>#REF!</v>
      </c>
      <c r="U48" s="138" t="e">
        <f t="shared" si="9"/>
        <v>#REF!</v>
      </c>
      <c r="V48" s="12" t="e">
        <f t="shared" si="10"/>
        <v>#REF!</v>
      </c>
      <c r="W48" s="138" t="e">
        <f t="shared" si="9"/>
        <v>#REF!</v>
      </c>
    </row>
    <row r="49" spans="1:23" ht="13.8" thickBot="1" x14ac:dyDescent="0.3">
      <c r="A49" s="8" t="s">
        <v>11</v>
      </c>
      <c r="B49" s="32" t="e">
        <f t="shared" ref="B49:G49" si="11">SUM(B37:B48)</f>
        <v>#REF!</v>
      </c>
      <c r="C49" s="139" t="e">
        <f t="shared" si="11"/>
        <v>#REF!</v>
      </c>
      <c r="D49" s="32" t="e">
        <f t="shared" si="11"/>
        <v>#REF!</v>
      </c>
      <c r="E49" s="139" t="e">
        <f t="shared" si="11"/>
        <v>#REF!</v>
      </c>
      <c r="F49" s="32" t="e">
        <f t="shared" si="11"/>
        <v>#REF!</v>
      </c>
      <c r="G49" s="141" t="e">
        <f t="shared" si="11"/>
        <v>#REF!</v>
      </c>
      <c r="H49" s="2"/>
      <c r="I49" s="10" t="str">
        <v>$125,000-149,999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  <c r="O49" s="10" t="str">
        <v>$125,000-149,999</v>
      </c>
      <c r="P49" s="34" t="e">
        <f>#REF!</f>
        <v>#REF!</v>
      </c>
      <c r="Q49" s="138" t="e">
        <f t="shared" si="6"/>
        <v>#REF!</v>
      </c>
      <c r="R49" s="34" t="e">
        <f>#REF!</f>
        <v>#REF!</v>
      </c>
      <c r="S49" s="138" t="e">
        <f t="shared" si="7"/>
        <v>#REF!</v>
      </c>
      <c r="T49" s="34" t="e">
        <f t="shared" si="8"/>
        <v>#REF!</v>
      </c>
      <c r="U49" s="138" t="e">
        <f t="shared" si="9"/>
        <v>#REF!</v>
      </c>
      <c r="V49" s="12" t="e">
        <f t="shared" si="10"/>
        <v>#REF!</v>
      </c>
      <c r="W49" s="138" t="e">
        <f t="shared" si="9"/>
        <v>#REF!</v>
      </c>
    </row>
    <row r="50" spans="1:23" ht="13.8" thickTop="1" x14ac:dyDescent="0.25">
      <c r="A50" s="187" t="str">
        <f>"Source: " &amp; Source_HISTA &amp; ", " &amp; Source_Novogradac &amp; ", " &amp; Source_Date</f>
        <v>Source: Ribbon Demographics 2014, Novogradac &amp; Company LLP, August 2017</v>
      </c>
      <c r="B50" s="187"/>
      <c r="C50" s="187"/>
      <c r="D50" s="187"/>
      <c r="E50" s="187"/>
      <c r="F50" s="187"/>
      <c r="G50" s="187"/>
      <c r="I50" s="10" t="str">
        <v>$150,000-199,999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  <c r="O50" s="10" t="str">
        <v>$150,000-199,999</v>
      </c>
      <c r="P50" s="34" t="e">
        <f>#REF!</f>
        <v>#REF!</v>
      </c>
      <c r="Q50" s="138" t="e">
        <f t="shared" si="6"/>
        <v>#REF!</v>
      </c>
      <c r="R50" s="34" t="e">
        <f>#REF!</f>
        <v>#REF!</v>
      </c>
      <c r="S50" s="138" t="e">
        <f t="shared" si="7"/>
        <v>#REF!</v>
      </c>
      <c r="T50" s="34" t="e">
        <f t="shared" si="8"/>
        <v>#REF!</v>
      </c>
      <c r="U50" s="138" t="e">
        <f t="shared" si="9"/>
        <v>#REF!</v>
      </c>
      <c r="V50" s="12" t="e">
        <f t="shared" si="10"/>
        <v>#REF!</v>
      </c>
      <c r="W50" s="138" t="e">
        <f t="shared" si="9"/>
        <v>#REF!</v>
      </c>
    </row>
    <row r="51" spans="1:23" x14ac:dyDescent="0.25">
      <c r="A51" s="197" t="s">
        <v>139</v>
      </c>
      <c r="B51" s="22"/>
      <c r="C51" s="22"/>
      <c r="D51" s="22"/>
      <c r="E51" s="22"/>
      <c r="F51" s="2"/>
      <c r="G51" s="2"/>
      <c r="I51" s="10" t="str">
        <v>$200,000+</v>
      </c>
      <c r="J51" s="34" t="e">
        <f>#REF!</f>
        <v>#REF!</v>
      </c>
      <c r="K51" s="138" t="e">
        <f t="shared" si="4"/>
        <v>#REF!</v>
      </c>
      <c r="L51" s="34" t="e">
        <f>#REF!</f>
        <v>#REF!</v>
      </c>
      <c r="M51" s="138" t="e">
        <f t="shared" si="5"/>
        <v>#REF!</v>
      </c>
      <c r="O51" s="10" t="str">
        <v>$200,000+</v>
      </c>
      <c r="P51" s="34" t="e">
        <f>#REF!</f>
        <v>#REF!</v>
      </c>
      <c r="Q51" s="138" t="e">
        <f t="shared" si="6"/>
        <v>#REF!</v>
      </c>
      <c r="R51" s="34" t="e">
        <f>#REF!</f>
        <v>#REF!</v>
      </c>
      <c r="S51" s="138" t="e">
        <f t="shared" si="7"/>
        <v>#REF!</v>
      </c>
      <c r="T51" s="34" t="e">
        <f t="shared" si="8"/>
        <v>#REF!</v>
      </c>
      <c r="U51" s="138" t="e">
        <f t="shared" si="9"/>
        <v>#REF!</v>
      </c>
      <c r="V51" s="12" t="e">
        <f t="shared" si="10"/>
        <v>#REF!</v>
      </c>
      <c r="W51" s="138" t="e">
        <f t="shared" si="9"/>
        <v>#REF!</v>
      </c>
    </row>
    <row r="52" spans="1:23" ht="13.8" thickBot="1" x14ac:dyDescent="0.3">
      <c r="A52" s="2"/>
      <c r="B52" s="198"/>
      <c r="C52" s="198"/>
      <c r="D52" s="199"/>
      <c r="E52" s="199"/>
      <c r="F52" s="2"/>
      <c r="G52" s="2"/>
      <c r="I52" s="8" t="s">
        <v>11</v>
      </c>
      <c r="J52" s="32" t="e">
        <f>SUM(J40:J51)</f>
        <v>#REF!</v>
      </c>
      <c r="K52" s="139" t="e">
        <f>SUM(K40:K51)</f>
        <v>#REF!</v>
      </c>
      <c r="L52" s="32" t="e">
        <f>SUM(L40:L51)</f>
        <v>#REF!</v>
      </c>
      <c r="M52" s="139" t="e">
        <f>SUM(M40:M51)</f>
        <v>#REF!</v>
      </c>
      <c r="O52" s="8" t="s">
        <v>11</v>
      </c>
      <c r="P52" s="32" t="e">
        <f t="shared" ref="P52:W52" si="12">SUM(P40:P51)</f>
        <v>#REF!</v>
      </c>
      <c r="Q52" s="139" t="e">
        <f t="shared" si="12"/>
        <v>#REF!</v>
      </c>
      <c r="R52" s="32" t="e">
        <f t="shared" si="12"/>
        <v>#REF!</v>
      </c>
      <c r="S52" s="139" t="e">
        <f t="shared" si="12"/>
        <v>#REF!</v>
      </c>
      <c r="T52" s="32" t="e">
        <f t="shared" si="12"/>
        <v>#REF!</v>
      </c>
      <c r="U52" s="139" t="e">
        <f t="shared" si="12"/>
        <v>#REF!</v>
      </c>
      <c r="V52" s="32" t="e">
        <f t="shared" si="10"/>
        <v>#REF!</v>
      </c>
      <c r="W52" s="139" t="e">
        <f t="shared" si="12"/>
        <v>#REF!</v>
      </c>
    </row>
    <row r="53" spans="1:23" ht="16.2" thickTop="1" x14ac:dyDescent="0.3">
      <c r="A53" s="4" t="str">
        <f>"HOUSEHOLD INCOME OF SENIORS 65+ IN " &amp; ESRI_FY</f>
        <v>HOUSEHOLD INCOME OF SENIORS 65+ IN 2021</v>
      </c>
      <c r="B53" s="4"/>
      <c r="C53" s="4"/>
      <c r="D53" s="4"/>
      <c r="E53" s="4"/>
      <c r="F53" s="4"/>
      <c r="G53" s="4"/>
      <c r="I53" s="187" t="str">
        <f>"Source: " &amp; Source_HISTA &amp; ", " &amp; Source_Novogradac &amp; ", " &amp; Source_Date</f>
        <v>Source: Ribbon Demographics 2014, Novogradac &amp; Company LLP, August 2017</v>
      </c>
      <c r="J53" s="187"/>
      <c r="K53" s="187"/>
      <c r="L53" s="187"/>
      <c r="M53" s="187"/>
      <c r="O53" s="187" t="str">
        <f>"Source: " &amp; Source_HISTA &amp; ", " &amp; Source_Novogradac &amp; ", " &amp; Source_Date</f>
        <v>Source: Ribbon Demographics 2014, Novogradac &amp; Company LLP, August 2017</v>
      </c>
      <c r="P53" s="187"/>
      <c r="Q53" s="187"/>
      <c r="R53" s="187"/>
      <c r="S53" s="187"/>
    </row>
    <row r="54" spans="1:23" x14ac:dyDescent="0.25">
      <c r="A54" s="183" t="s">
        <v>50</v>
      </c>
      <c r="B54" s="230" t="e">
        <f>PMA_Name</f>
        <v>#REF!</v>
      </c>
      <c r="C54" s="231"/>
      <c r="D54" s="230" t="e">
        <f>SMA_Name</f>
        <v>#REF!</v>
      </c>
      <c r="E54" s="231"/>
      <c r="F54" s="225" t="e">
        <f>USA_Name</f>
        <v>#REF!</v>
      </c>
      <c r="G54" s="226"/>
      <c r="L54" s="13"/>
      <c r="M54" s="196"/>
    </row>
    <row r="55" spans="1:23" ht="15.6" x14ac:dyDescent="0.3">
      <c r="A55" s="37"/>
      <c r="B55" s="180" t="s">
        <v>44</v>
      </c>
      <c r="C55" s="180" t="s">
        <v>51</v>
      </c>
      <c r="D55" s="180" t="s">
        <v>44</v>
      </c>
      <c r="E55" s="180" t="s">
        <v>51</v>
      </c>
      <c r="F55" s="180" t="s">
        <v>42</v>
      </c>
      <c r="G55" s="180" t="s">
        <v>51</v>
      </c>
      <c r="L55" s="13"/>
      <c r="M55" s="196"/>
    </row>
    <row r="56" spans="1:23" ht="15.6" x14ac:dyDescent="0.3">
      <c r="A56" s="10" t="str">
        <f t="array" ref="A56:A67">Novo_Cohort_Ref</f>
        <v>$0-9,999</v>
      </c>
      <c r="B56" s="34" t="e">
        <f>#REF!+#REF!</f>
        <v>#REF!</v>
      </c>
      <c r="C56" s="138" t="e">
        <f t="shared" ref="C56:C67" si="13">B37/$B$49</f>
        <v>#REF!</v>
      </c>
      <c r="D56" s="34" t="e">
        <f>#REF!+#REF!</f>
        <v>#REF!</v>
      </c>
      <c r="E56" s="138" t="e">
        <f t="shared" ref="E56:E67" si="14">D37/$D$49</f>
        <v>#REF!</v>
      </c>
      <c r="F56" s="34" t="e">
        <f>#REF!+#REF!</f>
        <v>#REF!</v>
      </c>
      <c r="G56" s="140" t="e">
        <f t="shared" ref="G56:G67" si="15">F37/$F$49</f>
        <v>#REF!</v>
      </c>
      <c r="I56" s="266" t="s">
        <v>213</v>
      </c>
      <c r="J56" s="266"/>
      <c r="K56" s="266"/>
      <c r="L56" s="266"/>
      <c r="M56" s="266"/>
      <c r="N56" s="266"/>
    </row>
    <row r="57" spans="1:23" ht="15.6" x14ac:dyDescent="0.3">
      <c r="A57" s="10" t="str">
        <v>$10,000-19,999</v>
      </c>
      <c r="B57" s="34" t="e">
        <f>#REF!+#REF!</f>
        <v>#REF!</v>
      </c>
      <c r="C57" s="138" t="e">
        <f t="shared" si="13"/>
        <v>#REF!</v>
      </c>
      <c r="D57" s="34" t="e">
        <f>#REF!+#REF!</f>
        <v>#REF!</v>
      </c>
      <c r="E57" s="138" t="e">
        <f t="shared" si="14"/>
        <v>#REF!</v>
      </c>
      <c r="F57" s="34" t="e">
        <f>#REF!+#REF!</f>
        <v>#REF!</v>
      </c>
      <c r="G57" s="140" t="e">
        <f t="shared" si="15"/>
        <v>#REF!</v>
      </c>
      <c r="I57" s="392" t="e">
        <f>PMA_Name &amp; " " &amp; ESRI_CY</f>
        <v>#REF!</v>
      </c>
      <c r="J57" s="392"/>
      <c r="K57" s="392"/>
      <c r="L57" s="392"/>
      <c r="M57" s="392"/>
      <c r="N57" s="392"/>
    </row>
    <row r="58" spans="1:23" x14ac:dyDescent="0.25">
      <c r="A58" s="10" t="str">
        <v>$20,000-29,999</v>
      </c>
      <c r="B58" s="34" t="e">
        <f>#REF!+#REF!</f>
        <v>#REF!</v>
      </c>
      <c r="C58" s="138" t="e">
        <f t="shared" si="13"/>
        <v>#REF!</v>
      </c>
      <c r="D58" s="34" t="e">
        <f>#REF!+#REF!</f>
        <v>#REF!</v>
      </c>
      <c r="E58" s="138" t="e">
        <f t="shared" si="14"/>
        <v>#REF!</v>
      </c>
      <c r="F58" s="34" t="e">
        <f>#REF!+#REF!</f>
        <v>#REF!</v>
      </c>
      <c r="G58" s="140" t="e">
        <f t="shared" si="15"/>
        <v>#REF!</v>
      </c>
      <c r="I58" s="271" t="s">
        <v>50</v>
      </c>
      <c r="J58" s="271">
        <v>1</v>
      </c>
      <c r="K58" s="271">
        <v>2</v>
      </c>
      <c r="L58" s="271">
        <v>3</v>
      </c>
      <c r="M58" s="271">
        <v>4</v>
      </c>
      <c r="N58" s="271">
        <v>5</v>
      </c>
    </row>
    <row r="59" spans="1:23" x14ac:dyDescent="0.25">
      <c r="A59" s="10" t="str">
        <v>$30,000-39,999</v>
      </c>
      <c r="B59" s="34" t="e">
        <f>#REF!+#REF!</f>
        <v>#REF!</v>
      </c>
      <c r="C59" s="138" t="e">
        <f t="shared" si="13"/>
        <v>#REF!</v>
      </c>
      <c r="D59" s="34" t="e">
        <f>#REF!+#REF!</f>
        <v>#REF!</v>
      </c>
      <c r="E59" s="138" t="e">
        <f t="shared" si="14"/>
        <v>#REF!</v>
      </c>
      <c r="F59" s="34" t="e">
        <f>#REF!+#REF!</f>
        <v>#REF!</v>
      </c>
      <c r="G59" s="140" t="e">
        <f t="shared" si="15"/>
        <v>#REF!</v>
      </c>
      <c r="I59" s="10" t="str">
        <f t="array" ref="I59:I70">Novo_Cohort_Ref</f>
        <v>$0-9,999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23" x14ac:dyDescent="0.25">
      <c r="A60" s="10" t="str">
        <v>$40,000-49,999</v>
      </c>
      <c r="B60" s="34" t="e">
        <f>#REF!+#REF!</f>
        <v>#REF!</v>
      </c>
      <c r="C60" s="138" t="e">
        <f t="shared" si="13"/>
        <v>#REF!</v>
      </c>
      <c r="D60" s="34" t="e">
        <f>#REF!+#REF!</f>
        <v>#REF!</v>
      </c>
      <c r="E60" s="138" t="e">
        <f t="shared" si="14"/>
        <v>#REF!</v>
      </c>
      <c r="F60" s="34" t="e">
        <f>#REF!+#REF!</f>
        <v>#REF!</v>
      </c>
      <c r="G60" s="140" t="e">
        <f t="shared" si="15"/>
        <v>#REF!</v>
      </c>
      <c r="I60" s="10" t="str">
        <v>$10,000-19,999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23" x14ac:dyDescent="0.25">
      <c r="A61" s="10" t="str">
        <v>$50,000-59,999</v>
      </c>
      <c r="B61" s="34" t="e">
        <f>#REF!+#REF!</f>
        <v>#REF!</v>
      </c>
      <c r="C61" s="138" t="e">
        <f t="shared" si="13"/>
        <v>#REF!</v>
      </c>
      <c r="D61" s="34" t="e">
        <f>#REF!+#REF!</f>
        <v>#REF!</v>
      </c>
      <c r="E61" s="138" t="e">
        <f t="shared" si="14"/>
        <v>#REF!</v>
      </c>
      <c r="F61" s="34" t="e">
        <f>#REF!+#REF!</f>
        <v>#REF!</v>
      </c>
      <c r="G61" s="140" t="e">
        <f t="shared" si="15"/>
        <v>#REF!</v>
      </c>
      <c r="I61" s="10" t="str">
        <v>$20,000-29,999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23" x14ac:dyDescent="0.25">
      <c r="A62" s="10" t="str">
        <v>$60,000-74,999</v>
      </c>
      <c r="B62" s="34" t="e">
        <f>#REF!+#REF!</f>
        <v>#REF!</v>
      </c>
      <c r="C62" s="138" t="e">
        <f t="shared" si="13"/>
        <v>#REF!</v>
      </c>
      <c r="D62" s="34" t="e">
        <f>#REF!+#REF!</f>
        <v>#REF!</v>
      </c>
      <c r="E62" s="138" t="e">
        <f t="shared" si="14"/>
        <v>#REF!</v>
      </c>
      <c r="F62" s="34" t="e">
        <f>#REF!+#REF!</f>
        <v>#REF!</v>
      </c>
      <c r="G62" s="140" t="e">
        <f t="shared" si="15"/>
        <v>#REF!</v>
      </c>
      <c r="I62" s="10" t="str">
        <v>$30,000-39,999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23" x14ac:dyDescent="0.25">
      <c r="A63" s="10" t="str">
        <v>$75,000-99,999</v>
      </c>
      <c r="B63" s="34" t="e">
        <f>#REF!+#REF!</f>
        <v>#REF!</v>
      </c>
      <c r="C63" s="138" t="e">
        <f t="shared" si="13"/>
        <v>#REF!</v>
      </c>
      <c r="D63" s="34" t="e">
        <f>#REF!+#REF!</f>
        <v>#REF!</v>
      </c>
      <c r="E63" s="138" t="e">
        <f t="shared" si="14"/>
        <v>#REF!</v>
      </c>
      <c r="F63" s="34" t="e">
        <f>#REF!+#REF!</f>
        <v>#REF!</v>
      </c>
      <c r="G63" s="140" t="e">
        <f t="shared" si="15"/>
        <v>#REF!</v>
      </c>
      <c r="I63" s="10" t="str">
        <v>$40,000-49,999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23" x14ac:dyDescent="0.25">
      <c r="A64" s="10" t="str">
        <v>$100,000-124,999</v>
      </c>
      <c r="B64" s="34" t="e">
        <f>#REF!+#REF!</f>
        <v>#REF!</v>
      </c>
      <c r="C64" s="138" t="e">
        <f t="shared" si="13"/>
        <v>#REF!</v>
      </c>
      <c r="D64" s="34" t="e">
        <f>#REF!+#REF!</f>
        <v>#REF!</v>
      </c>
      <c r="E64" s="138" t="e">
        <f t="shared" si="14"/>
        <v>#REF!</v>
      </c>
      <c r="F64" s="34" t="e">
        <f>#REF!+#REF!</f>
        <v>#REF!</v>
      </c>
      <c r="G64" s="140" t="e">
        <f t="shared" si="15"/>
        <v>#REF!</v>
      </c>
      <c r="I64" s="10" t="str">
        <v>$50,000-59,999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14" x14ac:dyDescent="0.25">
      <c r="A65" s="10" t="str">
        <v>$125,000-149,999</v>
      </c>
      <c r="B65" s="34" t="e">
        <f>#REF!+#REF!</f>
        <v>#REF!</v>
      </c>
      <c r="C65" s="138" t="e">
        <f t="shared" si="13"/>
        <v>#REF!</v>
      </c>
      <c r="D65" s="34" t="e">
        <f>#REF!+#REF!</f>
        <v>#REF!</v>
      </c>
      <c r="E65" s="138" t="e">
        <f t="shared" si="14"/>
        <v>#REF!</v>
      </c>
      <c r="F65" s="34" t="e">
        <f>#REF!+#REF!</f>
        <v>#REF!</v>
      </c>
      <c r="G65" s="140" t="e">
        <f t="shared" si="15"/>
        <v>#REF!</v>
      </c>
      <c r="I65" s="10" t="str">
        <v>$60,000-74,999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14" x14ac:dyDescent="0.25">
      <c r="A66" s="10" t="str">
        <v>$150,000-199,999</v>
      </c>
      <c r="B66" s="34" t="e">
        <f>#REF!+#REF!</f>
        <v>#REF!</v>
      </c>
      <c r="C66" s="138" t="e">
        <f t="shared" si="13"/>
        <v>#REF!</v>
      </c>
      <c r="D66" s="34" t="e">
        <f>#REF!+#REF!</f>
        <v>#REF!</v>
      </c>
      <c r="E66" s="138" t="e">
        <f t="shared" si="14"/>
        <v>#REF!</v>
      </c>
      <c r="F66" s="34" t="e">
        <f>#REF!+#REF!</f>
        <v>#REF!</v>
      </c>
      <c r="G66" s="140" t="e">
        <f t="shared" si="15"/>
        <v>#REF!</v>
      </c>
      <c r="I66" s="10" t="str">
        <v>$75,000-99,999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14" x14ac:dyDescent="0.25">
      <c r="A67" s="10" t="str">
        <v>$200,000+</v>
      </c>
      <c r="B67" s="34" t="e">
        <f>#REF!+#REF!</f>
        <v>#REF!</v>
      </c>
      <c r="C67" s="138" t="e">
        <f t="shared" si="13"/>
        <v>#REF!</v>
      </c>
      <c r="D67" s="34" t="e">
        <f>#REF!+#REF!</f>
        <v>#REF!</v>
      </c>
      <c r="E67" s="138" t="e">
        <f t="shared" si="14"/>
        <v>#REF!</v>
      </c>
      <c r="F67" s="34" t="e">
        <f>#REF!+#REF!</f>
        <v>#REF!</v>
      </c>
      <c r="G67" s="140" t="e">
        <f t="shared" si="15"/>
        <v>#REF!</v>
      </c>
      <c r="I67" s="10" t="str">
        <v>$100,000-124,999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14" ht="13.8" thickBot="1" x14ac:dyDescent="0.3">
      <c r="A68" s="8" t="s">
        <v>11</v>
      </c>
      <c r="B68" s="32" t="e">
        <f t="shared" ref="B68:G68" si="16">SUM(B56:B67)</f>
        <v>#REF!</v>
      </c>
      <c r="C68" s="139" t="e">
        <f t="shared" si="16"/>
        <v>#REF!</v>
      </c>
      <c r="D68" s="32" t="e">
        <f t="shared" si="16"/>
        <v>#REF!</v>
      </c>
      <c r="E68" s="139" t="e">
        <f t="shared" si="16"/>
        <v>#REF!</v>
      </c>
      <c r="F68" s="32" t="e">
        <f t="shared" si="16"/>
        <v>#REF!</v>
      </c>
      <c r="G68" s="141" t="e">
        <f t="shared" si="16"/>
        <v>#REF!</v>
      </c>
      <c r="I68" s="10" t="str">
        <v>$125,000-149,999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14" ht="13.8" thickTop="1" x14ac:dyDescent="0.25">
      <c r="A69" s="187" t="str">
        <f>"Source: " &amp; Source_HISTA &amp; ", " &amp; Source_Novogradac &amp; ", " &amp; Source_Date</f>
        <v>Source: Ribbon Demographics 2014, Novogradac &amp; Company LLP, August 2017</v>
      </c>
      <c r="B69" s="187"/>
      <c r="C69" s="187"/>
      <c r="D69" s="187"/>
      <c r="E69" s="187"/>
      <c r="F69" s="187"/>
      <c r="G69" s="187"/>
      <c r="I69" s="10" t="str">
        <v>$150,000-199,999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14" x14ac:dyDescent="0.25">
      <c r="A70" s="2"/>
      <c r="B70" s="198"/>
      <c r="C70" s="198"/>
      <c r="D70" s="199"/>
      <c r="E70" s="199"/>
      <c r="F70" s="2"/>
      <c r="G70" s="2"/>
      <c r="I70" s="10" t="str">
        <v>$200,000+</v>
      </c>
      <c r="J70" s="415" t="e">
        <f>#REF!</f>
        <v>#REF!</v>
      </c>
      <c r="K70" s="415" t="e">
        <f>#REF!</f>
        <v>#REF!</v>
      </c>
      <c r="L70" s="415" t="e">
        <f>#REF!</f>
        <v>#REF!</v>
      </c>
      <c r="M70" s="415" t="e">
        <f>#REF!</f>
        <v>#REF!</v>
      </c>
      <c r="N70" s="415" t="e">
        <f>#REF!</f>
        <v>#REF!</v>
      </c>
    </row>
    <row r="71" spans="1:14" ht="13.8" thickBot="1" x14ac:dyDescent="0.3">
      <c r="A71" s="2"/>
      <c r="B71" s="198"/>
      <c r="C71" s="198"/>
      <c r="D71" s="199"/>
      <c r="E71" s="199"/>
      <c r="F71" s="2"/>
      <c r="G71" s="2"/>
      <c r="I71" s="393" t="s">
        <v>11</v>
      </c>
      <c r="J71" s="417" t="e">
        <f>#REF!</f>
        <v>#REF!</v>
      </c>
      <c r="K71" s="417" t="e">
        <f>#REF!</f>
        <v>#REF!</v>
      </c>
      <c r="L71" s="417" t="e">
        <f>#REF!</f>
        <v>#REF!</v>
      </c>
      <c r="M71" s="417" t="e">
        <f>#REF!</f>
        <v>#REF!</v>
      </c>
      <c r="N71" s="417" t="e">
        <f>#REF!</f>
        <v>#REF!</v>
      </c>
    </row>
    <row r="72" spans="1:14" ht="15.6" x14ac:dyDescent="0.3">
      <c r="A72" s="4" t="str">
        <f>ESRI_CY &amp; " POPULATION BY AGE"</f>
        <v>2016 POPULATION BY AGE</v>
      </c>
      <c r="B72" s="4"/>
      <c r="C72" s="4"/>
      <c r="D72" s="4"/>
      <c r="E72" s="4"/>
      <c r="F72" s="2"/>
      <c r="G72" s="2"/>
      <c r="I72" s="391" t="str">
        <f>"Source: " &amp; Source_HISTA &amp; ", " &amp; Source_Novogradac &amp; ", " &amp; Source_Date</f>
        <v>Source: Ribbon Demographics 2014, Novogradac &amp; Company LLP, August 2017</v>
      </c>
      <c r="J72" s="262"/>
      <c r="K72" s="262"/>
      <c r="L72" s="262"/>
      <c r="M72" s="262"/>
      <c r="N72" s="262"/>
    </row>
    <row r="73" spans="1:14" x14ac:dyDescent="0.25">
      <c r="A73" s="183" t="s">
        <v>52</v>
      </c>
      <c r="B73" s="225" t="e">
        <f>PMA_Name</f>
        <v>#REF!</v>
      </c>
      <c r="C73" s="226"/>
      <c r="D73" s="225" t="e">
        <f>SMA_Name</f>
        <v>#REF!</v>
      </c>
      <c r="E73" s="226"/>
      <c r="F73" s="22"/>
      <c r="G73" s="2"/>
      <c r="I73" s="254"/>
      <c r="J73" s="254"/>
      <c r="K73" s="254"/>
      <c r="L73" s="254"/>
      <c r="M73" s="254"/>
      <c r="N73" s="262"/>
    </row>
    <row r="74" spans="1:14" ht="15.6" x14ac:dyDescent="0.3">
      <c r="A74" s="37"/>
      <c r="B74" s="180" t="s">
        <v>44</v>
      </c>
      <c r="C74" s="180" t="s">
        <v>51</v>
      </c>
      <c r="D74" s="180" t="s">
        <v>44</v>
      </c>
      <c r="E74" s="180" t="s">
        <v>51</v>
      </c>
      <c r="F74" s="22"/>
      <c r="G74" s="2"/>
      <c r="I74" s="262"/>
      <c r="J74" s="262"/>
      <c r="K74" s="262"/>
      <c r="L74" s="262"/>
      <c r="M74" s="262"/>
      <c r="N74" s="262"/>
    </row>
    <row r="75" spans="1:14" ht="15.6" x14ac:dyDescent="0.3">
      <c r="A75" s="10" t="s">
        <v>0</v>
      </c>
      <c r="B75" s="34" t="e">
        <f>#REF!</f>
        <v>#REF!</v>
      </c>
      <c r="C75" s="138" t="e">
        <f t="shared" ref="C75:C92" si="17">B75/$B$93</f>
        <v>#REF!</v>
      </c>
      <c r="D75" s="34" t="e">
        <f>#REF!</f>
        <v>#REF!</v>
      </c>
      <c r="E75" s="138" t="e">
        <f>D75/$D$93</f>
        <v>#REF!</v>
      </c>
      <c r="F75" s="22"/>
      <c r="G75" s="2"/>
      <c r="I75" s="266" t="s">
        <v>213</v>
      </c>
      <c r="J75" s="266"/>
      <c r="K75" s="266"/>
      <c r="L75" s="266"/>
      <c r="M75" s="266"/>
      <c r="N75" s="266"/>
    </row>
    <row r="76" spans="1:14" ht="15.6" x14ac:dyDescent="0.3">
      <c r="A76" s="10" t="s">
        <v>1</v>
      </c>
      <c r="B76" s="34" t="e">
        <f>#REF!</f>
        <v>#REF!</v>
      </c>
      <c r="C76" s="138" t="e">
        <f t="shared" si="17"/>
        <v>#REF!</v>
      </c>
      <c r="D76" s="34" t="e">
        <f>#REF!</f>
        <v>#REF!</v>
      </c>
      <c r="E76" s="138" t="e">
        <f t="shared" ref="E76:E92" si="18">D76/$D$93</f>
        <v>#REF!</v>
      </c>
      <c r="F76" s="22"/>
      <c r="G76" s="2"/>
      <c r="I76" s="495" t="e">
        <f>PMA_Name &amp; " " &amp; ESRI_FY</f>
        <v>#REF!</v>
      </c>
      <c r="J76" s="495"/>
      <c r="K76" s="495"/>
      <c r="L76" s="495"/>
      <c r="M76" s="495"/>
      <c r="N76" s="495"/>
    </row>
    <row r="77" spans="1:14" x14ac:dyDescent="0.25">
      <c r="A77" s="10" t="s">
        <v>2</v>
      </c>
      <c r="B77" s="34" t="e">
        <f>#REF!</f>
        <v>#REF!</v>
      </c>
      <c r="C77" s="138" t="e">
        <f t="shared" si="17"/>
        <v>#REF!</v>
      </c>
      <c r="D77" s="34" t="e">
        <f>#REF!</f>
        <v>#REF!</v>
      </c>
      <c r="E77" s="138" t="e">
        <f t="shared" si="18"/>
        <v>#REF!</v>
      </c>
      <c r="F77" s="22"/>
      <c r="G77" s="2"/>
      <c r="I77" s="271" t="s">
        <v>50</v>
      </c>
      <c r="J77" s="271">
        <v>1</v>
      </c>
      <c r="K77" s="271">
        <v>2</v>
      </c>
      <c r="L77" s="271">
        <v>3</v>
      </c>
      <c r="M77" s="271">
        <v>4</v>
      </c>
      <c r="N77" s="271">
        <v>5</v>
      </c>
    </row>
    <row r="78" spans="1:14" x14ac:dyDescent="0.25">
      <c r="A78" s="10" t="s">
        <v>3</v>
      </c>
      <c r="B78" s="34" t="e">
        <f>#REF!</f>
        <v>#REF!</v>
      </c>
      <c r="C78" s="138" t="e">
        <f t="shared" si="17"/>
        <v>#REF!</v>
      </c>
      <c r="D78" s="34" t="e">
        <f>#REF!</f>
        <v>#REF!</v>
      </c>
      <c r="E78" s="138" t="e">
        <f t="shared" si="18"/>
        <v>#REF!</v>
      </c>
      <c r="F78" s="22"/>
      <c r="G78" s="2"/>
      <c r="I78" s="10" t="str">
        <f t="array" ref="I78:I89">Novo_Cohort_Ref</f>
        <v>$0-9,999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14" x14ac:dyDescent="0.25">
      <c r="A79" s="10" t="s">
        <v>4</v>
      </c>
      <c r="B79" s="34" t="e">
        <f>#REF!</f>
        <v>#REF!</v>
      </c>
      <c r="C79" s="138" t="e">
        <f t="shared" si="17"/>
        <v>#REF!</v>
      </c>
      <c r="D79" s="34" t="e">
        <f>#REF!</f>
        <v>#REF!</v>
      </c>
      <c r="E79" s="138" t="e">
        <f t="shared" si="18"/>
        <v>#REF!</v>
      </c>
      <c r="F79" s="22"/>
      <c r="G79" s="2"/>
      <c r="I79" s="10" t="str">
        <v>$10,000-19,999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14" x14ac:dyDescent="0.25">
      <c r="A80" s="10" t="s">
        <v>5</v>
      </c>
      <c r="B80" s="34" t="e">
        <f>#REF!</f>
        <v>#REF!</v>
      </c>
      <c r="C80" s="138" t="e">
        <f t="shared" si="17"/>
        <v>#REF!</v>
      </c>
      <c r="D80" s="34" t="e">
        <f>#REF!</f>
        <v>#REF!</v>
      </c>
      <c r="E80" s="138" t="e">
        <f t="shared" si="18"/>
        <v>#REF!</v>
      </c>
      <c r="F80" s="22"/>
      <c r="G80" s="2"/>
      <c r="I80" s="10" t="str">
        <v>$20,000-29,999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</row>
    <row r="81" spans="1:21" s="18" customFormat="1" x14ac:dyDescent="0.25">
      <c r="A81" s="10" t="s">
        <v>6</v>
      </c>
      <c r="B81" s="34" t="e">
        <f>#REF!</f>
        <v>#REF!</v>
      </c>
      <c r="C81" s="138" t="e">
        <f t="shared" si="17"/>
        <v>#REF!</v>
      </c>
      <c r="D81" s="34" t="e">
        <f>#REF!</f>
        <v>#REF!</v>
      </c>
      <c r="E81" s="138" t="e">
        <f t="shared" si="18"/>
        <v>#REF!</v>
      </c>
      <c r="F81" s="22"/>
      <c r="G81" s="2"/>
      <c r="H81" s="12"/>
      <c r="I81" s="10" t="str">
        <v>$30,000-39,999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7</v>
      </c>
      <c r="B82" s="34" t="e">
        <f>#REF!</f>
        <v>#REF!</v>
      </c>
      <c r="C82" s="138" t="e">
        <f t="shared" si="17"/>
        <v>#REF!</v>
      </c>
      <c r="D82" s="34" t="e">
        <f>#REF!</f>
        <v>#REF!</v>
      </c>
      <c r="E82" s="138" t="e">
        <f t="shared" si="18"/>
        <v>#REF!</v>
      </c>
      <c r="F82" s="22"/>
      <c r="G82" s="2"/>
      <c r="H82" s="12"/>
      <c r="I82" s="10" t="str">
        <v>$40,000-49,999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8</v>
      </c>
      <c r="B83" s="34" t="e">
        <f>#REF!</f>
        <v>#REF!</v>
      </c>
      <c r="C83" s="138" t="e">
        <f t="shared" si="17"/>
        <v>#REF!</v>
      </c>
      <c r="D83" s="34" t="e">
        <f>#REF!</f>
        <v>#REF!</v>
      </c>
      <c r="E83" s="138" t="e">
        <f t="shared" si="18"/>
        <v>#REF!</v>
      </c>
      <c r="F83" s="22"/>
      <c r="G83" s="2"/>
      <c r="H83" s="12"/>
      <c r="I83" s="10" t="str">
        <v>$50,000-59,999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12"/>
      <c r="P83" s="12"/>
      <c r="Q83" s="12"/>
      <c r="R83" s="12"/>
      <c r="S83" s="12"/>
      <c r="T83" s="12"/>
      <c r="U83" s="12"/>
    </row>
    <row r="84" spans="1:21" s="18" customFormat="1" x14ac:dyDescent="0.25">
      <c r="A84" s="10" t="s">
        <v>9</v>
      </c>
      <c r="B84" s="34" t="e">
        <f>#REF!</f>
        <v>#REF!</v>
      </c>
      <c r="C84" s="138" t="e">
        <f t="shared" si="17"/>
        <v>#REF!</v>
      </c>
      <c r="D84" s="34" t="e">
        <f>#REF!</f>
        <v>#REF!</v>
      </c>
      <c r="E84" s="138" t="e">
        <f t="shared" si="18"/>
        <v>#REF!</v>
      </c>
      <c r="F84" s="22"/>
      <c r="G84" s="2"/>
      <c r="H84" s="12"/>
      <c r="I84" s="10" t="str">
        <v>$60,000-74,999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P84" s="12"/>
      <c r="Q84" s="12"/>
      <c r="R84" s="12"/>
      <c r="S84" s="12"/>
    </row>
    <row r="85" spans="1:21" s="18" customFormat="1" x14ac:dyDescent="0.25">
      <c r="A85" s="10" t="s">
        <v>10</v>
      </c>
      <c r="B85" s="34" t="e">
        <f>#REF!</f>
        <v>#REF!</v>
      </c>
      <c r="C85" s="138" t="e">
        <f t="shared" si="17"/>
        <v>#REF!</v>
      </c>
      <c r="D85" s="34" t="e">
        <f>#REF!</f>
        <v>#REF!</v>
      </c>
      <c r="E85" s="138" t="e">
        <f t="shared" si="18"/>
        <v>#REF!</v>
      </c>
      <c r="F85" s="22"/>
      <c r="G85" s="2"/>
      <c r="H85" s="12"/>
      <c r="I85" s="10" t="str">
        <v>$75,000-99,999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P85" s="12"/>
      <c r="Q85" s="12"/>
      <c r="R85" s="12"/>
      <c r="S85" s="12"/>
    </row>
    <row r="86" spans="1:21" s="18" customFormat="1" x14ac:dyDescent="0.25">
      <c r="A86" s="10" t="s">
        <v>24</v>
      </c>
      <c r="B86" s="34" t="e">
        <f>#REF!</f>
        <v>#REF!</v>
      </c>
      <c r="C86" s="138" t="e">
        <f t="shared" si="17"/>
        <v>#REF!</v>
      </c>
      <c r="D86" s="34" t="e">
        <f>#REF!</f>
        <v>#REF!</v>
      </c>
      <c r="E86" s="138" t="e">
        <f t="shared" si="18"/>
        <v>#REF!</v>
      </c>
      <c r="F86" s="22"/>
      <c r="G86" s="2"/>
      <c r="H86" s="12"/>
      <c r="I86" s="10" t="str">
        <v>$100,000-124,999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  <c r="P86" s="12"/>
      <c r="Q86" s="12"/>
      <c r="R86" s="12"/>
      <c r="S86" s="12"/>
    </row>
    <row r="87" spans="1:21" s="18" customFormat="1" x14ac:dyDescent="0.25">
      <c r="A87" s="10" t="s">
        <v>25</v>
      </c>
      <c r="B87" s="34" t="e">
        <f>#REF!</f>
        <v>#REF!</v>
      </c>
      <c r="C87" s="138" t="e">
        <f t="shared" si="17"/>
        <v>#REF!</v>
      </c>
      <c r="D87" s="34" t="e">
        <f>#REF!</f>
        <v>#REF!</v>
      </c>
      <c r="E87" s="138" t="e">
        <f t="shared" si="18"/>
        <v>#REF!</v>
      </c>
      <c r="F87" s="22"/>
      <c r="G87" s="2"/>
      <c r="H87" s="12"/>
      <c r="I87" s="10" t="str">
        <v>$125,000-149,999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26</v>
      </c>
      <c r="B88" s="34" t="e">
        <f>#REF!</f>
        <v>#REF!</v>
      </c>
      <c r="C88" s="138" t="e">
        <f t="shared" si="17"/>
        <v>#REF!</v>
      </c>
      <c r="D88" s="34" t="e">
        <f>#REF!</f>
        <v>#REF!</v>
      </c>
      <c r="E88" s="138" t="e">
        <f t="shared" si="18"/>
        <v>#REF!</v>
      </c>
      <c r="F88" s="22"/>
      <c r="G88" s="2"/>
      <c r="I88" s="10" t="str">
        <v>$150,000-199,999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s="18" customFormat="1" x14ac:dyDescent="0.25">
      <c r="A89" s="10" t="s">
        <v>27</v>
      </c>
      <c r="B89" s="34" t="e">
        <f>#REF!</f>
        <v>#REF!</v>
      </c>
      <c r="C89" s="138" t="e">
        <f t="shared" si="17"/>
        <v>#REF!</v>
      </c>
      <c r="D89" s="34" t="e">
        <f>#REF!</f>
        <v>#REF!</v>
      </c>
      <c r="E89" s="138" t="e">
        <f t="shared" si="18"/>
        <v>#REF!</v>
      </c>
      <c r="F89" s="22"/>
      <c r="G89" s="2"/>
      <c r="I89" s="10" t="str">
        <v>$200,000+</v>
      </c>
      <c r="J89" s="415" t="e">
        <f>#REF!</f>
        <v>#REF!</v>
      </c>
      <c r="K89" s="415" t="e">
        <f>#REF!</f>
        <v>#REF!</v>
      </c>
      <c r="L89" s="415" t="e">
        <f>#REF!</f>
        <v>#REF!</v>
      </c>
      <c r="M89" s="415" t="e">
        <f>#REF!</f>
        <v>#REF!</v>
      </c>
      <c r="N89" s="415" t="e">
        <f>#REF!</f>
        <v>#REF!</v>
      </c>
    </row>
    <row r="90" spans="1:21" ht="13.8" thickBot="1" x14ac:dyDescent="0.3">
      <c r="A90" s="10" t="s">
        <v>28</v>
      </c>
      <c r="B90" s="34" t="e">
        <f>#REF!</f>
        <v>#REF!</v>
      </c>
      <c r="C90" s="138" t="e">
        <f t="shared" si="17"/>
        <v>#REF!</v>
      </c>
      <c r="D90" s="34" t="e">
        <f>#REF!</f>
        <v>#REF!</v>
      </c>
      <c r="E90" s="138" t="e">
        <f t="shared" si="18"/>
        <v>#REF!</v>
      </c>
      <c r="F90" s="22"/>
      <c r="G90" s="2"/>
      <c r="H90" s="18"/>
      <c r="I90" s="393" t="s">
        <v>11</v>
      </c>
      <c r="J90" s="417" t="e">
        <f>#REF!</f>
        <v>#REF!</v>
      </c>
      <c r="K90" s="417" t="e">
        <f>#REF!</f>
        <v>#REF!</v>
      </c>
      <c r="L90" s="417" t="e">
        <f>#REF!</f>
        <v>#REF!</v>
      </c>
      <c r="M90" s="417" t="e">
        <f>#REF!</f>
        <v>#REF!</v>
      </c>
      <c r="N90" s="417" t="e">
        <f>#REF!</f>
        <v>#REF!</v>
      </c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29</v>
      </c>
      <c r="B91" s="34" t="e">
        <f>#REF!</f>
        <v>#REF!</v>
      </c>
      <c r="C91" s="138" t="e">
        <f t="shared" si="17"/>
        <v>#REF!</v>
      </c>
      <c r="D91" s="34" t="e">
        <f>#REF!</f>
        <v>#REF!</v>
      </c>
      <c r="E91" s="138" t="e">
        <f t="shared" si="18"/>
        <v>#REF!</v>
      </c>
      <c r="F91" s="22"/>
      <c r="G91" s="2"/>
      <c r="H91" s="18"/>
      <c r="I91" s="391" t="str">
        <f>"Source: " &amp; Source_HISTA &amp; ", " &amp; Source_Novogradac &amp; ", " &amp; Source_Date</f>
        <v>Source: Ribbon Demographics 2014, Novogradac &amp; Company LLP, August 2017</v>
      </c>
      <c r="J91" s="262"/>
      <c r="K91" s="262"/>
      <c r="L91" s="262"/>
      <c r="M91" s="262"/>
      <c r="N91" s="262"/>
      <c r="O91" s="18"/>
      <c r="P91" s="18"/>
      <c r="Q91" s="18"/>
      <c r="R91" s="18"/>
      <c r="S91" s="18"/>
      <c r="T91" s="18"/>
      <c r="U91" s="18"/>
    </row>
    <row r="92" spans="1:21" x14ac:dyDescent="0.25">
      <c r="A92" s="10" t="s">
        <v>14</v>
      </c>
      <c r="B92" s="34" t="e">
        <f>#REF!</f>
        <v>#REF!</v>
      </c>
      <c r="C92" s="138" t="e">
        <f t="shared" si="17"/>
        <v>#REF!</v>
      </c>
      <c r="D92" s="34" t="e">
        <f>#REF!</f>
        <v>#REF!</v>
      </c>
      <c r="E92" s="138" t="e">
        <f t="shared" si="18"/>
        <v>#REF!</v>
      </c>
      <c r="F92" s="2"/>
      <c r="G92" s="22"/>
      <c r="H92" s="18"/>
      <c r="I92" s="29"/>
      <c r="J92" s="13"/>
      <c r="K92" s="196"/>
      <c r="L92" s="13"/>
      <c r="M92" s="18"/>
      <c r="N92" s="18"/>
      <c r="O92" s="18"/>
      <c r="P92" s="18"/>
      <c r="Q92" s="18"/>
      <c r="R92" s="18"/>
      <c r="S92" s="18"/>
    </row>
    <row r="93" spans="1:21" ht="13.8" thickBot="1" x14ac:dyDescent="0.3">
      <c r="A93" s="8" t="s">
        <v>11</v>
      </c>
      <c r="B93" s="32" t="e">
        <f>SUM(B75:B92)</f>
        <v>#REF!</v>
      </c>
      <c r="C93" s="139" t="e">
        <f>SUM(C75:C92)</f>
        <v>#REF!</v>
      </c>
      <c r="D93" s="32" t="e">
        <f>SUM(D75:D92)</f>
        <v>#REF!</v>
      </c>
      <c r="E93" s="139" t="e">
        <f>SUM(E75:E92)</f>
        <v>#REF!</v>
      </c>
      <c r="F93" s="2"/>
      <c r="G93" s="22"/>
      <c r="H93" s="18"/>
      <c r="I93" s="29"/>
      <c r="J93" s="13"/>
      <c r="K93" s="196"/>
      <c r="L93" s="200"/>
      <c r="M93" s="18"/>
      <c r="N93" s="18"/>
      <c r="P93" s="18"/>
      <c r="Q93" s="18"/>
      <c r="R93" s="18"/>
      <c r="S93" s="18"/>
    </row>
    <row r="94" spans="1:21" ht="13.8" thickTop="1" x14ac:dyDescent="0.25">
      <c r="A94" s="211" t="str">
        <f>"Source: " &amp; Source_ESRI &amp; ", " &amp; Source_Novogradac &amp; ", " &amp; Source_Date</f>
        <v>Source: Esri Demographics 2016, Novogradac &amp; Company LLP, August 2017</v>
      </c>
      <c r="B94" s="187"/>
      <c r="C94" s="187"/>
      <c r="D94" s="187"/>
      <c r="E94" s="187"/>
      <c r="F94" s="2"/>
      <c r="G94" s="22"/>
      <c r="H94" s="18"/>
      <c r="I94" s="284"/>
      <c r="J94" s="270"/>
      <c r="K94" s="269"/>
      <c r="L94" s="270"/>
      <c r="M94" s="269"/>
      <c r="N94" s="255"/>
      <c r="O94" s="255"/>
      <c r="P94" s="18"/>
      <c r="Q94" s="18"/>
      <c r="R94" s="18"/>
      <c r="S94" s="18"/>
    </row>
    <row r="95" spans="1:21" ht="15.6" x14ac:dyDescent="0.3">
      <c r="A95" s="199"/>
      <c r="B95" s="199"/>
      <c r="C95" s="199"/>
      <c r="D95" s="199"/>
      <c r="E95" s="199"/>
      <c r="F95" s="2"/>
      <c r="G95" s="22"/>
      <c r="H95" s="2"/>
      <c r="I95" s="266" t="s">
        <v>366</v>
      </c>
      <c r="J95" s="266"/>
      <c r="K95" s="266"/>
      <c r="L95" s="266"/>
      <c r="M95" s="266"/>
      <c r="N95" s="288"/>
      <c r="O95" s="28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72" t="e">
        <f>PMA_Name</f>
        <v>#REF!</v>
      </c>
      <c r="J96" s="272"/>
      <c r="K96" s="272"/>
      <c r="L96" s="272"/>
      <c r="M96" s="272"/>
      <c r="N96" s="272"/>
      <c r="O96" s="272"/>
    </row>
    <row r="97" spans="1:15" x14ac:dyDescent="0.25">
      <c r="A97" s="1" t="s">
        <v>140</v>
      </c>
      <c r="B97" s="2"/>
      <c r="C97" s="2"/>
      <c r="D97" s="2"/>
      <c r="E97" s="2"/>
      <c r="F97" s="2"/>
      <c r="G97" s="22"/>
      <c r="H97" s="2"/>
      <c r="I97" s="300" t="s">
        <v>50</v>
      </c>
      <c r="J97" s="272">
        <f>ESRI_CY</f>
        <v>2016</v>
      </c>
      <c r="K97" s="272"/>
      <c r="L97" s="271">
        <f>ESRI_FY</f>
        <v>2021</v>
      </c>
      <c r="M97" s="271"/>
      <c r="N97" s="272" t="str">
        <f>"Annual Change " &amp; ESRI_CY &amp; " to " &amp; ESRI_FY</f>
        <v>Annual Change 2016 to 2021</v>
      </c>
      <c r="O97" s="301"/>
    </row>
    <row r="98" spans="1:15" ht="15.6" x14ac:dyDescent="0.3">
      <c r="A98" s="4" t="s">
        <v>37</v>
      </c>
      <c r="B98" s="4"/>
      <c r="C98" s="4"/>
      <c r="D98" s="4"/>
      <c r="E98" s="4"/>
      <c r="F98" s="4"/>
      <c r="G98" s="4"/>
      <c r="H98" s="2"/>
      <c r="I98" s="264"/>
      <c r="J98" s="263" t="s">
        <v>44</v>
      </c>
      <c r="K98" s="263" t="s">
        <v>51</v>
      </c>
      <c r="L98" s="263" t="s">
        <v>44</v>
      </c>
      <c r="M98" s="263" t="s">
        <v>51</v>
      </c>
      <c r="N98" s="274" t="s">
        <v>42</v>
      </c>
      <c r="O98" s="263" t="s">
        <v>51</v>
      </c>
    </row>
    <row r="99" spans="1:15" x14ac:dyDescent="0.25">
      <c r="A99" s="182" t="s">
        <v>38</v>
      </c>
      <c r="B99" s="230" t="e">
        <f>PMA_Name</f>
        <v>#REF!</v>
      </c>
      <c r="C99" s="231"/>
      <c r="D99" s="230" t="e">
        <f>SMA_Name</f>
        <v>#REF!</v>
      </c>
      <c r="E99" s="231"/>
      <c r="F99" s="225" t="e">
        <f>USA_Name</f>
        <v>#REF!</v>
      </c>
      <c r="G99" s="226"/>
      <c r="H99" s="2"/>
      <c r="I99" s="261" t="str">
        <f t="array" ref="I99:I110">Novo_Cohort_Ref</f>
        <v>$0-9,999</v>
      </c>
      <c r="J99" s="260" t="e">
        <f>#REF!</f>
        <v>#REF!</v>
      </c>
      <c r="K99" s="138" t="e">
        <f>J99/J$82</f>
        <v>#REF!</v>
      </c>
      <c r="L99" s="260" t="e">
        <f>#REF!</f>
        <v>#REF!</v>
      </c>
      <c r="M99" s="138" t="e">
        <f>L99/L$82</f>
        <v>#REF!</v>
      </c>
      <c r="N99" s="259" t="e">
        <f t="shared" ref="N99:N110" si="19">(L99-J99)/5</f>
        <v>#REF!</v>
      </c>
      <c r="O99" s="273" t="e">
        <f>(L99-J99)/J99/5</f>
        <v>#REF!</v>
      </c>
    </row>
    <row r="100" spans="1:15" ht="15.6" x14ac:dyDescent="0.3">
      <c r="A100" s="37"/>
      <c r="B100" s="180" t="s">
        <v>44</v>
      </c>
      <c r="C100" s="180" t="s">
        <v>43</v>
      </c>
      <c r="D100" s="180" t="s">
        <v>42</v>
      </c>
      <c r="E100" s="180" t="s">
        <v>43</v>
      </c>
      <c r="F100" s="180" t="s">
        <v>44</v>
      </c>
      <c r="G100" s="180" t="s">
        <v>43</v>
      </c>
      <c r="H100" s="2"/>
      <c r="I100" s="261" t="str">
        <v>$10,000-19,999</v>
      </c>
      <c r="J100" s="260" t="e">
        <f>#REF!</f>
        <v>#REF!</v>
      </c>
      <c r="K100" s="138" t="e">
        <f t="shared" ref="K100:K110" si="20">J100/J$82</f>
        <v>#REF!</v>
      </c>
      <c r="L100" s="260" t="e">
        <f>#REF!</f>
        <v>#REF!</v>
      </c>
      <c r="M100" s="138" t="e">
        <f t="shared" ref="M100:M110" si="21">L100/L$82</f>
        <v>#REF!</v>
      </c>
      <c r="N100" s="259" t="e">
        <f t="shared" si="19"/>
        <v>#REF!</v>
      </c>
      <c r="O100" s="273" t="e">
        <f t="shared" ref="O100:O110" si="22">(L100-J100)/J100/5</f>
        <v>#REF!</v>
      </c>
    </row>
    <row r="101" spans="1:15" x14ac:dyDescent="0.25">
      <c r="A101" s="10">
        <v>1990</v>
      </c>
      <c r="B101" s="13" t="e">
        <f>#REF!</f>
        <v>#REF!</v>
      </c>
      <c r="C101" s="138" t="s">
        <v>45</v>
      </c>
      <c r="D101" s="13" t="e">
        <f>#REF!</f>
        <v>#REF!</v>
      </c>
      <c r="E101" s="138" t="s">
        <v>45</v>
      </c>
      <c r="F101" s="13" t="e">
        <f>#REF!</f>
        <v>#REF!</v>
      </c>
      <c r="G101" s="138" t="s">
        <v>45</v>
      </c>
      <c r="H101" s="2"/>
      <c r="I101" s="261" t="str">
        <v>$20,000-29,999</v>
      </c>
      <c r="J101" s="260" t="e">
        <f>#REF!</f>
        <v>#REF!</v>
      </c>
      <c r="K101" s="138" t="e">
        <f t="shared" si="20"/>
        <v>#REF!</v>
      </c>
      <c r="L101" s="260" t="e">
        <f>#REF!</f>
        <v>#REF!</v>
      </c>
      <c r="M101" s="138" t="e">
        <f t="shared" si="21"/>
        <v>#REF!</v>
      </c>
      <c r="N101" s="259" t="e">
        <f t="shared" si="19"/>
        <v>#REF!</v>
      </c>
      <c r="O101" s="273" t="e">
        <f t="shared" si="22"/>
        <v>#REF!</v>
      </c>
    </row>
    <row r="102" spans="1:15" x14ac:dyDescent="0.25">
      <c r="A102" s="185">
        <f>ESRI_BY</f>
        <v>2000</v>
      </c>
      <c r="B102" s="13" t="e">
        <f>#REF!</f>
        <v>#REF!</v>
      </c>
      <c r="C102" s="138" t="e">
        <f>(B102-B101)/$B$101/10</f>
        <v>#REF!</v>
      </c>
      <c r="D102" s="13" t="e">
        <f>#REF!</f>
        <v>#REF!</v>
      </c>
      <c r="E102" s="138" t="e">
        <f>(D102-D101)/D101/10</f>
        <v>#REF!</v>
      </c>
      <c r="F102" s="14" t="e">
        <f>#REF!</f>
        <v>#REF!</v>
      </c>
      <c r="G102" s="138" t="e">
        <f>(F102-F101)/F101/10</f>
        <v>#REF!</v>
      </c>
      <c r="H102" s="2"/>
      <c r="I102" s="261" t="str">
        <v>$30,000-39,999</v>
      </c>
      <c r="J102" s="260" t="e">
        <f>#REF!</f>
        <v>#REF!</v>
      </c>
      <c r="K102" s="138" t="e">
        <f t="shared" si="20"/>
        <v>#REF!</v>
      </c>
      <c r="L102" s="260" t="e">
        <f>#REF!</f>
        <v>#REF!</v>
      </c>
      <c r="M102" s="138" t="e">
        <f t="shared" si="21"/>
        <v>#REF!</v>
      </c>
      <c r="N102" s="259" t="e">
        <f t="shared" si="19"/>
        <v>#REF!</v>
      </c>
      <c r="O102" s="273" t="e">
        <f t="shared" si="22"/>
        <v>#REF!</v>
      </c>
    </row>
    <row r="103" spans="1:15" x14ac:dyDescent="0.25">
      <c r="A103" s="185">
        <f>ESRI_CY</f>
        <v>2016</v>
      </c>
      <c r="B103" s="13" t="e">
        <f>#REF!</f>
        <v>#REF!</v>
      </c>
      <c r="C103" s="138" t="e">
        <f>(B103-B102)/$B$102/$B$1</f>
        <v>#REF!</v>
      </c>
      <c r="D103" s="13" t="e">
        <f>#REF!</f>
        <v>#REF!</v>
      </c>
      <c r="E103" s="138" t="e">
        <f>(D103-D102)/D102/$B$1</f>
        <v>#REF!</v>
      </c>
      <c r="F103" s="13" t="e">
        <f>#REF!</f>
        <v>#REF!</v>
      </c>
      <c r="G103" s="138" t="e">
        <f>(F103-F102)/F102/$B$1</f>
        <v>#REF!</v>
      </c>
      <c r="H103" s="2"/>
      <c r="I103" s="261" t="str">
        <v>$40,000-49,999</v>
      </c>
      <c r="J103" s="260" t="e">
        <f>#REF!</f>
        <v>#REF!</v>
      </c>
      <c r="K103" s="138" t="e">
        <f t="shared" si="20"/>
        <v>#REF!</v>
      </c>
      <c r="L103" s="260" t="e">
        <f>#REF!</f>
        <v>#REF!</v>
      </c>
      <c r="M103" s="138" t="e">
        <f t="shared" si="21"/>
        <v>#REF!</v>
      </c>
      <c r="N103" s="259" t="e">
        <f t="shared" si="19"/>
        <v>#REF!</v>
      </c>
      <c r="O103" s="273" t="e">
        <f t="shared" si="22"/>
        <v>#REF!</v>
      </c>
    </row>
    <row r="104" spans="1:15" ht="13.8" thickBot="1" x14ac:dyDescent="0.3">
      <c r="A104" s="186">
        <f>ESRI_FY</f>
        <v>2021</v>
      </c>
      <c r="B104" s="13" t="e">
        <f>#REF!</f>
        <v>#REF!</v>
      </c>
      <c r="C104" s="144" t="e">
        <f>+(B104-B103)/$B$103/5</f>
        <v>#REF!</v>
      </c>
      <c r="D104" s="16" t="e">
        <f>#REF!</f>
        <v>#REF!</v>
      </c>
      <c r="E104" s="144" t="e">
        <f>+(D104-D103)/D103/5</f>
        <v>#REF!</v>
      </c>
      <c r="F104" s="17" t="e">
        <f>#REF!</f>
        <v>#REF!</v>
      </c>
      <c r="G104" s="144" t="e">
        <f>+(F104-F103)/F103/5</f>
        <v>#REF!</v>
      </c>
      <c r="H104" s="2"/>
      <c r="I104" s="261" t="str">
        <v>$50,000-59,999</v>
      </c>
      <c r="J104" s="260" t="e">
        <f>#REF!</f>
        <v>#REF!</v>
      </c>
      <c r="K104" s="138" t="e">
        <f t="shared" si="20"/>
        <v>#REF!</v>
      </c>
      <c r="L104" s="260" t="e">
        <f>#REF!</f>
        <v>#REF!</v>
      </c>
      <c r="M104" s="138" t="e">
        <f t="shared" si="21"/>
        <v>#REF!</v>
      </c>
      <c r="N104" s="259" t="e">
        <f t="shared" si="19"/>
        <v>#REF!</v>
      </c>
      <c r="O104" s="273" t="e">
        <f t="shared" si="22"/>
        <v>#REF!</v>
      </c>
    </row>
    <row r="105" spans="1:15" ht="13.8" thickTop="1" x14ac:dyDescent="0.25">
      <c r="A105" s="211" t="str">
        <f>"Source: " &amp; Source_ESRI &amp; ", " &amp; Source_Novogradac &amp; ", " &amp; Source_Date</f>
        <v>Source: Esri Demographics 2016, Novogradac &amp; Company LLP, August 2017</v>
      </c>
      <c r="B105" s="187"/>
      <c r="C105" s="187"/>
      <c r="D105" s="187"/>
      <c r="E105" s="187"/>
      <c r="F105" s="187"/>
      <c r="G105" s="187"/>
      <c r="H105" s="2"/>
      <c r="I105" s="261" t="str">
        <v>$60,000-74,999</v>
      </c>
      <c r="J105" s="260" t="e">
        <f>#REF!</f>
        <v>#REF!</v>
      </c>
      <c r="K105" s="138" t="e">
        <f t="shared" si="20"/>
        <v>#REF!</v>
      </c>
      <c r="L105" s="260" t="e">
        <f>#REF!</f>
        <v>#REF!</v>
      </c>
      <c r="M105" s="138" t="e">
        <f t="shared" si="21"/>
        <v>#REF!</v>
      </c>
      <c r="N105" s="259" t="e">
        <f t="shared" si="19"/>
        <v>#REF!</v>
      </c>
      <c r="O105" s="273" t="e">
        <f t="shared" si="22"/>
        <v>#REF!</v>
      </c>
    </row>
    <row r="106" spans="1:15" x14ac:dyDescent="0.25">
      <c r="A106" s="195"/>
      <c r="B106" s="195"/>
      <c r="C106" s="195"/>
      <c r="D106" s="195"/>
      <c r="E106" s="195"/>
      <c r="F106" s="195"/>
      <c r="G106" s="195"/>
      <c r="H106" s="2"/>
      <c r="I106" s="261" t="str">
        <v>$75,000-99,999</v>
      </c>
      <c r="J106" s="260" t="e">
        <f>#REF!</f>
        <v>#REF!</v>
      </c>
      <c r="K106" s="138" t="e">
        <f t="shared" si="20"/>
        <v>#REF!</v>
      </c>
      <c r="L106" s="260" t="e">
        <f>#REF!</f>
        <v>#REF!</v>
      </c>
      <c r="M106" s="138" t="e">
        <f t="shared" si="21"/>
        <v>#REF!</v>
      </c>
      <c r="N106" s="259" t="e">
        <f t="shared" si="19"/>
        <v>#REF!</v>
      </c>
      <c r="O106" s="273" t="e">
        <f t="shared" si="22"/>
        <v>#REF!</v>
      </c>
    </row>
    <row r="107" spans="1:15" x14ac:dyDescent="0.25">
      <c r="A107" s="1"/>
      <c r="B107" s="2"/>
      <c r="C107" s="2"/>
      <c r="D107" s="2"/>
      <c r="E107" s="2"/>
      <c r="F107" s="2"/>
      <c r="G107" s="2"/>
      <c r="H107" s="2"/>
      <c r="I107" s="261" t="str">
        <v>$100,000-124,999</v>
      </c>
      <c r="J107" s="260" t="e">
        <f>#REF!</f>
        <v>#REF!</v>
      </c>
      <c r="K107" s="138" t="e">
        <f t="shared" si="20"/>
        <v>#REF!</v>
      </c>
      <c r="L107" s="260" t="e">
        <f>#REF!</f>
        <v>#REF!</v>
      </c>
      <c r="M107" s="138" t="e">
        <f t="shared" si="21"/>
        <v>#REF!</v>
      </c>
      <c r="N107" s="259" t="e">
        <f t="shared" si="19"/>
        <v>#REF!</v>
      </c>
      <c r="O107" s="273" t="e">
        <f t="shared" si="22"/>
        <v>#REF!</v>
      </c>
    </row>
    <row r="108" spans="1:15" ht="15.6" x14ac:dyDescent="0.3">
      <c r="A108" s="4" t="s">
        <v>46</v>
      </c>
      <c r="B108" s="4"/>
      <c r="C108" s="4"/>
      <c r="D108" s="4"/>
      <c r="E108" s="4"/>
      <c r="F108" s="4"/>
      <c r="G108" s="4"/>
      <c r="H108" s="2"/>
      <c r="I108" s="261" t="str">
        <v>$125,000-149,999</v>
      </c>
      <c r="J108" s="260" t="e">
        <f>#REF!</f>
        <v>#REF!</v>
      </c>
      <c r="K108" s="138" t="e">
        <f t="shared" si="20"/>
        <v>#REF!</v>
      </c>
      <c r="L108" s="260" t="e">
        <f>#REF!</f>
        <v>#REF!</v>
      </c>
      <c r="M108" s="138" t="e">
        <f t="shared" si="21"/>
        <v>#REF!</v>
      </c>
      <c r="N108" s="259" t="e">
        <f t="shared" si="19"/>
        <v>#REF!</v>
      </c>
      <c r="O108" s="273" t="e">
        <f t="shared" si="22"/>
        <v>#REF!</v>
      </c>
    </row>
    <row r="109" spans="1:15" x14ac:dyDescent="0.25">
      <c r="A109" s="183" t="s">
        <v>38</v>
      </c>
      <c r="B109" s="230" t="e">
        <f>PMA_Name</f>
        <v>#REF!</v>
      </c>
      <c r="C109" s="231"/>
      <c r="D109" s="230" t="e">
        <f>SMA_Name</f>
        <v>#REF!</v>
      </c>
      <c r="E109" s="231"/>
      <c r="F109" s="225" t="e">
        <f>USA_Name</f>
        <v>#REF!</v>
      </c>
      <c r="G109" s="226"/>
      <c r="H109" s="2"/>
      <c r="I109" s="261" t="str">
        <v>$150,000-199,999</v>
      </c>
      <c r="J109" s="260" t="e">
        <f>#REF!</f>
        <v>#REF!</v>
      </c>
      <c r="K109" s="138" t="e">
        <f t="shared" si="20"/>
        <v>#REF!</v>
      </c>
      <c r="L109" s="260" t="e">
        <f>#REF!</f>
        <v>#REF!</v>
      </c>
      <c r="M109" s="138" t="e">
        <f t="shared" si="21"/>
        <v>#REF!</v>
      </c>
      <c r="N109" s="259" t="e">
        <f t="shared" si="19"/>
        <v>#REF!</v>
      </c>
      <c r="O109" s="273" t="e">
        <f t="shared" si="22"/>
        <v>#REF!</v>
      </c>
    </row>
    <row r="110" spans="1:15" ht="15.6" x14ac:dyDescent="0.3">
      <c r="A110" s="37"/>
      <c r="B110" s="180" t="s">
        <v>44</v>
      </c>
      <c r="C110" s="180" t="s">
        <v>43</v>
      </c>
      <c r="D110" s="180" t="s">
        <v>42</v>
      </c>
      <c r="E110" s="180" t="s">
        <v>43</v>
      </c>
      <c r="F110" s="180" t="s">
        <v>44</v>
      </c>
      <c r="G110" s="180" t="s">
        <v>43</v>
      </c>
      <c r="H110" s="2"/>
      <c r="I110" s="261" t="str">
        <v>$200,000+</v>
      </c>
      <c r="J110" s="260" t="e">
        <f>#REF!</f>
        <v>#REF!</v>
      </c>
      <c r="K110" s="138" t="e">
        <f t="shared" si="20"/>
        <v>#REF!</v>
      </c>
      <c r="L110" s="260" t="e">
        <f>#REF!</f>
        <v>#REF!</v>
      </c>
      <c r="M110" s="138" t="e">
        <f t="shared" si="21"/>
        <v>#REF!</v>
      </c>
      <c r="N110" s="259" t="e">
        <f t="shared" si="19"/>
        <v>#REF!</v>
      </c>
      <c r="O110" s="273" t="e">
        <f t="shared" si="22"/>
        <v>#REF!</v>
      </c>
    </row>
    <row r="111" spans="1:15" ht="13.8" thickBot="1" x14ac:dyDescent="0.3">
      <c r="A111" s="10">
        <v>1990</v>
      </c>
      <c r="B111" s="13" t="e">
        <f>#REF!</f>
        <v>#REF!</v>
      </c>
      <c r="C111" s="207" t="s">
        <v>45</v>
      </c>
      <c r="D111" s="13" t="e">
        <f>#REF!</f>
        <v>#REF!</v>
      </c>
      <c r="E111" s="207" t="s">
        <v>45</v>
      </c>
      <c r="F111" s="14" t="e">
        <f>#REF!</f>
        <v>#REF!</v>
      </c>
      <c r="G111" s="207" t="s">
        <v>45</v>
      </c>
      <c r="H111" s="2"/>
      <c r="I111" s="258" t="s">
        <v>11</v>
      </c>
      <c r="J111" s="257" t="e">
        <f>SUM(J99:J110)</f>
        <v>#REF!</v>
      </c>
      <c r="K111" s="139" t="e">
        <f>SUM(K99:K110)</f>
        <v>#REF!</v>
      </c>
      <c r="L111" s="257" t="e">
        <f>SUM(L99:L110)</f>
        <v>#REF!</v>
      </c>
      <c r="M111" s="139" t="e">
        <f>SUM(M99:M110)</f>
        <v>#REF!</v>
      </c>
      <c r="N111" s="256"/>
      <c r="O111" s="268"/>
    </row>
    <row r="112" spans="1:15" ht="13.8" thickTop="1" x14ac:dyDescent="0.25">
      <c r="A112" s="185">
        <f>ESRI_BY</f>
        <v>2000</v>
      </c>
      <c r="B112" s="13" t="e">
        <f>#REF!</f>
        <v>#REF!</v>
      </c>
      <c r="C112" s="138" t="e">
        <f>(B112-B111)/$B$111/10</f>
        <v>#REF!</v>
      </c>
      <c r="D112" s="13" t="e">
        <f>#REF!</f>
        <v>#REF!</v>
      </c>
      <c r="E112" s="138" t="e">
        <f>(D112-D111)/D111/10</f>
        <v>#REF!</v>
      </c>
      <c r="F112" s="14" t="e">
        <f>#REF!</f>
        <v>#REF!</v>
      </c>
      <c r="G112" s="138" t="e">
        <f>(F112-F111)/F111/10</f>
        <v>#REF!</v>
      </c>
      <c r="H112" s="2"/>
      <c r="I112" s="305" t="str">
        <f>"Source: " &amp; Source_HISTA &amp; ", " &amp; Source_Novogradac &amp; ", " &amp; Source_Date</f>
        <v>Source: Ribbon Demographics 2014, Novogradac &amp; Company LLP, August 2017</v>
      </c>
      <c r="J112" s="305"/>
      <c r="K112" s="305"/>
      <c r="L112" s="305"/>
      <c r="M112" s="305"/>
      <c r="N112" s="305"/>
      <c r="O112" s="305"/>
    </row>
    <row r="113" spans="1:15" x14ac:dyDescent="0.25">
      <c r="A113" s="185">
        <f>ESRI_CY</f>
        <v>2016</v>
      </c>
      <c r="B113" s="13" t="e">
        <f>#REF!</f>
        <v>#REF!</v>
      </c>
      <c r="C113" s="138" t="e">
        <f>(B113-B112)/$B$112/$B$1</f>
        <v>#REF!</v>
      </c>
      <c r="D113" s="13" t="e">
        <f>#REF!</f>
        <v>#REF!</v>
      </c>
      <c r="E113" s="138" t="e">
        <f>(D113-D112)/D112/$B$1</f>
        <v>#REF!</v>
      </c>
      <c r="F113" s="14" t="e">
        <f>#REF!</f>
        <v>#REF!</v>
      </c>
      <c r="G113" s="138" t="e">
        <f>(F113-F112)/F112/$B$1</f>
        <v>#REF!</v>
      </c>
      <c r="H113" s="2"/>
      <c r="I113" s="285"/>
      <c r="J113" s="270"/>
      <c r="K113" s="269"/>
      <c r="L113" s="270"/>
      <c r="M113" s="269"/>
      <c r="N113" s="255"/>
      <c r="O113" s="255"/>
    </row>
    <row r="114" spans="1:15" ht="13.8" thickBot="1" x14ac:dyDescent="0.3">
      <c r="A114" s="186">
        <f>ESRI_FY</f>
        <v>2021</v>
      </c>
      <c r="B114" s="16" t="e">
        <f>#REF!</f>
        <v>#REF!</v>
      </c>
      <c r="C114" s="144" t="e">
        <f>+(B114-B113)/$B$113/5</f>
        <v>#REF!</v>
      </c>
      <c r="D114" s="16" t="e">
        <f>#REF!</f>
        <v>#REF!</v>
      </c>
      <c r="E114" s="144" t="e">
        <f>+(D114-D113)/D113/5</f>
        <v>#REF!</v>
      </c>
      <c r="F114" s="17" t="e">
        <f>#REF!</f>
        <v>#REF!</v>
      </c>
      <c r="G114" s="144" t="e">
        <f>+(F114-F113)/F113/5</f>
        <v>#REF!</v>
      </c>
      <c r="H114" s="2"/>
      <c r="I114" s="285"/>
      <c r="J114" s="270"/>
      <c r="K114" s="269"/>
      <c r="L114" s="270"/>
      <c r="M114" s="269"/>
      <c r="N114" s="255"/>
      <c r="O114" s="255"/>
    </row>
    <row r="115" spans="1:15" ht="16.2" thickTop="1" x14ac:dyDescent="0.3">
      <c r="A115" s="211" t="str">
        <f>"Source: " &amp; Source_ESRI &amp; ", " &amp; Source_Novogradac &amp; ", " &amp; Source_Date</f>
        <v>Source: Esri Demographics 2016, Novogradac &amp; Company LLP, August 2017</v>
      </c>
      <c r="B115" s="187"/>
      <c r="C115" s="187"/>
      <c r="D115" s="187"/>
      <c r="E115" s="187"/>
      <c r="F115" s="187"/>
      <c r="G115" s="187"/>
      <c r="H115" s="2"/>
      <c r="I115" s="266" t="s">
        <v>367</v>
      </c>
      <c r="J115" s="266"/>
      <c r="K115" s="266"/>
      <c r="L115" s="266"/>
      <c r="M115" s="266"/>
      <c r="N115" s="288"/>
      <c r="O115" s="288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72" t="e">
        <f>SMA_Name</f>
        <v>#REF!</v>
      </c>
      <c r="J116" s="272"/>
      <c r="K116" s="272"/>
      <c r="L116" s="272"/>
      <c r="M116" s="272"/>
      <c r="N116" s="272"/>
      <c r="O116" s="272"/>
    </row>
    <row r="117" spans="1:15" x14ac:dyDescent="0.25">
      <c r="A117" s="1"/>
      <c r="B117" s="2"/>
      <c r="C117" s="2"/>
      <c r="D117" s="2"/>
      <c r="E117" s="2"/>
      <c r="F117" s="2"/>
      <c r="G117" s="2"/>
      <c r="H117" s="2"/>
      <c r="I117" s="300" t="s">
        <v>50</v>
      </c>
      <c r="J117" s="272">
        <f>ESRI_CY</f>
        <v>2016</v>
      </c>
      <c r="K117" s="272"/>
      <c r="L117" s="271">
        <f>ESRI_FY</f>
        <v>2021</v>
      </c>
      <c r="M117" s="271"/>
      <c r="N117" s="272" t="str">
        <f>"Annual Change " &amp; ESRI_CY &amp; " to " &amp; ESRI_FY</f>
        <v>Annual Change 2016 to 2021</v>
      </c>
      <c r="O117" s="301"/>
    </row>
    <row r="118" spans="1:15" ht="15.6" x14ac:dyDescent="0.3">
      <c r="A118" s="4" t="s">
        <v>47</v>
      </c>
      <c r="B118" s="4"/>
      <c r="C118" s="4"/>
      <c r="D118" s="4"/>
      <c r="E118" s="4"/>
      <c r="F118" s="4"/>
      <c r="G118" s="4"/>
      <c r="H118" s="2"/>
      <c r="I118" s="264"/>
      <c r="J118" s="263" t="s">
        <v>44</v>
      </c>
      <c r="K118" s="263" t="s">
        <v>51</v>
      </c>
      <c r="L118" s="263" t="s">
        <v>44</v>
      </c>
      <c r="M118" s="263" t="s">
        <v>51</v>
      </c>
      <c r="N118" s="274" t="s">
        <v>42</v>
      </c>
      <c r="O118" s="263" t="s">
        <v>51</v>
      </c>
    </row>
    <row r="119" spans="1:15" x14ac:dyDescent="0.25">
      <c r="A119" s="183" t="s">
        <v>38</v>
      </c>
      <c r="B119" s="230" t="e">
        <f>PMA_Name</f>
        <v>#REF!</v>
      </c>
      <c r="C119" s="231"/>
      <c r="D119" s="230" t="e">
        <f>SMA_Name</f>
        <v>#REF!</v>
      </c>
      <c r="E119" s="231"/>
      <c r="F119" s="225" t="e">
        <f>USA_Name</f>
        <v>#REF!</v>
      </c>
      <c r="G119" s="226"/>
      <c r="H119" s="2"/>
      <c r="I119" s="261" t="str">
        <f t="array" ref="I119:I130">Novo_Cohort_Ref</f>
        <v>$0-9,999</v>
      </c>
      <c r="J119" s="260" t="e">
        <f>#REF!</f>
        <v>#REF!</v>
      </c>
      <c r="K119" s="138" t="e">
        <f>J119/J$102</f>
        <v>#REF!</v>
      </c>
      <c r="L119" s="260" t="e">
        <f>#REF!</f>
        <v>#REF!</v>
      </c>
      <c r="M119" s="138" t="e">
        <f>L119/L$102</f>
        <v>#REF!</v>
      </c>
      <c r="N119" s="259" t="e">
        <f>(L119-J119)/5</f>
        <v>#REF!</v>
      </c>
      <c r="O119" s="273" t="e">
        <f>(L119-J119)/J119/5</f>
        <v>#REF!</v>
      </c>
    </row>
    <row r="120" spans="1:15" ht="15.6" x14ac:dyDescent="0.3">
      <c r="A120" s="37"/>
      <c r="B120" s="180" t="s">
        <v>44</v>
      </c>
      <c r="C120" s="180" t="s">
        <v>43</v>
      </c>
      <c r="D120" s="180" t="s">
        <v>42</v>
      </c>
      <c r="E120" s="180" t="s">
        <v>43</v>
      </c>
      <c r="F120" s="181" t="s">
        <v>42</v>
      </c>
      <c r="G120" s="181" t="s">
        <v>43</v>
      </c>
      <c r="H120" s="2"/>
      <c r="I120" s="261" t="str">
        <v>$10,000-19,999</v>
      </c>
      <c r="J120" s="260" t="e">
        <f>#REF!</f>
        <v>#REF!</v>
      </c>
      <c r="K120" s="138" t="e">
        <f t="shared" ref="K120:K130" si="23">J120/J$102</f>
        <v>#REF!</v>
      </c>
      <c r="L120" s="260" t="e">
        <f>#REF!</f>
        <v>#REF!</v>
      </c>
      <c r="M120" s="138" t="e">
        <f t="shared" ref="M120:M130" si="24">L120/L$102</f>
        <v>#REF!</v>
      </c>
      <c r="N120" s="259" t="e">
        <f t="shared" ref="N120:N130" si="25">(L120-J120)/5</f>
        <v>#REF!</v>
      </c>
      <c r="O120" s="273" t="e">
        <f t="shared" ref="O120:O130" si="26">(L120-J120)/J120/5</f>
        <v>#REF!</v>
      </c>
    </row>
    <row r="121" spans="1:15" x14ac:dyDescent="0.25">
      <c r="A121" s="10">
        <v>1990</v>
      </c>
      <c r="B121" s="19" t="e">
        <f>#REF!</f>
        <v>#REF!</v>
      </c>
      <c r="C121" s="143"/>
      <c r="D121" s="19" t="e">
        <f>#REF!</f>
        <v>#REF!</v>
      </c>
      <c r="E121" s="143"/>
      <c r="F121" s="204" t="e">
        <f>#REF!</f>
        <v>#REF!</v>
      </c>
      <c r="G121" s="143"/>
      <c r="H121" s="2"/>
      <c r="I121" s="261" t="str">
        <v>$20,000-29,999</v>
      </c>
      <c r="J121" s="260" t="e">
        <f>#REF!</f>
        <v>#REF!</v>
      </c>
      <c r="K121" s="138" t="e">
        <f t="shared" si="23"/>
        <v>#REF!</v>
      </c>
      <c r="L121" s="260" t="e">
        <f>#REF!</f>
        <v>#REF!</v>
      </c>
      <c r="M121" s="138" t="e">
        <f t="shared" si="24"/>
        <v>#REF!</v>
      </c>
      <c r="N121" s="259" t="e">
        <f t="shared" si="25"/>
        <v>#REF!</v>
      </c>
      <c r="O121" s="273" t="e">
        <f t="shared" si="26"/>
        <v>#REF!</v>
      </c>
    </row>
    <row r="122" spans="1:15" x14ac:dyDescent="0.25">
      <c r="A122" s="185">
        <f>ESRI_BY</f>
        <v>2000</v>
      </c>
      <c r="B122" s="19" t="e">
        <f>#REF!</f>
        <v>#REF!</v>
      </c>
      <c r="C122" s="143" t="e">
        <f>+(B122-B121)/$B$121/10</f>
        <v>#REF!</v>
      </c>
      <c r="D122" s="19" t="e">
        <f>#REF!</f>
        <v>#REF!</v>
      </c>
      <c r="E122" s="143" t="e">
        <f>+(D122-D121)/D121/10</f>
        <v>#REF!</v>
      </c>
      <c r="F122" s="204" t="e">
        <f>#REF!</f>
        <v>#REF!</v>
      </c>
      <c r="G122" s="143" t="e">
        <f>+(F122-F121)/F121/10</f>
        <v>#REF!</v>
      </c>
      <c r="H122" s="2"/>
      <c r="I122" s="261" t="str">
        <v>$30,000-39,999</v>
      </c>
      <c r="J122" s="260" t="e">
        <f>#REF!</f>
        <v>#REF!</v>
      </c>
      <c r="K122" s="138" t="e">
        <f t="shared" si="23"/>
        <v>#REF!</v>
      </c>
      <c r="L122" s="260" t="e">
        <f>#REF!</f>
        <v>#REF!</v>
      </c>
      <c r="M122" s="138" t="e">
        <f t="shared" si="24"/>
        <v>#REF!</v>
      </c>
      <c r="N122" s="259" t="e">
        <f t="shared" si="25"/>
        <v>#REF!</v>
      </c>
      <c r="O122" s="273" t="e">
        <f t="shared" si="26"/>
        <v>#REF!</v>
      </c>
    </row>
    <row r="123" spans="1:15" x14ac:dyDescent="0.25">
      <c r="A123" s="185">
        <f>ESRI_CY</f>
        <v>2016</v>
      </c>
      <c r="B123" s="20" t="e">
        <f>#REF!</f>
        <v>#REF!</v>
      </c>
      <c r="C123" s="143" t="e">
        <f>+(B123-B122)/$B$122/$B$1</f>
        <v>#REF!</v>
      </c>
      <c r="D123" s="19" t="e">
        <f>#REF!</f>
        <v>#REF!</v>
      </c>
      <c r="E123" s="143" t="e">
        <f>+(D123-D122)/D122/$B$1</f>
        <v>#REF!</v>
      </c>
      <c r="F123" s="204" t="e">
        <f>#REF!</f>
        <v>#REF!</v>
      </c>
      <c r="G123" s="143" t="e">
        <f>+(F123-F122)/F122/$B$1</f>
        <v>#REF!</v>
      </c>
      <c r="H123" s="2"/>
      <c r="I123" s="261" t="str">
        <v>$40,000-49,999</v>
      </c>
      <c r="J123" s="260" t="e">
        <f>#REF!</f>
        <v>#REF!</v>
      </c>
      <c r="K123" s="138" t="e">
        <f t="shared" si="23"/>
        <v>#REF!</v>
      </c>
      <c r="L123" s="260" t="e">
        <f>#REF!</f>
        <v>#REF!</v>
      </c>
      <c r="M123" s="138" t="e">
        <f t="shared" si="24"/>
        <v>#REF!</v>
      </c>
      <c r="N123" s="259" t="e">
        <f t="shared" si="25"/>
        <v>#REF!</v>
      </c>
      <c r="O123" s="273" t="e">
        <f t="shared" si="26"/>
        <v>#REF!</v>
      </c>
    </row>
    <row r="124" spans="1:15" ht="13.8" thickBot="1" x14ac:dyDescent="0.3">
      <c r="A124" s="186">
        <f>ESRI_FY</f>
        <v>2021</v>
      </c>
      <c r="B124" s="20" t="e">
        <f>#REF!</f>
        <v>#REF!</v>
      </c>
      <c r="C124" s="144" t="e">
        <f>+(B124-B123)/$B$123/5</f>
        <v>#REF!</v>
      </c>
      <c r="D124" s="21" t="e">
        <f>#REF!</f>
        <v>#REF!</v>
      </c>
      <c r="E124" s="144" t="e">
        <f>+(D124-D123)/D123/5</f>
        <v>#REF!</v>
      </c>
      <c r="F124" s="205" t="e">
        <f>#REF!</f>
        <v>#REF!</v>
      </c>
      <c r="G124" s="144" t="e">
        <f>+(F124-F123)/F123/5</f>
        <v>#REF!</v>
      </c>
      <c r="H124" s="2"/>
      <c r="I124" s="261" t="str">
        <v>$50,000-59,999</v>
      </c>
      <c r="J124" s="260" t="e">
        <f>#REF!</f>
        <v>#REF!</v>
      </c>
      <c r="K124" s="138" t="e">
        <f t="shared" si="23"/>
        <v>#REF!</v>
      </c>
      <c r="L124" s="260" t="e">
        <f>#REF!</f>
        <v>#REF!</v>
      </c>
      <c r="M124" s="138" t="e">
        <f t="shared" si="24"/>
        <v>#REF!</v>
      </c>
      <c r="N124" s="259" t="e">
        <f t="shared" si="25"/>
        <v>#REF!</v>
      </c>
      <c r="O124" s="273" t="e">
        <f t="shared" si="26"/>
        <v>#REF!</v>
      </c>
    </row>
    <row r="125" spans="1:15" ht="13.8" thickTop="1" x14ac:dyDescent="0.25">
      <c r="A125" s="211" t="str">
        <f>"Source: " &amp; Source_ESRI &amp; ", " &amp; Source_Novogradac &amp; ", " &amp; Source_Date</f>
        <v>Source: Esri Demographics 2016, Novogradac &amp; Company LLP, August 2017</v>
      </c>
      <c r="B125" s="187"/>
      <c r="C125" s="187"/>
      <c r="D125" s="187"/>
      <c r="E125" s="187"/>
      <c r="F125" s="187"/>
      <c r="G125" s="187"/>
      <c r="H125" s="2"/>
      <c r="I125" s="261" t="str">
        <v>$60,000-74,999</v>
      </c>
      <c r="J125" s="260" t="e">
        <f>#REF!</f>
        <v>#REF!</v>
      </c>
      <c r="K125" s="138" t="e">
        <f t="shared" si="23"/>
        <v>#REF!</v>
      </c>
      <c r="L125" s="260" t="e">
        <f>#REF!</f>
        <v>#REF!</v>
      </c>
      <c r="M125" s="138" t="e">
        <f t="shared" si="24"/>
        <v>#REF!</v>
      </c>
      <c r="N125" s="259" t="e">
        <f t="shared" si="25"/>
        <v>#REF!</v>
      </c>
      <c r="O125" s="273" t="e">
        <f t="shared" si="26"/>
        <v>#REF!</v>
      </c>
    </row>
    <row r="126" spans="1:15" x14ac:dyDescent="0.25">
      <c r="A126" s="2"/>
      <c r="B126" s="2"/>
      <c r="C126" s="2"/>
      <c r="D126" s="2"/>
      <c r="E126" s="2"/>
      <c r="F126" s="22"/>
      <c r="G126" s="22"/>
      <c r="H126" s="2"/>
      <c r="I126" s="261" t="str">
        <v>$75,000-99,999</v>
      </c>
      <c r="J126" s="260" t="e">
        <f>#REF!</f>
        <v>#REF!</v>
      </c>
      <c r="K126" s="138" t="e">
        <f t="shared" si="23"/>
        <v>#REF!</v>
      </c>
      <c r="L126" s="260" t="e">
        <f>#REF!</f>
        <v>#REF!</v>
      </c>
      <c r="M126" s="138" t="e">
        <f t="shared" si="24"/>
        <v>#REF!</v>
      </c>
      <c r="N126" s="259" t="e">
        <f t="shared" si="25"/>
        <v>#REF!</v>
      </c>
      <c r="O126" s="273" t="e">
        <f t="shared" si="26"/>
        <v>#REF!</v>
      </c>
    </row>
    <row r="127" spans="1:15" x14ac:dyDescent="0.25">
      <c r="A127" s="1"/>
      <c r="B127" s="2"/>
      <c r="C127" s="2"/>
      <c r="D127" s="2"/>
      <c r="E127" s="2"/>
      <c r="F127" s="2"/>
      <c r="G127" s="2"/>
      <c r="H127" s="2"/>
      <c r="I127" s="261" t="str">
        <v>$100,000-124,999</v>
      </c>
      <c r="J127" s="260" t="e">
        <f>#REF!</f>
        <v>#REF!</v>
      </c>
      <c r="K127" s="138" t="e">
        <f t="shared" si="23"/>
        <v>#REF!</v>
      </c>
      <c r="L127" s="260" t="e">
        <f>#REF!</f>
        <v>#REF!</v>
      </c>
      <c r="M127" s="138" t="e">
        <f t="shared" si="24"/>
        <v>#REF!</v>
      </c>
      <c r="N127" s="259" t="e">
        <f t="shared" si="25"/>
        <v>#REF!</v>
      </c>
      <c r="O127" s="273" t="e">
        <f t="shared" si="26"/>
        <v>#REF!</v>
      </c>
    </row>
    <row r="128" spans="1:15" ht="15.6" x14ac:dyDescent="0.3">
      <c r="A128" s="224" t="s">
        <v>48</v>
      </c>
      <c r="B128" s="224"/>
      <c r="C128" s="224"/>
      <c r="D128" s="224"/>
      <c r="E128" s="224"/>
      <c r="F128" s="224"/>
      <c r="G128" s="224"/>
      <c r="H128" s="2"/>
      <c r="I128" s="261" t="str">
        <v>$125,000-149,999</v>
      </c>
      <c r="J128" s="260" t="e">
        <f>#REF!</f>
        <v>#REF!</v>
      </c>
      <c r="K128" s="138" t="e">
        <f t="shared" si="23"/>
        <v>#REF!</v>
      </c>
      <c r="L128" s="260" t="e">
        <f>#REF!</f>
        <v>#REF!</v>
      </c>
      <c r="M128" s="138" t="e">
        <f t="shared" si="24"/>
        <v>#REF!</v>
      </c>
      <c r="N128" s="259" t="e">
        <f t="shared" si="25"/>
        <v>#REF!</v>
      </c>
      <c r="O128" s="273" t="e">
        <f t="shared" si="26"/>
        <v>#REF!</v>
      </c>
    </row>
    <row r="129" spans="1:15" x14ac:dyDescent="0.25">
      <c r="A129" s="183" t="s">
        <v>38</v>
      </c>
      <c r="B129" s="230" t="e">
        <f>PMA_Name</f>
        <v>#REF!</v>
      </c>
      <c r="C129" s="231"/>
      <c r="D129" s="230" t="e">
        <f>SMA_Name</f>
        <v>#REF!</v>
      </c>
      <c r="E129" s="231"/>
      <c r="F129" s="225" t="e">
        <f>USA_Name</f>
        <v>#REF!</v>
      </c>
      <c r="G129" s="226"/>
      <c r="H129" s="2"/>
      <c r="I129" s="261" t="str">
        <v>$150,000-199,999</v>
      </c>
      <c r="J129" s="260" t="e">
        <f>#REF!</f>
        <v>#REF!</v>
      </c>
      <c r="K129" s="138" t="e">
        <f t="shared" si="23"/>
        <v>#REF!</v>
      </c>
      <c r="L129" s="260" t="e">
        <f>#REF!</f>
        <v>#REF!</v>
      </c>
      <c r="M129" s="138" t="e">
        <f t="shared" si="24"/>
        <v>#REF!</v>
      </c>
      <c r="N129" s="259" t="e">
        <f t="shared" si="25"/>
        <v>#REF!</v>
      </c>
      <c r="O129" s="273" t="e">
        <f t="shared" si="26"/>
        <v>#REF!</v>
      </c>
    </row>
    <row r="130" spans="1:15" ht="15.6" x14ac:dyDescent="0.3">
      <c r="A130" s="37"/>
      <c r="B130" s="180" t="s">
        <v>49</v>
      </c>
      <c r="C130" s="180" t="s">
        <v>43</v>
      </c>
      <c r="D130" s="180" t="s">
        <v>49</v>
      </c>
      <c r="E130" s="180" t="s">
        <v>43</v>
      </c>
      <c r="F130" s="181" t="s">
        <v>49</v>
      </c>
      <c r="G130" s="181" t="s">
        <v>43</v>
      </c>
      <c r="H130" s="2"/>
      <c r="I130" s="261" t="str">
        <v>$200,000+</v>
      </c>
      <c r="J130" s="260" t="e">
        <f>#REF!</f>
        <v>#REF!</v>
      </c>
      <c r="K130" s="138" t="e">
        <f t="shared" si="23"/>
        <v>#REF!</v>
      </c>
      <c r="L130" s="260" t="e">
        <f>#REF!</f>
        <v>#REF!</v>
      </c>
      <c r="M130" s="138" t="e">
        <f t="shared" si="24"/>
        <v>#REF!</v>
      </c>
      <c r="N130" s="259" t="e">
        <f t="shared" si="25"/>
        <v>#REF!</v>
      </c>
      <c r="O130" s="273" t="e">
        <f t="shared" si="26"/>
        <v>#REF!</v>
      </c>
    </row>
    <row r="131" spans="1:15" ht="13.8" thickBot="1" x14ac:dyDescent="0.3">
      <c r="A131" s="185">
        <f>ESRI_BY</f>
        <v>2000</v>
      </c>
      <c r="B131" s="23" t="e">
        <f>#REF!</f>
        <v>#REF!</v>
      </c>
      <c r="C131" s="138" t="s">
        <v>45</v>
      </c>
      <c r="D131" s="23" t="e">
        <f>#REF!</f>
        <v>#REF!</v>
      </c>
      <c r="E131" s="138" t="s">
        <v>45</v>
      </c>
      <c r="F131" s="24" t="e">
        <f>#REF!</f>
        <v>#REF!</v>
      </c>
      <c r="G131" s="138" t="s">
        <v>45</v>
      </c>
      <c r="H131" s="2"/>
      <c r="I131" s="258" t="s">
        <v>11</v>
      </c>
      <c r="J131" s="257" t="e">
        <f>SUM(J119:J130)</f>
        <v>#REF!</v>
      </c>
      <c r="K131" s="139" t="e">
        <f>SUM(K119:K127)</f>
        <v>#REF!</v>
      </c>
      <c r="L131" s="257" t="e">
        <f>SUM(L119:L130)</f>
        <v>#REF!</v>
      </c>
      <c r="M131" s="139" t="e">
        <f>SUM(M119:M127)</f>
        <v>#REF!</v>
      </c>
      <c r="N131" s="256"/>
      <c r="O131" s="268"/>
    </row>
    <row r="132" spans="1:15" ht="13.8" thickTop="1" x14ac:dyDescent="0.25">
      <c r="A132" s="185">
        <f>ESRI_CY</f>
        <v>2016</v>
      </c>
      <c r="B132" s="25" t="e">
        <f>#REF!</f>
        <v>#REF!</v>
      </c>
      <c r="C132" s="138" t="e">
        <f>+(B132-B131)/$B$131/$B$1</f>
        <v>#REF!</v>
      </c>
      <c r="D132" s="25" t="e">
        <f>#REF!</f>
        <v>#REF!</v>
      </c>
      <c r="E132" s="138" t="e">
        <f>+(D132-D131)/D131/$B$1</f>
        <v>#REF!</v>
      </c>
      <c r="F132" s="9" t="e">
        <f>#REF!</f>
        <v>#REF!</v>
      </c>
      <c r="G132" s="138" t="e">
        <f>+(F132-F131)/F131/$B$1</f>
        <v>#REF!</v>
      </c>
      <c r="H132" s="2"/>
    </row>
    <row r="133" spans="1:15" ht="13.8" thickBot="1" x14ac:dyDescent="0.3">
      <c r="A133" s="186">
        <f>ESRI_FY</f>
        <v>2021</v>
      </c>
      <c r="B133" s="26" t="e">
        <f>#REF!</f>
        <v>#REF!</v>
      </c>
      <c r="C133" s="144" t="e">
        <f>+(B133-B132)/$B$132/5</f>
        <v>#REF!</v>
      </c>
      <c r="D133" s="26" t="e">
        <f>#REF!</f>
        <v>#REF!</v>
      </c>
      <c r="E133" s="144" t="e">
        <f>+(D133-D132)/D132/5</f>
        <v>#REF!</v>
      </c>
      <c r="F133" s="27" t="e">
        <f>#REF!</f>
        <v>#REF!</v>
      </c>
      <c r="G133" s="144" t="e">
        <f>+(F133-F132)/F132/5</f>
        <v>#REF!</v>
      </c>
      <c r="H133" s="2"/>
    </row>
    <row r="134" spans="1:15" ht="13.8" thickTop="1" x14ac:dyDescent="0.25">
      <c r="A134" s="211" t="str">
        <f>"Source: " &amp; Source_ESRI &amp; ", " &amp; Source_Novogradac &amp; ", " &amp; Source_Date</f>
        <v>Source: Esri Demographics 2016, Novogradac &amp; Company LLP, August 2017</v>
      </c>
      <c r="B134" s="187"/>
      <c r="C134" s="187"/>
      <c r="D134" s="187"/>
      <c r="E134" s="187"/>
      <c r="F134" s="187"/>
      <c r="G134" s="187"/>
      <c r="H134" s="2"/>
    </row>
    <row r="135" spans="1:15" x14ac:dyDescent="0.25">
      <c r="A135" s="41"/>
      <c r="B135" s="41"/>
      <c r="C135" s="41"/>
      <c r="D135" s="41"/>
      <c r="E135" s="41"/>
      <c r="F135" s="41"/>
      <c r="G135" s="41"/>
      <c r="H135" s="2"/>
    </row>
    <row r="136" spans="1:15" x14ac:dyDescent="0.25">
      <c r="A136" s="41"/>
      <c r="B136" s="41"/>
      <c r="C136" s="41"/>
      <c r="D136" s="41"/>
      <c r="E136" s="41"/>
      <c r="F136" s="41"/>
      <c r="G136" s="41"/>
      <c r="H136" s="2"/>
    </row>
    <row r="137" spans="1:15" ht="15.6" x14ac:dyDescent="0.3">
      <c r="A137" s="228" t="str">
        <f>ESRI_CY &amp; " HOUSEHOLD INCOME"</f>
        <v>2016 HOUSEHOLD INCOME</v>
      </c>
      <c r="B137" s="228"/>
      <c r="C137" s="228"/>
      <c r="D137" s="228"/>
      <c r="E137" s="228"/>
      <c r="F137" s="228"/>
      <c r="G137" s="228"/>
      <c r="H137" s="2"/>
    </row>
    <row r="138" spans="1:15" x14ac:dyDescent="0.25">
      <c r="A138" s="327" t="s">
        <v>50</v>
      </c>
      <c r="B138" s="319" t="e">
        <f>PMA_Name</f>
        <v>#REF!</v>
      </c>
      <c r="C138" s="320"/>
      <c r="D138" s="319" t="e">
        <f>SMA_Name</f>
        <v>#REF!</v>
      </c>
      <c r="E138" s="320"/>
      <c r="F138" s="319" t="e">
        <f>USA_Name</f>
        <v>#REF!</v>
      </c>
      <c r="G138" s="320"/>
      <c r="H138" s="2"/>
    </row>
    <row r="139" spans="1:15" ht="15.6" x14ac:dyDescent="0.3">
      <c r="A139" s="37"/>
      <c r="B139" s="411" t="s">
        <v>44</v>
      </c>
      <c r="C139" s="411" t="s">
        <v>51</v>
      </c>
      <c r="D139" s="411" t="s">
        <v>44</v>
      </c>
      <c r="E139" s="411" t="s">
        <v>51</v>
      </c>
      <c r="F139" s="412" t="s">
        <v>42</v>
      </c>
      <c r="G139" s="411" t="s">
        <v>51</v>
      </c>
      <c r="H139" s="2"/>
    </row>
    <row r="140" spans="1:15" x14ac:dyDescent="0.25">
      <c r="A140" s="10" t="str">
        <f t="array" ref="A140:A151">Novo_Cohort_Ref</f>
        <v>$0-9,999</v>
      </c>
      <c r="B140" s="34" t="e">
        <f>#REF!</f>
        <v>#REF!</v>
      </c>
      <c r="C140" s="138" t="e">
        <f t="shared" ref="C140:C151" si="27">B140/$B$152</f>
        <v>#REF!</v>
      </c>
      <c r="D140" s="34" t="e">
        <f>#REF!</f>
        <v>#REF!</v>
      </c>
      <c r="E140" s="138" t="e">
        <f t="shared" ref="E140:E151" si="28">D140/$D$152</f>
        <v>#REF!</v>
      </c>
      <c r="F140" s="31" t="e">
        <f>#REF!</f>
        <v>#REF!</v>
      </c>
      <c r="G140" s="142" t="e">
        <f t="shared" ref="G140:G151" si="29">F140/$F$152</f>
        <v>#REF!</v>
      </c>
      <c r="H140" s="2"/>
    </row>
    <row r="141" spans="1:15" x14ac:dyDescent="0.25">
      <c r="A141" s="10" t="str">
        <v>$10,000-19,999</v>
      </c>
      <c r="B141" s="34" t="e">
        <f>#REF!</f>
        <v>#REF!</v>
      </c>
      <c r="C141" s="138" t="e">
        <f t="shared" si="27"/>
        <v>#REF!</v>
      </c>
      <c r="D141" s="34" t="e">
        <f>#REF!</f>
        <v>#REF!</v>
      </c>
      <c r="E141" s="138" t="e">
        <f t="shared" si="28"/>
        <v>#REF!</v>
      </c>
      <c r="F141" s="31" t="e">
        <f>#REF!</f>
        <v>#REF!</v>
      </c>
      <c r="G141" s="142" t="e">
        <f t="shared" si="29"/>
        <v>#REF!</v>
      </c>
      <c r="H141" s="2"/>
    </row>
    <row r="142" spans="1:15" x14ac:dyDescent="0.25">
      <c r="A142" s="10" t="str">
        <v>$20,000-29,999</v>
      </c>
      <c r="B142" s="34" t="e">
        <f>#REF!</f>
        <v>#REF!</v>
      </c>
      <c r="C142" s="138" t="e">
        <f t="shared" si="27"/>
        <v>#REF!</v>
      </c>
      <c r="D142" s="34" t="e">
        <f>#REF!</f>
        <v>#REF!</v>
      </c>
      <c r="E142" s="138" t="e">
        <f t="shared" si="28"/>
        <v>#REF!</v>
      </c>
      <c r="F142" s="31" t="e">
        <f>#REF!</f>
        <v>#REF!</v>
      </c>
      <c r="G142" s="142" t="e">
        <f t="shared" si="29"/>
        <v>#REF!</v>
      </c>
      <c r="H142" s="2"/>
    </row>
    <row r="143" spans="1:15" x14ac:dyDescent="0.25">
      <c r="A143" s="10" t="str">
        <v>$30,000-39,999</v>
      </c>
      <c r="B143" s="34" t="e">
        <f>#REF!</f>
        <v>#REF!</v>
      </c>
      <c r="C143" s="138" t="e">
        <f t="shared" si="27"/>
        <v>#REF!</v>
      </c>
      <c r="D143" s="34" t="e">
        <f>#REF!</f>
        <v>#REF!</v>
      </c>
      <c r="E143" s="138" t="e">
        <f t="shared" si="28"/>
        <v>#REF!</v>
      </c>
      <c r="F143" s="31" t="e">
        <f>#REF!</f>
        <v>#REF!</v>
      </c>
      <c r="G143" s="142" t="e">
        <f t="shared" si="29"/>
        <v>#REF!</v>
      </c>
      <c r="H143" s="2"/>
    </row>
    <row r="144" spans="1:15" x14ac:dyDescent="0.25">
      <c r="A144" s="10" t="str">
        <v>$40,000-49,999</v>
      </c>
      <c r="B144" s="34" t="e">
        <f>#REF!</f>
        <v>#REF!</v>
      </c>
      <c r="C144" s="138" t="e">
        <f t="shared" si="27"/>
        <v>#REF!</v>
      </c>
      <c r="D144" s="34" t="e">
        <f>#REF!</f>
        <v>#REF!</v>
      </c>
      <c r="E144" s="138" t="e">
        <f t="shared" si="28"/>
        <v>#REF!</v>
      </c>
      <c r="F144" s="31" t="e">
        <f>#REF!</f>
        <v>#REF!</v>
      </c>
      <c r="G144" s="142" t="e">
        <f t="shared" si="29"/>
        <v>#REF!</v>
      </c>
      <c r="H144" s="2"/>
    </row>
    <row r="145" spans="1:8" x14ac:dyDescent="0.25">
      <c r="A145" s="10" t="str">
        <v>$50,000-59,999</v>
      </c>
      <c r="B145" s="34" t="e">
        <f>#REF!</f>
        <v>#REF!</v>
      </c>
      <c r="C145" s="138" t="e">
        <f t="shared" si="27"/>
        <v>#REF!</v>
      </c>
      <c r="D145" s="34" t="e">
        <f>#REF!</f>
        <v>#REF!</v>
      </c>
      <c r="E145" s="138" t="e">
        <f t="shared" si="28"/>
        <v>#REF!</v>
      </c>
      <c r="F145" s="31" t="e">
        <f>#REF!</f>
        <v>#REF!</v>
      </c>
      <c r="G145" s="142" t="e">
        <f t="shared" si="29"/>
        <v>#REF!</v>
      </c>
      <c r="H145" s="2"/>
    </row>
    <row r="146" spans="1:8" x14ac:dyDescent="0.25">
      <c r="A146" s="10" t="str">
        <v>$60,000-74,999</v>
      </c>
      <c r="B146" s="34" t="e">
        <f>#REF!</f>
        <v>#REF!</v>
      </c>
      <c r="C146" s="138" t="e">
        <f t="shared" si="27"/>
        <v>#REF!</v>
      </c>
      <c r="D146" s="34" t="e">
        <f>#REF!</f>
        <v>#REF!</v>
      </c>
      <c r="E146" s="138" t="e">
        <f t="shared" si="28"/>
        <v>#REF!</v>
      </c>
      <c r="F146" s="31" t="e">
        <f>#REF!</f>
        <v>#REF!</v>
      </c>
      <c r="G146" s="142" t="e">
        <f t="shared" si="29"/>
        <v>#REF!</v>
      </c>
      <c r="H146" s="2"/>
    </row>
    <row r="147" spans="1:8" x14ac:dyDescent="0.25">
      <c r="A147" s="10" t="str">
        <v>$75,000-99,999</v>
      </c>
      <c r="B147" s="34" t="e">
        <f>#REF!</f>
        <v>#REF!</v>
      </c>
      <c r="C147" s="138" t="e">
        <f t="shared" si="27"/>
        <v>#REF!</v>
      </c>
      <c r="D147" s="34" t="e">
        <f>#REF!</f>
        <v>#REF!</v>
      </c>
      <c r="E147" s="138" t="e">
        <f t="shared" si="28"/>
        <v>#REF!</v>
      </c>
      <c r="F147" s="31" t="e">
        <f>#REF!</f>
        <v>#REF!</v>
      </c>
      <c r="G147" s="142" t="e">
        <f t="shared" si="29"/>
        <v>#REF!</v>
      </c>
      <c r="H147" s="2"/>
    </row>
    <row r="148" spans="1:8" x14ac:dyDescent="0.25">
      <c r="A148" s="10" t="str">
        <v>$100,000-124,999</v>
      </c>
      <c r="B148" s="34" t="e">
        <f>#REF!</f>
        <v>#REF!</v>
      </c>
      <c r="C148" s="138" t="e">
        <f t="shared" si="27"/>
        <v>#REF!</v>
      </c>
      <c r="D148" s="34" t="e">
        <f>#REF!</f>
        <v>#REF!</v>
      </c>
      <c r="E148" s="138" t="e">
        <f t="shared" si="28"/>
        <v>#REF!</v>
      </c>
      <c r="F148" s="31" t="e">
        <f>#REF!</f>
        <v>#REF!</v>
      </c>
      <c r="G148" s="142" t="e">
        <f t="shared" si="29"/>
        <v>#REF!</v>
      </c>
      <c r="H148" s="2"/>
    </row>
    <row r="149" spans="1:8" x14ac:dyDescent="0.25">
      <c r="A149" s="10" t="str">
        <v>$125,000-149,999</v>
      </c>
      <c r="B149" s="34" t="e">
        <f>#REF!</f>
        <v>#REF!</v>
      </c>
      <c r="C149" s="138" t="e">
        <f t="shared" si="27"/>
        <v>#REF!</v>
      </c>
      <c r="D149" s="34" t="e">
        <f>#REF!</f>
        <v>#REF!</v>
      </c>
      <c r="E149" s="138" t="e">
        <f t="shared" si="28"/>
        <v>#REF!</v>
      </c>
      <c r="F149" s="31" t="e">
        <f>#REF!</f>
        <v>#REF!</v>
      </c>
      <c r="G149" s="142" t="e">
        <f t="shared" si="29"/>
        <v>#REF!</v>
      </c>
      <c r="H149" s="2"/>
    </row>
    <row r="150" spans="1:8" x14ac:dyDescent="0.25">
      <c r="A150" s="10" t="str">
        <v>$150,000-199,999</v>
      </c>
      <c r="B150" s="34" t="e">
        <f>#REF!</f>
        <v>#REF!</v>
      </c>
      <c r="C150" s="138" t="e">
        <f t="shared" si="27"/>
        <v>#REF!</v>
      </c>
      <c r="D150" s="34" t="e">
        <f>#REF!</f>
        <v>#REF!</v>
      </c>
      <c r="E150" s="138" t="e">
        <f t="shared" si="28"/>
        <v>#REF!</v>
      </c>
      <c r="F150" s="31" t="e">
        <f>#REF!</f>
        <v>#REF!</v>
      </c>
      <c r="G150" s="142" t="e">
        <f t="shared" si="29"/>
        <v>#REF!</v>
      </c>
      <c r="H150" s="2"/>
    </row>
    <row r="151" spans="1:8" x14ac:dyDescent="0.25">
      <c r="A151" s="10" t="str">
        <v>$200,000+</v>
      </c>
      <c r="B151" s="34" t="e">
        <f>#REF!</f>
        <v>#REF!</v>
      </c>
      <c r="C151" s="138" t="e">
        <f t="shared" si="27"/>
        <v>#REF!</v>
      </c>
      <c r="D151" s="34" t="e">
        <f>#REF!</f>
        <v>#REF!</v>
      </c>
      <c r="E151" s="138" t="e">
        <f t="shared" si="28"/>
        <v>#REF!</v>
      </c>
      <c r="F151" s="31" t="e">
        <f>#REF!</f>
        <v>#REF!</v>
      </c>
      <c r="G151" s="142" t="e">
        <f t="shared" si="29"/>
        <v>#REF!</v>
      </c>
      <c r="H151" s="2"/>
    </row>
    <row r="152" spans="1:8" ht="13.8" thickBot="1" x14ac:dyDescent="0.3">
      <c r="A152" s="8" t="s">
        <v>11</v>
      </c>
      <c r="B152" s="32" t="e">
        <f t="shared" ref="B152:G152" si="30">SUM(B140:B151)</f>
        <v>#REF!</v>
      </c>
      <c r="C152" s="139" t="e">
        <f t="shared" si="30"/>
        <v>#REF!</v>
      </c>
      <c r="D152" s="32" t="e">
        <f t="shared" si="30"/>
        <v>#REF!</v>
      </c>
      <c r="E152" s="139" t="e">
        <f t="shared" si="30"/>
        <v>#REF!</v>
      </c>
      <c r="F152" s="33" t="e">
        <f t="shared" si="30"/>
        <v>#REF!</v>
      </c>
      <c r="G152" s="141" t="e">
        <f t="shared" si="30"/>
        <v>#REF!</v>
      </c>
      <c r="H152" s="2"/>
    </row>
    <row r="153" spans="1:8" ht="13.8" thickTop="1" x14ac:dyDescent="0.25">
      <c r="A153" s="187" t="str">
        <f>"Source: " &amp; Source_ESRI &amp; ", " &amp; Source_Novogradac &amp; ", " &amp; Source_Date</f>
        <v>Source: Esri Demographics 2016, Novogradac &amp; Company LLP, August 2017</v>
      </c>
      <c r="B153" s="187"/>
      <c r="C153" s="187"/>
      <c r="D153" s="187"/>
      <c r="E153" s="187"/>
      <c r="F153" s="187"/>
      <c r="G153" s="187"/>
      <c r="H153" s="2"/>
    </row>
    <row r="154" spans="1:8" x14ac:dyDescent="0.25">
      <c r="A154" s="199"/>
      <c r="B154" s="199"/>
      <c r="C154" s="199"/>
      <c r="D154" s="199"/>
      <c r="E154" s="199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ht="15.6" x14ac:dyDescent="0.3">
      <c r="A156" s="228" t="str">
        <f>ESRI_FY &amp; " HOUSEHOLD INCOME"</f>
        <v>2021 HOUSEHOLD INCOME</v>
      </c>
      <c r="B156" s="228"/>
      <c r="C156" s="228"/>
      <c r="D156" s="228"/>
      <c r="E156" s="228"/>
      <c r="F156" s="228"/>
      <c r="G156" s="228"/>
      <c r="H156" s="2"/>
    </row>
    <row r="157" spans="1:8" x14ac:dyDescent="0.25">
      <c r="A157" s="327" t="s">
        <v>50</v>
      </c>
      <c r="B157" s="319" t="e">
        <f>PMA_Name</f>
        <v>#REF!</v>
      </c>
      <c r="C157" s="320"/>
      <c r="D157" s="319" t="e">
        <f>SMA_Name</f>
        <v>#REF!</v>
      </c>
      <c r="E157" s="320"/>
      <c r="F157" s="319" t="e">
        <f>USA_Name</f>
        <v>#REF!</v>
      </c>
      <c r="G157" s="320"/>
      <c r="H157" s="2"/>
    </row>
    <row r="158" spans="1:8" ht="15.6" x14ac:dyDescent="0.3">
      <c r="A158" s="37"/>
      <c r="B158" s="411" t="s">
        <v>44</v>
      </c>
      <c r="C158" s="411" t="s">
        <v>51</v>
      </c>
      <c r="D158" s="411" t="s">
        <v>44</v>
      </c>
      <c r="E158" s="411" t="s">
        <v>51</v>
      </c>
      <c r="F158" s="412" t="s">
        <v>42</v>
      </c>
      <c r="G158" s="411" t="s">
        <v>51</v>
      </c>
      <c r="H158" s="2"/>
    </row>
    <row r="159" spans="1:8" x14ac:dyDescent="0.25">
      <c r="A159" s="10" t="str">
        <f t="array" ref="A159:A170">Novo_Cohort_Ref</f>
        <v>$0-9,999</v>
      </c>
      <c r="B159" s="34" t="e">
        <f>#REF!</f>
        <v>#REF!</v>
      </c>
      <c r="C159" s="138" t="e">
        <f t="shared" ref="C159:C170" si="31">B159/$B$171</f>
        <v>#REF!</v>
      </c>
      <c r="D159" s="34" t="e">
        <f>#REF!</f>
        <v>#REF!</v>
      </c>
      <c r="E159" s="138" t="e">
        <f t="shared" ref="E159:E170" si="32">D159/$D$171</f>
        <v>#REF!</v>
      </c>
      <c r="F159" s="31" t="e">
        <f>#REF!</f>
        <v>#REF!</v>
      </c>
      <c r="G159" s="142" t="e">
        <f t="shared" ref="G159:G170" si="33">F159/$F$171</f>
        <v>#REF!</v>
      </c>
      <c r="H159" s="2"/>
    </row>
    <row r="160" spans="1:8" x14ac:dyDescent="0.25">
      <c r="A160" s="10" t="str">
        <v>$10,000-19,999</v>
      </c>
      <c r="B160" s="34" t="e">
        <f>#REF!</f>
        <v>#REF!</v>
      </c>
      <c r="C160" s="138" t="e">
        <f t="shared" si="31"/>
        <v>#REF!</v>
      </c>
      <c r="D160" s="34" t="e">
        <f>#REF!</f>
        <v>#REF!</v>
      </c>
      <c r="E160" s="138" t="e">
        <f t="shared" si="32"/>
        <v>#REF!</v>
      </c>
      <c r="F160" s="31" t="e">
        <f>#REF!</f>
        <v>#REF!</v>
      </c>
      <c r="G160" s="142" t="e">
        <f t="shared" si="33"/>
        <v>#REF!</v>
      </c>
      <c r="H160" s="2"/>
    </row>
    <row r="161" spans="1:8" x14ac:dyDescent="0.25">
      <c r="A161" s="10" t="str">
        <v>$20,000-29,999</v>
      </c>
      <c r="B161" s="34" t="e">
        <f>#REF!</f>
        <v>#REF!</v>
      </c>
      <c r="C161" s="138" t="e">
        <f t="shared" si="31"/>
        <v>#REF!</v>
      </c>
      <c r="D161" s="34" t="e">
        <f>#REF!</f>
        <v>#REF!</v>
      </c>
      <c r="E161" s="138" t="e">
        <f t="shared" si="32"/>
        <v>#REF!</v>
      </c>
      <c r="F161" s="31" t="e">
        <f>#REF!</f>
        <v>#REF!</v>
      </c>
      <c r="G161" s="142" t="e">
        <f t="shared" si="33"/>
        <v>#REF!</v>
      </c>
      <c r="H161" s="2"/>
    </row>
    <row r="162" spans="1:8" x14ac:dyDescent="0.25">
      <c r="A162" s="10" t="str">
        <v>$30,000-39,999</v>
      </c>
      <c r="B162" s="34" t="e">
        <f>#REF!</f>
        <v>#REF!</v>
      </c>
      <c r="C162" s="138" t="e">
        <f t="shared" si="31"/>
        <v>#REF!</v>
      </c>
      <c r="D162" s="34" t="e">
        <f>#REF!</f>
        <v>#REF!</v>
      </c>
      <c r="E162" s="138" t="e">
        <f t="shared" si="32"/>
        <v>#REF!</v>
      </c>
      <c r="F162" s="31" t="e">
        <f>#REF!</f>
        <v>#REF!</v>
      </c>
      <c r="G162" s="142" t="e">
        <f t="shared" si="33"/>
        <v>#REF!</v>
      </c>
      <c r="H162" s="2"/>
    </row>
    <row r="163" spans="1:8" x14ac:dyDescent="0.25">
      <c r="A163" s="10" t="str">
        <v>$40,000-49,999</v>
      </c>
      <c r="B163" s="34" t="e">
        <f>#REF!</f>
        <v>#REF!</v>
      </c>
      <c r="C163" s="138" t="e">
        <f t="shared" si="31"/>
        <v>#REF!</v>
      </c>
      <c r="D163" s="34" t="e">
        <f>#REF!</f>
        <v>#REF!</v>
      </c>
      <c r="E163" s="138" t="e">
        <f t="shared" si="32"/>
        <v>#REF!</v>
      </c>
      <c r="F163" s="31" t="e">
        <f>#REF!</f>
        <v>#REF!</v>
      </c>
      <c r="G163" s="142" t="e">
        <f t="shared" si="33"/>
        <v>#REF!</v>
      </c>
      <c r="H163" s="2"/>
    </row>
    <row r="164" spans="1:8" x14ac:dyDescent="0.25">
      <c r="A164" s="10" t="str">
        <v>$50,000-59,999</v>
      </c>
      <c r="B164" s="34" t="e">
        <f>#REF!</f>
        <v>#REF!</v>
      </c>
      <c r="C164" s="138" t="e">
        <f t="shared" si="31"/>
        <v>#REF!</v>
      </c>
      <c r="D164" s="34" t="e">
        <f>#REF!</f>
        <v>#REF!</v>
      </c>
      <c r="E164" s="138" t="e">
        <f t="shared" si="32"/>
        <v>#REF!</v>
      </c>
      <c r="F164" s="31" t="e">
        <f>#REF!</f>
        <v>#REF!</v>
      </c>
      <c r="G164" s="142" t="e">
        <f t="shared" si="33"/>
        <v>#REF!</v>
      </c>
      <c r="H164" s="2"/>
    </row>
    <row r="165" spans="1:8" x14ac:dyDescent="0.25">
      <c r="A165" s="10" t="str">
        <v>$60,000-74,999</v>
      </c>
      <c r="B165" s="34" t="e">
        <f>#REF!</f>
        <v>#REF!</v>
      </c>
      <c r="C165" s="138" t="e">
        <f t="shared" si="31"/>
        <v>#REF!</v>
      </c>
      <c r="D165" s="34" t="e">
        <f>#REF!</f>
        <v>#REF!</v>
      </c>
      <c r="E165" s="138" t="e">
        <f t="shared" si="32"/>
        <v>#REF!</v>
      </c>
      <c r="F165" s="31" t="e">
        <f>#REF!</f>
        <v>#REF!</v>
      </c>
      <c r="G165" s="142" t="e">
        <f t="shared" si="33"/>
        <v>#REF!</v>
      </c>
      <c r="H165" s="2"/>
    </row>
    <row r="166" spans="1:8" x14ac:dyDescent="0.25">
      <c r="A166" s="10" t="str">
        <v>$75,000-99,999</v>
      </c>
      <c r="B166" s="34" t="e">
        <f>#REF!</f>
        <v>#REF!</v>
      </c>
      <c r="C166" s="138" t="e">
        <f t="shared" si="31"/>
        <v>#REF!</v>
      </c>
      <c r="D166" s="34" t="e">
        <f>#REF!</f>
        <v>#REF!</v>
      </c>
      <c r="E166" s="138" t="e">
        <f t="shared" si="32"/>
        <v>#REF!</v>
      </c>
      <c r="F166" s="31" t="e">
        <f>#REF!</f>
        <v>#REF!</v>
      </c>
      <c r="G166" s="142" t="e">
        <f t="shared" si="33"/>
        <v>#REF!</v>
      </c>
      <c r="H166" s="2"/>
    </row>
    <row r="167" spans="1:8" x14ac:dyDescent="0.25">
      <c r="A167" s="10" t="str">
        <v>$100,000-124,999</v>
      </c>
      <c r="B167" s="34" t="e">
        <f>#REF!</f>
        <v>#REF!</v>
      </c>
      <c r="C167" s="138" t="e">
        <f t="shared" si="31"/>
        <v>#REF!</v>
      </c>
      <c r="D167" s="34" t="e">
        <f>#REF!</f>
        <v>#REF!</v>
      </c>
      <c r="E167" s="138" t="e">
        <f t="shared" si="32"/>
        <v>#REF!</v>
      </c>
      <c r="F167" s="31" t="e">
        <f>#REF!</f>
        <v>#REF!</v>
      </c>
      <c r="G167" s="142" t="e">
        <f t="shared" si="33"/>
        <v>#REF!</v>
      </c>
      <c r="H167" s="2"/>
    </row>
    <row r="168" spans="1:8" x14ac:dyDescent="0.25">
      <c r="A168" s="10" t="str">
        <v>$125,000-149,999</v>
      </c>
      <c r="B168" s="34" t="e">
        <f>#REF!</f>
        <v>#REF!</v>
      </c>
      <c r="C168" s="138" t="e">
        <f t="shared" si="31"/>
        <v>#REF!</v>
      </c>
      <c r="D168" s="34" t="e">
        <f>#REF!</f>
        <v>#REF!</v>
      </c>
      <c r="E168" s="138" t="e">
        <f t="shared" si="32"/>
        <v>#REF!</v>
      </c>
      <c r="F168" s="31" t="e">
        <f>#REF!</f>
        <v>#REF!</v>
      </c>
      <c r="G168" s="142" t="e">
        <f t="shared" si="33"/>
        <v>#REF!</v>
      </c>
      <c r="H168" s="2"/>
    </row>
    <row r="169" spans="1:8" x14ac:dyDescent="0.25">
      <c r="A169" s="10" t="str">
        <v>$150,000-199,999</v>
      </c>
      <c r="B169" s="34" t="e">
        <f>#REF!</f>
        <v>#REF!</v>
      </c>
      <c r="C169" s="138" t="e">
        <f t="shared" si="31"/>
        <v>#REF!</v>
      </c>
      <c r="D169" s="34" t="e">
        <f>#REF!</f>
        <v>#REF!</v>
      </c>
      <c r="E169" s="138" t="e">
        <f t="shared" si="32"/>
        <v>#REF!</v>
      </c>
      <c r="F169" s="31" t="e">
        <f>#REF!</f>
        <v>#REF!</v>
      </c>
      <c r="G169" s="142" t="e">
        <f t="shared" si="33"/>
        <v>#REF!</v>
      </c>
      <c r="H169" s="2"/>
    </row>
    <row r="170" spans="1:8" x14ac:dyDescent="0.25">
      <c r="A170" s="10" t="str">
        <v>$200,000+</v>
      </c>
      <c r="B170" s="34" t="e">
        <f>#REF!</f>
        <v>#REF!</v>
      </c>
      <c r="C170" s="138" t="e">
        <f t="shared" si="31"/>
        <v>#REF!</v>
      </c>
      <c r="D170" s="34" t="e">
        <f>#REF!</f>
        <v>#REF!</v>
      </c>
      <c r="E170" s="138" t="e">
        <f t="shared" si="32"/>
        <v>#REF!</v>
      </c>
      <c r="F170" s="31" t="e">
        <f>#REF!</f>
        <v>#REF!</v>
      </c>
      <c r="G170" s="142" t="e">
        <f t="shared" si="33"/>
        <v>#REF!</v>
      </c>
      <c r="H170" s="2"/>
    </row>
    <row r="171" spans="1:8" ht="13.8" thickBot="1" x14ac:dyDescent="0.3">
      <c r="A171" s="8" t="s">
        <v>11</v>
      </c>
      <c r="B171" s="32" t="e">
        <f t="shared" ref="B171:G171" si="34">SUM(B159:B170)</f>
        <v>#REF!</v>
      </c>
      <c r="C171" s="139" t="e">
        <f t="shared" si="34"/>
        <v>#REF!</v>
      </c>
      <c r="D171" s="32" t="e">
        <f t="shared" si="34"/>
        <v>#REF!</v>
      </c>
      <c r="E171" s="139" t="e">
        <f t="shared" si="34"/>
        <v>#REF!</v>
      </c>
      <c r="F171" s="33" t="e">
        <f t="shared" si="34"/>
        <v>#REF!</v>
      </c>
      <c r="G171" s="141" t="e">
        <f t="shared" si="34"/>
        <v>#REF!</v>
      </c>
      <c r="H171" s="2"/>
    </row>
    <row r="172" spans="1:8" ht="13.8" thickTop="1" x14ac:dyDescent="0.25">
      <c r="A172" s="187" t="str">
        <f>"Source: " &amp; Source_ESRI &amp; ", " &amp; Source_Novogradac &amp; ", " &amp; Source_Date</f>
        <v>Source: Esri Demographics 2016, Novogradac &amp; Company LLP, August 2017</v>
      </c>
      <c r="B172" s="187"/>
      <c r="C172" s="187"/>
      <c r="D172" s="187"/>
      <c r="E172" s="187"/>
      <c r="F172" s="187"/>
      <c r="G172" s="187"/>
      <c r="H172" s="2"/>
    </row>
    <row r="173" spans="1:8" x14ac:dyDescent="0.25">
      <c r="A173"/>
      <c r="B173"/>
      <c r="C173"/>
      <c r="D173"/>
      <c r="E173"/>
      <c r="F173"/>
      <c r="H173" s="2"/>
    </row>
    <row r="174" spans="1:8" ht="23.25" customHeight="1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</sheetData>
  <mergeCells count="2">
    <mergeCell ref="I76:N76"/>
    <mergeCell ref="O37:W37"/>
  </mergeCells>
  <phoneticPr fontId="17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0123" r:id="rId4" name="ToggleButton1">
          <controlPr defaultSize="0" autoLine="0" r:id="rId5">
            <anchor moveWithCells="1">
              <from>
                <xdr:col>4</xdr:col>
                <xdr:colOff>198120</xdr:colOff>
                <xdr:row>0</xdr:row>
                <xdr:rowOff>68580</xdr:rowOff>
              </from>
              <to>
                <xdr:col>4</xdr:col>
                <xdr:colOff>1104900</xdr:colOff>
                <xdr:row>3</xdr:row>
                <xdr:rowOff>22860</xdr:rowOff>
              </to>
            </anchor>
          </controlPr>
        </control>
      </mc:Choice>
      <mc:Fallback>
        <control shapeId="90123" r:id="rId4" name="ToggleButton1"/>
      </mc:Fallback>
    </mc:AlternateContent>
    <mc:AlternateContent xmlns:mc="http://schemas.openxmlformats.org/markup-compatibility/2006">
      <mc:Choice Requires="x14">
        <control shapeId="90124" r:id="rId6" name="ToggleButton2">
          <controlPr defaultSize="0" autoLine="0" r:id="rId7">
            <anchor moveWithCells="1">
              <from>
                <xdr:col>6</xdr:col>
                <xdr:colOff>99060</xdr:colOff>
                <xdr:row>0</xdr:row>
                <xdr:rowOff>68580</xdr:rowOff>
              </from>
              <to>
                <xdr:col>6</xdr:col>
                <xdr:colOff>815340</xdr:colOff>
                <xdr:row>3</xdr:row>
                <xdr:rowOff>15240</xdr:rowOff>
              </to>
            </anchor>
          </controlPr>
        </control>
      </mc:Choice>
      <mc:Fallback>
        <control shapeId="90124" r:id="rId6" name="ToggleButton2"/>
      </mc:Fallback>
    </mc:AlternateContent>
    <mc:AlternateContent xmlns:mc="http://schemas.openxmlformats.org/markup-compatibility/2006">
      <mc:Choice Requires="x14">
        <control shapeId="90125" r:id="rId8" name="ToggleButton3">
          <controlPr defaultSize="0" autoLine="0" r:id="rId9">
            <anchor moveWithCells="1">
              <from>
                <xdr:col>4</xdr:col>
                <xdr:colOff>1165860</xdr:colOff>
                <xdr:row>0</xdr:row>
                <xdr:rowOff>76200</xdr:rowOff>
              </from>
              <to>
                <xdr:col>5</xdr:col>
                <xdr:colOff>868680</xdr:colOff>
                <xdr:row>3</xdr:row>
                <xdr:rowOff>7620</xdr:rowOff>
              </to>
            </anchor>
          </controlPr>
        </control>
      </mc:Choice>
      <mc:Fallback>
        <control shapeId="90125" r:id="rId8" name="ToggleButton3"/>
      </mc:Fallback>
    </mc:AlternateContent>
    <mc:AlternateContent xmlns:mc="http://schemas.openxmlformats.org/markup-compatibility/2006">
      <mc:Choice Requires="x14">
        <control shapeId="90126" r:id="rId10" name="ToggleButton4">
          <controlPr defaultSize="0" autoLine="0" r:id="rId11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90126" r:id="rId10" name="ToggleButton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/>
  <dimension ref="A1:U235"/>
  <sheetViews>
    <sheetView zoomScale="80" zoomScaleNormal="80" workbookViewId="0">
      <selection activeCell="N18" sqref="N18"/>
    </sheetView>
  </sheetViews>
  <sheetFormatPr defaultColWidth="9.109375" defaultRowHeight="13.2" x14ac:dyDescent="0.25"/>
  <cols>
    <col min="1" max="13" width="17.6640625" style="12" customWidth="1"/>
    <col min="14" max="14" width="17.88671875" style="12" customWidth="1"/>
    <col min="15" max="21" width="9.109375" style="12" customWidth="1"/>
    <col min="22" max="16384" width="9.109375" style="12"/>
  </cols>
  <sheetData>
    <row r="1" spans="1:11" x14ac:dyDescent="0.25">
      <c r="A1" s="443" t="str">
        <f>"Years from " &amp; ESRI_IY &amp; " to " &amp; ESRI_CY &amp; ":"</f>
        <v>Years from 2010 to 2016:</v>
      </c>
      <c r="B1" s="444">
        <f>(ESRI_CY-ESRI_IY)+0.25</f>
        <v>6.25</v>
      </c>
      <c r="C1" s="445" t="s">
        <v>165</v>
      </c>
      <c r="D1" s="446" t="str">
        <f>"7/1/" &amp; ESRI_CY</f>
        <v>7/1/2016</v>
      </c>
      <c r="E1" s="18"/>
    </row>
    <row r="2" spans="1:11" x14ac:dyDescent="0.25">
      <c r="A2" s="210"/>
      <c r="B2" s="229"/>
      <c r="C2" s="229"/>
      <c r="D2" s="229"/>
      <c r="E2" s="229"/>
    </row>
    <row r="3" spans="1:11" x14ac:dyDescent="0.25">
      <c r="E3" s="229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7"/>
      <c r="C5" s="2"/>
      <c r="D5" s="2"/>
      <c r="E5" s="2"/>
      <c r="F5" s="2"/>
      <c r="G5" s="2"/>
      <c r="H5" s="2"/>
    </row>
    <row r="6" spans="1:11" ht="15.6" x14ac:dyDescent="0.25">
      <c r="A6" s="447" t="s">
        <v>172</v>
      </c>
      <c r="B6" s="447"/>
      <c r="C6" s="447"/>
      <c r="D6" s="447"/>
      <c r="E6" s="447"/>
      <c r="F6" s="447"/>
      <c r="G6" s="447"/>
      <c r="H6" s="2"/>
    </row>
    <row r="7" spans="1:11" s="295" customFormat="1" x14ac:dyDescent="0.25">
      <c r="A7" s="481" t="s">
        <v>38</v>
      </c>
      <c r="B7" s="449" t="e">
        <f>PMA_Name</f>
        <v>#REF!</v>
      </c>
      <c r="C7" s="450"/>
      <c r="D7" s="449" t="e">
        <f>SMA_Name</f>
        <v>#REF!</v>
      </c>
      <c r="E7" s="450"/>
      <c r="F7" s="463" t="e">
        <f>USA_Name</f>
        <v>#REF!</v>
      </c>
      <c r="G7" s="464"/>
      <c r="H7" s="7"/>
      <c r="I7" s="248" t="s">
        <v>41</v>
      </c>
      <c r="J7" s="248"/>
      <c r="K7" s="248"/>
    </row>
    <row r="8" spans="1:11" ht="15.6" x14ac:dyDescent="0.25">
      <c r="A8" s="451"/>
      <c r="B8" s="452" t="s">
        <v>44</v>
      </c>
      <c r="C8" s="452" t="s">
        <v>43</v>
      </c>
      <c r="D8" s="452" t="s">
        <v>42</v>
      </c>
      <c r="E8" s="452" t="s">
        <v>43</v>
      </c>
      <c r="F8" s="452" t="s">
        <v>44</v>
      </c>
      <c r="G8" s="452" t="s">
        <v>43</v>
      </c>
      <c r="H8" s="2"/>
      <c r="I8" s="249" t="s">
        <v>164</v>
      </c>
      <c r="J8" s="249"/>
      <c r="K8" s="249"/>
    </row>
    <row r="9" spans="1:11" x14ac:dyDescent="0.25">
      <c r="A9" s="473">
        <f>ESRI_BY</f>
        <v>2000</v>
      </c>
      <c r="B9" s="104" t="e">
        <f>#REF!</f>
        <v>#REF!</v>
      </c>
      <c r="C9" s="441" t="s">
        <v>45</v>
      </c>
      <c r="D9" s="104" t="e">
        <f>#REF!</f>
        <v>#REF!</v>
      </c>
      <c r="E9" s="441" t="s">
        <v>45</v>
      </c>
      <c r="F9" s="104" t="e">
        <f>#REF!</f>
        <v>#REF!</v>
      </c>
      <c r="G9" s="441" t="s">
        <v>45</v>
      </c>
      <c r="H9" s="2"/>
      <c r="I9" s="220">
        <v>1999</v>
      </c>
      <c r="J9" s="221"/>
      <c r="K9" s="222" t="s">
        <v>45</v>
      </c>
    </row>
    <row r="10" spans="1:11" x14ac:dyDescent="0.25">
      <c r="A10" s="473">
        <f>ESRI_IY</f>
        <v>2010</v>
      </c>
      <c r="B10" s="104" t="e">
        <f>#REF!</f>
        <v>#REF!</v>
      </c>
      <c r="C10" s="441" t="e">
        <f>(B10-B9)/B9/10</f>
        <v>#REF!</v>
      </c>
      <c r="D10" s="104" t="e">
        <f>+#REF!</f>
        <v>#REF!</v>
      </c>
      <c r="E10" s="441" t="e">
        <f>(D10-D9)/D9/10</f>
        <v>#REF!</v>
      </c>
      <c r="F10" s="104" t="e">
        <f>+#REF!</f>
        <v>#REF!</v>
      </c>
      <c r="G10" s="441" t="e">
        <f>(F10-F9)/F9/10</f>
        <v>#REF!</v>
      </c>
      <c r="H10" s="2"/>
      <c r="I10" s="220">
        <v>2000</v>
      </c>
      <c r="J10" s="221"/>
      <c r="K10" s="223" t="e">
        <f>(J10-J9)/J9</f>
        <v>#DIV/0!</v>
      </c>
    </row>
    <row r="11" spans="1:11" x14ac:dyDescent="0.25">
      <c r="A11" s="473">
        <f>ESRI_CY</f>
        <v>2016</v>
      </c>
      <c r="B11" s="104" t="e">
        <f>#REF!</f>
        <v>#REF!</v>
      </c>
      <c r="C11" s="441" t="e">
        <f>(B11-B10)/B10/$B$1</f>
        <v>#REF!</v>
      </c>
      <c r="D11" s="104" t="e">
        <f>#REF!</f>
        <v>#REF!</v>
      </c>
      <c r="E11" s="441" t="e">
        <f>(D11-D10)/D10/$B$1</f>
        <v>#REF!</v>
      </c>
      <c r="F11" s="454" t="e">
        <f>#REF!</f>
        <v>#REF!</v>
      </c>
      <c r="G11" s="441" t="e">
        <f>(F11-F10)/F10/$B$1</f>
        <v>#REF!</v>
      </c>
      <c r="H11" s="2"/>
      <c r="I11" s="220">
        <v>2001</v>
      </c>
      <c r="J11" s="221"/>
      <c r="K11" s="223" t="e">
        <f>(J11-J10)/J10</f>
        <v>#DIV/0!</v>
      </c>
    </row>
    <row r="12" spans="1:11" s="18" customFormat="1" ht="13.8" thickBot="1" x14ac:dyDescent="0.25">
      <c r="A12" s="455">
        <f>ESRI_FY</f>
        <v>2021</v>
      </c>
      <c r="B12" s="456" t="e">
        <f>#REF!</f>
        <v>#REF!</v>
      </c>
      <c r="C12" s="442" t="e">
        <f>+(B12-B11)/B11/5</f>
        <v>#REF!</v>
      </c>
      <c r="D12" s="456" t="e">
        <f>#REF!</f>
        <v>#REF!</v>
      </c>
      <c r="E12" s="442" t="e">
        <f>+(D12-D11)/D11/5</f>
        <v>#REF!</v>
      </c>
      <c r="F12" s="457" t="e">
        <f>#REF!</f>
        <v>#REF!</v>
      </c>
      <c r="G12" s="442" t="e">
        <f>+(F12-F11)/F11/5</f>
        <v>#REF!</v>
      </c>
      <c r="H12" s="22"/>
      <c r="I12" s="220">
        <v>2002</v>
      </c>
      <c r="J12" s="221"/>
      <c r="K12" s="223" t="e">
        <f>(J12-J11)/J11</f>
        <v>#DIV/0!</v>
      </c>
    </row>
    <row r="13" spans="1:11" s="18" customFormat="1" ht="13.8" thickTop="1" x14ac:dyDescent="0.2">
      <c r="A13" s="458" t="str">
        <f>"Source: " &amp; Source_ESRI &amp; ", " &amp; Source_Novogradac &amp; ", " &amp; Source_Date</f>
        <v>Source: Esri Demographics 2016, Novogradac &amp; Company LLP, August 2017</v>
      </c>
      <c r="B13" s="458"/>
      <c r="C13" s="458"/>
      <c r="D13" s="458"/>
      <c r="E13" s="458"/>
      <c r="F13" s="458"/>
      <c r="G13" s="458"/>
      <c r="H13" s="22"/>
      <c r="I13" s="220">
        <v>2003</v>
      </c>
      <c r="J13" s="221"/>
      <c r="K13" s="223" t="e">
        <f>(J13-J12)/J12</f>
        <v>#DIV/0!</v>
      </c>
    </row>
    <row r="14" spans="1:11" x14ac:dyDescent="0.25">
      <c r="A14" s="459"/>
      <c r="B14" s="459"/>
      <c r="C14" s="459"/>
      <c r="D14" s="459"/>
      <c r="E14" s="459"/>
      <c r="F14" s="459"/>
      <c r="G14" s="459"/>
      <c r="H14" s="2"/>
      <c r="I14" s="220">
        <v>2004</v>
      </c>
      <c r="J14" s="221"/>
      <c r="K14" s="223" t="e">
        <f>(J14-J13)/J13</f>
        <v>#DIV/0!</v>
      </c>
    </row>
    <row r="15" spans="1:11" x14ac:dyDescent="0.25">
      <c r="A15" s="460"/>
      <c r="B15" s="461"/>
      <c r="C15" s="461"/>
      <c r="D15" s="461"/>
      <c r="E15" s="461"/>
      <c r="F15" s="461"/>
      <c r="G15" s="461"/>
      <c r="H15" s="2"/>
      <c r="I15" s="220">
        <v>2005</v>
      </c>
      <c r="J15" s="221"/>
      <c r="K15" s="223" t="e">
        <f t="shared" ref="K15:K20" si="0">(J15-J14)/J14</f>
        <v>#DIV/0!</v>
      </c>
    </row>
    <row r="16" spans="1:11" ht="15.6" x14ac:dyDescent="0.25">
      <c r="A16" s="462" t="s">
        <v>173</v>
      </c>
      <c r="B16" s="462"/>
      <c r="C16" s="462"/>
      <c r="D16" s="462"/>
      <c r="E16" s="462"/>
      <c r="F16" s="462"/>
      <c r="G16" s="462"/>
      <c r="H16" s="2"/>
      <c r="I16" s="220">
        <v>2006</v>
      </c>
      <c r="J16" s="221"/>
      <c r="K16" s="223" t="e">
        <f t="shared" si="0"/>
        <v>#DIV/0!</v>
      </c>
    </row>
    <row r="17" spans="1:11" x14ac:dyDescent="0.25">
      <c r="A17" s="440" t="s">
        <v>38</v>
      </c>
      <c r="B17" s="449" t="e">
        <f>PMA_Name</f>
        <v>#REF!</v>
      </c>
      <c r="C17" s="450"/>
      <c r="D17" s="449" t="e">
        <f>SMA_Name</f>
        <v>#REF!</v>
      </c>
      <c r="E17" s="450"/>
      <c r="F17" s="463" t="e">
        <f>USA_Name</f>
        <v>#REF!</v>
      </c>
      <c r="G17" s="464"/>
      <c r="H17" s="2"/>
      <c r="I17" s="220">
        <v>2007</v>
      </c>
      <c r="J17" s="221"/>
      <c r="K17" s="223" t="e">
        <f t="shared" si="0"/>
        <v>#DIV/0!</v>
      </c>
    </row>
    <row r="18" spans="1:11" ht="15.6" x14ac:dyDescent="0.25">
      <c r="A18" s="451"/>
      <c r="B18" s="452" t="s">
        <v>44</v>
      </c>
      <c r="C18" s="452" t="s">
        <v>43</v>
      </c>
      <c r="D18" s="452" t="s">
        <v>42</v>
      </c>
      <c r="E18" s="452" t="s">
        <v>43</v>
      </c>
      <c r="F18" s="452" t="s">
        <v>44</v>
      </c>
      <c r="G18" s="452" t="s">
        <v>43</v>
      </c>
      <c r="H18" s="2"/>
      <c r="I18" s="220">
        <v>2008</v>
      </c>
      <c r="J18" s="221"/>
      <c r="K18" s="223" t="e">
        <f t="shared" si="0"/>
        <v>#DIV/0!</v>
      </c>
    </row>
    <row r="19" spans="1:11" x14ac:dyDescent="0.25">
      <c r="A19" s="473">
        <f>ESRI_BY</f>
        <v>2000</v>
      </c>
      <c r="B19" s="104" t="e">
        <f>#REF!</f>
        <v>#REF!</v>
      </c>
      <c r="C19" s="441" t="s">
        <v>45</v>
      </c>
      <c r="D19" s="104" t="e">
        <f>#REF!</f>
        <v>#REF!</v>
      </c>
      <c r="E19" s="441" t="s">
        <v>45</v>
      </c>
      <c r="F19" s="104" t="e">
        <f>#REF!</f>
        <v>#REF!</v>
      </c>
      <c r="G19" s="441" t="s">
        <v>45</v>
      </c>
      <c r="H19" s="2"/>
      <c r="I19" s="220">
        <v>2009</v>
      </c>
      <c r="J19" s="221"/>
      <c r="K19" s="223" t="e">
        <f t="shared" si="0"/>
        <v>#DIV/0!</v>
      </c>
    </row>
    <row r="20" spans="1:11" ht="13.8" thickBot="1" x14ac:dyDescent="0.3">
      <c r="A20" s="473">
        <f>ESRI_IY</f>
        <v>2010</v>
      </c>
      <c r="B20" s="104" t="e">
        <f>#REF!</f>
        <v>#REF!</v>
      </c>
      <c r="C20" s="441" t="s">
        <v>45</v>
      </c>
      <c r="D20" s="104" t="e">
        <f>+#REF!</f>
        <v>#REF!</v>
      </c>
      <c r="E20" s="441" t="s">
        <v>45</v>
      </c>
      <c r="F20" s="104" t="e">
        <f>+#REF!</f>
        <v>#REF!</v>
      </c>
      <c r="G20" s="441" t="s">
        <v>45</v>
      </c>
      <c r="H20" s="2"/>
      <c r="I20" s="220">
        <v>2010</v>
      </c>
      <c r="J20" s="221"/>
      <c r="K20" s="223" t="e">
        <f t="shared" si="0"/>
        <v>#DIV/0!</v>
      </c>
    </row>
    <row r="21" spans="1:11" s="18" customFormat="1" ht="13.8" thickTop="1" x14ac:dyDescent="0.2">
      <c r="A21" s="473">
        <f>ESRI_CY</f>
        <v>2016</v>
      </c>
      <c r="B21" s="104" t="e">
        <f>#REF!</f>
        <v>#REF!</v>
      </c>
      <c r="C21" s="441" t="e">
        <f>(B21-B20)/B20/$B$1</f>
        <v>#REF!</v>
      </c>
      <c r="D21" s="104" t="e">
        <f>#REF!</f>
        <v>#REF!</v>
      </c>
      <c r="E21" s="441" t="e">
        <f>(D21-D20)/D20/$B$1</f>
        <v>#REF!</v>
      </c>
      <c r="F21" s="454" t="e">
        <f>#REF!</f>
        <v>#REF!</v>
      </c>
      <c r="G21" s="441" t="e">
        <f>(F21-F20)/F20/$B$1</f>
        <v>#REF!</v>
      </c>
      <c r="H21" s="22"/>
      <c r="I21" s="211" t="str">
        <f>"Source: " &amp; Source_Novogradac &amp; ", " &amp; Source_Date</f>
        <v>Source: Novogradac &amp; Company LLP, August 2017</v>
      </c>
      <c r="J21" s="211"/>
      <c r="K21" s="211"/>
    </row>
    <row r="22" spans="1:11" ht="13.8" thickBot="1" x14ac:dyDescent="0.3">
      <c r="A22" s="455">
        <f>ESRI_FY</f>
        <v>2021</v>
      </c>
      <c r="B22" s="456" t="e">
        <f>#REF!</f>
        <v>#REF!</v>
      </c>
      <c r="C22" s="442" t="e">
        <f>+(B22-B21)/B21/5</f>
        <v>#REF!</v>
      </c>
      <c r="D22" s="456" t="e">
        <f>#REF!</f>
        <v>#REF!</v>
      </c>
      <c r="E22" s="442" t="e">
        <f>+(D22-D21)/D21/5</f>
        <v>#REF!</v>
      </c>
      <c r="F22" s="457" t="e">
        <f>#REF!</f>
        <v>#REF!</v>
      </c>
      <c r="G22" s="442" t="e">
        <f>+(F22-F21)/F21/5</f>
        <v>#REF!</v>
      </c>
      <c r="H22" s="2"/>
    </row>
    <row r="23" spans="1:11" ht="13.8" thickTop="1" x14ac:dyDescent="0.25">
      <c r="A23" s="458" t="str">
        <f>"Source: " &amp; Source_ESRI &amp; ", " &amp; Source_Novogradac &amp; ", " &amp; Source_Date</f>
        <v>Source: Esri Demographics 2016, Novogradac &amp; Company LLP, August 2017</v>
      </c>
      <c r="B23" s="458"/>
      <c r="C23" s="458"/>
      <c r="D23" s="458"/>
      <c r="E23" s="458"/>
      <c r="F23" s="458"/>
      <c r="G23" s="458"/>
      <c r="H23" s="2"/>
    </row>
    <row r="24" spans="1:11" x14ac:dyDescent="0.25">
      <c r="A24" s="2"/>
      <c r="B24" s="2"/>
      <c r="C24" s="2"/>
      <c r="D24" s="2"/>
      <c r="E24" s="2"/>
      <c r="F24" s="188"/>
      <c r="G24" s="188"/>
      <c r="H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</row>
    <row r="26" spans="1:11" ht="15.6" x14ac:dyDescent="0.3">
      <c r="A26" s="224" t="s">
        <v>48</v>
      </c>
      <c r="B26" s="224"/>
      <c r="C26" s="224"/>
      <c r="D26" s="224"/>
      <c r="E26" s="224"/>
      <c r="F26" s="224"/>
      <c r="G26" s="224"/>
      <c r="H26" s="2"/>
      <c r="I26" s="18"/>
      <c r="J26" s="18"/>
      <c r="K26" s="18"/>
    </row>
    <row r="27" spans="1:11" x14ac:dyDescent="0.25">
      <c r="A27" s="132" t="s">
        <v>38</v>
      </c>
      <c r="B27" s="319" t="e">
        <f>PMA_Name</f>
        <v>#REF!</v>
      </c>
      <c r="C27" s="320"/>
      <c r="D27" s="319" t="e">
        <f>SMA_Name</f>
        <v>#REF!</v>
      </c>
      <c r="E27" s="320"/>
      <c r="F27" s="321" t="e">
        <f>USA_Name</f>
        <v>#REF!</v>
      </c>
      <c r="G27" s="322"/>
      <c r="H27" s="2"/>
    </row>
    <row r="28" spans="1:11" s="18" customFormat="1" ht="15.6" x14ac:dyDescent="0.3">
      <c r="A28" s="37"/>
      <c r="B28" s="189" t="s">
        <v>44</v>
      </c>
      <c r="C28" s="189" t="s">
        <v>43</v>
      </c>
      <c r="D28" s="189" t="s">
        <v>42</v>
      </c>
      <c r="E28" s="189" t="s">
        <v>43</v>
      </c>
      <c r="F28" s="299"/>
      <c r="G28" s="299"/>
      <c r="H28" s="22"/>
      <c r="I28" s="12"/>
      <c r="J28" s="12"/>
      <c r="K28" s="12"/>
    </row>
    <row r="29" spans="1:11" x14ac:dyDescent="0.25">
      <c r="A29" s="297" t="s">
        <v>127</v>
      </c>
      <c r="B29" s="297"/>
      <c r="C29" s="297"/>
      <c r="D29" s="297"/>
      <c r="E29" s="297"/>
      <c r="F29" s="297"/>
      <c r="G29" s="297"/>
      <c r="H29" s="2"/>
    </row>
    <row r="30" spans="1:11" x14ac:dyDescent="0.25">
      <c r="A30" s="190">
        <f>ESRI_CY</f>
        <v>2016</v>
      </c>
      <c r="B30" s="25" t="e">
        <f>#REF!</f>
        <v>#REF!</v>
      </c>
      <c r="C30" s="138" t="s">
        <v>45</v>
      </c>
      <c r="D30" s="25" t="e">
        <f>#REF!</f>
        <v>#REF!</v>
      </c>
      <c r="E30" s="138" t="s">
        <v>45</v>
      </c>
      <c r="F30" s="191" t="e">
        <f>#REF!</f>
        <v>#REF!</v>
      </c>
      <c r="G30" s="138" t="s">
        <v>45</v>
      </c>
      <c r="H30" s="2"/>
    </row>
    <row r="31" spans="1:11" ht="13.8" thickBot="1" x14ac:dyDescent="0.3">
      <c r="A31" s="192">
        <f>ESRI_FY</f>
        <v>2021</v>
      </c>
      <c r="B31" s="193" t="e">
        <f>#REF!</f>
        <v>#REF!</v>
      </c>
      <c r="C31" s="206" t="e">
        <f>+(B31-B30)/B30/5</f>
        <v>#REF!</v>
      </c>
      <c r="D31" s="193" t="e">
        <f>#REF!</f>
        <v>#REF!</v>
      </c>
      <c r="E31" s="206" t="e">
        <f>+(D31-D30)/D30/5</f>
        <v>#REF!</v>
      </c>
      <c r="F31" s="194" t="e">
        <f>#REF!</f>
        <v>#REF!</v>
      </c>
      <c r="G31" s="206" t="e">
        <f>+(F31-F30)/F30/5</f>
        <v>#REF!</v>
      </c>
      <c r="H31" s="2"/>
    </row>
    <row r="32" spans="1:11" ht="13.8" thickTop="1" x14ac:dyDescent="0.25">
      <c r="A32" s="187" t="str">
        <f>"Source: " &amp; Source_ESRI &amp; ", " &amp; Source_Novogradac &amp; ", " &amp; Source_Date</f>
        <v>Source: Esri Demographics 2016, Novogradac &amp; Company LLP, August 2017</v>
      </c>
      <c r="B32" s="187"/>
      <c r="C32" s="187"/>
      <c r="D32" s="187"/>
      <c r="E32" s="187"/>
      <c r="F32" s="187"/>
      <c r="G32" s="187"/>
      <c r="H32" s="2"/>
    </row>
    <row r="33" spans="1:13" x14ac:dyDescent="0.25">
      <c r="A33" s="195"/>
      <c r="B33" s="195"/>
      <c r="C33" s="195"/>
      <c r="D33" s="195"/>
      <c r="E33" s="195"/>
      <c r="F33" s="195"/>
      <c r="G33" s="195"/>
      <c r="H33" s="2"/>
      <c r="I33" s="18"/>
      <c r="J33" s="18"/>
      <c r="K33" s="18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18"/>
      <c r="J34" s="18"/>
      <c r="K34" s="18"/>
    </row>
    <row r="35" spans="1:13" ht="15.6" x14ac:dyDescent="0.3">
      <c r="A35" s="4" t="str">
        <f>"HOUSEHOLD INCOME OF SENIORS 75+ IN " &amp; ESRI_CY</f>
        <v>HOUSEHOLD INCOME OF SENIORS 75+ IN 2016</v>
      </c>
      <c r="B35" s="4"/>
      <c r="C35" s="4"/>
      <c r="D35" s="4"/>
      <c r="E35" s="4"/>
      <c r="F35" s="4"/>
      <c r="G35" s="4"/>
      <c r="H35" s="2"/>
    </row>
    <row r="36" spans="1:13" ht="15.6" x14ac:dyDescent="0.3">
      <c r="A36" s="132" t="s">
        <v>50</v>
      </c>
      <c r="B36" s="319" t="e">
        <f>PMA_Name</f>
        <v>#REF!</v>
      </c>
      <c r="C36" s="320"/>
      <c r="D36" s="319" t="e">
        <f>SMA_Name</f>
        <v>#REF!</v>
      </c>
      <c r="E36" s="320"/>
      <c r="F36" s="321" t="e">
        <f>USA_Name</f>
        <v>#REF!</v>
      </c>
      <c r="G36" s="322"/>
      <c r="H36" s="326"/>
      <c r="I36" s="4" t="s">
        <v>174</v>
      </c>
      <c r="J36" s="4"/>
      <c r="K36" s="4"/>
      <c r="L36" s="4"/>
      <c r="M36" s="4"/>
    </row>
    <row r="37" spans="1:13" ht="15.6" x14ac:dyDescent="0.3">
      <c r="A37" s="37"/>
      <c r="B37" s="298" t="s">
        <v>44</v>
      </c>
      <c r="C37" s="298" t="s">
        <v>51</v>
      </c>
      <c r="D37" s="298" t="s">
        <v>44</v>
      </c>
      <c r="E37" s="298" t="s">
        <v>51</v>
      </c>
      <c r="F37" s="298" t="s">
        <v>42</v>
      </c>
      <c r="G37" s="298" t="s">
        <v>51</v>
      </c>
      <c r="H37" s="36"/>
      <c r="I37" s="209" t="s">
        <v>50</v>
      </c>
      <c r="J37" s="227">
        <f>ESRI_CY</f>
        <v>2016</v>
      </c>
      <c r="K37" s="227"/>
      <c r="L37" s="227">
        <f>ESRI_FY</f>
        <v>2021</v>
      </c>
      <c r="M37" s="227"/>
    </row>
    <row r="38" spans="1:13" ht="15.6" x14ac:dyDescent="0.3">
      <c r="A38" s="10" t="str">
        <f t="array" ref="A38:A49">Novo_Cohort_Ref</f>
        <v>$0-9,999</v>
      </c>
      <c r="B38" s="34" t="e">
        <f>#REF!+#REF!</f>
        <v>#REF!</v>
      </c>
      <c r="C38" s="138" t="e">
        <f t="shared" ref="C38:C49" si="1">B38/$B$50</f>
        <v>#REF!</v>
      </c>
      <c r="D38" s="34" t="e">
        <f>#REF!+#REF!</f>
        <v>#REF!</v>
      </c>
      <c r="E38" s="138" t="e">
        <f t="shared" ref="E38:E49" si="2">D38/$D$50</f>
        <v>#REF!</v>
      </c>
      <c r="F38" s="34" t="e">
        <f>#REF!+#REF!</f>
        <v>#REF!</v>
      </c>
      <c r="G38" s="140" t="e">
        <f t="shared" ref="G38:G49" si="3">F38/$F$50</f>
        <v>#REF!</v>
      </c>
      <c r="H38" s="2"/>
      <c r="I38" s="37"/>
      <c r="J38" s="293" t="s">
        <v>44</v>
      </c>
      <c r="K38" s="293" t="s">
        <v>51</v>
      </c>
      <c r="L38" s="293" t="s">
        <v>44</v>
      </c>
      <c r="M38" s="293" t="s">
        <v>51</v>
      </c>
    </row>
    <row r="39" spans="1:13" x14ac:dyDescent="0.25">
      <c r="A39" s="10" t="str">
        <v>$10,000-19,999</v>
      </c>
      <c r="B39" s="34" t="e">
        <f>#REF!+#REF!</f>
        <v>#REF!</v>
      </c>
      <c r="C39" s="138" t="e">
        <f t="shared" si="1"/>
        <v>#REF!</v>
      </c>
      <c r="D39" s="34" t="e">
        <f>#REF!+#REF!</f>
        <v>#REF!</v>
      </c>
      <c r="E39" s="138" t="e">
        <f t="shared" si="2"/>
        <v>#REF!</v>
      </c>
      <c r="F39" s="34" t="e">
        <f>#REF!+#REF!</f>
        <v>#REF!</v>
      </c>
      <c r="G39" s="140" t="e">
        <f t="shared" si="3"/>
        <v>#REF!</v>
      </c>
      <c r="H39" s="2"/>
      <c r="I39" s="10" t="str">
        <f t="array" ref="I39:I50">Novo_Cohort_Ref</f>
        <v>$0-9,999</v>
      </c>
      <c r="J39" s="34" t="e">
        <f>#REF!</f>
        <v>#REF!</v>
      </c>
      <c r="K39" s="138" t="e">
        <f>J39/J$51</f>
        <v>#REF!</v>
      </c>
      <c r="L39" s="34" t="e">
        <f>#REF!</f>
        <v>#REF!</v>
      </c>
      <c r="M39" s="138" t="e">
        <f>L39/L$51</f>
        <v>#REF!</v>
      </c>
    </row>
    <row r="40" spans="1:13" x14ac:dyDescent="0.25">
      <c r="A40" s="10" t="str">
        <v>$20,000-29,999</v>
      </c>
      <c r="B40" s="34" t="e">
        <f>#REF!+#REF!</f>
        <v>#REF!</v>
      </c>
      <c r="C40" s="138" t="e">
        <f t="shared" si="1"/>
        <v>#REF!</v>
      </c>
      <c r="D40" s="34" t="e">
        <f>#REF!+#REF!</f>
        <v>#REF!</v>
      </c>
      <c r="E40" s="138" t="e">
        <f t="shared" si="2"/>
        <v>#REF!</v>
      </c>
      <c r="F40" s="34" t="e">
        <f>#REF!+#REF!</f>
        <v>#REF!</v>
      </c>
      <c r="G40" s="140" t="e">
        <f t="shared" si="3"/>
        <v>#REF!</v>
      </c>
      <c r="H40" s="2"/>
      <c r="I40" s="10" t="str">
        <v>$10,000-19,999</v>
      </c>
      <c r="J40" s="34" t="e">
        <f>#REF!</f>
        <v>#REF!</v>
      </c>
      <c r="K40" s="138" t="e">
        <f t="shared" ref="K40:K50" si="4">J40/J$51</f>
        <v>#REF!</v>
      </c>
      <c r="L40" s="34" t="e">
        <f>#REF!</f>
        <v>#REF!</v>
      </c>
      <c r="M40" s="138" t="e">
        <f t="shared" ref="M40:M50" si="5">L40/L$51</f>
        <v>#REF!</v>
      </c>
    </row>
    <row r="41" spans="1:13" x14ac:dyDescent="0.25">
      <c r="A41" s="10" t="str">
        <v>$30,000-39,999</v>
      </c>
      <c r="B41" s="34" t="e">
        <f>#REF!+#REF!</f>
        <v>#REF!</v>
      </c>
      <c r="C41" s="138" t="e">
        <f t="shared" si="1"/>
        <v>#REF!</v>
      </c>
      <c r="D41" s="34" t="e">
        <f>#REF!+#REF!</f>
        <v>#REF!</v>
      </c>
      <c r="E41" s="138" t="e">
        <f t="shared" si="2"/>
        <v>#REF!</v>
      </c>
      <c r="F41" s="34" t="e">
        <f>#REF!+#REF!</f>
        <v>#REF!</v>
      </c>
      <c r="G41" s="140" t="e">
        <f t="shared" si="3"/>
        <v>#REF!</v>
      </c>
      <c r="H41" s="2"/>
      <c r="I41" s="10" t="str">
        <v>$20,000-29,999</v>
      </c>
      <c r="J41" s="34" t="e">
        <f>#REF!</f>
        <v>#REF!</v>
      </c>
      <c r="K41" s="138" t="e">
        <f t="shared" si="4"/>
        <v>#REF!</v>
      </c>
      <c r="L41" s="34" t="e">
        <f>#REF!</f>
        <v>#REF!</v>
      </c>
      <c r="M41" s="138" t="e">
        <f t="shared" si="5"/>
        <v>#REF!</v>
      </c>
    </row>
    <row r="42" spans="1:13" x14ac:dyDescent="0.25">
      <c r="A42" s="10" t="str">
        <v>$40,000-49,999</v>
      </c>
      <c r="B42" s="34" t="e">
        <f>#REF!+#REF!</f>
        <v>#REF!</v>
      </c>
      <c r="C42" s="138" t="e">
        <f t="shared" si="1"/>
        <v>#REF!</v>
      </c>
      <c r="D42" s="34" t="e">
        <f>#REF!+#REF!</f>
        <v>#REF!</v>
      </c>
      <c r="E42" s="138" t="e">
        <f t="shared" si="2"/>
        <v>#REF!</v>
      </c>
      <c r="F42" s="34" t="e">
        <f>#REF!+#REF!</f>
        <v>#REF!</v>
      </c>
      <c r="G42" s="140" t="e">
        <f t="shared" si="3"/>
        <v>#REF!</v>
      </c>
      <c r="H42" s="2"/>
      <c r="I42" s="10" t="str">
        <v>$30,000-39,999</v>
      </c>
      <c r="J42" s="34" t="e">
        <f>#REF!</f>
        <v>#REF!</v>
      </c>
      <c r="K42" s="138" t="e">
        <f t="shared" si="4"/>
        <v>#REF!</v>
      </c>
      <c r="L42" s="34" t="e">
        <f>#REF!</f>
        <v>#REF!</v>
      </c>
      <c r="M42" s="138" t="e">
        <f t="shared" si="5"/>
        <v>#REF!</v>
      </c>
    </row>
    <row r="43" spans="1:13" x14ac:dyDescent="0.25">
      <c r="A43" s="10" t="str">
        <v>$50,000-59,999</v>
      </c>
      <c r="B43" s="34" t="e">
        <f>#REF!+#REF!</f>
        <v>#REF!</v>
      </c>
      <c r="C43" s="138" t="e">
        <f t="shared" si="1"/>
        <v>#REF!</v>
      </c>
      <c r="D43" s="34" t="e">
        <f>#REF!+#REF!</f>
        <v>#REF!</v>
      </c>
      <c r="E43" s="138" t="e">
        <f t="shared" si="2"/>
        <v>#REF!</v>
      </c>
      <c r="F43" s="34" t="e">
        <f>#REF!+#REF!</f>
        <v>#REF!</v>
      </c>
      <c r="G43" s="140" t="e">
        <f t="shared" si="3"/>
        <v>#REF!</v>
      </c>
      <c r="H43" s="2"/>
      <c r="I43" s="10" t="str">
        <v>$40,000-49,999</v>
      </c>
      <c r="J43" s="34" t="e">
        <f>#REF!</f>
        <v>#REF!</v>
      </c>
      <c r="K43" s="138" t="e">
        <f t="shared" si="4"/>
        <v>#REF!</v>
      </c>
      <c r="L43" s="34" t="e">
        <f>#REF!</f>
        <v>#REF!</v>
      </c>
      <c r="M43" s="138" t="e">
        <f t="shared" si="5"/>
        <v>#REF!</v>
      </c>
    </row>
    <row r="44" spans="1:13" x14ac:dyDescent="0.25">
      <c r="A44" s="10" t="str">
        <v>$60,000-74,999</v>
      </c>
      <c r="B44" s="34" t="e">
        <f>#REF!+#REF!</f>
        <v>#REF!</v>
      </c>
      <c r="C44" s="138" t="e">
        <f t="shared" si="1"/>
        <v>#REF!</v>
      </c>
      <c r="D44" s="34" t="e">
        <f>#REF!+#REF!</f>
        <v>#REF!</v>
      </c>
      <c r="E44" s="138" t="e">
        <f t="shared" si="2"/>
        <v>#REF!</v>
      </c>
      <c r="F44" s="34" t="e">
        <f>#REF!+#REF!</f>
        <v>#REF!</v>
      </c>
      <c r="G44" s="140" t="e">
        <f t="shared" si="3"/>
        <v>#REF!</v>
      </c>
      <c r="H44" s="2"/>
      <c r="I44" s="10" t="str">
        <v>$50,000-59,999</v>
      </c>
      <c r="J44" s="34" t="e">
        <f>#REF!</f>
        <v>#REF!</v>
      </c>
      <c r="K44" s="138" t="e">
        <f t="shared" si="4"/>
        <v>#REF!</v>
      </c>
      <c r="L44" s="34" t="e">
        <f>#REF!</f>
        <v>#REF!</v>
      </c>
      <c r="M44" s="138" t="e">
        <f t="shared" si="5"/>
        <v>#REF!</v>
      </c>
    </row>
    <row r="45" spans="1:13" x14ac:dyDescent="0.25">
      <c r="A45" s="10" t="str">
        <v>$75,000-99,999</v>
      </c>
      <c r="B45" s="34" t="e">
        <f>#REF!+#REF!</f>
        <v>#REF!</v>
      </c>
      <c r="C45" s="138" t="e">
        <f t="shared" si="1"/>
        <v>#REF!</v>
      </c>
      <c r="D45" s="34" t="e">
        <f>#REF!+#REF!</f>
        <v>#REF!</v>
      </c>
      <c r="E45" s="138" t="e">
        <f t="shared" si="2"/>
        <v>#REF!</v>
      </c>
      <c r="F45" s="34" t="e">
        <f>#REF!+#REF!</f>
        <v>#REF!</v>
      </c>
      <c r="G45" s="140" t="e">
        <f t="shared" si="3"/>
        <v>#REF!</v>
      </c>
      <c r="H45" s="2"/>
      <c r="I45" s="10" t="str">
        <v>$60,000-74,999</v>
      </c>
      <c r="J45" s="34" t="e">
        <f>#REF!</f>
        <v>#REF!</v>
      </c>
      <c r="K45" s="138" t="e">
        <f t="shared" si="4"/>
        <v>#REF!</v>
      </c>
      <c r="L45" s="34" t="e">
        <f>#REF!</f>
        <v>#REF!</v>
      </c>
      <c r="M45" s="138" t="e">
        <f t="shared" si="5"/>
        <v>#REF!</v>
      </c>
    </row>
    <row r="46" spans="1:13" x14ac:dyDescent="0.25">
      <c r="A46" s="10" t="str">
        <v>$100,000-124,999</v>
      </c>
      <c r="B46" s="34" t="e">
        <f>#REF!+#REF!</f>
        <v>#REF!</v>
      </c>
      <c r="C46" s="138" t="e">
        <f t="shared" si="1"/>
        <v>#REF!</v>
      </c>
      <c r="D46" s="34" t="e">
        <f>#REF!+#REF!</f>
        <v>#REF!</v>
      </c>
      <c r="E46" s="138" t="e">
        <f t="shared" si="2"/>
        <v>#REF!</v>
      </c>
      <c r="F46" s="34" t="e">
        <f>#REF!+#REF!</f>
        <v>#REF!</v>
      </c>
      <c r="G46" s="140" t="e">
        <f t="shared" si="3"/>
        <v>#REF!</v>
      </c>
      <c r="H46" s="2"/>
      <c r="I46" s="10" t="str">
        <v>$75,000-99,999</v>
      </c>
      <c r="J46" s="34" t="e">
        <f>#REF!</f>
        <v>#REF!</v>
      </c>
      <c r="K46" s="138" t="e">
        <f t="shared" si="4"/>
        <v>#REF!</v>
      </c>
      <c r="L46" s="34" t="e">
        <f>#REF!</f>
        <v>#REF!</v>
      </c>
      <c r="M46" s="138" t="e">
        <f t="shared" si="5"/>
        <v>#REF!</v>
      </c>
    </row>
    <row r="47" spans="1:13" x14ac:dyDescent="0.25">
      <c r="A47" s="10" t="str">
        <v>$125,000-149,999</v>
      </c>
      <c r="B47" s="34" t="e">
        <f>#REF!+#REF!</f>
        <v>#REF!</v>
      </c>
      <c r="C47" s="138" t="e">
        <f t="shared" si="1"/>
        <v>#REF!</v>
      </c>
      <c r="D47" s="34" t="e">
        <f>#REF!+#REF!</f>
        <v>#REF!</v>
      </c>
      <c r="E47" s="138" t="e">
        <f t="shared" si="2"/>
        <v>#REF!</v>
      </c>
      <c r="F47" s="34" t="e">
        <f>#REF!+#REF!</f>
        <v>#REF!</v>
      </c>
      <c r="G47" s="140" t="e">
        <f t="shared" si="3"/>
        <v>#REF!</v>
      </c>
      <c r="H47" s="2"/>
      <c r="I47" s="10" t="str">
        <v>$100,000-124,999</v>
      </c>
      <c r="J47" s="34" t="e">
        <f>#REF!</f>
        <v>#REF!</v>
      </c>
      <c r="K47" s="138" t="e">
        <f t="shared" si="4"/>
        <v>#REF!</v>
      </c>
      <c r="L47" s="34" t="e">
        <f>#REF!</f>
        <v>#REF!</v>
      </c>
      <c r="M47" s="138" t="e">
        <f t="shared" si="5"/>
        <v>#REF!</v>
      </c>
    </row>
    <row r="48" spans="1:13" x14ac:dyDescent="0.25">
      <c r="A48" s="10" t="str">
        <v>$150,000-199,999</v>
      </c>
      <c r="B48" s="34" t="e">
        <f>#REF!+#REF!</f>
        <v>#REF!</v>
      </c>
      <c r="C48" s="138" t="e">
        <f t="shared" si="1"/>
        <v>#REF!</v>
      </c>
      <c r="D48" s="34" t="e">
        <f>#REF!+#REF!</f>
        <v>#REF!</v>
      </c>
      <c r="E48" s="138" t="e">
        <f t="shared" si="2"/>
        <v>#REF!</v>
      </c>
      <c r="F48" s="34" t="e">
        <f>#REF!+#REF!</f>
        <v>#REF!</v>
      </c>
      <c r="G48" s="140" t="e">
        <f t="shared" si="3"/>
        <v>#REF!</v>
      </c>
      <c r="H48" s="2"/>
      <c r="I48" s="10" t="str">
        <v>$125,000-149,999</v>
      </c>
      <c r="J48" s="34" t="e">
        <f>#REF!</f>
        <v>#REF!</v>
      </c>
      <c r="K48" s="138" t="e">
        <f t="shared" si="4"/>
        <v>#REF!</v>
      </c>
      <c r="L48" s="34" t="e">
        <f>#REF!</f>
        <v>#REF!</v>
      </c>
      <c r="M48" s="138" t="e">
        <f t="shared" si="5"/>
        <v>#REF!</v>
      </c>
    </row>
    <row r="49" spans="1:14" x14ac:dyDescent="0.25">
      <c r="A49" s="10" t="str">
        <v>$200,000+</v>
      </c>
      <c r="B49" s="34" t="e">
        <f>#REF!+#REF!</f>
        <v>#REF!</v>
      </c>
      <c r="C49" s="138" t="e">
        <f t="shared" si="1"/>
        <v>#REF!</v>
      </c>
      <c r="D49" s="34" t="e">
        <f>#REF!+#REF!</f>
        <v>#REF!</v>
      </c>
      <c r="E49" s="138" t="e">
        <f t="shared" si="2"/>
        <v>#REF!</v>
      </c>
      <c r="F49" s="34" t="e">
        <f>#REF!+#REF!</f>
        <v>#REF!</v>
      </c>
      <c r="G49" s="140" t="e">
        <f t="shared" si="3"/>
        <v>#REF!</v>
      </c>
      <c r="H49" s="2"/>
      <c r="I49" s="10" t="str">
        <v>$150,000-199,999</v>
      </c>
      <c r="J49" s="34" t="e">
        <f>#REF!</f>
        <v>#REF!</v>
      </c>
      <c r="K49" s="138" t="e">
        <f t="shared" si="4"/>
        <v>#REF!</v>
      </c>
      <c r="L49" s="34" t="e">
        <f>#REF!</f>
        <v>#REF!</v>
      </c>
      <c r="M49" s="138" t="e">
        <f t="shared" si="5"/>
        <v>#REF!</v>
      </c>
    </row>
    <row r="50" spans="1:14" ht="13.8" thickBot="1" x14ac:dyDescent="0.3">
      <c r="A50" s="8" t="s">
        <v>11</v>
      </c>
      <c r="B50" s="32" t="e">
        <f t="shared" ref="B50:G50" si="6">SUM(B38:B49)</f>
        <v>#REF!</v>
      </c>
      <c r="C50" s="139" t="e">
        <f t="shared" si="6"/>
        <v>#REF!</v>
      </c>
      <c r="D50" s="32" t="e">
        <f t="shared" si="6"/>
        <v>#REF!</v>
      </c>
      <c r="E50" s="139" t="e">
        <f t="shared" si="6"/>
        <v>#REF!</v>
      </c>
      <c r="F50" s="32" t="e">
        <f t="shared" si="6"/>
        <v>#REF!</v>
      </c>
      <c r="G50" s="141" t="e">
        <f t="shared" si="6"/>
        <v>#REF!</v>
      </c>
      <c r="H50" s="2"/>
      <c r="I50" s="10" t="str">
        <v>$200,000+</v>
      </c>
      <c r="J50" s="34" t="e">
        <f>#REF!</f>
        <v>#REF!</v>
      </c>
      <c r="K50" s="138" t="e">
        <f t="shared" si="4"/>
        <v>#REF!</v>
      </c>
      <c r="L50" s="34" t="e">
        <f>#REF!</f>
        <v>#REF!</v>
      </c>
      <c r="M50" s="138" t="e">
        <f t="shared" si="5"/>
        <v>#REF!</v>
      </c>
    </row>
    <row r="51" spans="1:14" ht="14.4" thickTop="1" thickBot="1" x14ac:dyDescent="0.3">
      <c r="A51" s="187" t="str">
        <f>"Source: " &amp; Source_HISTA &amp; ", " &amp; Source_Novogradac &amp; ", " &amp; Source_Date</f>
        <v>Source: Ribbon Demographics 2014, Novogradac &amp; Company LLP, August 2017</v>
      </c>
      <c r="B51" s="187"/>
      <c r="C51" s="187"/>
      <c r="D51" s="187"/>
      <c r="E51" s="187"/>
      <c r="F51" s="187"/>
      <c r="G51" s="187"/>
      <c r="H51" s="2"/>
      <c r="I51" s="8" t="s">
        <v>11</v>
      </c>
      <c r="J51" s="32" t="e">
        <f>SUM(J39:J50)</f>
        <v>#REF!</v>
      </c>
      <c r="K51" s="139" t="e">
        <f>SUM(K39:K50)</f>
        <v>#REF!</v>
      </c>
      <c r="L51" s="32" t="e">
        <f>SUM(L39:L50)</f>
        <v>#REF!</v>
      </c>
      <c r="M51" s="139" t="e">
        <f>SUM(M39:M50)</f>
        <v>#REF!</v>
      </c>
    </row>
    <row r="52" spans="1:14" ht="13.8" thickTop="1" x14ac:dyDescent="0.25">
      <c r="A52" s="197" t="s">
        <v>139</v>
      </c>
      <c r="B52" s="22"/>
      <c r="C52" s="22"/>
      <c r="D52" s="22"/>
      <c r="E52" s="22"/>
      <c r="F52" s="2"/>
      <c r="G52" s="2"/>
      <c r="H52" s="2"/>
      <c r="I52" s="187" t="str">
        <f>"Source: " &amp; Source_HISTA &amp; ", " &amp; Source_Novogradac &amp; ", " &amp; Source_Date</f>
        <v>Source: Ribbon Demographics 2014, Novogradac &amp; Company LLP, August 2017</v>
      </c>
      <c r="J52" s="187"/>
      <c r="K52" s="187"/>
      <c r="L52" s="187"/>
      <c r="M52" s="187"/>
    </row>
    <row r="53" spans="1:14" x14ac:dyDescent="0.25">
      <c r="A53" s="2"/>
      <c r="B53" s="198"/>
      <c r="C53" s="198"/>
      <c r="D53" s="199"/>
      <c r="E53" s="199"/>
      <c r="F53" s="2"/>
      <c r="G53" s="2"/>
      <c r="H53" s="2"/>
      <c r="L53" s="13"/>
      <c r="M53" s="196"/>
    </row>
    <row r="54" spans="1:14" ht="15.6" x14ac:dyDescent="0.3">
      <c r="A54" s="4" t="str">
        <f>"HOUSEHOLD INCOME OF SENIORS 75+ IN " &amp; ESRI_FY</f>
        <v>HOUSEHOLD INCOME OF SENIORS 75+ IN 2021</v>
      </c>
      <c r="B54" s="4"/>
      <c r="C54" s="4"/>
      <c r="D54" s="4"/>
      <c r="E54" s="4"/>
      <c r="F54" s="4"/>
      <c r="G54" s="4"/>
      <c r="H54" s="2"/>
      <c r="L54" s="13"/>
      <c r="M54" s="196"/>
    </row>
    <row r="55" spans="1:14" ht="15.6" x14ac:dyDescent="0.3">
      <c r="A55" s="132" t="s">
        <v>50</v>
      </c>
      <c r="B55" s="319" t="e">
        <f>PMA_Name</f>
        <v>#REF!</v>
      </c>
      <c r="C55" s="320"/>
      <c r="D55" s="319" t="e">
        <f>SMA_Name</f>
        <v>#REF!</v>
      </c>
      <c r="E55" s="320"/>
      <c r="F55" s="321" t="e">
        <f>USA_Name</f>
        <v>#REF!</v>
      </c>
      <c r="G55" s="322"/>
      <c r="H55" s="2"/>
      <c r="I55" s="266" t="s">
        <v>214</v>
      </c>
      <c r="J55" s="266"/>
      <c r="K55" s="266"/>
      <c r="L55" s="266"/>
      <c r="M55" s="266"/>
      <c r="N55" s="266"/>
    </row>
    <row r="56" spans="1:14" ht="15.6" x14ac:dyDescent="0.3">
      <c r="A56" s="37"/>
      <c r="B56" s="298" t="s">
        <v>44</v>
      </c>
      <c r="C56" s="298" t="s">
        <v>51</v>
      </c>
      <c r="D56" s="298" t="s">
        <v>44</v>
      </c>
      <c r="E56" s="298" t="s">
        <v>51</v>
      </c>
      <c r="F56" s="298" t="s">
        <v>42</v>
      </c>
      <c r="G56" s="298" t="s">
        <v>51</v>
      </c>
      <c r="H56" s="2"/>
      <c r="I56" s="392" t="e">
        <f>PMA_Name &amp; " " &amp; ESRI_CY</f>
        <v>#REF!</v>
      </c>
      <c r="J56" s="392"/>
      <c r="K56" s="392"/>
      <c r="L56" s="392"/>
      <c r="M56" s="392"/>
      <c r="N56" s="392"/>
    </row>
    <row r="57" spans="1:14" x14ac:dyDescent="0.25">
      <c r="A57" s="10" t="str">
        <f t="array" ref="A57:A68">Novo_Cohort_Ref</f>
        <v>$0-9,999</v>
      </c>
      <c r="B57" s="34" t="e">
        <f>#REF!+#REF!</f>
        <v>#REF!</v>
      </c>
      <c r="C57" s="138" t="e">
        <f t="shared" ref="C57:C68" si="7">B57/$B$69</f>
        <v>#REF!</v>
      </c>
      <c r="D57" s="34" t="e">
        <f>#REF!+#REF!</f>
        <v>#REF!</v>
      </c>
      <c r="E57" s="138" t="e">
        <f t="shared" ref="E57:E68" si="8">D57/$D$69</f>
        <v>#REF!</v>
      </c>
      <c r="F57" s="34" t="e">
        <f>#REF!+#REF!</f>
        <v>#REF!</v>
      </c>
      <c r="G57" s="140" t="e">
        <f t="shared" ref="G57:G68" si="9">F57/$F$69</f>
        <v>#REF!</v>
      </c>
      <c r="H57" s="2"/>
      <c r="I57" s="271" t="s">
        <v>50</v>
      </c>
      <c r="J57" s="271">
        <v>1</v>
      </c>
      <c r="K57" s="271">
        <v>2</v>
      </c>
      <c r="L57" s="271">
        <v>3</v>
      </c>
      <c r="M57" s="271">
        <v>4</v>
      </c>
      <c r="N57" s="271">
        <v>5</v>
      </c>
    </row>
    <row r="58" spans="1:14" x14ac:dyDescent="0.25">
      <c r="A58" s="10" t="str">
        <v>$10,000-19,999</v>
      </c>
      <c r="B58" s="34" t="e">
        <f>#REF!+#REF!</f>
        <v>#REF!</v>
      </c>
      <c r="C58" s="138" t="e">
        <f t="shared" si="7"/>
        <v>#REF!</v>
      </c>
      <c r="D58" s="34" t="e">
        <f>#REF!+#REF!</f>
        <v>#REF!</v>
      </c>
      <c r="E58" s="138" t="e">
        <f t="shared" si="8"/>
        <v>#REF!</v>
      </c>
      <c r="F58" s="34" t="e">
        <f>#REF!+#REF!</f>
        <v>#REF!</v>
      </c>
      <c r="G58" s="140" t="e">
        <f t="shared" si="9"/>
        <v>#REF!</v>
      </c>
      <c r="H58" s="2"/>
      <c r="I58" s="10" t="str">
        <f t="array" ref="I58:I69">Novo_Cohort_Ref</f>
        <v>$0-9,999</v>
      </c>
      <c r="J58" s="415" t="e">
        <f>#REF!</f>
        <v>#REF!</v>
      </c>
      <c r="K58" s="415" t="e">
        <f>#REF!</f>
        <v>#REF!</v>
      </c>
      <c r="L58" s="415" t="e">
        <f>#REF!</f>
        <v>#REF!</v>
      </c>
      <c r="M58" s="415" t="e">
        <f>#REF!</f>
        <v>#REF!</v>
      </c>
      <c r="N58" s="415" t="e">
        <f>#REF!</f>
        <v>#REF!</v>
      </c>
    </row>
    <row r="59" spans="1:14" x14ac:dyDescent="0.25">
      <c r="A59" s="10" t="str">
        <v>$20,000-29,999</v>
      </c>
      <c r="B59" s="34" t="e">
        <f>#REF!+#REF!</f>
        <v>#REF!</v>
      </c>
      <c r="C59" s="138" t="e">
        <f t="shared" si="7"/>
        <v>#REF!</v>
      </c>
      <c r="D59" s="34" t="e">
        <f>#REF!+#REF!</f>
        <v>#REF!</v>
      </c>
      <c r="E59" s="138" t="e">
        <f t="shared" si="8"/>
        <v>#REF!</v>
      </c>
      <c r="F59" s="34" t="e">
        <f>#REF!+#REF!</f>
        <v>#REF!</v>
      </c>
      <c r="G59" s="140" t="e">
        <f t="shared" si="9"/>
        <v>#REF!</v>
      </c>
      <c r="H59" s="2"/>
      <c r="I59" s="10" t="str">
        <v>$10,000-19,999</v>
      </c>
      <c r="J59" s="415" t="e">
        <f>#REF!</f>
        <v>#REF!</v>
      </c>
      <c r="K59" s="415" t="e">
        <f>#REF!</f>
        <v>#REF!</v>
      </c>
      <c r="L59" s="415" t="e">
        <f>#REF!</f>
        <v>#REF!</v>
      </c>
      <c r="M59" s="415" t="e">
        <f>#REF!</f>
        <v>#REF!</v>
      </c>
      <c r="N59" s="415" t="e">
        <f>#REF!</f>
        <v>#REF!</v>
      </c>
    </row>
    <row r="60" spans="1:14" x14ac:dyDescent="0.25">
      <c r="A60" s="10" t="str">
        <v>$30,000-39,999</v>
      </c>
      <c r="B60" s="34" t="e">
        <f>#REF!+#REF!</f>
        <v>#REF!</v>
      </c>
      <c r="C60" s="138" t="e">
        <f t="shared" si="7"/>
        <v>#REF!</v>
      </c>
      <c r="D60" s="34" t="e">
        <f>#REF!+#REF!</f>
        <v>#REF!</v>
      </c>
      <c r="E60" s="138" t="e">
        <f t="shared" si="8"/>
        <v>#REF!</v>
      </c>
      <c r="F60" s="34" t="e">
        <f>#REF!+#REF!</f>
        <v>#REF!</v>
      </c>
      <c r="G60" s="140" t="e">
        <f t="shared" si="9"/>
        <v>#REF!</v>
      </c>
      <c r="H60" s="2"/>
      <c r="I60" s="10" t="str">
        <v>$20,000-29,999</v>
      </c>
      <c r="J60" s="415" t="e">
        <f>#REF!</f>
        <v>#REF!</v>
      </c>
      <c r="K60" s="415" t="e">
        <f>#REF!</f>
        <v>#REF!</v>
      </c>
      <c r="L60" s="415" t="e">
        <f>#REF!</f>
        <v>#REF!</v>
      </c>
      <c r="M60" s="415" t="e">
        <f>#REF!</f>
        <v>#REF!</v>
      </c>
      <c r="N60" s="415" t="e">
        <f>#REF!</f>
        <v>#REF!</v>
      </c>
    </row>
    <row r="61" spans="1:14" x14ac:dyDescent="0.25">
      <c r="A61" s="10" t="str">
        <v>$40,000-49,999</v>
      </c>
      <c r="B61" s="34" t="e">
        <f>#REF!+#REF!</f>
        <v>#REF!</v>
      </c>
      <c r="C61" s="138" t="e">
        <f t="shared" si="7"/>
        <v>#REF!</v>
      </c>
      <c r="D61" s="34" t="e">
        <f>#REF!+#REF!</f>
        <v>#REF!</v>
      </c>
      <c r="E61" s="138" t="e">
        <f t="shared" si="8"/>
        <v>#REF!</v>
      </c>
      <c r="F61" s="34" t="e">
        <f>#REF!+#REF!</f>
        <v>#REF!</v>
      </c>
      <c r="G61" s="140" t="e">
        <f t="shared" si="9"/>
        <v>#REF!</v>
      </c>
      <c r="H61" s="2"/>
      <c r="I61" s="10" t="str">
        <v>$30,000-39,999</v>
      </c>
      <c r="J61" s="415" t="e">
        <f>#REF!</f>
        <v>#REF!</v>
      </c>
      <c r="K61" s="415" t="e">
        <f>#REF!</f>
        <v>#REF!</v>
      </c>
      <c r="L61" s="415" t="e">
        <f>#REF!</f>
        <v>#REF!</v>
      </c>
      <c r="M61" s="415" t="e">
        <f>#REF!</f>
        <v>#REF!</v>
      </c>
      <c r="N61" s="415" t="e">
        <f>#REF!</f>
        <v>#REF!</v>
      </c>
    </row>
    <row r="62" spans="1:14" x14ac:dyDescent="0.25">
      <c r="A62" s="10" t="str">
        <v>$50,000-59,999</v>
      </c>
      <c r="B62" s="34" t="e">
        <f>#REF!+#REF!</f>
        <v>#REF!</v>
      </c>
      <c r="C62" s="138" t="e">
        <f t="shared" si="7"/>
        <v>#REF!</v>
      </c>
      <c r="D62" s="34" t="e">
        <f>#REF!+#REF!</f>
        <v>#REF!</v>
      </c>
      <c r="E62" s="138" t="e">
        <f t="shared" si="8"/>
        <v>#REF!</v>
      </c>
      <c r="F62" s="34" t="e">
        <f>#REF!+#REF!</f>
        <v>#REF!</v>
      </c>
      <c r="G62" s="140" t="e">
        <f t="shared" si="9"/>
        <v>#REF!</v>
      </c>
      <c r="H62" s="2"/>
      <c r="I62" s="10" t="str">
        <v>$40,000-49,999</v>
      </c>
      <c r="J62" s="415" t="e">
        <f>#REF!</f>
        <v>#REF!</v>
      </c>
      <c r="K62" s="415" t="e">
        <f>#REF!</f>
        <v>#REF!</v>
      </c>
      <c r="L62" s="415" t="e">
        <f>#REF!</f>
        <v>#REF!</v>
      </c>
      <c r="M62" s="415" t="e">
        <f>#REF!</f>
        <v>#REF!</v>
      </c>
      <c r="N62" s="415" t="e">
        <f>#REF!</f>
        <v>#REF!</v>
      </c>
    </row>
    <row r="63" spans="1:14" x14ac:dyDescent="0.25">
      <c r="A63" s="10" t="str">
        <v>$60,000-74,999</v>
      </c>
      <c r="B63" s="34" t="e">
        <f>#REF!+#REF!</f>
        <v>#REF!</v>
      </c>
      <c r="C63" s="138" t="e">
        <f t="shared" si="7"/>
        <v>#REF!</v>
      </c>
      <c r="D63" s="34" t="e">
        <f>#REF!+#REF!</f>
        <v>#REF!</v>
      </c>
      <c r="E63" s="138" t="e">
        <f t="shared" si="8"/>
        <v>#REF!</v>
      </c>
      <c r="F63" s="34" t="e">
        <f>#REF!+#REF!</f>
        <v>#REF!</v>
      </c>
      <c r="G63" s="140" t="e">
        <f t="shared" si="9"/>
        <v>#REF!</v>
      </c>
      <c r="H63" s="2"/>
      <c r="I63" s="10" t="str">
        <v>$50,000-59,999</v>
      </c>
      <c r="J63" s="415" t="e">
        <f>#REF!</f>
        <v>#REF!</v>
      </c>
      <c r="K63" s="415" t="e">
        <f>#REF!</f>
        <v>#REF!</v>
      </c>
      <c r="L63" s="415" t="e">
        <f>#REF!</f>
        <v>#REF!</v>
      </c>
      <c r="M63" s="415" t="e">
        <f>#REF!</f>
        <v>#REF!</v>
      </c>
      <c r="N63" s="415" t="e">
        <f>#REF!</f>
        <v>#REF!</v>
      </c>
    </row>
    <row r="64" spans="1:14" x14ac:dyDescent="0.25">
      <c r="A64" s="10" t="str">
        <v>$75,000-99,999</v>
      </c>
      <c r="B64" s="34" t="e">
        <f>#REF!+#REF!</f>
        <v>#REF!</v>
      </c>
      <c r="C64" s="138" t="e">
        <f t="shared" si="7"/>
        <v>#REF!</v>
      </c>
      <c r="D64" s="34" t="e">
        <f>#REF!+#REF!</f>
        <v>#REF!</v>
      </c>
      <c r="E64" s="138" t="e">
        <f t="shared" si="8"/>
        <v>#REF!</v>
      </c>
      <c r="F64" s="34" t="e">
        <f>#REF!+#REF!</f>
        <v>#REF!</v>
      </c>
      <c r="G64" s="140" t="e">
        <f t="shared" si="9"/>
        <v>#REF!</v>
      </c>
      <c r="H64" s="2"/>
      <c r="I64" s="10" t="str">
        <v>$60,000-74,999</v>
      </c>
      <c r="J64" s="415" t="e">
        <f>#REF!</f>
        <v>#REF!</v>
      </c>
      <c r="K64" s="415" t="e">
        <f>#REF!</f>
        <v>#REF!</v>
      </c>
      <c r="L64" s="415" t="e">
        <f>#REF!</f>
        <v>#REF!</v>
      </c>
      <c r="M64" s="415" t="e">
        <f>#REF!</f>
        <v>#REF!</v>
      </c>
      <c r="N64" s="415" t="e">
        <f>#REF!</f>
        <v>#REF!</v>
      </c>
    </row>
    <row r="65" spans="1:21" x14ac:dyDescent="0.25">
      <c r="A65" s="10" t="str">
        <v>$100,000-124,999</v>
      </c>
      <c r="B65" s="34" t="e">
        <f>#REF!+#REF!</f>
        <v>#REF!</v>
      </c>
      <c r="C65" s="138" t="e">
        <f t="shared" si="7"/>
        <v>#REF!</v>
      </c>
      <c r="D65" s="34" t="e">
        <f>#REF!+#REF!</f>
        <v>#REF!</v>
      </c>
      <c r="E65" s="138" t="e">
        <f t="shared" si="8"/>
        <v>#REF!</v>
      </c>
      <c r="F65" s="34" t="e">
        <f>#REF!+#REF!</f>
        <v>#REF!</v>
      </c>
      <c r="G65" s="140" t="e">
        <f t="shared" si="9"/>
        <v>#REF!</v>
      </c>
      <c r="H65" s="2"/>
      <c r="I65" s="10" t="str">
        <v>$75,000-99,999</v>
      </c>
      <c r="J65" s="415" t="e">
        <f>#REF!</f>
        <v>#REF!</v>
      </c>
      <c r="K65" s="415" t="e">
        <f>#REF!</f>
        <v>#REF!</v>
      </c>
      <c r="L65" s="415" t="e">
        <f>#REF!</f>
        <v>#REF!</v>
      </c>
      <c r="M65" s="415" t="e">
        <f>#REF!</f>
        <v>#REF!</v>
      </c>
      <c r="N65" s="415" t="e">
        <f>#REF!</f>
        <v>#REF!</v>
      </c>
    </row>
    <row r="66" spans="1:21" x14ac:dyDescent="0.25">
      <c r="A66" s="10" t="str">
        <v>$125,000-149,999</v>
      </c>
      <c r="B66" s="34" t="e">
        <f>#REF!+#REF!</f>
        <v>#REF!</v>
      </c>
      <c r="C66" s="138" t="e">
        <f t="shared" si="7"/>
        <v>#REF!</v>
      </c>
      <c r="D66" s="34" t="e">
        <f>#REF!+#REF!</f>
        <v>#REF!</v>
      </c>
      <c r="E66" s="138" t="e">
        <f t="shared" si="8"/>
        <v>#REF!</v>
      </c>
      <c r="F66" s="34" t="e">
        <f>#REF!+#REF!</f>
        <v>#REF!</v>
      </c>
      <c r="G66" s="140" t="e">
        <f t="shared" si="9"/>
        <v>#REF!</v>
      </c>
      <c r="H66" s="2"/>
      <c r="I66" s="10" t="str">
        <v>$100,000-124,999</v>
      </c>
      <c r="J66" s="415" t="e">
        <f>#REF!</f>
        <v>#REF!</v>
      </c>
      <c r="K66" s="415" t="e">
        <f>#REF!</f>
        <v>#REF!</v>
      </c>
      <c r="L66" s="415" t="e">
        <f>#REF!</f>
        <v>#REF!</v>
      </c>
      <c r="M66" s="415" t="e">
        <f>#REF!</f>
        <v>#REF!</v>
      </c>
      <c r="N66" s="415" t="e">
        <f>#REF!</f>
        <v>#REF!</v>
      </c>
    </row>
    <row r="67" spans="1:21" x14ac:dyDescent="0.25">
      <c r="A67" s="10" t="str">
        <v>$150,000-199,999</v>
      </c>
      <c r="B67" s="34" t="e">
        <f>#REF!+#REF!</f>
        <v>#REF!</v>
      </c>
      <c r="C67" s="138" t="e">
        <f t="shared" si="7"/>
        <v>#REF!</v>
      </c>
      <c r="D67" s="34" t="e">
        <f>#REF!+#REF!</f>
        <v>#REF!</v>
      </c>
      <c r="E67" s="138" t="e">
        <f t="shared" si="8"/>
        <v>#REF!</v>
      </c>
      <c r="F67" s="34" t="e">
        <f>#REF!+#REF!</f>
        <v>#REF!</v>
      </c>
      <c r="G67" s="140" t="e">
        <f t="shared" si="9"/>
        <v>#REF!</v>
      </c>
      <c r="H67" s="2"/>
      <c r="I67" s="10" t="str">
        <v>$125,000-149,999</v>
      </c>
      <c r="J67" s="415" t="e">
        <f>#REF!</f>
        <v>#REF!</v>
      </c>
      <c r="K67" s="415" t="e">
        <f>#REF!</f>
        <v>#REF!</v>
      </c>
      <c r="L67" s="415" t="e">
        <f>#REF!</f>
        <v>#REF!</v>
      </c>
      <c r="M67" s="415" t="e">
        <f>#REF!</f>
        <v>#REF!</v>
      </c>
      <c r="N67" s="415" t="e">
        <f>#REF!</f>
        <v>#REF!</v>
      </c>
    </row>
    <row r="68" spans="1:21" x14ac:dyDescent="0.25">
      <c r="A68" s="10" t="str">
        <v>$200,000+</v>
      </c>
      <c r="B68" s="34" t="e">
        <f>#REF!+#REF!</f>
        <v>#REF!</v>
      </c>
      <c r="C68" s="138" t="e">
        <f t="shared" si="7"/>
        <v>#REF!</v>
      </c>
      <c r="D68" s="34" t="e">
        <f>#REF!+#REF!</f>
        <v>#REF!</v>
      </c>
      <c r="E68" s="138" t="e">
        <f t="shared" si="8"/>
        <v>#REF!</v>
      </c>
      <c r="F68" s="34" t="e">
        <f>#REF!+#REF!</f>
        <v>#REF!</v>
      </c>
      <c r="G68" s="140" t="e">
        <f t="shared" si="9"/>
        <v>#REF!</v>
      </c>
      <c r="H68" s="2"/>
      <c r="I68" s="10" t="str">
        <v>$150,000-199,999</v>
      </c>
      <c r="J68" s="415" t="e">
        <f>#REF!</f>
        <v>#REF!</v>
      </c>
      <c r="K68" s="415" t="e">
        <f>#REF!</f>
        <v>#REF!</v>
      </c>
      <c r="L68" s="415" t="e">
        <f>#REF!</f>
        <v>#REF!</v>
      </c>
      <c r="M68" s="415" t="e">
        <f>#REF!</f>
        <v>#REF!</v>
      </c>
      <c r="N68" s="415" t="e">
        <f>#REF!</f>
        <v>#REF!</v>
      </c>
    </row>
    <row r="69" spans="1:21" ht="13.8" thickBot="1" x14ac:dyDescent="0.3">
      <c r="A69" s="8" t="s">
        <v>11</v>
      </c>
      <c r="B69" s="32" t="e">
        <f t="shared" ref="B69:G69" si="10">SUM(B57:B68)</f>
        <v>#REF!</v>
      </c>
      <c r="C69" s="139" t="e">
        <f t="shared" si="10"/>
        <v>#REF!</v>
      </c>
      <c r="D69" s="32" t="e">
        <f t="shared" si="10"/>
        <v>#REF!</v>
      </c>
      <c r="E69" s="139" t="e">
        <f t="shared" si="10"/>
        <v>#REF!</v>
      </c>
      <c r="F69" s="32" t="e">
        <f t="shared" si="10"/>
        <v>#REF!</v>
      </c>
      <c r="G69" s="141" t="e">
        <f t="shared" si="10"/>
        <v>#REF!</v>
      </c>
      <c r="H69" s="2"/>
      <c r="I69" s="10" t="str">
        <v>$200,000+</v>
      </c>
      <c r="J69" s="415" t="e">
        <f>#REF!</f>
        <v>#REF!</v>
      </c>
      <c r="K69" s="415" t="e">
        <f>#REF!</f>
        <v>#REF!</v>
      </c>
      <c r="L69" s="415" t="e">
        <f>#REF!</f>
        <v>#REF!</v>
      </c>
      <c r="M69" s="415" t="e">
        <f>#REF!</f>
        <v>#REF!</v>
      </c>
      <c r="N69" s="415" t="e">
        <f>#REF!</f>
        <v>#REF!</v>
      </c>
    </row>
    <row r="70" spans="1:21" ht="14.4" thickTop="1" thickBot="1" x14ac:dyDescent="0.3">
      <c r="A70" s="187" t="str">
        <f>"Source: " &amp; Source_HISTA &amp; ", " &amp; Source_Novogradac &amp; ", " &amp; Source_Date</f>
        <v>Source: Ribbon Demographics 2014, Novogradac &amp; Company LLP, August 2017</v>
      </c>
      <c r="B70" s="187"/>
      <c r="C70" s="187"/>
      <c r="D70" s="187"/>
      <c r="E70" s="187"/>
      <c r="F70" s="187"/>
      <c r="G70" s="187"/>
      <c r="H70" s="2"/>
      <c r="I70" s="393" t="s">
        <v>11</v>
      </c>
      <c r="J70" s="417" t="e">
        <f>#REF!</f>
        <v>#REF!</v>
      </c>
      <c r="K70" s="417" t="e">
        <f>#REF!</f>
        <v>#REF!</v>
      </c>
      <c r="L70" s="417" t="e">
        <f>#REF!</f>
        <v>#REF!</v>
      </c>
      <c r="M70" s="417" t="e">
        <f>#REF!</f>
        <v>#REF!</v>
      </c>
      <c r="N70" s="417" t="e">
        <f>#REF!</f>
        <v>#REF!</v>
      </c>
    </row>
    <row r="71" spans="1:21" x14ac:dyDescent="0.25">
      <c r="A71" s="2"/>
      <c r="B71" s="198"/>
      <c r="C71" s="198"/>
      <c r="D71" s="199"/>
      <c r="E71" s="199"/>
      <c r="F71" s="2"/>
      <c r="G71" s="2"/>
      <c r="H71" s="2"/>
      <c r="I71" s="391" t="str">
        <f>"Source: " &amp; Source_HISTA &amp; ", " &amp; Source_Novogradac &amp; ", " &amp; Source_Date</f>
        <v>Source: Ribbon Demographics 2014, Novogradac &amp; Company LLP, August 2017</v>
      </c>
      <c r="J71" s="262"/>
      <c r="K71" s="262"/>
      <c r="L71" s="262"/>
      <c r="M71" s="262"/>
      <c r="N71" s="262"/>
    </row>
    <row r="72" spans="1:21" x14ac:dyDescent="0.25">
      <c r="A72" s="2"/>
      <c r="B72" s="198"/>
      <c r="C72" s="198"/>
      <c r="D72" s="199"/>
      <c r="E72" s="199"/>
      <c r="F72" s="2"/>
      <c r="G72" s="2"/>
      <c r="H72" s="2"/>
      <c r="I72" s="254"/>
      <c r="J72" s="254"/>
      <c r="K72" s="254"/>
      <c r="L72" s="254"/>
      <c r="M72" s="254"/>
      <c r="N72" s="262"/>
    </row>
    <row r="73" spans="1:21" ht="15.6" x14ac:dyDescent="0.3">
      <c r="A73" s="4" t="str">
        <f>ESRI_CY &amp; " POPULATION BY AGE"</f>
        <v>2016 POPULATION BY AGE</v>
      </c>
      <c r="B73" s="4"/>
      <c r="C73" s="4"/>
      <c r="D73" s="4"/>
      <c r="E73" s="4"/>
      <c r="F73" s="2"/>
      <c r="G73" s="2"/>
      <c r="H73" s="2"/>
      <c r="I73" s="262"/>
      <c r="J73" s="262"/>
      <c r="K73" s="262"/>
      <c r="L73" s="262"/>
      <c r="M73" s="262"/>
      <c r="N73" s="262"/>
    </row>
    <row r="74" spans="1:21" ht="15.6" x14ac:dyDescent="0.3">
      <c r="A74" s="132" t="s">
        <v>52</v>
      </c>
      <c r="B74" s="321" t="e">
        <f>PMA_Name</f>
        <v>#REF!</v>
      </c>
      <c r="C74" s="322"/>
      <c r="D74" s="321" t="e">
        <f>SMA_Name</f>
        <v>#REF!</v>
      </c>
      <c r="E74" s="322"/>
      <c r="F74" s="22"/>
      <c r="G74" s="2"/>
      <c r="H74" s="2"/>
      <c r="I74" s="266" t="s">
        <v>214</v>
      </c>
      <c r="J74" s="266"/>
      <c r="K74" s="266"/>
      <c r="L74" s="266"/>
      <c r="M74" s="266"/>
      <c r="N74" s="266"/>
    </row>
    <row r="75" spans="1:21" ht="15.6" x14ac:dyDescent="0.3">
      <c r="A75" s="37"/>
      <c r="B75" s="298" t="s">
        <v>44</v>
      </c>
      <c r="C75" s="298" t="s">
        <v>51</v>
      </c>
      <c r="D75" s="298" t="s">
        <v>44</v>
      </c>
      <c r="E75" s="298" t="s">
        <v>51</v>
      </c>
      <c r="F75" s="22"/>
      <c r="G75" s="2"/>
      <c r="H75" s="2"/>
      <c r="I75" s="495" t="e">
        <f>PMA_Name &amp; " " &amp; ESRI_FY</f>
        <v>#REF!</v>
      </c>
      <c r="J75" s="495"/>
      <c r="K75" s="495"/>
      <c r="L75" s="495"/>
      <c r="M75" s="495"/>
      <c r="N75" s="495"/>
    </row>
    <row r="76" spans="1:21" x14ac:dyDescent="0.25">
      <c r="A76" s="10" t="s">
        <v>0</v>
      </c>
      <c r="B76" s="34" t="e">
        <f>#REF!</f>
        <v>#REF!</v>
      </c>
      <c r="C76" s="138" t="e">
        <f t="shared" ref="C76:C93" si="11">B76/$B$94</f>
        <v>#REF!</v>
      </c>
      <c r="D76" s="34" t="e">
        <f>#REF!</f>
        <v>#REF!</v>
      </c>
      <c r="E76" s="138" t="e">
        <f>D76/$D$94</f>
        <v>#REF!</v>
      </c>
      <c r="F76" s="22"/>
      <c r="G76" s="2"/>
      <c r="H76" s="2"/>
      <c r="I76" s="271" t="s">
        <v>50</v>
      </c>
      <c r="J76" s="271">
        <v>1</v>
      </c>
      <c r="K76" s="271">
        <v>2</v>
      </c>
      <c r="L76" s="271">
        <v>3</v>
      </c>
      <c r="M76" s="271">
        <v>4</v>
      </c>
      <c r="N76" s="271">
        <v>5</v>
      </c>
    </row>
    <row r="77" spans="1:21" x14ac:dyDescent="0.25">
      <c r="A77" s="10" t="s">
        <v>1</v>
      </c>
      <c r="B77" s="34" t="e">
        <f>#REF!</f>
        <v>#REF!</v>
      </c>
      <c r="C77" s="138" t="e">
        <f t="shared" si="11"/>
        <v>#REF!</v>
      </c>
      <c r="D77" s="34" t="e">
        <f>#REF!</f>
        <v>#REF!</v>
      </c>
      <c r="E77" s="138" t="e">
        <f t="shared" ref="E77:E93" si="12">D77/$D$94</f>
        <v>#REF!</v>
      </c>
      <c r="F77" s="22"/>
      <c r="G77" s="2"/>
      <c r="H77" s="2"/>
      <c r="I77" s="10" t="str">
        <f t="array" ref="I77:I88">Novo_Cohort_Ref</f>
        <v>$0-9,999</v>
      </c>
      <c r="J77" s="415" t="e">
        <f>#REF!</f>
        <v>#REF!</v>
      </c>
      <c r="K77" s="415" t="e">
        <f>#REF!</f>
        <v>#REF!</v>
      </c>
      <c r="L77" s="415" t="e">
        <f>#REF!</f>
        <v>#REF!</v>
      </c>
      <c r="M77" s="415" t="e">
        <f>#REF!</f>
        <v>#REF!</v>
      </c>
      <c r="N77" s="415" t="e">
        <f>#REF!</f>
        <v>#REF!</v>
      </c>
    </row>
    <row r="78" spans="1:21" x14ac:dyDescent="0.25">
      <c r="A78" s="10" t="s">
        <v>2</v>
      </c>
      <c r="B78" s="34" t="e">
        <f>#REF!</f>
        <v>#REF!</v>
      </c>
      <c r="C78" s="138" t="e">
        <f t="shared" si="11"/>
        <v>#REF!</v>
      </c>
      <c r="D78" s="34" t="e">
        <f>#REF!</f>
        <v>#REF!</v>
      </c>
      <c r="E78" s="138" t="e">
        <f t="shared" si="12"/>
        <v>#REF!</v>
      </c>
      <c r="F78" s="22"/>
      <c r="G78" s="2"/>
      <c r="H78" s="2"/>
      <c r="I78" s="10" t="str">
        <v>$10,000-19,999</v>
      </c>
      <c r="J78" s="415" t="e">
        <f>#REF!</f>
        <v>#REF!</v>
      </c>
      <c r="K78" s="415" t="e">
        <f>#REF!</f>
        <v>#REF!</v>
      </c>
      <c r="L78" s="415" t="e">
        <f>#REF!</f>
        <v>#REF!</v>
      </c>
      <c r="M78" s="415" t="e">
        <f>#REF!</f>
        <v>#REF!</v>
      </c>
      <c r="N78" s="415" t="e">
        <f>#REF!</f>
        <v>#REF!</v>
      </c>
    </row>
    <row r="79" spans="1:21" x14ac:dyDescent="0.25">
      <c r="A79" s="10" t="s">
        <v>3</v>
      </c>
      <c r="B79" s="34" t="e">
        <f>#REF!</f>
        <v>#REF!</v>
      </c>
      <c r="C79" s="138" t="e">
        <f t="shared" si="11"/>
        <v>#REF!</v>
      </c>
      <c r="D79" s="34" t="e">
        <f>#REF!</f>
        <v>#REF!</v>
      </c>
      <c r="E79" s="138" t="e">
        <f t="shared" si="12"/>
        <v>#REF!</v>
      </c>
      <c r="F79" s="22"/>
      <c r="G79" s="2"/>
      <c r="H79" s="2"/>
      <c r="I79" s="10" t="str">
        <v>$20,000-29,999</v>
      </c>
      <c r="J79" s="415" t="e">
        <f>#REF!</f>
        <v>#REF!</v>
      </c>
      <c r="K79" s="415" t="e">
        <f>#REF!</f>
        <v>#REF!</v>
      </c>
      <c r="L79" s="415" t="e">
        <f>#REF!</f>
        <v>#REF!</v>
      </c>
      <c r="M79" s="415" t="e">
        <f>#REF!</f>
        <v>#REF!</v>
      </c>
      <c r="N79" s="415" t="e">
        <f>#REF!</f>
        <v>#REF!</v>
      </c>
    </row>
    <row r="80" spans="1:21" s="18" customFormat="1" x14ac:dyDescent="0.25">
      <c r="A80" s="10" t="s">
        <v>4</v>
      </c>
      <c r="B80" s="34" t="e">
        <f>#REF!</f>
        <v>#REF!</v>
      </c>
      <c r="C80" s="138" t="e">
        <f t="shared" si="11"/>
        <v>#REF!</v>
      </c>
      <c r="D80" s="34" t="e">
        <f>#REF!</f>
        <v>#REF!</v>
      </c>
      <c r="E80" s="138" t="e">
        <f t="shared" si="12"/>
        <v>#REF!</v>
      </c>
      <c r="F80" s="22"/>
      <c r="G80" s="2"/>
      <c r="H80" s="2"/>
      <c r="I80" s="10" t="str">
        <v>$30,000-39,999</v>
      </c>
      <c r="J80" s="415" t="e">
        <f>#REF!</f>
        <v>#REF!</v>
      </c>
      <c r="K80" s="415" t="e">
        <f>#REF!</f>
        <v>#REF!</v>
      </c>
      <c r="L80" s="415" t="e">
        <f>#REF!</f>
        <v>#REF!</v>
      </c>
      <c r="M80" s="415" t="e">
        <f>#REF!</f>
        <v>#REF!</v>
      </c>
      <c r="N80" s="415" t="e">
        <f>#REF!</f>
        <v>#REF!</v>
      </c>
      <c r="O80" s="12"/>
      <c r="P80" s="12"/>
      <c r="Q80" s="12"/>
      <c r="R80" s="12"/>
      <c r="S80" s="12"/>
      <c r="T80" s="12"/>
      <c r="U80" s="12"/>
    </row>
    <row r="81" spans="1:21" s="18" customFormat="1" x14ac:dyDescent="0.25">
      <c r="A81" s="10" t="s">
        <v>5</v>
      </c>
      <c r="B81" s="34" t="e">
        <f>#REF!</f>
        <v>#REF!</v>
      </c>
      <c r="C81" s="138" t="e">
        <f t="shared" si="11"/>
        <v>#REF!</v>
      </c>
      <c r="D81" s="34" t="e">
        <f>#REF!</f>
        <v>#REF!</v>
      </c>
      <c r="E81" s="138" t="e">
        <f t="shared" si="12"/>
        <v>#REF!</v>
      </c>
      <c r="F81" s="22"/>
      <c r="G81" s="2"/>
      <c r="H81" s="2"/>
      <c r="I81" s="10" t="str">
        <v>$40,000-49,999</v>
      </c>
      <c r="J81" s="415" t="e">
        <f>#REF!</f>
        <v>#REF!</v>
      </c>
      <c r="K81" s="415" t="e">
        <f>#REF!</f>
        <v>#REF!</v>
      </c>
      <c r="L81" s="415" t="e">
        <f>#REF!</f>
        <v>#REF!</v>
      </c>
      <c r="M81" s="415" t="e">
        <f>#REF!</f>
        <v>#REF!</v>
      </c>
      <c r="N81" s="415" t="e">
        <f>#REF!</f>
        <v>#REF!</v>
      </c>
      <c r="O81" s="12"/>
      <c r="P81" s="12"/>
      <c r="Q81" s="12"/>
      <c r="R81" s="12"/>
      <c r="S81" s="12"/>
      <c r="T81" s="12"/>
      <c r="U81" s="12"/>
    </row>
    <row r="82" spans="1:21" s="18" customFormat="1" x14ac:dyDescent="0.25">
      <c r="A82" s="10" t="s">
        <v>6</v>
      </c>
      <c r="B82" s="34" t="e">
        <f>#REF!</f>
        <v>#REF!</v>
      </c>
      <c r="C82" s="138" t="e">
        <f t="shared" si="11"/>
        <v>#REF!</v>
      </c>
      <c r="D82" s="34" t="e">
        <f>#REF!</f>
        <v>#REF!</v>
      </c>
      <c r="E82" s="138" t="e">
        <f t="shared" si="12"/>
        <v>#REF!</v>
      </c>
      <c r="F82" s="22"/>
      <c r="G82" s="2"/>
      <c r="H82" s="2"/>
      <c r="I82" s="10" t="str">
        <v>$50,000-59,999</v>
      </c>
      <c r="J82" s="415" t="e">
        <f>#REF!</f>
        <v>#REF!</v>
      </c>
      <c r="K82" s="415" t="e">
        <f>#REF!</f>
        <v>#REF!</v>
      </c>
      <c r="L82" s="415" t="e">
        <f>#REF!</f>
        <v>#REF!</v>
      </c>
      <c r="M82" s="415" t="e">
        <f>#REF!</f>
        <v>#REF!</v>
      </c>
      <c r="N82" s="415" t="e">
        <f>#REF!</f>
        <v>#REF!</v>
      </c>
      <c r="O82" s="12"/>
      <c r="P82" s="12"/>
      <c r="Q82" s="12"/>
      <c r="R82" s="12"/>
      <c r="S82" s="12"/>
      <c r="T82" s="12"/>
      <c r="U82" s="12"/>
    </row>
    <row r="83" spans="1:21" s="18" customFormat="1" x14ac:dyDescent="0.25">
      <c r="A83" s="10" t="s">
        <v>7</v>
      </c>
      <c r="B83" s="34" t="e">
        <f>#REF!</f>
        <v>#REF!</v>
      </c>
      <c r="C83" s="138" t="e">
        <f t="shared" si="11"/>
        <v>#REF!</v>
      </c>
      <c r="D83" s="34" t="e">
        <f>#REF!</f>
        <v>#REF!</v>
      </c>
      <c r="E83" s="138" t="e">
        <f t="shared" si="12"/>
        <v>#REF!</v>
      </c>
      <c r="F83" s="22"/>
      <c r="G83" s="2"/>
      <c r="H83" s="2"/>
      <c r="I83" s="10" t="str">
        <v>$60,000-74,999</v>
      </c>
      <c r="J83" s="415" t="e">
        <f>#REF!</f>
        <v>#REF!</v>
      </c>
      <c r="K83" s="415" t="e">
        <f>#REF!</f>
        <v>#REF!</v>
      </c>
      <c r="L83" s="415" t="e">
        <f>#REF!</f>
        <v>#REF!</v>
      </c>
      <c r="M83" s="415" t="e">
        <f>#REF!</f>
        <v>#REF!</v>
      </c>
      <c r="N83" s="415" t="e">
        <f>#REF!</f>
        <v>#REF!</v>
      </c>
      <c r="O83" s="12"/>
    </row>
    <row r="84" spans="1:21" s="18" customFormat="1" x14ac:dyDescent="0.25">
      <c r="A84" s="10" t="s">
        <v>8</v>
      </c>
      <c r="B84" s="34" t="e">
        <f>#REF!</f>
        <v>#REF!</v>
      </c>
      <c r="C84" s="138" t="e">
        <f t="shared" si="11"/>
        <v>#REF!</v>
      </c>
      <c r="D84" s="34" t="e">
        <f>#REF!</f>
        <v>#REF!</v>
      </c>
      <c r="E84" s="138" t="e">
        <f t="shared" si="12"/>
        <v>#REF!</v>
      </c>
      <c r="F84" s="22"/>
      <c r="G84" s="2"/>
      <c r="H84" s="2"/>
      <c r="I84" s="10" t="str">
        <v>$75,000-99,999</v>
      </c>
      <c r="J84" s="415" t="e">
        <f>#REF!</f>
        <v>#REF!</v>
      </c>
      <c r="K84" s="415" t="e">
        <f>#REF!</f>
        <v>#REF!</v>
      </c>
      <c r="L84" s="415" t="e">
        <f>#REF!</f>
        <v>#REF!</v>
      </c>
      <c r="M84" s="415" t="e">
        <f>#REF!</f>
        <v>#REF!</v>
      </c>
      <c r="N84" s="415" t="e">
        <f>#REF!</f>
        <v>#REF!</v>
      </c>
      <c r="O84" s="12"/>
    </row>
    <row r="85" spans="1:21" s="18" customFormat="1" x14ac:dyDescent="0.25">
      <c r="A85" s="10" t="s">
        <v>9</v>
      </c>
      <c r="B85" s="34" t="e">
        <f>#REF!</f>
        <v>#REF!</v>
      </c>
      <c r="C85" s="138" t="e">
        <f t="shared" si="11"/>
        <v>#REF!</v>
      </c>
      <c r="D85" s="34" t="e">
        <f>#REF!</f>
        <v>#REF!</v>
      </c>
      <c r="E85" s="138" t="e">
        <f t="shared" si="12"/>
        <v>#REF!</v>
      </c>
      <c r="F85" s="22"/>
      <c r="G85" s="2"/>
      <c r="H85" s="2"/>
      <c r="I85" s="10" t="str">
        <v>$100,000-124,999</v>
      </c>
      <c r="J85" s="415" t="e">
        <f>#REF!</f>
        <v>#REF!</v>
      </c>
      <c r="K85" s="415" t="e">
        <f>#REF!</f>
        <v>#REF!</v>
      </c>
      <c r="L85" s="415" t="e">
        <f>#REF!</f>
        <v>#REF!</v>
      </c>
      <c r="M85" s="415" t="e">
        <f>#REF!</f>
        <v>#REF!</v>
      </c>
      <c r="N85" s="415" t="e">
        <f>#REF!</f>
        <v>#REF!</v>
      </c>
      <c r="O85" s="12"/>
    </row>
    <row r="86" spans="1:21" s="18" customFormat="1" x14ac:dyDescent="0.25">
      <c r="A86" s="10" t="s">
        <v>10</v>
      </c>
      <c r="B86" s="34" t="e">
        <f>#REF!</f>
        <v>#REF!</v>
      </c>
      <c r="C86" s="138" t="e">
        <f t="shared" si="11"/>
        <v>#REF!</v>
      </c>
      <c r="D86" s="34" t="e">
        <f>#REF!</f>
        <v>#REF!</v>
      </c>
      <c r="E86" s="138" t="e">
        <f t="shared" si="12"/>
        <v>#REF!</v>
      </c>
      <c r="F86" s="22"/>
      <c r="G86" s="2"/>
      <c r="H86" s="2"/>
      <c r="I86" s="10" t="str">
        <v>$125,000-149,999</v>
      </c>
      <c r="J86" s="415" t="e">
        <f>#REF!</f>
        <v>#REF!</v>
      </c>
      <c r="K86" s="415" t="e">
        <f>#REF!</f>
        <v>#REF!</v>
      </c>
      <c r="L86" s="415" t="e">
        <f>#REF!</f>
        <v>#REF!</v>
      </c>
      <c r="M86" s="415" t="e">
        <f>#REF!</f>
        <v>#REF!</v>
      </c>
      <c r="N86" s="415" t="e">
        <f>#REF!</f>
        <v>#REF!</v>
      </c>
    </row>
    <row r="87" spans="1:21" s="18" customFormat="1" x14ac:dyDescent="0.25">
      <c r="A87" s="10" t="s">
        <v>24</v>
      </c>
      <c r="B87" s="34" t="e">
        <f>#REF!</f>
        <v>#REF!</v>
      </c>
      <c r="C87" s="138" t="e">
        <f t="shared" si="11"/>
        <v>#REF!</v>
      </c>
      <c r="D87" s="34" t="e">
        <f>#REF!</f>
        <v>#REF!</v>
      </c>
      <c r="E87" s="138" t="e">
        <f t="shared" si="12"/>
        <v>#REF!</v>
      </c>
      <c r="F87" s="22"/>
      <c r="G87" s="2"/>
      <c r="H87" s="22"/>
      <c r="I87" s="10" t="str">
        <v>$150,000-199,999</v>
      </c>
      <c r="J87" s="415" t="e">
        <f>#REF!</f>
        <v>#REF!</v>
      </c>
      <c r="K87" s="415" t="e">
        <f>#REF!</f>
        <v>#REF!</v>
      </c>
      <c r="L87" s="415" t="e">
        <f>#REF!</f>
        <v>#REF!</v>
      </c>
      <c r="M87" s="415" t="e">
        <f>#REF!</f>
        <v>#REF!</v>
      </c>
      <c r="N87" s="415" t="e">
        <f>#REF!</f>
        <v>#REF!</v>
      </c>
    </row>
    <row r="88" spans="1:21" s="18" customFormat="1" x14ac:dyDescent="0.25">
      <c r="A88" s="10" t="s">
        <v>25</v>
      </c>
      <c r="B88" s="34" t="e">
        <f>#REF!</f>
        <v>#REF!</v>
      </c>
      <c r="C88" s="138" t="e">
        <f t="shared" si="11"/>
        <v>#REF!</v>
      </c>
      <c r="D88" s="34" t="e">
        <f>#REF!</f>
        <v>#REF!</v>
      </c>
      <c r="E88" s="138" t="e">
        <f t="shared" si="12"/>
        <v>#REF!</v>
      </c>
      <c r="F88" s="22"/>
      <c r="G88" s="2"/>
      <c r="H88" s="22"/>
      <c r="I88" s="10" t="str">
        <v>$200,000+</v>
      </c>
      <c r="J88" s="415" t="e">
        <f>#REF!</f>
        <v>#REF!</v>
      </c>
      <c r="K88" s="415" t="e">
        <f>#REF!</f>
        <v>#REF!</v>
      </c>
      <c r="L88" s="415" t="e">
        <f>#REF!</f>
        <v>#REF!</v>
      </c>
      <c r="M88" s="415" t="e">
        <f>#REF!</f>
        <v>#REF!</v>
      </c>
      <c r="N88" s="415" t="e">
        <f>#REF!</f>
        <v>#REF!</v>
      </c>
    </row>
    <row r="89" spans="1:21" ht="13.8" thickBot="1" x14ac:dyDescent="0.3">
      <c r="A89" s="10" t="s">
        <v>26</v>
      </c>
      <c r="B89" s="34" t="e">
        <f>#REF!</f>
        <v>#REF!</v>
      </c>
      <c r="C89" s="138" t="e">
        <f t="shared" si="11"/>
        <v>#REF!</v>
      </c>
      <c r="D89" s="34" t="e">
        <f>#REF!</f>
        <v>#REF!</v>
      </c>
      <c r="E89" s="138" t="e">
        <f t="shared" si="12"/>
        <v>#REF!</v>
      </c>
      <c r="F89" s="22"/>
      <c r="G89" s="2"/>
      <c r="H89" s="22"/>
      <c r="I89" s="393" t="s">
        <v>11</v>
      </c>
      <c r="J89" s="417" t="e">
        <f>#REF!</f>
        <v>#REF!</v>
      </c>
      <c r="K89" s="417" t="e">
        <f>#REF!</f>
        <v>#REF!</v>
      </c>
      <c r="L89" s="417" t="e">
        <f>#REF!</f>
        <v>#REF!</v>
      </c>
      <c r="M89" s="417" t="e">
        <f>#REF!</f>
        <v>#REF!</v>
      </c>
      <c r="N89" s="417" t="e">
        <f>#REF!</f>
        <v>#REF!</v>
      </c>
      <c r="O89" s="18"/>
      <c r="P89" s="18"/>
      <c r="Q89" s="18"/>
      <c r="R89" s="18"/>
      <c r="S89" s="18"/>
      <c r="T89" s="18"/>
      <c r="U89" s="18"/>
    </row>
    <row r="90" spans="1:21" x14ac:dyDescent="0.25">
      <c r="A90" s="10" t="s">
        <v>27</v>
      </c>
      <c r="B90" s="34" t="e">
        <f>#REF!</f>
        <v>#REF!</v>
      </c>
      <c r="C90" s="138" t="e">
        <f t="shared" si="11"/>
        <v>#REF!</v>
      </c>
      <c r="D90" s="34" t="e">
        <f>#REF!</f>
        <v>#REF!</v>
      </c>
      <c r="E90" s="138" t="e">
        <f t="shared" si="12"/>
        <v>#REF!</v>
      </c>
      <c r="F90" s="22"/>
      <c r="G90" s="2"/>
      <c r="H90" s="22"/>
      <c r="I90" s="391" t="str">
        <f>"Source: " &amp; Source_HISTA &amp; ", " &amp; Source_Novogradac &amp; ", " &amp; Source_Date</f>
        <v>Source: Ribbon Demographics 2014, Novogradac &amp; Company LLP, August 2017</v>
      </c>
      <c r="J90" s="262"/>
      <c r="K90" s="262"/>
      <c r="L90" s="262"/>
      <c r="M90" s="262"/>
      <c r="N90" s="262"/>
      <c r="O90" s="18"/>
      <c r="P90" s="18"/>
      <c r="Q90" s="18"/>
      <c r="R90" s="18"/>
      <c r="S90" s="18"/>
      <c r="T90" s="18"/>
      <c r="U90" s="18"/>
    </row>
    <row r="91" spans="1:21" x14ac:dyDescent="0.25">
      <c r="A91" s="10" t="s">
        <v>28</v>
      </c>
      <c r="B91" s="34" t="e">
        <f>#REF!</f>
        <v>#REF!</v>
      </c>
      <c r="C91" s="138" t="e">
        <f t="shared" si="11"/>
        <v>#REF!</v>
      </c>
      <c r="D91" s="34" t="e">
        <f>#REF!</f>
        <v>#REF!</v>
      </c>
      <c r="E91" s="138" t="e">
        <f t="shared" si="12"/>
        <v>#REF!</v>
      </c>
      <c r="F91" s="22"/>
      <c r="G91" s="2"/>
      <c r="H91" s="22"/>
      <c r="I91" s="29"/>
      <c r="J91" s="13"/>
      <c r="K91" s="196"/>
      <c r="L91" s="13"/>
      <c r="M91" s="18"/>
      <c r="N91" s="18"/>
      <c r="O91" s="18"/>
    </row>
    <row r="92" spans="1:21" x14ac:dyDescent="0.25">
      <c r="A92" s="10" t="s">
        <v>29</v>
      </c>
      <c r="B92" s="34" t="e">
        <f>#REF!</f>
        <v>#REF!</v>
      </c>
      <c r="C92" s="138" t="e">
        <f t="shared" si="11"/>
        <v>#REF!</v>
      </c>
      <c r="D92" s="34" t="e">
        <f>#REF!</f>
        <v>#REF!</v>
      </c>
      <c r="E92" s="138" t="e">
        <f t="shared" si="12"/>
        <v>#REF!</v>
      </c>
      <c r="F92" s="22"/>
      <c r="G92" s="2"/>
      <c r="H92" s="22"/>
      <c r="I92" s="29"/>
      <c r="J92" s="13"/>
      <c r="K92" s="196"/>
      <c r="L92" s="200"/>
      <c r="M92" s="18"/>
      <c r="N92" s="18"/>
      <c r="O92" s="18"/>
    </row>
    <row r="93" spans="1:21" x14ac:dyDescent="0.25">
      <c r="A93" s="10" t="s">
        <v>14</v>
      </c>
      <c r="B93" s="34" t="e">
        <f>#REF!</f>
        <v>#REF!</v>
      </c>
      <c r="C93" s="138" t="e">
        <f t="shared" si="11"/>
        <v>#REF!</v>
      </c>
      <c r="D93" s="34" t="e">
        <f>#REF!</f>
        <v>#REF!</v>
      </c>
      <c r="E93" s="138" t="e">
        <f t="shared" si="12"/>
        <v>#REF!</v>
      </c>
      <c r="F93" s="2"/>
      <c r="G93" s="22"/>
      <c r="H93" s="22"/>
      <c r="I93" s="29"/>
      <c r="J93" s="13"/>
      <c r="K93" s="196"/>
      <c r="L93" s="18"/>
      <c r="M93" s="18"/>
      <c r="N93" s="18"/>
      <c r="O93" s="18"/>
    </row>
    <row r="94" spans="1:21" ht="13.8" thickBot="1" x14ac:dyDescent="0.3">
      <c r="A94" s="8" t="s">
        <v>11</v>
      </c>
      <c r="B94" s="32" t="e">
        <f>SUM(B76:B93)</f>
        <v>#REF!</v>
      </c>
      <c r="C94" s="139" t="e">
        <f>SUM(C76:C93)</f>
        <v>#REF!</v>
      </c>
      <c r="D94" s="32" t="e">
        <f>SUM(D76:D93)</f>
        <v>#REF!</v>
      </c>
      <c r="E94" s="139" t="e">
        <f>SUM(E76:E93)</f>
        <v>#REF!</v>
      </c>
      <c r="F94" s="2"/>
      <c r="G94" s="22"/>
      <c r="H94" s="2"/>
      <c r="I94" s="29"/>
      <c r="J94" s="13"/>
      <c r="K94" s="196"/>
      <c r="L94" s="18"/>
      <c r="M94" s="18"/>
      <c r="N94" s="18"/>
      <c r="O94" s="18"/>
    </row>
    <row r="95" spans="1:21" ht="13.8" thickTop="1" x14ac:dyDescent="0.25">
      <c r="A95" s="187" t="str">
        <f>"Source: " &amp; Source_ESRI &amp; ", " &amp; Source_Novogradac &amp; ", " &amp; Source_Date</f>
        <v>Source: Esri Demographics 2016, Novogradac &amp; Company LLP, August 2017</v>
      </c>
      <c r="B95" s="187"/>
      <c r="C95" s="187"/>
      <c r="D95" s="187"/>
      <c r="E95" s="187"/>
      <c r="F95" s="2"/>
      <c r="G95" s="22"/>
      <c r="H95" s="2"/>
      <c r="I95" s="29"/>
      <c r="J95" s="13"/>
      <c r="K95" s="196"/>
      <c r="L95" s="18"/>
      <c r="M95" s="18"/>
      <c r="N95" s="18"/>
    </row>
    <row r="96" spans="1:21" x14ac:dyDescent="0.25">
      <c r="A96" s="199"/>
      <c r="B96" s="199"/>
      <c r="C96" s="199"/>
      <c r="D96" s="199"/>
      <c r="E96" s="199"/>
      <c r="F96" s="2"/>
      <c r="G96" s="22"/>
      <c r="H96" s="2"/>
      <c r="I96" s="201"/>
      <c r="J96" s="13"/>
      <c r="K96" s="196"/>
      <c r="L96" s="18"/>
      <c r="M96" s="18"/>
      <c r="N96" s="18"/>
    </row>
    <row r="97" spans="1:14" x14ac:dyDescent="0.25">
      <c r="A97" s="199"/>
      <c r="B97" s="199"/>
      <c r="C97" s="199"/>
      <c r="D97" s="199"/>
      <c r="E97" s="199"/>
      <c r="F97" s="2"/>
      <c r="G97" s="22"/>
      <c r="H97" s="2"/>
      <c r="I97" s="202"/>
      <c r="J97" s="200"/>
      <c r="K97" s="203"/>
      <c r="L97" s="18"/>
      <c r="M97" s="18"/>
      <c r="N97" s="18"/>
    </row>
    <row r="98" spans="1:14" x14ac:dyDescent="0.25">
      <c r="A98" s="1" t="s">
        <v>140</v>
      </c>
      <c r="B98" s="2"/>
      <c r="C98" s="2"/>
      <c r="D98" s="2"/>
      <c r="E98" s="2"/>
      <c r="F98" s="2"/>
      <c r="G98" s="22"/>
      <c r="H98" s="2"/>
      <c r="I98" s="18"/>
      <c r="J98" s="18"/>
      <c r="K98" s="18"/>
      <c r="L98" s="18"/>
    </row>
    <row r="99" spans="1:14" ht="15.6" x14ac:dyDescent="0.3">
      <c r="A99" s="4" t="s">
        <v>37</v>
      </c>
      <c r="B99" s="4"/>
      <c r="C99" s="4"/>
      <c r="D99" s="4"/>
      <c r="E99" s="4"/>
      <c r="F99" s="4"/>
      <c r="G99" s="4"/>
      <c r="H99" s="2"/>
      <c r="I99" s="18"/>
      <c r="J99" s="18"/>
      <c r="K99" s="18"/>
      <c r="L99" s="18"/>
    </row>
    <row r="100" spans="1:14" x14ac:dyDescent="0.25">
      <c r="A100" s="318" t="s">
        <v>38</v>
      </c>
      <c r="B100" s="319" t="e">
        <f>PMA_Name</f>
        <v>#REF!</v>
      </c>
      <c r="C100" s="320"/>
      <c r="D100" s="319" t="e">
        <f>SMA_Name</f>
        <v>#REF!</v>
      </c>
      <c r="E100" s="320"/>
      <c r="F100" s="321" t="e">
        <f>USA_Name</f>
        <v>#REF!</v>
      </c>
      <c r="G100" s="322"/>
      <c r="H100" s="2"/>
      <c r="I100" s="18"/>
      <c r="J100" s="18"/>
      <c r="K100" s="18"/>
    </row>
    <row r="101" spans="1:14" ht="15.6" x14ac:dyDescent="0.3">
      <c r="A101" s="37"/>
      <c r="B101" s="298" t="s">
        <v>44</v>
      </c>
      <c r="C101" s="298" t="s">
        <v>43</v>
      </c>
      <c r="D101" s="298" t="s">
        <v>42</v>
      </c>
      <c r="E101" s="298" t="s">
        <v>43</v>
      </c>
      <c r="F101" s="298" t="s">
        <v>44</v>
      </c>
      <c r="G101" s="298" t="s">
        <v>43</v>
      </c>
      <c r="H101" s="2"/>
      <c r="I101" s="18"/>
      <c r="J101" s="18"/>
      <c r="K101" s="18"/>
    </row>
    <row r="102" spans="1:14" x14ac:dyDescent="0.25">
      <c r="A102" s="10">
        <v>1990</v>
      </c>
      <c r="B102" s="13" t="e">
        <f>#REF!</f>
        <v>#REF!</v>
      </c>
      <c r="C102" s="138" t="s">
        <v>45</v>
      </c>
      <c r="D102" s="13" t="e">
        <f>#REF!</f>
        <v>#REF!</v>
      </c>
      <c r="E102" s="138" t="s">
        <v>45</v>
      </c>
      <c r="F102" s="13" t="e">
        <f>#REF!</f>
        <v>#REF!</v>
      </c>
      <c r="G102" s="138" t="s">
        <v>45</v>
      </c>
      <c r="H102" s="2"/>
      <c r="I102" s="18"/>
      <c r="J102" s="18"/>
      <c r="K102" s="18"/>
    </row>
    <row r="103" spans="1:14" x14ac:dyDescent="0.25">
      <c r="A103" s="325">
        <f>ESRI_BY</f>
        <v>2000</v>
      </c>
      <c r="B103" s="13" t="e">
        <f>#REF!</f>
        <v>#REF!</v>
      </c>
      <c r="C103" s="138" t="e">
        <f>(B103-B102)/$B$102/10</f>
        <v>#REF!</v>
      </c>
      <c r="D103" s="13" t="e">
        <f>#REF!</f>
        <v>#REF!</v>
      </c>
      <c r="E103" s="138" t="e">
        <f>(D103-D102)/D102/10</f>
        <v>#REF!</v>
      </c>
      <c r="F103" s="14" t="e">
        <f>#REF!</f>
        <v>#REF!</v>
      </c>
      <c r="G103" s="138" t="e">
        <f>(F103-F102)/F102/10</f>
        <v>#REF!</v>
      </c>
      <c r="H103" s="2"/>
      <c r="I103" s="18"/>
      <c r="J103" s="18"/>
      <c r="K103" s="18"/>
    </row>
    <row r="104" spans="1:14" x14ac:dyDescent="0.25">
      <c r="A104" s="325">
        <f>ESRI_CY</f>
        <v>2016</v>
      </c>
      <c r="B104" s="13" t="e">
        <f>#REF!</f>
        <v>#REF!</v>
      </c>
      <c r="C104" s="138" t="e">
        <f>(B104-B103)/$B$103/$B$1</f>
        <v>#REF!</v>
      </c>
      <c r="D104" s="13" t="e">
        <f>#REF!</f>
        <v>#REF!</v>
      </c>
      <c r="E104" s="138" t="e">
        <f>(D104-D103)/D103/$B$1</f>
        <v>#REF!</v>
      </c>
      <c r="F104" s="13" t="e">
        <f>#REF!</f>
        <v>#REF!</v>
      </c>
      <c r="G104" s="138" t="e">
        <f>(F104-F103)/F103/$B$1</f>
        <v>#REF!</v>
      </c>
      <c r="H104" s="2"/>
    </row>
    <row r="105" spans="1:14" ht="13.8" thickBot="1" x14ac:dyDescent="0.3">
      <c r="A105" s="186">
        <f>ESRI_FY</f>
        <v>2021</v>
      </c>
      <c r="B105" s="13" t="e">
        <f>#REF!</f>
        <v>#REF!</v>
      </c>
      <c r="C105" s="144" t="e">
        <f>+(B105-B104)/$B$104/5</f>
        <v>#REF!</v>
      </c>
      <c r="D105" s="16" t="e">
        <f>#REF!</f>
        <v>#REF!</v>
      </c>
      <c r="E105" s="144" t="e">
        <f>+(D105-D104)/D104/5</f>
        <v>#REF!</v>
      </c>
      <c r="F105" s="17" t="e">
        <f>#REF!</f>
        <v>#REF!</v>
      </c>
      <c r="G105" s="144" t="e">
        <f>+(F105-F104)/F104/5</f>
        <v>#REF!</v>
      </c>
      <c r="H105" s="2"/>
    </row>
    <row r="106" spans="1:14" ht="13.8" thickTop="1" x14ac:dyDescent="0.25">
      <c r="A106" s="187" t="str">
        <f>"Source: " &amp; Source_ESRI &amp; ", " &amp; Source_Novogradac &amp; ", " &amp; Source_Date</f>
        <v>Source: Esri Demographics 2016, Novogradac &amp; Company LLP, August 2017</v>
      </c>
      <c r="B106" s="187"/>
      <c r="C106" s="187"/>
      <c r="D106" s="187"/>
      <c r="E106" s="187"/>
      <c r="F106" s="187"/>
      <c r="G106" s="187"/>
      <c r="H106" s="2"/>
    </row>
    <row r="107" spans="1:14" x14ac:dyDescent="0.25">
      <c r="A107" s="195"/>
      <c r="B107" s="195"/>
      <c r="C107" s="195"/>
      <c r="D107" s="195"/>
      <c r="E107" s="195"/>
      <c r="F107" s="195"/>
      <c r="G107" s="195"/>
      <c r="H107" s="2"/>
    </row>
    <row r="108" spans="1:14" x14ac:dyDescent="0.25">
      <c r="A108" s="1"/>
      <c r="B108" s="2"/>
      <c r="C108" s="2"/>
      <c r="D108" s="2"/>
      <c r="E108" s="2"/>
      <c r="F108" s="2"/>
      <c r="G108" s="2"/>
      <c r="H108" s="2"/>
    </row>
    <row r="109" spans="1:14" ht="15.6" x14ac:dyDescent="0.3">
      <c r="A109" s="4" t="s">
        <v>46</v>
      </c>
      <c r="B109" s="4"/>
      <c r="C109" s="4"/>
      <c r="D109" s="4"/>
      <c r="E109" s="4"/>
      <c r="F109" s="4"/>
      <c r="G109" s="4"/>
      <c r="H109" s="2"/>
    </row>
    <row r="110" spans="1:14" x14ac:dyDescent="0.25">
      <c r="A110" s="132" t="s">
        <v>38</v>
      </c>
      <c r="B110" s="319" t="e">
        <f>PMA_Name</f>
        <v>#REF!</v>
      </c>
      <c r="C110" s="320"/>
      <c r="D110" s="319" t="e">
        <f>SMA_Name</f>
        <v>#REF!</v>
      </c>
      <c r="E110" s="320"/>
      <c r="F110" s="321" t="e">
        <f>USA_Name</f>
        <v>#REF!</v>
      </c>
      <c r="G110" s="322"/>
      <c r="H110" s="2"/>
    </row>
    <row r="111" spans="1:14" ht="15.6" x14ac:dyDescent="0.3">
      <c r="A111" s="37"/>
      <c r="B111" s="298" t="s">
        <v>44</v>
      </c>
      <c r="C111" s="298" t="s">
        <v>43</v>
      </c>
      <c r="D111" s="298" t="s">
        <v>42</v>
      </c>
      <c r="E111" s="298" t="s">
        <v>43</v>
      </c>
      <c r="F111" s="298" t="s">
        <v>44</v>
      </c>
      <c r="G111" s="298" t="s">
        <v>43</v>
      </c>
      <c r="H111" s="2"/>
    </row>
    <row r="112" spans="1:14" x14ac:dyDescent="0.25">
      <c r="A112" s="10">
        <v>1990</v>
      </c>
      <c r="B112" s="13" t="e">
        <f>#REF!</f>
        <v>#REF!</v>
      </c>
      <c r="C112" s="207" t="s">
        <v>45</v>
      </c>
      <c r="D112" s="13" t="e">
        <f>#REF!</f>
        <v>#REF!</v>
      </c>
      <c r="E112" s="207" t="s">
        <v>45</v>
      </c>
      <c r="F112" s="14" t="e">
        <f>#REF!</f>
        <v>#REF!</v>
      </c>
      <c r="G112" s="207" t="s">
        <v>45</v>
      </c>
      <c r="H112" s="2"/>
    </row>
    <row r="113" spans="1:8" x14ac:dyDescent="0.25">
      <c r="A113" s="325">
        <f>ESRI_BY</f>
        <v>2000</v>
      </c>
      <c r="B113" s="13" t="e">
        <f>#REF!</f>
        <v>#REF!</v>
      </c>
      <c r="C113" s="138" t="e">
        <f>(B113-B112)/$B$112/10</f>
        <v>#REF!</v>
      </c>
      <c r="D113" s="13" t="e">
        <f>#REF!</f>
        <v>#REF!</v>
      </c>
      <c r="E113" s="138" t="e">
        <f>(D113-D112)/D112/10</f>
        <v>#REF!</v>
      </c>
      <c r="F113" s="14" t="e">
        <f>#REF!</f>
        <v>#REF!</v>
      </c>
      <c r="G113" s="138" t="e">
        <f>(F113-F112)/F112/10</f>
        <v>#REF!</v>
      </c>
      <c r="H113" s="2"/>
    </row>
    <row r="114" spans="1:8" x14ac:dyDescent="0.25">
      <c r="A114" s="325">
        <f>ESRI_CY</f>
        <v>2016</v>
      </c>
      <c r="B114" s="13" t="e">
        <f>#REF!</f>
        <v>#REF!</v>
      </c>
      <c r="C114" s="138" t="e">
        <f>(B114-B113)/$B$113/$B$1</f>
        <v>#REF!</v>
      </c>
      <c r="D114" s="13" t="e">
        <f>#REF!</f>
        <v>#REF!</v>
      </c>
      <c r="E114" s="138" t="e">
        <f>(D114-D113)/D113/$B$1</f>
        <v>#REF!</v>
      </c>
      <c r="F114" s="14" t="e">
        <f>#REF!</f>
        <v>#REF!</v>
      </c>
      <c r="G114" s="138" t="e">
        <f>(F114-F113)/F113/$B$1</f>
        <v>#REF!</v>
      </c>
      <c r="H114" s="2"/>
    </row>
    <row r="115" spans="1:8" ht="13.8" thickBot="1" x14ac:dyDescent="0.3">
      <c r="A115" s="186">
        <f>ESRI_FY</f>
        <v>2021</v>
      </c>
      <c r="B115" s="16" t="e">
        <f>#REF!</f>
        <v>#REF!</v>
      </c>
      <c r="C115" s="144" t="e">
        <f>+(B115-B114)/$B$114/5</f>
        <v>#REF!</v>
      </c>
      <c r="D115" s="16" t="e">
        <f>#REF!</f>
        <v>#REF!</v>
      </c>
      <c r="E115" s="144" t="e">
        <f>+(D115-D114)/D114/5</f>
        <v>#REF!</v>
      </c>
      <c r="F115" s="17" t="e">
        <f>#REF!</f>
        <v>#REF!</v>
      </c>
      <c r="G115" s="144" t="e">
        <f>+(F115-F114)/F114/5</f>
        <v>#REF!</v>
      </c>
      <c r="H115" s="2"/>
    </row>
    <row r="116" spans="1:8" ht="13.8" thickTop="1" x14ac:dyDescent="0.25">
      <c r="A116" s="187" t="str">
        <f>"Source: " &amp; Source_ESRI &amp; ", " &amp; Source_Novogradac &amp; ", " &amp; Source_Date</f>
        <v>Source: Esri Demographics 2016, Novogradac &amp; Company LLP, August 2017</v>
      </c>
      <c r="B116" s="187"/>
      <c r="C116" s="187"/>
      <c r="D116" s="187"/>
      <c r="E116" s="187"/>
      <c r="F116" s="187"/>
      <c r="G116" s="187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ht="15.6" x14ac:dyDescent="0.3">
      <c r="A119" s="4" t="s">
        <v>47</v>
      </c>
      <c r="B119" s="4"/>
      <c r="C119" s="4"/>
      <c r="D119" s="4"/>
      <c r="E119" s="4"/>
      <c r="F119" s="4"/>
      <c r="G119" s="4"/>
      <c r="H119" s="2"/>
    </row>
    <row r="120" spans="1:8" x14ac:dyDescent="0.25">
      <c r="A120" s="132" t="s">
        <v>38</v>
      </c>
      <c r="B120" s="319" t="e">
        <f>PMA_Name</f>
        <v>#REF!</v>
      </c>
      <c r="C120" s="320"/>
      <c r="D120" s="319" t="e">
        <f>SMA_Name</f>
        <v>#REF!</v>
      </c>
      <c r="E120" s="320"/>
      <c r="F120" s="321" t="e">
        <f>USA_Name</f>
        <v>#REF!</v>
      </c>
      <c r="G120" s="322"/>
      <c r="H120" s="2"/>
    </row>
    <row r="121" spans="1:8" ht="15.6" x14ac:dyDescent="0.3">
      <c r="A121" s="37"/>
      <c r="B121" s="298" t="s">
        <v>44</v>
      </c>
      <c r="C121" s="298" t="s">
        <v>43</v>
      </c>
      <c r="D121" s="298" t="s">
        <v>42</v>
      </c>
      <c r="E121" s="298" t="s">
        <v>43</v>
      </c>
      <c r="F121" s="299" t="s">
        <v>42</v>
      </c>
      <c r="G121" s="299" t="s">
        <v>43</v>
      </c>
      <c r="H121" s="2"/>
    </row>
    <row r="122" spans="1:8" x14ac:dyDescent="0.25">
      <c r="A122" s="325">
        <f>ESRI_BY</f>
        <v>2000</v>
      </c>
      <c r="B122" s="19" t="e">
        <f>#REF!</f>
        <v>#REF!</v>
      </c>
      <c r="C122" s="138" t="s">
        <v>45</v>
      </c>
      <c r="D122" s="19" t="e">
        <f>#REF!</f>
        <v>#REF!</v>
      </c>
      <c r="E122" s="138" t="s">
        <v>45</v>
      </c>
      <c r="F122" s="204" t="e">
        <f>#REF!</f>
        <v>#REF!</v>
      </c>
      <c r="G122" s="138" t="s">
        <v>45</v>
      </c>
      <c r="H122" s="2"/>
    </row>
    <row r="123" spans="1:8" x14ac:dyDescent="0.25">
      <c r="A123" s="325">
        <f>ESRI_CY</f>
        <v>2016</v>
      </c>
      <c r="B123" s="20" t="e">
        <f>#REF!</f>
        <v>#REF!</v>
      </c>
      <c r="C123" s="143" t="e">
        <f>+(B123-B122)/$B$122/$B$1</f>
        <v>#REF!</v>
      </c>
      <c r="D123" s="19" t="e">
        <f>#REF!</f>
        <v>#REF!</v>
      </c>
      <c r="E123" s="143" t="e">
        <f>+(D123-D122)/D122/$B$1</f>
        <v>#REF!</v>
      </c>
      <c r="F123" s="204" t="e">
        <f>#REF!</f>
        <v>#REF!</v>
      </c>
      <c r="G123" s="143" t="e">
        <f>+(F123-F122)/F122/$B$1</f>
        <v>#REF!</v>
      </c>
      <c r="H123" s="2"/>
    </row>
    <row r="124" spans="1:8" ht="13.8" thickBot="1" x14ac:dyDescent="0.3">
      <c r="A124" s="186">
        <f>ESRI_FY</f>
        <v>2021</v>
      </c>
      <c r="B124" s="20" t="e">
        <f>#REF!</f>
        <v>#REF!</v>
      </c>
      <c r="C124" s="144" t="e">
        <f>+(B124-B123)/$B$123/5</f>
        <v>#REF!</v>
      </c>
      <c r="D124" s="21" t="e">
        <f>#REF!</f>
        <v>#REF!</v>
      </c>
      <c r="E124" s="144" t="e">
        <f>+(D124-D123)/D123/5</f>
        <v>#REF!</v>
      </c>
      <c r="F124" s="205" t="e">
        <f>#REF!</f>
        <v>#REF!</v>
      </c>
      <c r="G124" s="144" t="e">
        <f>+(F124-F123)/F123/5</f>
        <v>#REF!</v>
      </c>
      <c r="H124" s="2"/>
    </row>
    <row r="125" spans="1:8" ht="13.8" thickTop="1" x14ac:dyDescent="0.25">
      <c r="A125" s="187" t="str">
        <f>"Source: " &amp; Source_ESRI &amp; ", " &amp; Source_Novogradac &amp; ", " &amp; Source_Date</f>
        <v>Source: Esri Demographics 2016, Novogradac &amp; Company LLP, August 2017</v>
      </c>
      <c r="B125" s="187"/>
      <c r="C125" s="187"/>
      <c r="D125" s="187"/>
      <c r="E125" s="187"/>
      <c r="F125" s="187"/>
      <c r="G125" s="187"/>
      <c r="H125" s="2"/>
    </row>
    <row r="126" spans="1:8" x14ac:dyDescent="0.25">
      <c r="A126" s="2"/>
      <c r="B126" s="2"/>
      <c r="C126" s="2"/>
      <c r="D126" s="2"/>
      <c r="E126" s="2"/>
      <c r="F126" s="22"/>
      <c r="G126" s="22"/>
      <c r="H126" s="2"/>
    </row>
    <row r="127" spans="1:8" x14ac:dyDescent="0.25">
      <c r="A127" s="1"/>
      <c r="B127" s="2"/>
      <c r="C127" s="2"/>
      <c r="D127" s="2"/>
      <c r="E127" s="2"/>
      <c r="F127" s="2"/>
      <c r="G127" s="2"/>
      <c r="H127" s="2"/>
    </row>
    <row r="128" spans="1:8" ht="15.6" x14ac:dyDescent="0.3">
      <c r="A128" s="224" t="s">
        <v>48</v>
      </c>
      <c r="B128" s="224"/>
      <c r="C128" s="224"/>
      <c r="D128" s="224"/>
      <c r="E128" s="224"/>
      <c r="F128" s="224"/>
      <c r="G128" s="224"/>
      <c r="H128" s="2"/>
    </row>
    <row r="129" spans="1:8" x14ac:dyDescent="0.25">
      <c r="A129" s="132" t="s">
        <v>38</v>
      </c>
      <c r="B129" s="319" t="e">
        <f>PMA_Name</f>
        <v>#REF!</v>
      </c>
      <c r="C129" s="320"/>
      <c r="D129" s="319" t="e">
        <f>SMA_Name</f>
        <v>#REF!</v>
      </c>
      <c r="E129" s="320"/>
      <c r="F129" s="321" t="e">
        <f>USA_Name</f>
        <v>#REF!</v>
      </c>
      <c r="G129" s="322"/>
      <c r="H129" s="2"/>
    </row>
    <row r="130" spans="1:8" ht="15.6" x14ac:dyDescent="0.3">
      <c r="A130" s="37"/>
      <c r="B130" s="298" t="s">
        <v>49</v>
      </c>
      <c r="C130" s="298" t="s">
        <v>43</v>
      </c>
      <c r="D130" s="298" t="s">
        <v>49</v>
      </c>
      <c r="E130" s="298" t="s">
        <v>43</v>
      </c>
      <c r="F130" s="299" t="s">
        <v>49</v>
      </c>
      <c r="G130" s="299" t="s">
        <v>43</v>
      </c>
      <c r="H130" s="2"/>
    </row>
    <row r="131" spans="1:8" x14ac:dyDescent="0.25">
      <c r="A131" s="325">
        <f>ESRI_BY</f>
        <v>2000</v>
      </c>
      <c r="B131" s="23" t="e">
        <f>#REF!</f>
        <v>#REF!</v>
      </c>
      <c r="C131" s="138" t="s">
        <v>45</v>
      </c>
      <c r="D131" s="23" t="e">
        <f>#REF!</f>
        <v>#REF!</v>
      </c>
      <c r="E131" s="138" t="s">
        <v>45</v>
      </c>
      <c r="F131" s="24" t="e">
        <f>#REF!</f>
        <v>#REF!</v>
      </c>
      <c r="G131" s="138" t="s">
        <v>45</v>
      </c>
      <c r="H131" s="2"/>
    </row>
    <row r="132" spans="1:8" x14ac:dyDescent="0.25">
      <c r="A132" s="325">
        <f>ESRI_CY</f>
        <v>2016</v>
      </c>
      <c r="B132" s="25" t="e">
        <f>#REF!</f>
        <v>#REF!</v>
      </c>
      <c r="C132" s="138" t="e">
        <f>+(B132-B131)/$B$131/$B$1</f>
        <v>#REF!</v>
      </c>
      <c r="D132" s="25" t="e">
        <f>#REF!</f>
        <v>#REF!</v>
      </c>
      <c r="E132" s="138" t="e">
        <f>+(D132-D131)/D131/$B$1</f>
        <v>#REF!</v>
      </c>
      <c r="F132" s="9" t="e">
        <f>#REF!</f>
        <v>#REF!</v>
      </c>
      <c r="G132" s="138" t="e">
        <f>+(F132-F131)/F131/$B$1</f>
        <v>#REF!</v>
      </c>
      <c r="H132" s="2"/>
    </row>
    <row r="133" spans="1:8" ht="13.8" thickBot="1" x14ac:dyDescent="0.3">
      <c r="A133" s="186">
        <f>ESRI_FY</f>
        <v>2021</v>
      </c>
      <c r="B133" s="26" t="e">
        <f>#REF!</f>
        <v>#REF!</v>
      </c>
      <c r="C133" s="144" t="e">
        <f>+(B133-B132)/$B$132/5</f>
        <v>#REF!</v>
      </c>
      <c r="D133" s="26" t="e">
        <f>#REF!</f>
        <v>#REF!</v>
      </c>
      <c r="E133" s="144" t="e">
        <f>+(D133-D132)/D132/5</f>
        <v>#REF!</v>
      </c>
      <c r="F133" s="27" t="e">
        <f>#REF!</f>
        <v>#REF!</v>
      </c>
      <c r="G133" s="144" t="e">
        <f>+(F133-F132)/F132/5</f>
        <v>#REF!</v>
      </c>
      <c r="H133" s="2"/>
    </row>
    <row r="134" spans="1:8" ht="13.8" thickTop="1" x14ac:dyDescent="0.25">
      <c r="A134" s="187" t="str">
        <f>"Source: " &amp; Source_ESRI &amp; ", " &amp; Source_Novogradac &amp; ", " &amp; Source_Date</f>
        <v>Source: Esri Demographics 2016, Novogradac &amp; Company LLP, August 2017</v>
      </c>
      <c r="B134" s="187"/>
      <c r="C134" s="187"/>
      <c r="D134" s="187"/>
      <c r="E134" s="187"/>
      <c r="F134" s="187"/>
      <c r="G134" s="187"/>
      <c r="H134" s="2"/>
    </row>
    <row r="135" spans="1:8" x14ac:dyDescent="0.25">
      <c r="A135" s="41"/>
      <c r="B135" s="41"/>
      <c r="C135" s="41"/>
      <c r="D135" s="41"/>
      <c r="E135" s="41"/>
      <c r="F135" s="41"/>
      <c r="G135" s="41"/>
      <c r="H135" s="2"/>
    </row>
    <row r="136" spans="1:8" x14ac:dyDescent="0.25">
      <c r="A136" s="41"/>
      <c r="B136" s="41"/>
      <c r="C136" s="41"/>
      <c r="D136" s="41"/>
      <c r="E136" s="41"/>
      <c r="F136" s="41"/>
      <c r="G136" s="41"/>
      <c r="H136" s="2"/>
    </row>
    <row r="137" spans="1:8" ht="15.6" x14ac:dyDescent="0.3">
      <c r="A137" s="228" t="str">
        <f>ESRI_CY &amp; " HOUSEHOLD INCOME"</f>
        <v>2016 HOUSEHOLD INCOME</v>
      </c>
      <c r="B137" s="228"/>
      <c r="C137" s="228"/>
      <c r="D137" s="228"/>
      <c r="E137" s="228"/>
      <c r="F137" s="228"/>
      <c r="G137" s="228"/>
      <c r="H137" s="2"/>
    </row>
    <row r="138" spans="1:8" x14ac:dyDescent="0.25">
      <c r="A138" s="327" t="s">
        <v>50</v>
      </c>
      <c r="B138" s="319" t="e">
        <f>PMA_Name</f>
        <v>#REF!</v>
      </c>
      <c r="C138" s="320"/>
      <c r="D138" s="319" t="e">
        <f>SMA_Name</f>
        <v>#REF!</v>
      </c>
      <c r="E138" s="320"/>
      <c r="F138" s="319" t="e">
        <f>USA_Name</f>
        <v>#REF!</v>
      </c>
      <c r="G138" s="320"/>
      <c r="H138" s="2"/>
    </row>
    <row r="139" spans="1:8" ht="15.6" x14ac:dyDescent="0.3">
      <c r="A139" s="37"/>
      <c r="B139" s="413" t="s">
        <v>44</v>
      </c>
      <c r="C139" s="413" t="s">
        <v>51</v>
      </c>
      <c r="D139" s="413" t="s">
        <v>44</v>
      </c>
      <c r="E139" s="413" t="s">
        <v>51</v>
      </c>
      <c r="F139" s="414" t="s">
        <v>42</v>
      </c>
      <c r="G139" s="413" t="s">
        <v>51</v>
      </c>
      <c r="H139" s="2"/>
    </row>
    <row r="140" spans="1:8" x14ac:dyDescent="0.25">
      <c r="A140" s="10" t="str">
        <f t="array" ref="A140:A151">Novo_Cohort_Ref</f>
        <v>$0-9,999</v>
      </c>
      <c r="B140" s="34" t="e">
        <f>#REF!</f>
        <v>#REF!</v>
      </c>
      <c r="C140" s="138" t="e">
        <f t="shared" ref="C140:C151" si="13">B140/$B$152</f>
        <v>#REF!</v>
      </c>
      <c r="D140" s="34" t="e">
        <f>#REF!</f>
        <v>#REF!</v>
      </c>
      <c r="E140" s="138" t="e">
        <f t="shared" ref="E140:E151" si="14">D140/$D$152</f>
        <v>#REF!</v>
      </c>
      <c r="F140" s="31" t="e">
        <f>#REF!</f>
        <v>#REF!</v>
      </c>
      <c r="G140" s="142" t="e">
        <f t="shared" ref="G140:G151" si="15">F140/$F$152</f>
        <v>#REF!</v>
      </c>
      <c r="H140" s="2"/>
    </row>
    <row r="141" spans="1:8" x14ac:dyDescent="0.25">
      <c r="A141" s="10" t="str">
        <v>$10,000-19,999</v>
      </c>
      <c r="B141" s="34" t="e">
        <f>#REF!</f>
        <v>#REF!</v>
      </c>
      <c r="C141" s="138" t="e">
        <f t="shared" si="13"/>
        <v>#REF!</v>
      </c>
      <c r="D141" s="34" t="e">
        <f>#REF!</f>
        <v>#REF!</v>
      </c>
      <c r="E141" s="138" t="e">
        <f t="shared" si="14"/>
        <v>#REF!</v>
      </c>
      <c r="F141" s="31" t="e">
        <f>#REF!</f>
        <v>#REF!</v>
      </c>
      <c r="G141" s="142" t="e">
        <f t="shared" si="15"/>
        <v>#REF!</v>
      </c>
      <c r="H141" s="2"/>
    </row>
    <row r="142" spans="1:8" x14ac:dyDescent="0.25">
      <c r="A142" s="10" t="str">
        <v>$20,000-29,999</v>
      </c>
      <c r="B142" s="34" t="e">
        <f>#REF!</f>
        <v>#REF!</v>
      </c>
      <c r="C142" s="138" t="e">
        <f t="shared" si="13"/>
        <v>#REF!</v>
      </c>
      <c r="D142" s="34" t="e">
        <f>#REF!</f>
        <v>#REF!</v>
      </c>
      <c r="E142" s="138" t="e">
        <f t="shared" si="14"/>
        <v>#REF!</v>
      </c>
      <c r="F142" s="31" t="e">
        <f>#REF!</f>
        <v>#REF!</v>
      </c>
      <c r="G142" s="142" t="e">
        <f t="shared" si="15"/>
        <v>#REF!</v>
      </c>
      <c r="H142" s="2"/>
    </row>
    <row r="143" spans="1:8" x14ac:dyDescent="0.25">
      <c r="A143" s="10" t="str">
        <v>$30,000-39,999</v>
      </c>
      <c r="B143" s="34" t="e">
        <f>#REF!</f>
        <v>#REF!</v>
      </c>
      <c r="C143" s="138" t="e">
        <f t="shared" si="13"/>
        <v>#REF!</v>
      </c>
      <c r="D143" s="34" t="e">
        <f>#REF!</f>
        <v>#REF!</v>
      </c>
      <c r="E143" s="138" t="e">
        <f t="shared" si="14"/>
        <v>#REF!</v>
      </c>
      <c r="F143" s="31" t="e">
        <f>#REF!</f>
        <v>#REF!</v>
      </c>
      <c r="G143" s="142" t="e">
        <f t="shared" si="15"/>
        <v>#REF!</v>
      </c>
      <c r="H143" s="2"/>
    </row>
    <row r="144" spans="1:8" x14ac:dyDescent="0.25">
      <c r="A144" s="10" t="str">
        <v>$40,000-49,999</v>
      </c>
      <c r="B144" s="34" t="e">
        <f>#REF!</f>
        <v>#REF!</v>
      </c>
      <c r="C144" s="138" t="e">
        <f t="shared" si="13"/>
        <v>#REF!</v>
      </c>
      <c r="D144" s="34" t="e">
        <f>#REF!</f>
        <v>#REF!</v>
      </c>
      <c r="E144" s="138" t="e">
        <f t="shared" si="14"/>
        <v>#REF!</v>
      </c>
      <c r="F144" s="31" t="e">
        <f>#REF!</f>
        <v>#REF!</v>
      </c>
      <c r="G144" s="142" t="e">
        <f t="shared" si="15"/>
        <v>#REF!</v>
      </c>
      <c r="H144" s="2"/>
    </row>
    <row r="145" spans="1:8" x14ac:dyDescent="0.25">
      <c r="A145" s="10" t="str">
        <v>$50,000-59,999</v>
      </c>
      <c r="B145" s="34" t="e">
        <f>#REF!</f>
        <v>#REF!</v>
      </c>
      <c r="C145" s="138" t="e">
        <f t="shared" si="13"/>
        <v>#REF!</v>
      </c>
      <c r="D145" s="34" t="e">
        <f>#REF!</f>
        <v>#REF!</v>
      </c>
      <c r="E145" s="138" t="e">
        <f t="shared" si="14"/>
        <v>#REF!</v>
      </c>
      <c r="F145" s="31" t="e">
        <f>#REF!</f>
        <v>#REF!</v>
      </c>
      <c r="G145" s="142" t="e">
        <f t="shared" si="15"/>
        <v>#REF!</v>
      </c>
      <c r="H145" s="2"/>
    </row>
    <row r="146" spans="1:8" x14ac:dyDescent="0.25">
      <c r="A146" s="10" t="str">
        <v>$60,000-74,999</v>
      </c>
      <c r="B146" s="34" t="e">
        <f>#REF!</f>
        <v>#REF!</v>
      </c>
      <c r="C146" s="138" t="e">
        <f t="shared" si="13"/>
        <v>#REF!</v>
      </c>
      <c r="D146" s="34" t="e">
        <f>#REF!</f>
        <v>#REF!</v>
      </c>
      <c r="E146" s="138" t="e">
        <f t="shared" si="14"/>
        <v>#REF!</v>
      </c>
      <c r="F146" s="31" t="e">
        <f>#REF!</f>
        <v>#REF!</v>
      </c>
      <c r="G146" s="142" t="e">
        <f t="shared" si="15"/>
        <v>#REF!</v>
      </c>
      <c r="H146" s="2"/>
    </row>
    <row r="147" spans="1:8" x14ac:dyDescent="0.25">
      <c r="A147" s="10" t="str">
        <v>$75,000-99,999</v>
      </c>
      <c r="B147" s="34" t="e">
        <f>#REF!</f>
        <v>#REF!</v>
      </c>
      <c r="C147" s="138" t="e">
        <f t="shared" si="13"/>
        <v>#REF!</v>
      </c>
      <c r="D147" s="34" t="e">
        <f>#REF!</f>
        <v>#REF!</v>
      </c>
      <c r="E147" s="138" t="e">
        <f t="shared" si="14"/>
        <v>#REF!</v>
      </c>
      <c r="F147" s="31" t="e">
        <f>#REF!</f>
        <v>#REF!</v>
      </c>
      <c r="G147" s="142" t="e">
        <f t="shared" si="15"/>
        <v>#REF!</v>
      </c>
      <c r="H147" s="2"/>
    </row>
    <row r="148" spans="1:8" x14ac:dyDescent="0.25">
      <c r="A148" s="10" t="str">
        <v>$100,000-124,999</v>
      </c>
      <c r="B148" s="34" t="e">
        <f>#REF!</f>
        <v>#REF!</v>
      </c>
      <c r="C148" s="138" t="e">
        <f t="shared" si="13"/>
        <v>#REF!</v>
      </c>
      <c r="D148" s="34" t="e">
        <f>#REF!</f>
        <v>#REF!</v>
      </c>
      <c r="E148" s="138" t="e">
        <f t="shared" si="14"/>
        <v>#REF!</v>
      </c>
      <c r="F148" s="31" t="e">
        <f>#REF!</f>
        <v>#REF!</v>
      </c>
      <c r="G148" s="142" t="e">
        <f t="shared" si="15"/>
        <v>#REF!</v>
      </c>
      <c r="H148" s="2"/>
    </row>
    <row r="149" spans="1:8" x14ac:dyDescent="0.25">
      <c r="A149" s="10" t="str">
        <v>$125,000-149,999</v>
      </c>
      <c r="B149" s="34" t="e">
        <f>#REF!</f>
        <v>#REF!</v>
      </c>
      <c r="C149" s="138" t="e">
        <f t="shared" si="13"/>
        <v>#REF!</v>
      </c>
      <c r="D149" s="34" t="e">
        <f>#REF!</f>
        <v>#REF!</v>
      </c>
      <c r="E149" s="138" t="e">
        <f t="shared" si="14"/>
        <v>#REF!</v>
      </c>
      <c r="F149" s="31" t="e">
        <f>#REF!</f>
        <v>#REF!</v>
      </c>
      <c r="G149" s="142" t="e">
        <f t="shared" si="15"/>
        <v>#REF!</v>
      </c>
      <c r="H149" s="2"/>
    </row>
    <row r="150" spans="1:8" x14ac:dyDescent="0.25">
      <c r="A150" s="10" t="str">
        <v>$150,000-199,999</v>
      </c>
      <c r="B150" s="34" t="e">
        <f>#REF!</f>
        <v>#REF!</v>
      </c>
      <c r="C150" s="138" t="e">
        <f t="shared" si="13"/>
        <v>#REF!</v>
      </c>
      <c r="D150" s="34" t="e">
        <f>#REF!</f>
        <v>#REF!</v>
      </c>
      <c r="E150" s="138" t="e">
        <f t="shared" si="14"/>
        <v>#REF!</v>
      </c>
      <c r="F150" s="31" t="e">
        <f>#REF!</f>
        <v>#REF!</v>
      </c>
      <c r="G150" s="142" t="e">
        <f t="shared" si="15"/>
        <v>#REF!</v>
      </c>
      <c r="H150" s="2"/>
    </row>
    <row r="151" spans="1:8" x14ac:dyDescent="0.25">
      <c r="A151" s="10" t="str">
        <v>$200,000+</v>
      </c>
      <c r="B151" s="34" t="e">
        <f>#REF!</f>
        <v>#REF!</v>
      </c>
      <c r="C151" s="138" t="e">
        <f t="shared" si="13"/>
        <v>#REF!</v>
      </c>
      <c r="D151" s="34" t="e">
        <f>#REF!</f>
        <v>#REF!</v>
      </c>
      <c r="E151" s="138" t="e">
        <f t="shared" si="14"/>
        <v>#REF!</v>
      </c>
      <c r="F151" s="31" t="e">
        <f>#REF!</f>
        <v>#REF!</v>
      </c>
      <c r="G151" s="142" t="e">
        <f t="shared" si="15"/>
        <v>#REF!</v>
      </c>
      <c r="H151" s="2"/>
    </row>
    <row r="152" spans="1:8" ht="13.8" thickBot="1" x14ac:dyDescent="0.3">
      <c r="A152" s="8" t="s">
        <v>11</v>
      </c>
      <c r="B152" s="32" t="e">
        <f t="shared" ref="B152:G152" si="16">SUM(B140:B151)</f>
        <v>#REF!</v>
      </c>
      <c r="C152" s="139" t="e">
        <f t="shared" si="16"/>
        <v>#REF!</v>
      </c>
      <c r="D152" s="32" t="e">
        <f t="shared" si="16"/>
        <v>#REF!</v>
      </c>
      <c r="E152" s="139" t="e">
        <f t="shared" si="16"/>
        <v>#REF!</v>
      </c>
      <c r="F152" s="33" t="e">
        <f t="shared" si="16"/>
        <v>#REF!</v>
      </c>
      <c r="G152" s="141" t="e">
        <f t="shared" si="16"/>
        <v>#REF!</v>
      </c>
      <c r="H152" s="2"/>
    </row>
    <row r="153" spans="1:8" ht="13.8" thickTop="1" x14ac:dyDescent="0.25">
      <c r="A153" s="187" t="str">
        <f>"Source: " &amp; Source_ESRI &amp; ", " &amp; Source_Novogradac &amp; ", " &amp; Source_Date</f>
        <v>Source: Esri Demographics 2016, Novogradac &amp; Company LLP, August 2017</v>
      </c>
      <c r="B153" s="187"/>
      <c r="C153" s="187"/>
      <c r="D153" s="187"/>
      <c r="E153" s="187"/>
      <c r="F153" s="187"/>
      <c r="G153" s="187"/>
      <c r="H153" s="2"/>
    </row>
    <row r="154" spans="1:8" x14ac:dyDescent="0.25">
      <c r="A154" s="199"/>
      <c r="B154" s="199"/>
      <c r="C154" s="199"/>
      <c r="D154" s="199"/>
      <c r="E154" s="199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ht="15.6" x14ac:dyDescent="0.3">
      <c r="A156" s="228" t="str">
        <f>ESRI_FY &amp; " HOUSEHOLD INCOME"</f>
        <v>2021 HOUSEHOLD INCOME</v>
      </c>
      <c r="B156" s="228"/>
      <c r="C156" s="228"/>
      <c r="D156" s="228"/>
      <c r="E156" s="228"/>
      <c r="F156" s="228"/>
      <c r="G156" s="228"/>
      <c r="H156" s="2"/>
    </row>
    <row r="157" spans="1:8" x14ac:dyDescent="0.25">
      <c r="A157" s="327" t="s">
        <v>50</v>
      </c>
      <c r="B157" s="319" t="e">
        <f>PMA_Name</f>
        <v>#REF!</v>
      </c>
      <c r="C157" s="320"/>
      <c r="D157" s="319" t="e">
        <f>SMA_Name</f>
        <v>#REF!</v>
      </c>
      <c r="E157" s="320"/>
      <c r="F157" s="319" t="e">
        <f>USA_Name</f>
        <v>#REF!</v>
      </c>
      <c r="G157" s="320"/>
      <c r="H157" s="2"/>
    </row>
    <row r="158" spans="1:8" ht="15.6" x14ac:dyDescent="0.3">
      <c r="A158" s="37"/>
      <c r="B158" s="413" t="s">
        <v>44</v>
      </c>
      <c r="C158" s="413" t="s">
        <v>51</v>
      </c>
      <c r="D158" s="413" t="s">
        <v>44</v>
      </c>
      <c r="E158" s="413" t="s">
        <v>51</v>
      </c>
      <c r="F158" s="414" t="s">
        <v>42</v>
      </c>
      <c r="G158" s="413" t="s">
        <v>51</v>
      </c>
      <c r="H158" s="2"/>
    </row>
    <row r="159" spans="1:8" x14ac:dyDescent="0.25">
      <c r="A159" s="10" t="str">
        <f t="array" ref="A159:A170">Novo_Cohort_Ref</f>
        <v>$0-9,999</v>
      </c>
      <c r="B159" s="34" t="e">
        <f>#REF!</f>
        <v>#REF!</v>
      </c>
      <c r="C159" s="138" t="e">
        <f t="shared" ref="C159:C170" si="17">B159/$B$171</f>
        <v>#REF!</v>
      </c>
      <c r="D159" s="34" t="e">
        <f>#REF!</f>
        <v>#REF!</v>
      </c>
      <c r="E159" s="138" t="e">
        <f t="shared" ref="E159:E170" si="18">D159/$D$171</f>
        <v>#REF!</v>
      </c>
      <c r="F159" s="31" t="e">
        <f>#REF!</f>
        <v>#REF!</v>
      </c>
      <c r="G159" s="142" t="e">
        <f t="shared" ref="G159:G170" si="19">F159/$F$171</f>
        <v>#REF!</v>
      </c>
      <c r="H159" s="2"/>
    </row>
    <row r="160" spans="1:8" x14ac:dyDescent="0.25">
      <c r="A160" s="10" t="str">
        <v>$10,000-19,999</v>
      </c>
      <c r="B160" s="34" t="e">
        <f>#REF!</f>
        <v>#REF!</v>
      </c>
      <c r="C160" s="138" t="e">
        <f t="shared" si="17"/>
        <v>#REF!</v>
      </c>
      <c r="D160" s="34" t="e">
        <f>#REF!</f>
        <v>#REF!</v>
      </c>
      <c r="E160" s="138" t="e">
        <f t="shared" si="18"/>
        <v>#REF!</v>
      </c>
      <c r="F160" s="31" t="e">
        <f>#REF!</f>
        <v>#REF!</v>
      </c>
      <c r="G160" s="142" t="e">
        <f t="shared" si="19"/>
        <v>#REF!</v>
      </c>
      <c r="H160" s="2"/>
    </row>
    <row r="161" spans="1:8" x14ac:dyDescent="0.25">
      <c r="A161" s="10" t="str">
        <v>$20,000-29,999</v>
      </c>
      <c r="B161" s="34" t="e">
        <f>#REF!</f>
        <v>#REF!</v>
      </c>
      <c r="C161" s="138" t="e">
        <f t="shared" si="17"/>
        <v>#REF!</v>
      </c>
      <c r="D161" s="34" t="e">
        <f>#REF!</f>
        <v>#REF!</v>
      </c>
      <c r="E161" s="138" t="e">
        <f t="shared" si="18"/>
        <v>#REF!</v>
      </c>
      <c r="F161" s="31" t="e">
        <f>#REF!</f>
        <v>#REF!</v>
      </c>
      <c r="G161" s="142" t="e">
        <f t="shared" si="19"/>
        <v>#REF!</v>
      </c>
      <c r="H161" s="2"/>
    </row>
    <row r="162" spans="1:8" x14ac:dyDescent="0.25">
      <c r="A162" s="10" t="str">
        <v>$30,000-39,999</v>
      </c>
      <c r="B162" s="34" t="e">
        <f>#REF!</f>
        <v>#REF!</v>
      </c>
      <c r="C162" s="138" t="e">
        <f t="shared" si="17"/>
        <v>#REF!</v>
      </c>
      <c r="D162" s="34" t="e">
        <f>#REF!</f>
        <v>#REF!</v>
      </c>
      <c r="E162" s="138" t="e">
        <f t="shared" si="18"/>
        <v>#REF!</v>
      </c>
      <c r="F162" s="31" t="e">
        <f>#REF!</f>
        <v>#REF!</v>
      </c>
      <c r="G162" s="142" t="e">
        <f t="shared" si="19"/>
        <v>#REF!</v>
      </c>
      <c r="H162" s="2"/>
    </row>
    <row r="163" spans="1:8" x14ac:dyDescent="0.25">
      <c r="A163" s="10" t="str">
        <v>$40,000-49,999</v>
      </c>
      <c r="B163" s="34" t="e">
        <f>#REF!</f>
        <v>#REF!</v>
      </c>
      <c r="C163" s="138" t="e">
        <f t="shared" si="17"/>
        <v>#REF!</v>
      </c>
      <c r="D163" s="34" t="e">
        <f>#REF!</f>
        <v>#REF!</v>
      </c>
      <c r="E163" s="138" t="e">
        <f t="shared" si="18"/>
        <v>#REF!</v>
      </c>
      <c r="F163" s="31" t="e">
        <f>#REF!</f>
        <v>#REF!</v>
      </c>
      <c r="G163" s="142" t="e">
        <f t="shared" si="19"/>
        <v>#REF!</v>
      </c>
      <c r="H163" s="2"/>
    </row>
    <row r="164" spans="1:8" x14ac:dyDescent="0.25">
      <c r="A164" s="10" t="str">
        <v>$50,000-59,999</v>
      </c>
      <c r="B164" s="34" t="e">
        <f>#REF!</f>
        <v>#REF!</v>
      </c>
      <c r="C164" s="138" t="e">
        <f t="shared" si="17"/>
        <v>#REF!</v>
      </c>
      <c r="D164" s="34" t="e">
        <f>#REF!</f>
        <v>#REF!</v>
      </c>
      <c r="E164" s="138" t="e">
        <f t="shared" si="18"/>
        <v>#REF!</v>
      </c>
      <c r="F164" s="31" t="e">
        <f>#REF!</f>
        <v>#REF!</v>
      </c>
      <c r="G164" s="142" t="e">
        <f t="shared" si="19"/>
        <v>#REF!</v>
      </c>
      <c r="H164" s="2"/>
    </row>
    <row r="165" spans="1:8" x14ac:dyDescent="0.25">
      <c r="A165" s="10" t="str">
        <v>$60,000-74,999</v>
      </c>
      <c r="B165" s="34" t="e">
        <f>#REF!</f>
        <v>#REF!</v>
      </c>
      <c r="C165" s="138" t="e">
        <f t="shared" si="17"/>
        <v>#REF!</v>
      </c>
      <c r="D165" s="34" t="e">
        <f>#REF!</f>
        <v>#REF!</v>
      </c>
      <c r="E165" s="138" t="e">
        <f t="shared" si="18"/>
        <v>#REF!</v>
      </c>
      <c r="F165" s="31" t="e">
        <f>#REF!</f>
        <v>#REF!</v>
      </c>
      <c r="G165" s="142" t="e">
        <f t="shared" si="19"/>
        <v>#REF!</v>
      </c>
      <c r="H165" s="2"/>
    </row>
    <row r="166" spans="1:8" x14ac:dyDescent="0.25">
      <c r="A166" s="10" t="str">
        <v>$75,000-99,999</v>
      </c>
      <c r="B166" s="34" t="e">
        <f>#REF!</f>
        <v>#REF!</v>
      </c>
      <c r="C166" s="138" t="e">
        <f t="shared" si="17"/>
        <v>#REF!</v>
      </c>
      <c r="D166" s="34" t="e">
        <f>#REF!</f>
        <v>#REF!</v>
      </c>
      <c r="E166" s="138" t="e">
        <f t="shared" si="18"/>
        <v>#REF!</v>
      </c>
      <c r="F166" s="31" t="e">
        <f>#REF!</f>
        <v>#REF!</v>
      </c>
      <c r="G166" s="142" t="e">
        <f t="shared" si="19"/>
        <v>#REF!</v>
      </c>
      <c r="H166" s="2"/>
    </row>
    <row r="167" spans="1:8" x14ac:dyDescent="0.25">
      <c r="A167" s="10" t="str">
        <v>$100,000-124,999</v>
      </c>
      <c r="B167" s="34" t="e">
        <f>#REF!</f>
        <v>#REF!</v>
      </c>
      <c r="C167" s="138" t="e">
        <f t="shared" si="17"/>
        <v>#REF!</v>
      </c>
      <c r="D167" s="34" t="e">
        <f>#REF!</f>
        <v>#REF!</v>
      </c>
      <c r="E167" s="138" t="e">
        <f t="shared" si="18"/>
        <v>#REF!</v>
      </c>
      <c r="F167" s="31" t="e">
        <f>#REF!</f>
        <v>#REF!</v>
      </c>
      <c r="G167" s="142" t="e">
        <f t="shared" si="19"/>
        <v>#REF!</v>
      </c>
      <c r="H167" s="2"/>
    </row>
    <row r="168" spans="1:8" x14ac:dyDescent="0.25">
      <c r="A168" s="10" t="str">
        <v>$125,000-149,999</v>
      </c>
      <c r="B168" s="34" t="e">
        <f>#REF!</f>
        <v>#REF!</v>
      </c>
      <c r="C168" s="138" t="e">
        <f t="shared" si="17"/>
        <v>#REF!</v>
      </c>
      <c r="D168" s="34" t="e">
        <f>#REF!</f>
        <v>#REF!</v>
      </c>
      <c r="E168" s="138" t="e">
        <f t="shared" si="18"/>
        <v>#REF!</v>
      </c>
      <c r="F168" s="31" t="e">
        <f>#REF!</f>
        <v>#REF!</v>
      </c>
      <c r="G168" s="142" t="e">
        <f t="shared" si="19"/>
        <v>#REF!</v>
      </c>
      <c r="H168" s="2"/>
    </row>
    <row r="169" spans="1:8" x14ac:dyDescent="0.25">
      <c r="A169" s="10" t="str">
        <v>$150,000-199,999</v>
      </c>
      <c r="B169" s="34" t="e">
        <f>#REF!</f>
        <v>#REF!</v>
      </c>
      <c r="C169" s="138" t="e">
        <f t="shared" si="17"/>
        <v>#REF!</v>
      </c>
      <c r="D169" s="34" t="e">
        <f>#REF!</f>
        <v>#REF!</v>
      </c>
      <c r="E169" s="138" t="e">
        <f t="shared" si="18"/>
        <v>#REF!</v>
      </c>
      <c r="F169" s="31" t="e">
        <f>#REF!</f>
        <v>#REF!</v>
      </c>
      <c r="G169" s="142" t="e">
        <f t="shared" si="19"/>
        <v>#REF!</v>
      </c>
      <c r="H169" s="2"/>
    </row>
    <row r="170" spans="1:8" x14ac:dyDescent="0.25">
      <c r="A170" s="10" t="str">
        <v>$200,000+</v>
      </c>
      <c r="B170" s="34" t="e">
        <f>#REF!</f>
        <v>#REF!</v>
      </c>
      <c r="C170" s="138" t="e">
        <f t="shared" si="17"/>
        <v>#REF!</v>
      </c>
      <c r="D170" s="34" t="e">
        <f>#REF!</f>
        <v>#REF!</v>
      </c>
      <c r="E170" s="138" t="e">
        <f t="shared" si="18"/>
        <v>#REF!</v>
      </c>
      <c r="F170" s="31" t="e">
        <f>#REF!</f>
        <v>#REF!</v>
      </c>
      <c r="G170" s="142" t="e">
        <f t="shared" si="19"/>
        <v>#REF!</v>
      </c>
      <c r="H170" s="2"/>
    </row>
    <row r="171" spans="1:8" ht="13.8" thickBot="1" x14ac:dyDescent="0.3">
      <c r="A171" s="8" t="s">
        <v>11</v>
      </c>
      <c r="B171" s="32" t="e">
        <f t="shared" ref="B171:G171" si="20">SUM(B159:B170)</f>
        <v>#REF!</v>
      </c>
      <c r="C171" s="139" t="e">
        <f t="shared" si="20"/>
        <v>#REF!</v>
      </c>
      <c r="D171" s="32" t="e">
        <f t="shared" si="20"/>
        <v>#REF!</v>
      </c>
      <c r="E171" s="139" t="e">
        <f t="shared" si="20"/>
        <v>#REF!</v>
      </c>
      <c r="F171" s="33" t="e">
        <f t="shared" si="20"/>
        <v>#REF!</v>
      </c>
      <c r="G171" s="141" t="e">
        <f t="shared" si="20"/>
        <v>#REF!</v>
      </c>
      <c r="H171" s="2"/>
    </row>
    <row r="172" spans="1:8" ht="13.8" thickTop="1" x14ac:dyDescent="0.25">
      <c r="A172" s="187" t="str">
        <f>"Source: " &amp; Source_ESRI &amp; ", " &amp; Source_Novogradac &amp; ", " &amp; Source_Date</f>
        <v>Source: Esri Demographics 2016, Novogradac &amp; Company LLP, August 2017</v>
      </c>
      <c r="B172" s="187"/>
      <c r="C172" s="187"/>
      <c r="D172" s="187"/>
      <c r="E172" s="187"/>
      <c r="F172" s="187"/>
      <c r="G172" s="187"/>
      <c r="H172" s="2"/>
    </row>
    <row r="173" spans="1:8" ht="26.25" customHeight="1" x14ac:dyDescent="0.25">
      <c r="A173"/>
      <c r="B173"/>
      <c r="C173"/>
      <c r="D173"/>
      <c r="E173"/>
      <c r="F173"/>
      <c r="H173" s="2"/>
    </row>
    <row r="174" spans="1:8" x14ac:dyDescent="0.25">
      <c r="A174"/>
      <c r="B174"/>
      <c r="C174"/>
      <c r="D174"/>
      <c r="E174"/>
      <c r="F174"/>
      <c r="H174" s="2"/>
    </row>
    <row r="175" spans="1:8" x14ac:dyDescent="0.25">
      <c r="A175"/>
      <c r="B175"/>
      <c r="C175"/>
      <c r="D175"/>
      <c r="E175"/>
      <c r="F175"/>
      <c r="H175" s="2"/>
    </row>
    <row r="176" spans="1:8" x14ac:dyDescent="0.25">
      <c r="A176"/>
      <c r="B176"/>
      <c r="C176"/>
      <c r="D176"/>
      <c r="E176"/>
      <c r="F176"/>
      <c r="H176" s="2"/>
    </row>
    <row r="177" spans="1:8" x14ac:dyDescent="0.25">
      <c r="A177"/>
      <c r="B177"/>
      <c r="C177"/>
      <c r="D177"/>
      <c r="E177"/>
      <c r="F177"/>
      <c r="H177" s="2"/>
    </row>
    <row r="178" spans="1:8" x14ac:dyDescent="0.25">
      <c r="A178"/>
      <c r="B178"/>
      <c r="C178"/>
      <c r="D178"/>
      <c r="E178"/>
      <c r="F178"/>
      <c r="H178" s="2"/>
    </row>
    <row r="179" spans="1:8" x14ac:dyDescent="0.25">
      <c r="H179" s="2"/>
    </row>
    <row r="180" spans="1:8" x14ac:dyDescent="0.25">
      <c r="H180" s="2"/>
    </row>
    <row r="181" spans="1:8" x14ac:dyDescent="0.25">
      <c r="H181" s="2"/>
    </row>
    <row r="182" spans="1:8" x14ac:dyDescent="0.25">
      <c r="H182" s="2"/>
    </row>
    <row r="183" spans="1:8" x14ac:dyDescent="0.25">
      <c r="H183" s="2"/>
    </row>
    <row r="184" spans="1:8" x14ac:dyDescent="0.25">
      <c r="H184" s="2"/>
    </row>
    <row r="185" spans="1:8" x14ac:dyDescent="0.25">
      <c r="H185" s="2"/>
    </row>
    <row r="186" spans="1:8" x14ac:dyDescent="0.25">
      <c r="H186" s="2"/>
    </row>
    <row r="187" spans="1:8" x14ac:dyDescent="0.25">
      <c r="H187" s="2"/>
    </row>
    <row r="188" spans="1:8" x14ac:dyDescent="0.25">
      <c r="H188" s="2"/>
    </row>
    <row r="189" spans="1:8" x14ac:dyDescent="0.25">
      <c r="H189" s="2"/>
    </row>
    <row r="190" spans="1:8" x14ac:dyDescent="0.25">
      <c r="H190" s="2"/>
    </row>
    <row r="191" spans="1:8" x14ac:dyDescent="0.25">
      <c r="H191" s="2"/>
    </row>
    <row r="192" spans="1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</sheetData>
  <mergeCells count="1">
    <mergeCell ref="I75:N75"/>
  </mergeCells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1141" r:id="rId4" name="ToggleButton1">
          <controlPr defaultSize="0" autoLine="0" r:id="rId5">
            <anchor moveWithCells="1">
              <from>
                <xdr:col>4</xdr:col>
                <xdr:colOff>289560</xdr:colOff>
                <xdr:row>0</xdr:row>
                <xdr:rowOff>60960</xdr:rowOff>
              </from>
              <to>
                <xdr:col>4</xdr:col>
                <xdr:colOff>1196340</xdr:colOff>
                <xdr:row>3</xdr:row>
                <xdr:rowOff>15240</xdr:rowOff>
              </to>
            </anchor>
          </controlPr>
        </control>
      </mc:Choice>
      <mc:Fallback>
        <control shapeId="91141" r:id="rId4" name="ToggleButton1"/>
      </mc:Fallback>
    </mc:AlternateContent>
    <mc:AlternateContent xmlns:mc="http://schemas.openxmlformats.org/markup-compatibility/2006">
      <mc:Choice Requires="x14">
        <control shapeId="91142" r:id="rId6" name="ToggleButton2">
          <controlPr defaultSize="0" autoLine="0" r:id="rId7">
            <anchor moveWithCells="1">
              <from>
                <xdr:col>6</xdr:col>
                <xdr:colOff>182880</xdr:colOff>
                <xdr:row>0</xdr:row>
                <xdr:rowOff>60960</xdr:rowOff>
              </from>
              <to>
                <xdr:col>6</xdr:col>
                <xdr:colOff>899160</xdr:colOff>
                <xdr:row>3</xdr:row>
                <xdr:rowOff>7620</xdr:rowOff>
              </to>
            </anchor>
          </controlPr>
        </control>
      </mc:Choice>
      <mc:Fallback>
        <control shapeId="91142" r:id="rId6" name="ToggleButton2"/>
      </mc:Fallback>
    </mc:AlternateContent>
    <mc:AlternateContent xmlns:mc="http://schemas.openxmlformats.org/markup-compatibility/2006">
      <mc:Choice Requires="x14">
        <control shapeId="91143" r:id="rId8" name="ToggleButton3">
          <controlPr defaultSize="0" autoLine="0" r:id="rId9">
            <anchor moveWithCells="1">
              <from>
                <xdr:col>5</xdr:col>
                <xdr:colOff>68580</xdr:colOff>
                <xdr:row>0</xdr:row>
                <xdr:rowOff>68580</xdr:rowOff>
              </from>
              <to>
                <xdr:col>5</xdr:col>
                <xdr:colOff>982980</xdr:colOff>
                <xdr:row>3</xdr:row>
                <xdr:rowOff>0</xdr:rowOff>
              </to>
            </anchor>
          </controlPr>
        </control>
      </mc:Choice>
      <mc:Fallback>
        <control shapeId="91143" r:id="rId8" name="ToggleButton3"/>
      </mc:Fallback>
    </mc:AlternateContent>
    <mc:AlternateContent xmlns:mc="http://schemas.openxmlformats.org/markup-compatibility/2006">
      <mc:Choice Requires="x14">
        <control shapeId="91144" r:id="rId10" name="ToggleButton4">
          <controlPr defaultSize="0" autoLine="0" r:id="rId11">
            <anchor moveWithCells="1">
              <from>
                <xdr:col>7</xdr:col>
                <xdr:colOff>38100</xdr:colOff>
                <xdr:row>0</xdr:row>
                <xdr:rowOff>76200</xdr:rowOff>
              </from>
              <to>
                <xdr:col>7</xdr:col>
                <xdr:colOff>762000</xdr:colOff>
                <xdr:row>3</xdr:row>
                <xdr:rowOff>0</xdr:rowOff>
              </to>
            </anchor>
          </controlPr>
        </control>
      </mc:Choice>
      <mc:Fallback>
        <control shapeId="91144" r:id="rId10" name="ToggleButton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T134"/>
  <sheetViews>
    <sheetView zoomScale="64" zoomScaleNormal="64" workbookViewId="0">
      <selection activeCell="B7" sqref="B7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55+"</f>
        <v>2016 Renter HH Income Distribution 55+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55+"</f>
        <v>2021 Renter HH Income Distribution 55+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7" t="s">
        <v>48</v>
      </c>
      <c r="B50" s="497"/>
      <c r="C50" s="497"/>
      <c r="D50" s="497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88" spans="1:8" x14ac:dyDescent="0.25">
      <c r="A88" t="str">
        <f>"PMA Household Distribution by Age " &amp; ESRI_CY</f>
        <v>PMA Household Distribution by Age 2016</v>
      </c>
      <c r="B88">
        <v>2011</v>
      </c>
      <c r="F88" t="str">
        <f>"SMA Household Distribution by Age " &amp; ESRI_CY</f>
        <v>SMA Household Distribution by Age 2016</v>
      </c>
      <c r="G88">
        <v>2011</v>
      </c>
    </row>
    <row r="89" spans="1:8" x14ac:dyDescent="0.25">
      <c r="B89" s="418" t="s">
        <v>356</v>
      </c>
      <c r="C89" s="418" t="s">
        <v>355</v>
      </c>
      <c r="G89" s="418" t="s">
        <v>356</v>
      </c>
      <c r="H89" s="418" t="s">
        <v>355</v>
      </c>
    </row>
    <row r="90" spans="1:8" x14ac:dyDescent="0.25">
      <c r="A90" t="e">
        <f>#REF!</f>
        <v>#REF!</v>
      </c>
      <c r="B90" s="433" t="e">
        <f>#REF!</f>
        <v>#REF!</v>
      </c>
      <c r="C90" s="433" t="e">
        <f>#REF!</f>
        <v>#REF!</v>
      </c>
      <c r="F90" t="e">
        <f>A90</f>
        <v>#REF!</v>
      </c>
      <c r="G90" s="433" t="e">
        <f>#REF!</f>
        <v>#REF!</v>
      </c>
      <c r="H90" s="433" t="e">
        <f>#REF!</f>
        <v>#REF!</v>
      </c>
    </row>
    <row r="91" spans="1:8" x14ac:dyDescent="0.25">
      <c r="A91" t="e">
        <f>#REF!</f>
        <v>#REF!</v>
      </c>
      <c r="B91" s="433" t="e">
        <f>#REF!</f>
        <v>#REF!</v>
      </c>
      <c r="C91" s="433" t="e">
        <f>#REF!</f>
        <v>#REF!</v>
      </c>
      <c r="F91" t="e">
        <f t="shared" ref="F91:F98" si="8">A91</f>
        <v>#REF!</v>
      </c>
      <c r="G91" s="433" t="e">
        <f>#REF!</f>
        <v>#REF!</v>
      </c>
      <c r="H91" s="433" t="e">
        <f>#REF!</f>
        <v>#REF!</v>
      </c>
    </row>
    <row r="92" spans="1:8" x14ac:dyDescent="0.25">
      <c r="A92" t="e">
        <f>#REF!</f>
        <v>#REF!</v>
      </c>
      <c r="B92" s="433" t="e">
        <f>#REF!</f>
        <v>#REF!</v>
      </c>
      <c r="C92" s="433" t="e">
        <f>#REF!</f>
        <v>#REF!</v>
      </c>
      <c r="F92" t="e">
        <f t="shared" si="8"/>
        <v>#REF!</v>
      </c>
      <c r="G92" s="433" t="e">
        <f>#REF!</f>
        <v>#REF!</v>
      </c>
      <c r="H92" s="433" t="e">
        <f>#REF!</f>
        <v>#REF!</v>
      </c>
    </row>
    <row r="93" spans="1:8" x14ac:dyDescent="0.25">
      <c r="A93" t="e">
        <f>#REF!</f>
        <v>#REF!</v>
      </c>
      <c r="B93" s="433" t="e">
        <f>#REF!</f>
        <v>#REF!</v>
      </c>
      <c r="C93" s="433" t="e">
        <f>#REF!</f>
        <v>#REF!</v>
      </c>
      <c r="F93" t="e">
        <f t="shared" si="8"/>
        <v>#REF!</v>
      </c>
      <c r="G93" s="433" t="e">
        <f>#REF!</f>
        <v>#REF!</v>
      </c>
      <c r="H93" s="433" t="e">
        <f>#REF!</f>
        <v>#REF!</v>
      </c>
    </row>
    <row r="94" spans="1:8" x14ac:dyDescent="0.25">
      <c r="A94" t="e">
        <f>#REF!</f>
        <v>#REF!</v>
      </c>
      <c r="B94" s="433" t="e">
        <f>#REF!</f>
        <v>#REF!</v>
      </c>
      <c r="C94" s="433" t="e">
        <f>#REF!</f>
        <v>#REF!</v>
      </c>
      <c r="F94" t="e">
        <f t="shared" si="8"/>
        <v>#REF!</v>
      </c>
      <c r="G94" s="433" t="e">
        <f>#REF!</f>
        <v>#REF!</v>
      </c>
      <c r="H94" s="433" t="e">
        <f>#REF!</f>
        <v>#REF!</v>
      </c>
    </row>
    <row r="95" spans="1:8" x14ac:dyDescent="0.25">
      <c r="A95" t="e">
        <f>#REF!</f>
        <v>#REF!</v>
      </c>
      <c r="B95" s="433" t="e">
        <f>#REF!</f>
        <v>#REF!</v>
      </c>
      <c r="C95" s="433" t="e">
        <f>#REF!</f>
        <v>#REF!</v>
      </c>
      <c r="F95" t="e">
        <f t="shared" si="8"/>
        <v>#REF!</v>
      </c>
      <c r="G95" s="433" t="e">
        <f>#REF!</f>
        <v>#REF!</v>
      </c>
      <c r="H95" s="433" t="e">
        <f>#REF!</f>
        <v>#REF!</v>
      </c>
    </row>
    <row r="96" spans="1:8" x14ac:dyDescent="0.25">
      <c r="A96" t="e">
        <f>#REF!</f>
        <v>#REF!</v>
      </c>
      <c r="B96" s="433" t="e">
        <f>#REF!</f>
        <v>#REF!</v>
      </c>
      <c r="C96" s="433" t="e">
        <f>#REF!</f>
        <v>#REF!</v>
      </c>
      <c r="F96" t="e">
        <f t="shared" si="8"/>
        <v>#REF!</v>
      </c>
      <c r="G96" s="433" t="e">
        <f>#REF!</f>
        <v>#REF!</v>
      </c>
      <c r="H96" s="433" t="e">
        <f>#REF!</f>
        <v>#REF!</v>
      </c>
    </row>
    <row r="97" spans="1:8" x14ac:dyDescent="0.25">
      <c r="A97" t="e">
        <f>#REF!</f>
        <v>#REF!</v>
      </c>
      <c r="B97" s="433" t="e">
        <f>#REF!</f>
        <v>#REF!</v>
      </c>
      <c r="C97" s="433" t="e">
        <f>#REF!</f>
        <v>#REF!</v>
      </c>
      <c r="F97" t="e">
        <f t="shared" si="8"/>
        <v>#REF!</v>
      </c>
      <c r="G97" s="433" t="e">
        <f>#REF!</f>
        <v>#REF!</v>
      </c>
      <c r="H97" s="433" t="e">
        <f>#REF!</f>
        <v>#REF!</v>
      </c>
    </row>
    <row r="98" spans="1:8" x14ac:dyDescent="0.25">
      <c r="A98" t="e">
        <f>#REF!</f>
        <v>#REF!</v>
      </c>
      <c r="B98" s="433" t="e">
        <f>#REF!</f>
        <v>#REF!</v>
      </c>
      <c r="C98" s="433" t="e">
        <f>#REF!</f>
        <v>#REF!</v>
      </c>
      <c r="F98" t="e">
        <f t="shared" si="8"/>
        <v>#REF!</v>
      </c>
      <c r="G98" s="433" t="e">
        <f>#REF!</f>
        <v>#REF!</v>
      </c>
      <c r="H98" s="433" t="e">
        <f>#REF!</f>
        <v>#REF!</v>
      </c>
    </row>
    <row r="129" spans="1:7" x14ac:dyDescent="0.25">
      <c r="A129" t="str">
        <f>"PMA Household Size Distribution 55+ " &amp; ESRI_CY</f>
        <v>PMA Household Size Distribution 55+ 2016</v>
      </c>
      <c r="B129" s="418" t="s">
        <v>356</v>
      </c>
      <c r="C129" s="418" t="s">
        <v>357</v>
      </c>
      <c r="E129" t="str">
        <f>"SMA Household Size Distribution 55+ " &amp; ESRI_CY</f>
        <v>SMA Household Size Distribution 55+ 2016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T134"/>
  <sheetViews>
    <sheetView zoomScale="64" zoomScaleNormal="64" workbookViewId="0">
      <selection activeCell="Q172" sqref="Q172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62+"</f>
        <v>2016 Renter HH Income Distribution 62+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62+"</f>
        <v>2021 Renter HH Income Distribution 62+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7" t="s">
        <v>48</v>
      </c>
      <c r="B50" s="497"/>
      <c r="C50" s="497"/>
      <c r="D50" s="497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88" spans="1:8" x14ac:dyDescent="0.25">
      <c r="A88" t="str">
        <f>"PMA Household Distribution by Age 62+ " &amp; ESRI_CY</f>
        <v>PMA Household Distribution by Age 62+ 2016</v>
      </c>
      <c r="B88">
        <v>2011</v>
      </c>
      <c r="F88" t="str">
        <f>"SMA Household Distribution by Age 62+ " &amp; ESRI_CY</f>
        <v>SMA Household Distribution by Age 62+ 2016</v>
      </c>
      <c r="G88">
        <v>2011</v>
      </c>
    </row>
    <row r="89" spans="1:8" x14ac:dyDescent="0.25">
      <c r="B89" s="418" t="s">
        <v>356</v>
      </c>
      <c r="C89" s="418" t="s">
        <v>355</v>
      </c>
      <c r="G89" s="418" t="s">
        <v>356</v>
      </c>
      <c r="H89" s="418" t="s">
        <v>355</v>
      </c>
    </row>
    <row r="90" spans="1:8" x14ac:dyDescent="0.25">
      <c r="A90" t="e">
        <f>#REF!</f>
        <v>#REF!</v>
      </c>
      <c r="B90" s="433" t="e">
        <f>#REF!</f>
        <v>#REF!</v>
      </c>
      <c r="C90" s="433" t="e">
        <f>#REF!</f>
        <v>#REF!</v>
      </c>
      <c r="F90" t="e">
        <f>A90</f>
        <v>#REF!</v>
      </c>
      <c r="G90" s="433" t="e">
        <f>#REF!</f>
        <v>#REF!</v>
      </c>
      <c r="H90" s="433" t="e">
        <f>#REF!</f>
        <v>#REF!</v>
      </c>
    </row>
    <row r="91" spans="1:8" x14ac:dyDescent="0.25">
      <c r="A91" t="e">
        <f>#REF!</f>
        <v>#REF!</v>
      </c>
      <c r="B91" s="433" t="e">
        <f>#REF!</f>
        <v>#REF!</v>
      </c>
      <c r="C91" s="433" t="e">
        <f>#REF!</f>
        <v>#REF!</v>
      </c>
      <c r="F91" t="e">
        <f t="shared" ref="F91:F98" si="8">A91</f>
        <v>#REF!</v>
      </c>
      <c r="G91" s="433" t="e">
        <f>#REF!</f>
        <v>#REF!</v>
      </c>
      <c r="H91" s="433" t="e">
        <f>#REF!</f>
        <v>#REF!</v>
      </c>
    </row>
    <row r="92" spans="1:8" x14ac:dyDescent="0.25">
      <c r="A92" t="e">
        <f>#REF!</f>
        <v>#REF!</v>
      </c>
      <c r="B92" s="433" t="e">
        <f>#REF!</f>
        <v>#REF!</v>
      </c>
      <c r="C92" s="433" t="e">
        <f>#REF!</f>
        <v>#REF!</v>
      </c>
      <c r="F92" t="e">
        <f t="shared" si="8"/>
        <v>#REF!</v>
      </c>
      <c r="G92" s="433" t="e">
        <f>#REF!</f>
        <v>#REF!</v>
      </c>
      <c r="H92" s="433" t="e">
        <f>#REF!</f>
        <v>#REF!</v>
      </c>
    </row>
    <row r="93" spans="1:8" x14ac:dyDescent="0.25">
      <c r="A93" t="e">
        <f>#REF!</f>
        <v>#REF!</v>
      </c>
      <c r="B93" s="433" t="e">
        <f>#REF!</f>
        <v>#REF!</v>
      </c>
      <c r="C93" s="433" t="e">
        <f>#REF!</f>
        <v>#REF!</v>
      </c>
      <c r="F93" t="e">
        <f t="shared" si="8"/>
        <v>#REF!</v>
      </c>
      <c r="G93" s="433" t="e">
        <f>#REF!</f>
        <v>#REF!</v>
      </c>
      <c r="H93" s="433" t="e">
        <f>#REF!</f>
        <v>#REF!</v>
      </c>
    </row>
    <row r="94" spans="1:8" x14ac:dyDescent="0.25">
      <c r="A94" t="e">
        <f>#REF!</f>
        <v>#REF!</v>
      </c>
      <c r="B94" s="433" t="e">
        <f>#REF!</f>
        <v>#REF!</v>
      </c>
      <c r="C94" s="433" t="e">
        <f>#REF!</f>
        <v>#REF!</v>
      </c>
      <c r="F94" t="e">
        <f t="shared" si="8"/>
        <v>#REF!</v>
      </c>
      <c r="G94" s="433" t="e">
        <f>#REF!</f>
        <v>#REF!</v>
      </c>
      <c r="H94" s="433" t="e">
        <f>#REF!</f>
        <v>#REF!</v>
      </c>
    </row>
    <row r="95" spans="1:8" x14ac:dyDescent="0.25">
      <c r="A95" t="e">
        <f>#REF!</f>
        <v>#REF!</v>
      </c>
      <c r="B95" s="433" t="e">
        <f>#REF!</f>
        <v>#REF!</v>
      </c>
      <c r="C95" s="433" t="e">
        <f>#REF!</f>
        <v>#REF!</v>
      </c>
      <c r="F95" t="e">
        <f t="shared" si="8"/>
        <v>#REF!</v>
      </c>
      <c r="G95" s="433" t="e">
        <f>#REF!</f>
        <v>#REF!</v>
      </c>
      <c r="H95" s="433" t="e">
        <f>#REF!</f>
        <v>#REF!</v>
      </c>
    </row>
    <row r="96" spans="1:8" x14ac:dyDescent="0.25">
      <c r="A96" t="e">
        <f>#REF!</f>
        <v>#REF!</v>
      </c>
      <c r="B96" s="433" t="e">
        <f>#REF!</f>
        <v>#REF!</v>
      </c>
      <c r="C96" s="433" t="e">
        <f>#REF!</f>
        <v>#REF!</v>
      </c>
      <c r="F96" t="e">
        <f t="shared" si="8"/>
        <v>#REF!</v>
      </c>
      <c r="G96" s="433" t="e">
        <f>#REF!</f>
        <v>#REF!</v>
      </c>
      <c r="H96" s="433" t="e">
        <f>#REF!</f>
        <v>#REF!</v>
      </c>
    </row>
    <row r="97" spans="1:8" x14ac:dyDescent="0.25">
      <c r="A97" t="e">
        <f>#REF!</f>
        <v>#REF!</v>
      </c>
      <c r="B97" s="433" t="e">
        <f>#REF!</f>
        <v>#REF!</v>
      </c>
      <c r="C97" s="433" t="e">
        <f>#REF!</f>
        <v>#REF!</v>
      </c>
      <c r="F97" t="e">
        <f t="shared" si="8"/>
        <v>#REF!</v>
      </c>
      <c r="G97" s="433" t="e">
        <f>#REF!</f>
        <v>#REF!</v>
      </c>
      <c r="H97" s="433" t="e">
        <f>#REF!</f>
        <v>#REF!</v>
      </c>
    </row>
    <row r="98" spans="1:8" x14ac:dyDescent="0.25">
      <c r="A98" t="e">
        <f>#REF!</f>
        <v>#REF!</v>
      </c>
      <c r="B98" s="433" t="e">
        <f>#REF!</f>
        <v>#REF!</v>
      </c>
      <c r="C98" s="433" t="e">
        <f>#REF!</f>
        <v>#REF!</v>
      </c>
      <c r="F98" t="e">
        <f t="shared" si="8"/>
        <v>#REF!</v>
      </c>
      <c r="G98" s="433" t="e">
        <f>#REF!</f>
        <v>#REF!</v>
      </c>
      <c r="H98" s="433" t="e">
        <f>#REF!</f>
        <v>#REF!</v>
      </c>
    </row>
    <row r="129" spans="1:7" x14ac:dyDescent="0.25">
      <c r="A129" t="str">
        <f>"PMA Houshold Size Distribution 62+ " &amp; ESRI_CY</f>
        <v>PMA Houshold Size Distribution 62+ 2016</v>
      </c>
      <c r="B129" s="418" t="s">
        <v>356</v>
      </c>
      <c r="C129" s="418" t="s">
        <v>357</v>
      </c>
      <c r="E129" t="str">
        <f>"SMA Houshold Size Distribution 62+ " &amp; ESRI_CY</f>
        <v>SMA Houshold Size Distribution 62+ 2016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T134"/>
  <sheetViews>
    <sheetView topLeftCell="A106" zoomScale="64" zoomScaleNormal="64" workbookViewId="0">
      <selection activeCell="A129" sqref="A129:V165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65+"</f>
        <v>2016 Renter HH Income Distribution 65+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65+"</f>
        <v>2021 Renter HH Income Distribution 65+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7" t="s">
        <v>48</v>
      </c>
      <c r="B50" s="497"/>
      <c r="C50" s="497"/>
      <c r="D50" s="497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129" spans="1:7" x14ac:dyDescent="0.25">
      <c r="A129" t="str">
        <f>"PMA Houshold Size Distribution 65+ " &amp; ESRI_CY</f>
        <v>PMA Houshold Size Distribution 65+ 2016</v>
      </c>
      <c r="B129" s="418" t="s">
        <v>356</v>
      </c>
      <c r="C129" s="418" t="s">
        <v>357</v>
      </c>
      <c r="E129" t="str">
        <f>"SMA Houshold Size Distribution 65+ " &amp; ESRI_CY</f>
        <v>SMA Houshold Size Distribution 65+ 2016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T134"/>
  <sheetViews>
    <sheetView topLeftCell="A106" zoomScale="64" zoomScaleNormal="64" workbookViewId="0">
      <selection activeCell="T130" sqref="T130"/>
    </sheetView>
  </sheetViews>
  <sheetFormatPr defaultRowHeight="13.2" x14ac:dyDescent="0.25"/>
  <cols>
    <col min="1" max="1" width="22.6640625" customWidth="1"/>
    <col min="2" max="2" width="8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3.5546875" bestFit="1" customWidth="1"/>
    <col min="7" max="7" width="9.33203125" bestFit="1" customWidth="1"/>
    <col min="9" max="9" width="21.5546875" customWidth="1"/>
    <col min="10" max="11" width="8.44140625" bestFit="1" customWidth="1"/>
    <col min="12" max="12" width="8.88671875" bestFit="1" customWidth="1"/>
    <col min="13" max="13" width="8.44140625" bestFit="1" customWidth="1"/>
    <col min="14" max="14" width="14" bestFit="1" customWidth="1"/>
    <col min="15" max="15" width="8.88671875" customWidth="1"/>
  </cols>
  <sheetData>
    <row r="1" spans="1:20" x14ac:dyDescent="0.25">
      <c r="A1" s="254"/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0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1:20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</row>
    <row r="4" spans="1:20" ht="15.6" x14ac:dyDescent="0.3">
      <c r="A4" s="266" t="str">
        <f>ESRI_CY &amp; " " &amp; "Renter HH Income Distribution 75+"</f>
        <v>2016 Renter HH Income Distribution 75+</v>
      </c>
      <c r="B4" s="266"/>
      <c r="C4" s="266"/>
      <c r="D4" s="266"/>
      <c r="E4" s="266"/>
      <c r="F4" s="288"/>
      <c r="G4" s="288"/>
      <c r="H4" s="254"/>
      <c r="I4" s="266" t="str">
        <f>ESRI_FY &amp; " " &amp; "Renter HH Income Distribution 75+"</f>
        <v>2021 Renter HH Income Distribution 75+</v>
      </c>
      <c r="J4" s="266"/>
      <c r="K4" s="266"/>
      <c r="L4" s="266"/>
      <c r="M4" s="266"/>
      <c r="N4" s="288"/>
      <c r="O4" s="288"/>
      <c r="P4" s="254"/>
      <c r="Q4" s="254"/>
      <c r="R4" s="254"/>
      <c r="S4" s="254"/>
      <c r="T4" s="254"/>
    </row>
    <row r="5" spans="1:20" x14ac:dyDescent="0.25">
      <c r="A5" s="271"/>
      <c r="B5" s="271"/>
      <c r="C5" s="271"/>
      <c r="D5" s="271"/>
      <c r="E5" s="271"/>
      <c r="F5" s="271"/>
      <c r="G5" s="272"/>
      <c r="H5" s="430"/>
      <c r="I5" s="271"/>
      <c r="J5" s="271"/>
      <c r="K5" s="271"/>
      <c r="L5" s="271"/>
      <c r="M5" s="271"/>
      <c r="N5" s="271"/>
      <c r="O5" s="272"/>
      <c r="P5" s="430"/>
      <c r="Q5" s="430"/>
      <c r="R5" s="430"/>
      <c r="S5" s="430"/>
      <c r="T5" s="430"/>
    </row>
    <row r="6" spans="1:20" x14ac:dyDescent="0.25">
      <c r="A6" s="300"/>
      <c r="B6" s="431"/>
      <c r="C6" s="431" t="s">
        <v>39</v>
      </c>
      <c r="D6" s="431"/>
      <c r="E6" s="431" t="s">
        <v>175</v>
      </c>
      <c r="F6" s="431"/>
      <c r="G6" s="431" t="s">
        <v>40</v>
      </c>
      <c r="H6" s="254"/>
      <c r="I6" s="300"/>
      <c r="J6" s="431"/>
      <c r="K6" s="431" t="s">
        <v>39</v>
      </c>
      <c r="L6" s="431"/>
      <c r="M6" s="431" t="s">
        <v>175</v>
      </c>
      <c r="N6" s="431"/>
      <c r="O6" s="431" t="s">
        <v>40</v>
      </c>
      <c r="P6" s="254"/>
      <c r="Q6" s="254"/>
      <c r="R6" s="254"/>
      <c r="S6" s="254"/>
      <c r="T6" s="254"/>
    </row>
    <row r="7" spans="1:20" x14ac:dyDescent="0.25">
      <c r="A7" s="261" t="str">
        <f t="array" ref="A7:A18">Novo_Cohort_Ref</f>
        <v>$0-9,999</v>
      </c>
      <c r="B7" s="260" t="e">
        <f>#REF!</f>
        <v>#REF!</v>
      </c>
      <c r="C7" s="138" t="e">
        <f t="shared" ref="C7:C18" si="0">B7/$B$19</f>
        <v>#REF!</v>
      </c>
      <c r="D7" s="260" t="e">
        <f>#REF!</f>
        <v>#REF!</v>
      </c>
      <c r="E7" s="138" t="e">
        <f t="shared" ref="E7:E18" si="1">D7/$D$19</f>
        <v>#REF!</v>
      </c>
      <c r="F7" s="259" t="e">
        <f>#REF!</f>
        <v>#REF!</v>
      </c>
      <c r="G7" s="138" t="e">
        <f t="shared" ref="G7:G18" si="2">F7/$F$19</f>
        <v>#REF!</v>
      </c>
      <c r="H7" s="254"/>
      <c r="I7" s="261" t="str">
        <f t="array" ref="I7:I18">Novo_Cohort_Ref</f>
        <v>$0-9,999</v>
      </c>
      <c r="J7" s="260" t="e">
        <f>#REF!</f>
        <v>#REF!</v>
      </c>
      <c r="K7" s="138" t="e">
        <f t="shared" ref="K7:K18" si="3">J7/$B$19</f>
        <v>#REF!</v>
      </c>
      <c r="L7" s="260" t="e">
        <f>#REF!</f>
        <v>#REF!</v>
      </c>
      <c r="M7" s="138" t="e">
        <f t="shared" ref="M7:M18" si="4">L7/$D$19</f>
        <v>#REF!</v>
      </c>
      <c r="N7" s="259" t="e">
        <f>#REF!</f>
        <v>#REF!</v>
      </c>
      <c r="O7" s="138" t="e">
        <f t="shared" ref="O7:O18" si="5">N7/$F$19</f>
        <v>#REF!</v>
      </c>
      <c r="P7" s="254"/>
      <c r="Q7" s="254"/>
      <c r="R7" s="254"/>
      <c r="S7" s="254"/>
      <c r="T7" s="254"/>
    </row>
    <row r="8" spans="1:20" x14ac:dyDescent="0.25">
      <c r="A8" s="261" t="str">
        <v>$10,000-19,999</v>
      </c>
      <c r="B8" s="260" t="e">
        <f>#REF!</f>
        <v>#REF!</v>
      </c>
      <c r="C8" s="138" t="e">
        <f t="shared" si="0"/>
        <v>#REF!</v>
      </c>
      <c r="D8" s="260" t="e">
        <f>#REF!</f>
        <v>#REF!</v>
      </c>
      <c r="E8" s="138" t="e">
        <f t="shared" si="1"/>
        <v>#REF!</v>
      </c>
      <c r="F8" s="259" t="e">
        <f>#REF!</f>
        <v>#REF!</v>
      </c>
      <c r="G8" s="138" t="e">
        <f t="shared" si="2"/>
        <v>#REF!</v>
      </c>
      <c r="H8" s="254"/>
      <c r="I8" s="261" t="str">
        <v>$10,000-19,999</v>
      </c>
      <c r="J8" s="260" t="e">
        <f>#REF!</f>
        <v>#REF!</v>
      </c>
      <c r="K8" s="138" t="e">
        <f t="shared" si="3"/>
        <v>#REF!</v>
      </c>
      <c r="L8" s="260" t="e">
        <f>#REF!</f>
        <v>#REF!</v>
      </c>
      <c r="M8" s="138" t="e">
        <f t="shared" si="4"/>
        <v>#REF!</v>
      </c>
      <c r="N8" s="259" t="e">
        <f>#REF!</f>
        <v>#REF!</v>
      </c>
      <c r="O8" s="138" t="e">
        <f t="shared" si="5"/>
        <v>#REF!</v>
      </c>
      <c r="P8" s="254"/>
      <c r="Q8" s="254"/>
      <c r="R8" s="254"/>
      <c r="S8" s="254"/>
      <c r="T8" s="254"/>
    </row>
    <row r="9" spans="1:20" x14ac:dyDescent="0.25">
      <c r="A9" s="261" t="str">
        <v>$20,000-29,999</v>
      </c>
      <c r="B9" s="260" t="e">
        <f>#REF!</f>
        <v>#REF!</v>
      </c>
      <c r="C9" s="138" t="e">
        <f t="shared" si="0"/>
        <v>#REF!</v>
      </c>
      <c r="D9" s="260" t="e">
        <f>#REF!</f>
        <v>#REF!</v>
      </c>
      <c r="E9" s="138" t="e">
        <f t="shared" si="1"/>
        <v>#REF!</v>
      </c>
      <c r="F9" s="259" t="e">
        <f>#REF!</f>
        <v>#REF!</v>
      </c>
      <c r="G9" s="138" t="e">
        <f t="shared" si="2"/>
        <v>#REF!</v>
      </c>
      <c r="H9" s="262"/>
      <c r="I9" s="261" t="str">
        <v>$20,000-29,999</v>
      </c>
      <c r="J9" s="260" t="e">
        <f>#REF!</f>
        <v>#REF!</v>
      </c>
      <c r="K9" s="138" t="e">
        <f t="shared" si="3"/>
        <v>#REF!</v>
      </c>
      <c r="L9" s="260" t="e">
        <f>#REF!</f>
        <v>#REF!</v>
      </c>
      <c r="M9" s="138" t="e">
        <f t="shared" si="4"/>
        <v>#REF!</v>
      </c>
      <c r="N9" s="259" t="e">
        <f>#REF!</f>
        <v>#REF!</v>
      </c>
      <c r="O9" s="138" t="e">
        <f t="shared" si="5"/>
        <v>#REF!</v>
      </c>
      <c r="P9" s="262"/>
      <c r="Q9" s="262"/>
      <c r="R9" s="262"/>
      <c r="S9" s="262"/>
      <c r="T9" s="262"/>
    </row>
    <row r="10" spans="1:20" x14ac:dyDescent="0.25">
      <c r="A10" s="261" t="str">
        <v>$30,000-39,999</v>
      </c>
      <c r="B10" s="260" t="e">
        <f>#REF!</f>
        <v>#REF!</v>
      </c>
      <c r="C10" s="138" t="e">
        <f t="shared" si="0"/>
        <v>#REF!</v>
      </c>
      <c r="D10" s="260" t="e">
        <f>#REF!</f>
        <v>#REF!</v>
      </c>
      <c r="E10" s="138" t="e">
        <f t="shared" si="1"/>
        <v>#REF!</v>
      </c>
      <c r="F10" s="259" t="e">
        <f>#REF!</f>
        <v>#REF!</v>
      </c>
      <c r="G10" s="138" t="e">
        <f t="shared" si="2"/>
        <v>#REF!</v>
      </c>
      <c r="H10" s="254"/>
      <c r="I10" s="261" t="str">
        <v>$30,000-39,999</v>
      </c>
      <c r="J10" s="260" t="e">
        <f>#REF!</f>
        <v>#REF!</v>
      </c>
      <c r="K10" s="138" t="e">
        <f t="shared" si="3"/>
        <v>#REF!</v>
      </c>
      <c r="L10" s="260" t="e">
        <f>#REF!</f>
        <v>#REF!</v>
      </c>
      <c r="M10" s="138" t="e">
        <f t="shared" si="4"/>
        <v>#REF!</v>
      </c>
      <c r="N10" s="259" t="e">
        <f>#REF!</f>
        <v>#REF!</v>
      </c>
      <c r="O10" s="138" t="e">
        <f t="shared" si="5"/>
        <v>#REF!</v>
      </c>
      <c r="P10" s="254"/>
      <c r="Q10" s="254"/>
      <c r="R10" s="254"/>
      <c r="S10" s="254"/>
      <c r="T10" s="254"/>
    </row>
    <row r="11" spans="1:20" x14ac:dyDescent="0.25">
      <c r="A11" s="261" t="str">
        <v>$40,000-49,999</v>
      </c>
      <c r="B11" s="260" t="e">
        <f>#REF!</f>
        <v>#REF!</v>
      </c>
      <c r="C11" s="138" t="e">
        <f t="shared" si="0"/>
        <v>#REF!</v>
      </c>
      <c r="D11" s="260" t="e">
        <f>#REF!</f>
        <v>#REF!</v>
      </c>
      <c r="E11" s="138" t="e">
        <f t="shared" si="1"/>
        <v>#REF!</v>
      </c>
      <c r="F11" s="259" t="e">
        <f>#REF!</f>
        <v>#REF!</v>
      </c>
      <c r="G11" s="138" t="e">
        <f t="shared" si="2"/>
        <v>#REF!</v>
      </c>
      <c r="H11" s="254"/>
      <c r="I11" s="261" t="str">
        <v>$40,000-49,999</v>
      </c>
      <c r="J11" s="260" t="e">
        <f>#REF!</f>
        <v>#REF!</v>
      </c>
      <c r="K11" s="138" t="e">
        <f t="shared" si="3"/>
        <v>#REF!</v>
      </c>
      <c r="L11" s="260" t="e">
        <f>#REF!</f>
        <v>#REF!</v>
      </c>
      <c r="M11" s="138" t="e">
        <f t="shared" si="4"/>
        <v>#REF!</v>
      </c>
      <c r="N11" s="259" t="e">
        <f>#REF!</f>
        <v>#REF!</v>
      </c>
      <c r="O11" s="138" t="e">
        <f t="shared" si="5"/>
        <v>#REF!</v>
      </c>
      <c r="P11" s="254"/>
      <c r="Q11" s="254"/>
      <c r="R11" s="254"/>
      <c r="S11" s="254"/>
      <c r="T11" s="254"/>
    </row>
    <row r="12" spans="1:20" x14ac:dyDescent="0.25">
      <c r="A12" s="261" t="str">
        <v>$50,000-59,999</v>
      </c>
      <c r="B12" s="260" t="e">
        <f>#REF!</f>
        <v>#REF!</v>
      </c>
      <c r="C12" s="138" t="e">
        <f t="shared" si="0"/>
        <v>#REF!</v>
      </c>
      <c r="D12" s="260" t="e">
        <f>#REF!</f>
        <v>#REF!</v>
      </c>
      <c r="E12" s="138" t="e">
        <f t="shared" si="1"/>
        <v>#REF!</v>
      </c>
      <c r="F12" s="259" t="e">
        <f>#REF!</f>
        <v>#REF!</v>
      </c>
      <c r="G12" s="138" t="e">
        <f t="shared" si="2"/>
        <v>#REF!</v>
      </c>
      <c r="H12" s="254"/>
      <c r="I12" s="261" t="str">
        <v>$50,000-59,999</v>
      </c>
      <c r="J12" s="260" t="e">
        <f>#REF!</f>
        <v>#REF!</v>
      </c>
      <c r="K12" s="138" t="e">
        <f t="shared" si="3"/>
        <v>#REF!</v>
      </c>
      <c r="L12" s="260" t="e">
        <f>#REF!</f>
        <v>#REF!</v>
      </c>
      <c r="M12" s="138" t="e">
        <f t="shared" si="4"/>
        <v>#REF!</v>
      </c>
      <c r="N12" s="259" t="e">
        <f>#REF!</f>
        <v>#REF!</v>
      </c>
      <c r="O12" s="138" t="e">
        <f t="shared" si="5"/>
        <v>#REF!</v>
      </c>
      <c r="P12" s="254"/>
      <c r="Q12" s="254"/>
      <c r="R12" s="254"/>
      <c r="S12" s="254"/>
      <c r="T12" s="254"/>
    </row>
    <row r="13" spans="1:20" x14ac:dyDescent="0.25">
      <c r="A13" s="261" t="str">
        <v>$60,000-74,999</v>
      </c>
      <c r="B13" s="260" t="e">
        <f>#REF!</f>
        <v>#REF!</v>
      </c>
      <c r="C13" s="138" t="e">
        <f t="shared" si="0"/>
        <v>#REF!</v>
      </c>
      <c r="D13" s="260" t="e">
        <f>#REF!</f>
        <v>#REF!</v>
      </c>
      <c r="E13" s="138" t="e">
        <f t="shared" si="1"/>
        <v>#REF!</v>
      </c>
      <c r="F13" s="259" t="e">
        <f>#REF!</f>
        <v>#REF!</v>
      </c>
      <c r="G13" s="138" t="e">
        <f t="shared" si="2"/>
        <v>#REF!</v>
      </c>
      <c r="H13" s="254"/>
      <c r="I13" s="261" t="str">
        <v>$60,000-74,999</v>
      </c>
      <c r="J13" s="260" t="e">
        <f>#REF!</f>
        <v>#REF!</v>
      </c>
      <c r="K13" s="138" t="e">
        <f t="shared" si="3"/>
        <v>#REF!</v>
      </c>
      <c r="L13" s="260" t="e">
        <f>#REF!</f>
        <v>#REF!</v>
      </c>
      <c r="M13" s="138" t="e">
        <f t="shared" si="4"/>
        <v>#REF!</v>
      </c>
      <c r="N13" s="259" t="e">
        <f>#REF!</f>
        <v>#REF!</v>
      </c>
      <c r="O13" s="138" t="e">
        <f t="shared" si="5"/>
        <v>#REF!</v>
      </c>
      <c r="P13" s="254"/>
      <c r="Q13" s="254"/>
      <c r="R13" s="254"/>
      <c r="S13" s="254"/>
      <c r="T13" s="254"/>
    </row>
    <row r="14" spans="1:20" x14ac:dyDescent="0.25">
      <c r="A14" s="261" t="str">
        <v>$75,000-99,999</v>
      </c>
      <c r="B14" s="260" t="e">
        <f>#REF!</f>
        <v>#REF!</v>
      </c>
      <c r="C14" s="138" t="e">
        <f t="shared" si="0"/>
        <v>#REF!</v>
      </c>
      <c r="D14" s="260" t="e">
        <f>#REF!</f>
        <v>#REF!</v>
      </c>
      <c r="E14" s="138" t="e">
        <f t="shared" si="1"/>
        <v>#REF!</v>
      </c>
      <c r="F14" s="259" t="e">
        <f>#REF!</f>
        <v>#REF!</v>
      </c>
      <c r="G14" s="138" t="e">
        <f t="shared" si="2"/>
        <v>#REF!</v>
      </c>
      <c r="H14" s="254"/>
      <c r="I14" s="261" t="str">
        <v>$75,000-99,999</v>
      </c>
      <c r="J14" s="260" t="e">
        <f>#REF!</f>
        <v>#REF!</v>
      </c>
      <c r="K14" s="138" t="e">
        <f t="shared" si="3"/>
        <v>#REF!</v>
      </c>
      <c r="L14" s="260" t="e">
        <f>#REF!</f>
        <v>#REF!</v>
      </c>
      <c r="M14" s="138" t="e">
        <f t="shared" si="4"/>
        <v>#REF!</v>
      </c>
      <c r="N14" s="259" t="e">
        <f>#REF!</f>
        <v>#REF!</v>
      </c>
      <c r="O14" s="138" t="e">
        <f t="shared" si="5"/>
        <v>#REF!</v>
      </c>
      <c r="P14" s="254"/>
      <c r="Q14" s="254"/>
      <c r="R14" s="254"/>
      <c r="S14" s="254"/>
      <c r="T14" s="254"/>
    </row>
    <row r="15" spans="1:20" x14ac:dyDescent="0.25">
      <c r="A15" s="261" t="str">
        <v>$100,000-124,999</v>
      </c>
      <c r="B15" s="260" t="e">
        <f>#REF!</f>
        <v>#REF!</v>
      </c>
      <c r="C15" s="138" t="e">
        <f t="shared" si="0"/>
        <v>#REF!</v>
      </c>
      <c r="D15" s="260" t="e">
        <f>#REF!</f>
        <v>#REF!</v>
      </c>
      <c r="E15" s="138" t="e">
        <f t="shared" si="1"/>
        <v>#REF!</v>
      </c>
      <c r="F15" s="259" t="e">
        <f>#REF!</f>
        <v>#REF!</v>
      </c>
      <c r="G15" s="138" t="e">
        <f t="shared" si="2"/>
        <v>#REF!</v>
      </c>
      <c r="H15" s="254"/>
      <c r="I15" s="261" t="str">
        <v>$100,000-124,999</v>
      </c>
      <c r="J15" s="260" t="e">
        <f>#REF!</f>
        <v>#REF!</v>
      </c>
      <c r="K15" s="138" t="e">
        <f t="shared" si="3"/>
        <v>#REF!</v>
      </c>
      <c r="L15" s="260" t="e">
        <f>#REF!</f>
        <v>#REF!</v>
      </c>
      <c r="M15" s="138" t="e">
        <f t="shared" si="4"/>
        <v>#REF!</v>
      </c>
      <c r="N15" s="259" t="e">
        <f>#REF!</f>
        <v>#REF!</v>
      </c>
      <c r="O15" s="138" t="e">
        <f t="shared" si="5"/>
        <v>#REF!</v>
      </c>
      <c r="P15" s="254"/>
      <c r="Q15" s="254"/>
      <c r="R15" s="254"/>
      <c r="S15" s="254"/>
      <c r="T15" s="254"/>
    </row>
    <row r="16" spans="1:20" x14ac:dyDescent="0.25">
      <c r="A16" s="261" t="str">
        <v>$125,000-149,999</v>
      </c>
      <c r="B16" s="260" t="e">
        <f>#REF!</f>
        <v>#REF!</v>
      </c>
      <c r="C16" s="138" t="e">
        <f t="shared" si="0"/>
        <v>#REF!</v>
      </c>
      <c r="D16" s="260" t="e">
        <f>#REF!</f>
        <v>#REF!</v>
      </c>
      <c r="E16" s="138" t="e">
        <f t="shared" si="1"/>
        <v>#REF!</v>
      </c>
      <c r="F16" s="259" t="e">
        <f>#REF!</f>
        <v>#REF!</v>
      </c>
      <c r="G16" s="138" t="e">
        <f t="shared" si="2"/>
        <v>#REF!</v>
      </c>
      <c r="H16" s="254"/>
      <c r="I16" s="261" t="str">
        <v>$125,000-149,999</v>
      </c>
      <c r="J16" s="260" t="e">
        <f>#REF!</f>
        <v>#REF!</v>
      </c>
      <c r="K16" s="138" t="e">
        <f t="shared" si="3"/>
        <v>#REF!</v>
      </c>
      <c r="L16" s="260" t="e">
        <f>#REF!</f>
        <v>#REF!</v>
      </c>
      <c r="M16" s="138" t="e">
        <f t="shared" si="4"/>
        <v>#REF!</v>
      </c>
      <c r="N16" s="259" t="e">
        <f>#REF!</f>
        <v>#REF!</v>
      </c>
      <c r="O16" s="138" t="e">
        <f t="shared" si="5"/>
        <v>#REF!</v>
      </c>
      <c r="P16" s="254"/>
      <c r="Q16" s="254"/>
      <c r="R16" s="254"/>
      <c r="S16" s="254"/>
      <c r="T16" s="254"/>
    </row>
    <row r="17" spans="1:20" x14ac:dyDescent="0.25">
      <c r="A17" s="261" t="str">
        <v>$150,000-199,999</v>
      </c>
      <c r="B17" s="260" t="e">
        <f>#REF!</f>
        <v>#REF!</v>
      </c>
      <c r="C17" s="138" t="e">
        <f t="shared" si="0"/>
        <v>#REF!</v>
      </c>
      <c r="D17" s="260" t="e">
        <f>#REF!</f>
        <v>#REF!</v>
      </c>
      <c r="E17" s="138" t="e">
        <f t="shared" si="1"/>
        <v>#REF!</v>
      </c>
      <c r="F17" s="259" t="e">
        <f>#REF!</f>
        <v>#REF!</v>
      </c>
      <c r="G17" s="138" t="e">
        <f t="shared" si="2"/>
        <v>#REF!</v>
      </c>
      <c r="H17" s="254"/>
      <c r="I17" s="261" t="str">
        <v>$150,000-199,999</v>
      </c>
      <c r="J17" s="260" t="e">
        <f>#REF!</f>
        <v>#REF!</v>
      </c>
      <c r="K17" s="138" t="e">
        <f t="shared" si="3"/>
        <v>#REF!</v>
      </c>
      <c r="L17" s="260" t="e">
        <f>#REF!</f>
        <v>#REF!</v>
      </c>
      <c r="M17" s="138" t="e">
        <f t="shared" si="4"/>
        <v>#REF!</v>
      </c>
      <c r="N17" s="259" t="e">
        <f>#REF!</f>
        <v>#REF!</v>
      </c>
      <c r="O17" s="138" t="e">
        <f t="shared" si="5"/>
        <v>#REF!</v>
      </c>
      <c r="P17" s="254"/>
      <c r="Q17" s="254"/>
      <c r="R17" s="254"/>
      <c r="S17" s="254"/>
      <c r="T17" s="254"/>
    </row>
    <row r="18" spans="1:20" x14ac:dyDescent="0.25">
      <c r="A18" s="261" t="str">
        <v>$200,000+</v>
      </c>
      <c r="B18" s="260" t="e">
        <f>#REF!</f>
        <v>#REF!</v>
      </c>
      <c r="C18" s="138" t="e">
        <f t="shared" si="0"/>
        <v>#REF!</v>
      </c>
      <c r="D18" s="260" t="e">
        <f>#REF!</f>
        <v>#REF!</v>
      </c>
      <c r="E18" s="138" t="e">
        <f t="shared" si="1"/>
        <v>#REF!</v>
      </c>
      <c r="F18" s="259" t="e">
        <f>#REF!</f>
        <v>#REF!</v>
      </c>
      <c r="G18" s="138" t="e">
        <f t="shared" si="2"/>
        <v>#REF!</v>
      </c>
      <c r="H18" s="262"/>
      <c r="I18" s="261" t="str">
        <v>$200,000+</v>
      </c>
      <c r="J18" s="260" t="e">
        <f>#REF!</f>
        <v>#REF!</v>
      </c>
      <c r="K18" s="138" t="e">
        <f t="shared" si="3"/>
        <v>#REF!</v>
      </c>
      <c r="L18" s="260" t="e">
        <f>#REF!</f>
        <v>#REF!</v>
      </c>
      <c r="M18" s="138" t="e">
        <f t="shared" si="4"/>
        <v>#REF!</v>
      </c>
      <c r="N18" s="259" t="e">
        <f>#REF!</f>
        <v>#REF!</v>
      </c>
      <c r="O18" s="138" t="e">
        <f t="shared" si="5"/>
        <v>#REF!</v>
      </c>
      <c r="P18" s="262"/>
      <c r="Q18" s="262"/>
      <c r="R18" s="262"/>
      <c r="S18" s="262"/>
      <c r="T18" s="262"/>
    </row>
    <row r="19" spans="1:20" ht="13.8" thickBot="1" x14ac:dyDescent="0.3">
      <c r="A19" s="258" t="s">
        <v>11</v>
      </c>
      <c r="B19" s="257" t="e">
        <f t="shared" ref="B19:G19" si="6">SUM(B7:B18)</f>
        <v>#REF!</v>
      </c>
      <c r="C19" s="139" t="e">
        <f t="shared" si="6"/>
        <v>#REF!</v>
      </c>
      <c r="D19" s="257" t="e">
        <f t="shared" si="6"/>
        <v>#REF!</v>
      </c>
      <c r="E19" s="139" t="e">
        <f t="shared" si="6"/>
        <v>#REF!</v>
      </c>
      <c r="F19" s="257" t="e">
        <f t="shared" si="6"/>
        <v>#REF!</v>
      </c>
      <c r="G19" s="139" t="e">
        <f t="shared" si="6"/>
        <v>#REF!</v>
      </c>
      <c r="H19" s="254"/>
      <c r="I19" s="258" t="s">
        <v>11</v>
      </c>
      <c r="J19" s="257" t="e">
        <f t="shared" ref="J19:O19" si="7">SUM(J7:J18)</f>
        <v>#REF!</v>
      </c>
      <c r="K19" s="139" t="e">
        <f t="shared" si="7"/>
        <v>#REF!</v>
      </c>
      <c r="L19" s="257" t="e">
        <f t="shared" si="7"/>
        <v>#REF!</v>
      </c>
      <c r="M19" s="139" t="e">
        <f t="shared" si="7"/>
        <v>#REF!</v>
      </c>
      <c r="N19" s="257" t="e">
        <f t="shared" si="7"/>
        <v>#REF!</v>
      </c>
      <c r="O19" s="139" t="e">
        <f t="shared" si="7"/>
        <v>#REF!</v>
      </c>
      <c r="P19" s="254"/>
      <c r="Q19" s="254"/>
      <c r="R19" s="254"/>
      <c r="S19" s="254"/>
      <c r="T19" s="254"/>
    </row>
    <row r="20" spans="1:20" ht="13.8" thickTop="1" x14ac:dyDescent="0.25">
      <c r="A20" s="305" t="str">
        <f>"Source: " &amp; Source_HISTA &amp; ", " &amp; Source_Novogradac &amp; ", " &amp; Source_Date</f>
        <v>Source: Ribbon Demographics 2014, Novogradac &amp; Company LLP, August 2017</v>
      </c>
      <c r="B20" s="305"/>
      <c r="C20" s="305"/>
      <c r="D20" s="305"/>
      <c r="E20" s="305"/>
      <c r="F20" s="305"/>
      <c r="G20" s="305"/>
      <c r="H20" s="254"/>
      <c r="I20" s="305" t="str">
        <f>"Source: " &amp; Source_HISTA &amp; ", " &amp; Source_Novogradac &amp; ", " &amp; Source_Date</f>
        <v>Source: Ribbon Demographics 2014, Novogradac &amp; Company LLP, August 2017</v>
      </c>
      <c r="J20" s="305"/>
      <c r="K20" s="305"/>
      <c r="L20" s="305"/>
      <c r="M20" s="305"/>
      <c r="N20" s="305"/>
      <c r="O20" s="305"/>
      <c r="P20" s="254"/>
      <c r="Q20" s="254"/>
      <c r="R20" s="254"/>
      <c r="S20" s="254"/>
      <c r="T20" s="254"/>
    </row>
    <row r="21" spans="1:20" x14ac:dyDescent="0.25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</row>
    <row r="22" spans="1:20" x14ac:dyDescent="0.25">
      <c r="A22" s="262"/>
      <c r="B22" s="262"/>
      <c r="C22" s="262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</row>
    <row r="23" spans="1:20" x14ac:dyDescent="0.25">
      <c r="A23" s="254"/>
      <c r="B23" s="254"/>
      <c r="C23" s="254"/>
      <c r="D23" s="262"/>
      <c r="E23" s="262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</row>
    <row r="24" spans="1:20" x14ac:dyDescent="0.25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</row>
    <row r="25" spans="1:20" x14ac:dyDescent="0.25">
      <c r="A25" s="254"/>
      <c r="B25" s="254"/>
      <c r="C25" s="254"/>
      <c r="D25" s="254"/>
      <c r="E25" s="254"/>
      <c r="F25" s="262"/>
      <c r="G25" s="262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</row>
    <row r="26" spans="1:20" x14ac:dyDescent="0.25">
      <c r="A26" s="254"/>
      <c r="B26" s="254"/>
      <c r="C26" s="254"/>
      <c r="D26" s="254"/>
      <c r="E26" s="254"/>
      <c r="F26" s="254"/>
      <c r="G26" s="254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</row>
    <row r="27" spans="1:20" x14ac:dyDescent="0.25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</row>
    <row r="28" spans="1:20" x14ac:dyDescent="0.25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</row>
    <row r="29" spans="1:20" x14ac:dyDescent="0.25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</row>
    <row r="30" spans="1:20" x14ac:dyDescent="0.25">
      <c r="A30" s="262"/>
      <c r="B30" s="262"/>
      <c r="C30" s="262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</row>
    <row r="31" spans="1:20" x14ac:dyDescent="0.25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</row>
    <row r="32" spans="1:20" x14ac:dyDescent="0.25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</row>
    <row r="33" spans="1:20" x14ac:dyDescent="0.25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</row>
    <row r="34" spans="1:20" x14ac:dyDescent="0.25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</row>
    <row r="35" spans="1:20" x14ac:dyDescent="0.2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</row>
    <row r="36" spans="1:20" x14ac:dyDescent="0.25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</row>
    <row r="37" spans="1:20" x14ac:dyDescent="0.25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</row>
    <row r="38" spans="1:20" x14ac:dyDescent="0.25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</row>
    <row r="39" spans="1:20" x14ac:dyDescent="0.2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</row>
    <row r="40" spans="1:20" x14ac:dyDescent="0.25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</row>
    <row r="41" spans="1:20" x14ac:dyDescent="0.25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</row>
    <row r="42" spans="1:20" x14ac:dyDescent="0.25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</row>
    <row r="43" spans="1:20" x14ac:dyDescent="0.25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</row>
    <row r="44" spans="1:20" x14ac:dyDescent="0.25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</row>
    <row r="45" spans="1:20" x14ac:dyDescent="0.2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</row>
    <row r="46" spans="1:20" x14ac:dyDescent="0.25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</row>
    <row r="47" spans="1:20" x14ac:dyDescent="0.25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</row>
    <row r="48" spans="1:20" x14ac:dyDescent="0.25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</row>
    <row r="49" spans="1:20" x14ac:dyDescent="0.25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</row>
    <row r="50" spans="1:20" ht="15.6" x14ac:dyDescent="0.3">
      <c r="A50" s="497" t="s">
        <v>48</v>
      </c>
      <c r="B50" s="497"/>
      <c r="C50" s="497"/>
      <c r="D50" s="497"/>
      <c r="E50" s="304"/>
      <c r="F50" s="304"/>
      <c r="G50" s="30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</row>
    <row r="51" spans="1:20" x14ac:dyDescent="0.25">
      <c r="A51" s="300" t="s">
        <v>38</v>
      </c>
      <c r="B51" s="432" t="s">
        <v>39</v>
      </c>
      <c r="C51" s="432" t="s">
        <v>175</v>
      </c>
      <c r="D51" s="432" t="s">
        <v>40</v>
      </c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</row>
    <row r="52" spans="1:20" x14ac:dyDescent="0.25">
      <c r="A52" s="261">
        <f>ESRI_BY</f>
        <v>2000</v>
      </c>
      <c r="B52" s="281" t="e">
        <f>#REF!</f>
        <v>#REF!</v>
      </c>
      <c r="C52" s="281" t="e">
        <f>#REF!</f>
        <v>#REF!</v>
      </c>
      <c r="D52" s="280" t="e">
        <f>#REF!</f>
        <v>#REF!</v>
      </c>
    </row>
    <row r="53" spans="1:20" x14ac:dyDescent="0.25">
      <c r="A53" s="261">
        <f>ESRI_CY</f>
        <v>2016</v>
      </c>
      <c r="B53" s="279" t="e">
        <f>#REF!</f>
        <v>#REF!</v>
      </c>
      <c r="C53" s="279" t="e">
        <f>#REF!</f>
        <v>#REF!</v>
      </c>
      <c r="D53" s="278" t="e">
        <f>#REF!</f>
        <v>#REF!</v>
      </c>
    </row>
    <row r="54" spans="1:20" ht="13.8" thickBot="1" x14ac:dyDescent="0.3">
      <c r="A54" s="302">
        <f>ESRI_FY</f>
        <v>2021</v>
      </c>
      <c r="B54" s="277" t="e">
        <f>#REF!</f>
        <v>#REF!</v>
      </c>
      <c r="C54" s="277" t="e">
        <f>#REF!</f>
        <v>#REF!</v>
      </c>
      <c r="D54" s="276" t="e">
        <f>#REF!</f>
        <v>#REF!</v>
      </c>
    </row>
    <row r="55" spans="1:20" ht="13.8" thickTop="1" x14ac:dyDescent="0.25">
      <c r="A55" s="303" t="str">
        <f>"Source: " &amp; Source_ESRI &amp; ", " &amp; Source_Novogradac &amp; ", " &amp; Source_Date</f>
        <v>Source: Esri Demographics 2016, Novogradac &amp; Company LLP, August 2017</v>
      </c>
      <c r="B55" s="303"/>
      <c r="C55" s="303"/>
      <c r="D55" s="303"/>
    </row>
    <row r="129" spans="1:7" x14ac:dyDescent="0.25">
      <c r="A129" t="str">
        <f>"PMA Houshold Size Distribution 75+ " &amp; ESRI_CY</f>
        <v>PMA Houshold Size Distribution 75+ 2016</v>
      </c>
      <c r="B129" s="418" t="s">
        <v>356</v>
      </c>
      <c r="C129" s="418" t="s">
        <v>357</v>
      </c>
      <c r="E129" t="str">
        <f>"SMA Houshold Size Distribution 75+ " &amp; ESRI_CY</f>
        <v>SMA Houshold Size Distribution 75+ 2016</v>
      </c>
      <c r="F129" s="418" t="s">
        <v>356</v>
      </c>
      <c r="G129" s="418" t="s">
        <v>357</v>
      </c>
    </row>
    <row r="130" spans="1:7" x14ac:dyDescent="0.25">
      <c r="A130" t="e">
        <f>#REF!</f>
        <v>#REF!</v>
      </c>
      <c r="B130" s="433" t="e">
        <f>#REF!</f>
        <v>#REF!</v>
      </c>
      <c r="C130" s="433" t="e">
        <f>#REF!</f>
        <v>#REF!</v>
      </c>
      <c r="E130" t="e">
        <f>#REF!</f>
        <v>#REF!</v>
      </c>
      <c r="F130" s="433" t="e">
        <f>#REF!</f>
        <v>#REF!</v>
      </c>
      <c r="G130" s="433" t="e">
        <f>#REF!</f>
        <v>#REF!</v>
      </c>
    </row>
    <row r="131" spans="1:7" x14ac:dyDescent="0.25">
      <c r="A131" t="e">
        <f>#REF!</f>
        <v>#REF!</v>
      </c>
      <c r="B131" s="433" t="e">
        <f>#REF!</f>
        <v>#REF!</v>
      </c>
      <c r="C131" s="433" t="e">
        <f>#REF!</f>
        <v>#REF!</v>
      </c>
      <c r="E131" t="e">
        <f>#REF!</f>
        <v>#REF!</v>
      </c>
      <c r="F131" s="433" t="e">
        <f>#REF!</f>
        <v>#REF!</v>
      </c>
      <c r="G131" s="433" t="e">
        <f>#REF!</f>
        <v>#REF!</v>
      </c>
    </row>
    <row r="132" spans="1:7" x14ac:dyDescent="0.25">
      <c r="A132" t="e">
        <f>#REF!</f>
        <v>#REF!</v>
      </c>
      <c r="B132" s="433" t="e">
        <f>#REF!</f>
        <v>#REF!</v>
      </c>
      <c r="C132" s="433" t="e">
        <f>#REF!</f>
        <v>#REF!</v>
      </c>
      <c r="E132" t="e">
        <f>#REF!</f>
        <v>#REF!</v>
      </c>
      <c r="F132" s="433" t="e">
        <f>#REF!</f>
        <v>#REF!</v>
      </c>
      <c r="G132" s="433" t="e">
        <f>#REF!</f>
        <v>#REF!</v>
      </c>
    </row>
    <row r="133" spans="1:7" x14ac:dyDescent="0.25">
      <c r="A133" t="e">
        <f>#REF!</f>
        <v>#REF!</v>
      </c>
      <c r="B133" s="433" t="e">
        <f>#REF!</f>
        <v>#REF!</v>
      </c>
      <c r="C133" s="433" t="e">
        <f>#REF!</f>
        <v>#REF!</v>
      </c>
      <c r="E133" t="e">
        <f>#REF!</f>
        <v>#REF!</v>
      </c>
      <c r="F133" s="433" t="e">
        <f>#REF!</f>
        <v>#REF!</v>
      </c>
      <c r="G133" s="433" t="e">
        <f>#REF!</f>
        <v>#REF!</v>
      </c>
    </row>
    <row r="134" spans="1:7" x14ac:dyDescent="0.25">
      <c r="A134" t="e">
        <f>#REF!</f>
        <v>#REF!</v>
      </c>
      <c r="B134" s="433" t="e">
        <f>#REF!</f>
        <v>#REF!</v>
      </c>
      <c r="C134" s="433" t="e">
        <f>#REF!</f>
        <v>#REF!</v>
      </c>
      <c r="E134" t="e">
        <f>#REF!</f>
        <v>#REF!</v>
      </c>
      <c r="F134" s="433" t="e">
        <f>#REF!</f>
        <v>#REF!</v>
      </c>
      <c r="G134" s="433" t="e">
        <f>#REF!</f>
        <v>#REF!</v>
      </c>
    </row>
  </sheetData>
  <mergeCells count="1">
    <mergeCell ref="A50:D5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578"/>
  <sheetViews>
    <sheetView tabSelected="1" workbookViewId="0">
      <selection activeCell="F2" sqref="F2"/>
    </sheetView>
  </sheetViews>
  <sheetFormatPr defaultColWidth="9.109375" defaultRowHeight="13.2" x14ac:dyDescent="0.25"/>
  <cols>
    <col min="1" max="1" width="50" style="375" customWidth="1"/>
    <col min="2" max="2" width="9.109375" style="375"/>
    <col min="3" max="3" width="11.33203125" style="375" customWidth="1"/>
    <col min="4" max="4" width="11.44140625" style="375" customWidth="1"/>
    <col min="5" max="5" width="9.109375" style="375"/>
    <col min="6" max="6" width="35.44140625" style="375" customWidth="1"/>
    <col min="7" max="7" width="13.44140625" style="375" customWidth="1"/>
    <col min="8" max="8" width="23.33203125" style="375" customWidth="1"/>
    <col min="9" max="9" width="9.109375" style="375"/>
    <col min="10" max="10" width="9.109375" style="382"/>
    <col min="11" max="11" width="21.33203125" style="375" customWidth="1"/>
    <col min="12" max="15" width="9.109375" style="375"/>
    <col min="16" max="16" width="12.109375" style="375" bestFit="1" customWidth="1"/>
    <col min="17" max="16384" width="9.109375" style="375"/>
  </cols>
  <sheetData>
    <row r="1" spans="1:27" ht="13.8" thickBot="1" x14ac:dyDescent="0.3">
      <c r="A1" s="498" t="e">
        <f>UPPER(B29 &amp; " - " &amp; B30 &amp; " area wage estimates")</f>
        <v>#REF!</v>
      </c>
      <c r="B1" s="499"/>
      <c r="C1" s="499"/>
      <c r="D1" s="500"/>
      <c r="G1" s="376" t="s">
        <v>203</v>
      </c>
      <c r="H1" s="377"/>
      <c r="I1" s="377"/>
      <c r="J1" s="378" t="s">
        <v>209</v>
      </c>
      <c r="K1" s="377"/>
      <c r="L1" s="376" t="s">
        <v>204</v>
      </c>
      <c r="M1" s="377"/>
      <c r="N1" s="377"/>
      <c r="O1" s="377"/>
      <c r="P1" s="377"/>
    </row>
    <row r="2" spans="1:27" ht="52.8" x14ac:dyDescent="0.25">
      <c r="A2" s="379" t="s">
        <v>176</v>
      </c>
      <c r="B2" s="380" t="s">
        <v>177</v>
      </c>
      <c r="C2" s="380" t="s">
        <v>178</v>
      </c>
      <c r="D2" s="381" t="s">
        <v>179</v>
      </c>
      <c r="F2" s="527" t="s">
        <v>843</v>
      </c>
      <c r="G2" s="490"/>
      <c r="H2" s="491"/>
      <c r="I2" s="492"/>
      <c r="J2" s="493"/>
      <c r="K2" s="494"/>
      <c r="L2" s="494"/>
      <c r="M2" s="491"/>
      <c r="N2" s="492"/>
      <c r="O2" s="494"/>
      <c r="P2" s="494"/>
      <c r="Q2" s="494"/>
      <c r="R2" s="494"/>
      <c r="S2" s="494"/>
      <c r="T2" s="491"/>
      <c r="U2" s="491"/>
      <c r="V2" s="491"/>
      <c r="W2" s="491"/>
      <c r="X2" s="491"/>
      <c r="Y2" s="490"/>
      <c r="Z2" s="490"/>
    </row>
    <row r="3" spans="1:27" x14ac:dyDescent="0.25">
      <c r="A3" s="373" t="s">
        <v>180</v>
      </c>
      <c r="B3" s="374">
        <f>IF(R4&gt;0,R4,"N/A")</f>
        <v>22.45</v>
      </c>
      <c r="C3" s="383">
        <f t="shared" ref="C3:D18" si="0">IF(S4&gt;0,S4,"N/A")</f>
        <v>35.340000000000003</v>
      </c>
      <c r="D3" s="384">
        <f t="shared" si="0"/>
        <v>50.18</v>
      </c>
      <c r="G3" s="489" t="s">
        <v>404</v>
      </c>
      <c r="H3" s="490" t="s">
        <v>377</v>
      </c>
      <c r="I3" s="491" t="s">
        <v>378</v>
      </c>
      <c r="J3" s="492" t="s">
        <v>379</v>
      </c>
      <c r="K3" s="493" t="s">
        <v>380</v>
      </c>
      <c r="L3" s="494" t="s">
        <v>381</v>
      </c>
      <c r="M3" s="494" t="s">
        <v>382</v>
      </c>
      <c r="N3" s="491" t="s">
        <v>383</v>
      </c>
      <c r="O3" s="492" t="s">
        <v>384</v>
      </c>
      <c r="P3" s="494" t="s">
        <v>385</v>
      </c>
      <c r="Q3" s="494" t="s">
        <v>386</v>
      </c>
      <c r="R3" s="494" t="s">
        <v>387</v>
      </c>
      <c r="S3" s="494" t="s">
        <v>388</v>
      </c>
      <c r="T3" s="494" t="s">
        <v>389</v>
      </c>
      <c r="U3" s="491" t="s">
        <v>390</v>
      </c>
      <c r="V3" s="491" t="s">
        <v>391</v>
      </c>
      <c r="W3" s="491" t="s">
        <v>392</v>
      </c>
      <c r="X3" s="491" t="s">
        <v>393</v>
      </c>
      <c r="Y3" s="491" t="s">
        <v>394</v>
      </c>
      <c r="Z3" s="490" t="s">
        <v>395</v>
      </c>
      <c r="AA3" s="490" t="s">
        <v>396</v>
      </c>
    </row>
    <row r="4" spans="1:27" ht="15.75" customHeight="1" x14ac:dyDescent="0.25">
      <c r="A4" s="373" t="s">
        <v>181</v>
      </c>
      <c r="B4" s="374">
        <f t="shared" ref="B4:D25" si="1">IF(R5&gt;0,R5,"N/A")</f>
        <v>48.72</v>
      </c>
      <c r="C4" s="383">
        <f t="shared" si="0"/>
        <v>66.19</v>
      </c>
      <c r="D4" s="384">
        <f t="shared" si="0"/>
        <v>91.63</v>
      </c>
      <c r="F4" s="385" t="s">
        <v>210</v>
      </c>
      <c r="G4" s="489" t="s">
        <v>405</v>
      </c>
      <c r="H4" s="490" t="s">
        <v>397</v>
      </c>
      <c r="I4" s="491">
        <v>176200</v>
      </c>
      <c r="J4" s="492">
        <v>1.4</v>
      </c>
      <c r="K4" s="493">
        <v>1000</v>
      </c>
      <c r="L4" s="494">
        <v>1</v>
      </c>
      <c r="M4" s="494">
        <v>27.78</v>
      </c>
      <c r="N4" s="491">
        <v>57770</v>
      </c>
      <c r="O4" s="492">
        <v>1.2</v>
      </c>
      <c r="P4" s="494">
        <v>10.84</v>
      </c>
      <c r="Q4" s="494">
        <v>14.62</v>
      </c>
      <c r="R4" s="494">
        <v>22.45</v>
      </c>
      <c r="S4" s="494">
        <v>35.340000000000003</v>
      </c>
      <c r="T4" s="494">
        <v>50.18</v>
      </c>
      <c r="U4" s="491">
        <v>22550</v>
      </c>
      <c r="V4" s="491">
        <v>30420</v>
      </c>
      <c r="W4" s="491">
        <v>46690</v>
      </c>
      <c r="X4" s="491">
        <v>73500</v>
      </c>
      <c r="Y4" s="491">
        <v>104370</v>
      </c>
      <c r="Z4" s="490"/>
      <c r="AA4" s="490"/>
    </row>
    <row r="5" spans="1:27" ht="12.75" customHeight="1" x14ac:dyDescent="0.25">
      <c r="A5" s="373" t="s">
        <v>182</v>
      </c>
      <c r="B5" s="374">
        <f t="shared" si="1"/>
        <v>72.92</v>
      </c>
      <c r="C5" s="383" t="str">
        <f t="shared" si="0"/>
        <v>#</v>
      </c>
      <c r="D5" s="384" t="str">
        <f t="shared" si="0"/>
        <v>#</v>
      </c>
      <c r="G5" s="489" t="s">
        <v>181</v>
      </c>
      <c r="H5" s="490" t="s">
        <v>398</v>
      </c>
      <c r="I5" s="491">
        <v>9820</v>
      </c>
      <c r="J5" s="492">
        <v>2.2000000000000002</v>
      </c>
      <c r="K5" s="493">
        <v>55.713000000000001</v>
      </c>
      <c r="L5" s="494">
        <v>1.1000000000000001</v>
      </c>
      <c r="M5" s="494">
        <v>55.18</v>
      </c>
      <c r="N5" s="491">
        <v>114770</v>
      </c>
      <c r="O5" s="492">
        <v>1.6</v>
      </c>
      <c r="P5" s="494">
        <v>26.04</v>
      </c>
      <c r="Q5" s="494">
        <v>35.630000000000003</v>
      </c>
      <c r="R5" s="494">
        <v>48.72</v>
      </c>
      <c r="S5" s="494">
        <v>66.19</v>
      </c>
      <c r="T5" s="494">
        <v>91.63</v>
      </c>
      <c r="U5" s="491">
        <v>54160</v>
      </c>
      <c r="V5" s="491">
        <v>74120</v>
      </c>
      <c r="W5" s="491">
        <v>101340</v>
      </c>
      <c r="X5" s="491">
        <v>137680</v>
      </c>
      <c r="Y5" s="491">
        <v>190590</v>
      </c>
      <c r="Z5" s="490"/>
      <c r="AA5" s="490"/>
    </row>
    <row r="6" spans="1:27" x14ac:dyDescent="0.25">
      <c r="A6" s="373" t="s">
        <v>183</v>
      </c>
      <c r="B6" s="374">
        <f t="shared" si="1"/>
        <v>47.43</v>
      </c>
      <c r="C6" s="383">
        <f t="shared" si="0"/>
        <v>67.680000000000007</v>
      </c>
      <c r="D6" s="384">
        <f t="shared" si="0"/>
        <v>92.76</v>
      </c>
      <c r="G6" s="489" t="s">
        <v>406</v>
      </c>
      <c r="H6" s="490" t="s">
        <v>399</v>
      </c>
      <c r="I6" s="491">
        <v>440</v>
      </c>
      <c r="J6" s="492">
        <v>8.1</v>
      </c>
      <c r="K6" s="493">
        <v>2.4900000000000002</v>
      </c>
      <c r="L6" s="494">
        <v>1.57</v>
      </c>
      <c r="M6" s="494">
        <v>80.83</v>
      </c>
      <c r="N6" s="491">
        <v>168120</v>
      </c>
      <c r="O6" s="492">
        <v>4.0999999999999996</v>
      </c>
      <c r="P6" s="494">
        <v>35.590000000000003</v>
      </c>
      <c r="Q6" s="494">
        <v>49.82</v>
      </c>
      <c r="R6" s="494">
        <v>72.92</v>
      </c>
      <c r="S6" s="494" t="s">
        <v>400</v>
      </c>
      <c r="T6" s="494" t="s">
        <v>400</v>
      </c>
      <c r="U6" s="491">
        <v>74020</v>
      </c>
      <c r="V6" s="491">
        <v>103630</v>
      </c>
      <c r="W6" s="491">
        <v>151680</v>
      </c>
      <c r="X6" s="491" t="s">
        <v>400</v>
      </c>
      <c r="Y6" s="491" t="s">
        <v>400</v>
      </c>
      <c r="Z6" s="490"/>
      <c r="AA6" s="490"/>
    </row>
    <row r="7" spans="1:27" x14ac:dyDescent="0.25">
      <c r="A7" s="373" t="s">
        <v>184</v>
      </c>
      <c r="B7" s="374">
        <f t="shared" si="1"/>
        <v>44.87</v>
      </c>
      <c r="C7" s="383">
        <f t="shared" si="0"/>
        <v>57.91</v>
      </c>
      <c r="D7" s="384">
        <f t="shared" si="0"/>
        <v>84.42</v>
      </c>
      <c r="G7" s="489" t="s">
        <v>407</v>
      </c>
      <c r="H7" s="490" t="s">
        <v>399</v>
      </c>
      <c r="I7" s="491">
        <v>3500</v>
      </c>
      <c r="J7" s="492">
        <v>3.5</v>
      </c>
      <c r="K7" s="493">
        <v>19.856000000000002</v>
      </c>
      <c r="L7" s="494">
        <v>1.27</v>
      </c>
      <c r="M7" s="494">
        <v>55.25</v>
      </c>
      <c r="N7" s="491">
        <v>114910</v>
      </c>
      <c r="O7" s="492">
        <v>2.2000000000000002</v>
      </c>
      <c r="P7" s="494">
        <v>25.87</v>
      </c>
      <c r="Q7" s="494">
        <v>34.229999999999997</v>
      </c>
      <c r="R7" s="494">
        <v>47.43</v>
      </c>
      <c r="S7" s="494">
        <v>67.680000000000007</v>
      </c>
      <c r="T7" s="494">
        <v>92.76</v>
      </c>
      <c r="U7" s="491">
        <v>53810</v>
      </c>
      <c r="V7" s="491">
        <v>71190</v>
      </c>
      <c r="W7" s="491">
        <v>98650</v>
      </c>
      <c r="X7" s="491">
        <v>140760</v>
      </c>
      <c r="Y7" s="491">
        <v>192940</v>
      </c>
      <c r="Z7" s="490"/>
      <c r="AA7" s="490"/>
    </row>
    <row r="8" spans="1:27" x14ac:dyDescent="0.25">
      <c r="A8" s="373" t="s">
        <v>185</v>
      </c>
      <c r="B8" s="374">
        <f t="shared" si="1"/>
        <v>45.05</v>
      </c>
      <c r="C8" s="383">
        <f t="shared" si="0"/>
        <v>62.16</v>
      </c>
      <c r="D8" s="384">
        <f t="shared" si="0"/>
        <v>82.19</v>
      </c>
      <c r="G8" s="489" t="s">
        <v>408</v>
      </c>
      <c r="H8" s="490" t="s">
        <v>399</v>
      </c>
      <c r="I8" s="491">
        <v>150</v>
      </c>
      <c r="J8" s="492">
        <v>15.4</v>
      </c>
      <c r="K8" s="493">
        <v>0.86699999999999999</v>
      </c>
      <c r="L8" s="494">
        <v>0.59</v>
      </c>
      <c r="M8" s="494">
        <v>51.92</v>
      </c>
      <c r="N8" s="491">
        <v>108000</v>
      </c>
      <c r="O8" s="492">
        <v>4.5999999999999996</v>
      </c>
      <c r="P8" s="494">
        <v>32.409999999999997</v>
      </c>
      <c r="Q8" s="494">
        <v>36.85</v>
      </c>
      <c r="R8" s="494">
        <v>44.87</v>
      </c>
      <c r="S8" s="494">
        <v>57.91</v>
      </c>
      <c r="T8" s="494">
        <v>84.42</v>
      </c>
      <c r="U8" s="491">
        <v>67410</v>
      </c>
      <c r="V8" s="491">
        <v>76640</v>
      </c>
      <c r="W8" s="491">
        <v>93320</v>
      </c>
      <c r="X8" s="491">
        <v>120460</v>
      </c>
      <c r="Y8" s="491">
        <v>175600</v>
      </c>
      <c r="Z8" s="490"/>
      <c r="AA8" s="490"/>
    </row>
    <row r="9" spans="1:27" ht="15.75" customHeight="1" x14ac:dyDescent="0.25">
      <c r="A9" s="373" t="s">
        <v>186</v>
      </c>
      <c r="B9" s="374">
        <f t="shared" si="1"/>
        <v>54.1</v>
      </c>
      <c r="C9" s="383">
        <f t="shared" si="0"/>
        <v>62</v>
      </c>
      <c r="D9" s="384">
        <f t="shared" si="0"/>
        <v>76.23</v>
      </c>
      <c r="G9" s="489" t="s">
        <v>409</v>
      </c>
      <c r="H9" s="490" t="s">
        <v>399</v>
      </c>
      <c r="I9" s="491">
        <v>300</v>
      </c>
      <c r="J9" s="492">
        <v>12.8</v>
      </c>
      <c r="K9" s="493">
        <v>1.7070000000000001</v>
      </c>
      <c r="L9" s="494">
        <v>0.66</v>
      </c>
      <c r="M9" s="494">
        <v>52.59</v>
      </c>
      <c r="N9" s="491">
        <v>109380</v>
      </c>
      <c r="O9" s="492">
        <v>7.3</v>
      </c>
      <c r="P9" s="494">
        <v>26.13</v>
      </c>
      <c r="Q9" s="494">
        <v>33.43</v>
      </c>
      <c r="R9" s="494">
        <v>45.05</v>
      </c>
      <c r="S9" s="494">
        <v>62.16</v>
      </c>
      <c r="T9" s="494">
        <v>82.19</v>
      </c>
      <c r="U9" s="491">
        <v>54350</v>
      </c>
      <c r="V9" s="491">
        <v>69520</v>
      </c>
      <c r="W9" s="491">
        <v>93700</v>
      </c>
      <c r="X9" s="491">
        <v>129300</v>
      </c>
      <c r="Y9" s="491">
        <v>170950</v>
      </c>
      <c r="Z9" s="490"/>
      <c r="AA9" s="490"/>
    </row>
    <row r="10" spans="1:27" ht="12.75" customHeight="1" x14ac:dyDescent="0.25">
      <c r="A10" s="373" t="s">
        <v>187</v>
      </c>
      <c r="B10" s="374">
        <f t="shared" si="1"/>
        <v>45.09</v>
      </c>
      <c r="C10" s="383">
        <f t="shared" si="0"/>
        <v>59.54</v>
      </c>
      <c r="D10" s="384">
        <f t="shared" si="0"/>
        <v>77.64</v>
      </c>
      <c r="G10" s="489" t="s">
        <v>410</v>
      </c>
      <c r="H10" s="490" t="s">
        <v>399</v>
      </c>
      <c r="I10" s="491">
        <v>100</v>
      </c>
      <c r="J10" s="492">
        <v>23.3</v>
      </c>
      <c r="K10" s="493">
        <v>0.57199999999999995</v>
      </c>
      <c r="L10" s="494">
        <v>1.26</v>
      </c>
      <c r="M10" s="494">
        <v>54.26</v>
      </c>
      <c r="N10" s="491">
        <v>112870</v>
      </c>
      <c r="O10" s="492">
        <v>4.0999999999999996</v>
      </c>
      <c r="P10" s="494">
        <v>33.89</v>
      </c>
      <c r="Q10" s="494">
        <v>42.51</v>
      </c>
      <c r="R10" s="494">
        <v>54.1</v>
      </c>
      <c r="S10" s="494">
        <v>62</v>
      </c>
      <c r="T10" s="494">
        <v>76.23</v>
      </c>
      <c r="U10" s="491">
        <v>70490</v>
      </c>
      <c r="V10" s="491">
        <v>88420</v>
      </c>
      <c r="W10" s="491">
        <v>112530</v>
      </c>
      <c r="X10" s="491">
        <v>128970</v>
      </c>
      <c r="Y10" s="491">
        <v>158550</v>
      </c>
      <c r="Z10" s="490"/>
      <c r="AA10" s="490"/>
    </row>
    <row r="11" spans="1:27" x14ac:dyDescent="0.25">
      <c r="A11" s="373" t="s">
        <v>188</v>
      </c>
      <c r="B11" s="374">
        <f t="shared" si="1"/>
        <v>53.59</v>
      </c>
      <c r="C11" s="383">
        <f t="shared" si="0"/>
        <v>62.56</v>
      </c>
      <c r="D11" s="384">
        <f t="shared" si="0"/>
        <v>86.26</v>
      </c>
      <c r="G11" s="489" t="s">
        <v>411</v>
      </c>
      <c r="H11" s="490" t="s">
        <v>399</v>
      </c>
      <c r="I11" s="491">
        <v>260</v>
      </c>
      <c r="J11" s="492">
        <v>7</v>
      </c>
      <c r="K11" s="493">
        <v>1.456</v>
      </c>
      <c r="L11" s="494">
        <v>0.77</v>
      </c>
      <c r="M11" s="494">
        <v>50.73</v>
      </c>
      <c r="N11" s="491">
        <v>105510</v>
      </c>
      <c r="O11" s="492">
        <v>3.6</v>
      </c>
      <c r="P11" s="494">
        <v>28.98</v>
      </c>
      <c r="Q11" s="494">
        <v>36.1</v>
      </c>
      <c r="R11" s="494">
        <v>45.09</v>
      </c>
      <c r="S11" s="494">
        <v>59.54</v>
      </c>
      <c r="T11" s="494">
        <v>77.64</v>
      </c>
      <c r="U11" s="491">
        <v>60270</v>
      </c>
      <c r="V11" s="491">
        <v>75090</v>
      </c>
      <c r="W11" s="491">
        <v>93780</v>
      </c>
      <c r="X11" s="491">
        <v>123850</v>
      </c>
      <c r="Y11" s="491">
        <v>161500</v>
      </c>
      <c r="Z11" s="490"/>
      <c r="AA11" s="490"/>
    </row>
    <row r="12" spans="1:27" x14ac:dyDescent="0.25">
      <c r="A12" s="373" t="s">
        <v>189</v>
      </c>
      <c r="B12" s="374">
        <f t="shared" si="1"/>
        <v>49.74</v>
      </c>
      <c r="C12" s="383">
        <f t="shared" si="0"/>
        <v>66.52</v>
      </c>
      <c r="D12" s="384">
        <f t="shared" si="0"/>
        <v>85.97</v>
      </c>
      <c r="G12" s="489" t="s">
        <v>412</v>
      </c>
      <c r="H12" s="490" t="s">
        <v>399</v>
      </c>
      <c r="I12" s="491">
        <v>220</v>
      </c>
      <c r="J12" s="492">
        <v>8.1999999999999993</v>
      </c>
      <c r="K12" s="493">
        <v>1.258</v>
      </c>
      <c r="L12" s="494">
        <v>0.5</v>
      </c>
      <c r="M12" s="494">
        <v>59.07</v>
      </c>
      <c r="N12" s="491">
        <v>122860</v>
      </c>
      <c r="O12" s="492">
        <v>8.1999999999999993</v>
      </c>
      <c r="P12" s="494">
        <v>37.75</v>
      </c>
      <c r="Q12" s="494">
        <v>44.63</v>
      </c>
      <c r="R12" s="494">
        <v>53.59</v>
      </c>
      <c r="S12" s="494">
        <v>62.56</v>
      </c>
      <c r="T12" s="494">
        <v>86.26</v>
      </c>
      <c r="U12" s="491">
        <v>78520</v>
      </c>
      <c r="V12" s="491">
        <v>92830</v>
      </c>
      <c r="W12" s="491">
        <v>111460</v>
      </c>
      <c r="X12" s="491">
        <v>130130</v>
      </c>
      <c r="Y12" s="491">
        <v>179410</v>
      </c>
      <c r="Z12" s="490"/>
      <c r="AA12" s="490"/>
    </row>
    <row r="13" spans="1:27" x14ac:dyDescent="0.25">
      <c r="A13" s="373" t="s">
        <v>190</v>
      </c>
      <c r="B13" s="374">
        <f t="shared" si="1"/>
        <v>37.409999999999997</v>
      </c>
      <c r="C13" s="383">
        <f t="shared" si="0"/>
        <v>58.43</v>
      </c>
      <c r="D13" s="384">
        <f t="shared" si="0"/>
        <v>87.66</v>
      </c>
      <c r="G13" s="489" t="s">
        <v>413</v>
      </c>
      <c r="H13" s="490" t="s">
        <v>399</v>
      </c>
      <c r="I13" s="491">
        <v>490</v>
      </c>
      <c r="J13" s="492">
        <v>10</v>
      </c>
      <c r="K13" s="493">
        <v>2.8</v>
      </c>
      <c r="L13" s="494">
        <v>0.72</v>
      </c>
      <c r="M13" s="494">
        <v>56.75</v>
      </c>
      <c r="N13" s="491">
        <v>118040</v>
      </c>
      <c r="O13" s="492">
        <v>3.5</v>
      </c>
      <c r="P13" s="494">
        <v>29.95</v>
      </c>
      <c r="Q13" s="494">
        <v>39.03</v>
      </c>
      <c r="R13" s="494">
        <v>49.74</v>
      </c>
      <c r="S13" s="494">
        <v>66.52</v>
      </c>
      <c r="T13" s="494">
        <v>85.97</v>
      </c>
      <c r="U13" s="491">
        <v>62290</v>
      </c>
      <c r="V13" s="491">
        <v>81180</v>
      </c>
      <c r="W13" s="491">
        <v>103460</v>
      </c>
      <c r="X13" s="491">
        <v>138360</v>
      </c>
      <c r="Y13" s="491">
        <v>178820</v>
      </c>
      <c r="Z13" s="490"/>
      <c r="AA13" s="490"/>
    </row>
    <row r="14" spans="1:27" x14ac:dyDescent="0.25">
      <c r="A14" s="373" t="s">
        <v>191</v>
      </c>
      <c r="B14" s="374">
        <f t="shared" si="1"/>
        <v>53.41</v>
      </c>
      <c r="C14" s="383">
        <f t="shared" si="0"/>
        <v>60.07</v>
      </c>
      <c r="D14" s="384">
        <f t="shared" si="0"/>
        <v>66.2</v>
      </c>
      <c r="G14" s="489" t="s">
        <v>414</v>
      </c>
      <c r="H14" s="490" t="s">
        <v>399</v>
      </c>
      <c r="I14" s="491">
        <v>50</v>
      </c>
      <c r="J14" s="492">
        <v>8.6</v>
      </c>
      <c r="K14" s="493">
        <v>0.26700000000000002</v>
      </c>
      <c r="L14" s="494">
        <v>0.22</v>
      </c>
      <c r="M14" s="494">
        <v>49.33</v>
      </c>
      <c r="N14" s="491">
        <v>102600</v>
      </c>
      <c r="O14" s="492">
        <v>7.4</v>
      </c>
      <c r="P14" s="494">
        <v>25.41</v>
      </c>
      <c r="Q14" s="494">
        <v>29.6</v>
      </c>
      <c r="R14" s="494">
        <v>37.409999999999997</v>
      </c>
      <c r="S14" s="494">
        <v>58.43</v>
      </c>
      <c r="T14" s="494">
        <v>87.66</v>
      </c>
      <c r="U14" s="491">
        <v>52850</v>
      </c>
      <c r="V14" s="491">
        <v>61570</v>
      </c>
      <c r="W14" s="491">
        <v>77810</v>
      </c>
      <c r="X14" s="491">
        <v>121530</v>
      </c>
      <c r="Y14" s="491">
        <v>182330</v>
      </c>
      <c r="Z14" s="490"/>
      <c r="AA14" s="490"/>
    </row>
    <row r="15" spans="1:27" x14ac:dyDescent="0.25">
      <c r="A15" s="373" t="s">
        <v>192</v>
      </c>
      <c r="B15" s="374">
        <f t="shared" si="1"/>
        <v>42</v>
      </c>
      <c r="C15" s="383">
        <f t="shared" si="0"/>
        <v>50.94</v>
      </c>
      <c r="D15" s="384">
        <f t="shared" si="0"/>
        <v>61.96</v>
      </c>
      <c r="G15" s="489" t="s">
        <v>415</v>
      </c>
      <c r="H15" s="490" t="s">
        <v>399</v>
      </c>
      <c r="I15" s="491">
        <v>80</v>
      </c>
      <c r="J15" s="492">
        <v>8.3000000000000007</v>
      </c>
      <c r="K15" s="493">
        <v>0.47799999999999998</v>
      </c>
      <c r="L15" s="494">
        <v>0.94</v>
      </c>
      <c r="M15" s="494">
        <v>50.84</v>
      </c>
      <c r="N15" s="491">
        <v>105740</v>
      </c>
      <c r="O15" s="492">
        <v>4.5</v>
      </c>
      <c r="P15" s="494">
        <v>31.04</v>
      </c>
      <c r="Q15" s="494">
        <v>41.32</v>
      </c>
      <c r="R15" s="494">
        <v>53.41</v>
      </c>
      <c r="S15" s="494">
        <v>60.07</v>
      </c>
      <c r="T15" s="494">
        <v>66.2</v>
      </c>
      <c r="U15" s="491">
        <v>64570</v>
      </c>
      <c r="V15" s="491">
        <v>85950</v>
      </c>
      <c r="W15" s="491">
        <v>111090</v>
      </c>
      <c r="X15" s="491">
        <v>124950</v>
      </c>
      <c r="Y15" s="491">
        <v>137710</v>
      </c>
      <c r="Z15" s="490"/>
      <c r="AA15" s="490"/>
    </row>
    <row r="16" spans="1:27" x14ac:dyDescent="0.25">
      <c r="A16" s="373" t="s">
        <v>193</v>
      </c>
      <c r="B16" s="374">
        <f t="shared" si="1"/>
        <v>49.39</v>
      </c>
      <c r="C16" s="383">
        <f t="shared" si="0"/>
        <v>68.45</v>
      </c>
      <c r="D16" s="384">
        <f t="shared" si="0"/>
        <v>79.72</v>
      </c>
      <c r="G16" s="489" t="s">
        <v>416</v>
      </c>
      <c r="H16" s="490" t="s">
        <v>399</v>
      </c>
      <c r="I16" s="491">
        <v>340</v>
      </c>
      <c r="J16" s="492">
        <v>3.9</v>
      </c>
      <c r="K16" s="493">
        <v>1.9179999999999999</v>
      </c>
      <c r="L16" s="494">
        <v>2.38</v>
      </c>
      <c r="M16" s="494">
        <v>44.15</v>
      </c>
      <c r="N16" s="491">
        <v>91830</v>
      </c>
      <c r="O16" s="492">
        <v>2.2000000000000002</v>
      </c>
      <c r="P16" s="494">
        <v>29.1</v>
      </c>
      <c r="Q16" s="494">
        <v>35.47</v>
      </c>
      <c r="R16" s="494">
        <v>42</v>
      </c>
      <c r="S16" s="494">
        <v>50.94</v>
      </c>
      <c r="T16" s="494">
        <v>61.96</v>
      </c>
      <c r="U16" s="491">
        <v>60540</v>
      </c>
      <c r="V16" s="491">
        <v>73780</v>
      </c>
      <c r="W16" s="491">
        <v>87360</v>
      </c>
      <c r="X16" s="491">
        <v>105960</v>
      </c>
      <c r="Y16" s="491">
        <v>128880</v>
      </c>
      <c r="Z16" s="490"/>
      <c r="AA16" s="490"/>
    </row>
    <row r="17" spans="1:27" x14ac:dyDescent="0.25">
      <c r="A17" s="373" t="s">
        <v>194</v>
      </c>
      <c r="B17" s="374">
        <f t="shared" si="1"/>
        <v>39.700000000000003</v>
      </c>
      <c r="C17" s="383">
        <f t="shared" si="0"/>
        <v>48.06</v>
      </c>
      <c r="D17" s="384">
        <f t="shared" si="0"/>
        <v>69.8</v>
      </c>
      <c r="G17" s="489" t="s">
        <v>417</v>
      </c>
      <c r="H17" s="490" t="s">
        <v>399</v>
      </c>
      <c r="I17" s="491">
        <v>110</v>
      </c>
      <c r="J17" s="492">
        <v>7.3</v>
      </c>
      <c r="K17" s="493">
        <v>0.61499999999999999</v>
      </c>
      <c r="L17" s="494">
        <v>0.66</v>
      </c>
      <c r="M17" s="494">
        <v>55.04</v>
      </c>
      <c r="N17" s="491">
        <v>114480</v>
      </c>
      <c r="O17" s="492">
        <v>3.7</v>
      </c>
      <c r="P17" s="494">
        <v>32.76</v>
      </c>
      <c r="Q17" s="494">
        <v>40.43</v>
      </c>
      <c r="R17" s="494">
        <v>49.39</v>
      </c>
      <c r="S17" s="494">
        <v>68.45</v>
      </c>
      <c r="T17" s="494">
        <v>79.72</v>
      </c>
      <c r="U17" s="491">
        <v>68140</v>
      </c>
      <c r="V17" s="491">
        <v>84100</v>
      </c>
      <c r="W17" s="491">
        <v>102730</v>
      </c>
      <c r="X17" s="491">
        <v>142370</v>
      </c>
      <c r="Y17" s="491">
        <v>165810</v>
      </c>
      <c r="Z17" s="490"/>
      <c r="AA17" s="490"/>
    </row>
    <row r="18" spans="1:27" x14ac:dyDescent="0.25">
      <c r="A18" s="373" t="s">
        <v>195</v>
      </c>
      <c r="B18" s="374">
        <f t="shared" si="1"/>
        <v>59.07</v>
      </c>
      <c r="C18" s="383">
        <f t="shared" si="0"/>
        <v>81.349999999999994</v>
      </c>
      <c r="D18" s="384">
        <f t="shared" si="0"/>
        <v>96.23</v>
      </c>
      <c r="G18" s="489" t="s">
        <v>418</v>
      </c>
      <c r="H18" s="490" t="s">
        <v>399</v>
      </c>
      <c r="I18" s="491">
        <v>40</v>
      </c>
      <c r="J18" s="492">
        <v>13.2</v>
      </c>
      <c r="K18" s="493">
        <v>0.21299999999999999</v>
      </c>
      <c r="L18" s="494">
        <v>0.91</v>
      </c>
      <c r="M18" s="494">
        <v>42.12</v>
      </c>
      <c r="N18" s="491">
        <v>87610</v>
      </c>
      <c r="O18" s="492">
        <v>4.8</v>
      </c>
      <c r="P18" s="494">
        <v>22.5</v>
      </c>
      <c r="Q18" s="494">
        <v>28.44</v>
      </c>
      <c r="R18" s="494">
        <v>39.700000000000003</v>
      </c>
      <c r="S18" s="494">
        <v>48.06</v>
      </c>
      <c r="T18" s="494">
        <v>69.8</v>
      </c>
      <c r="U18" s="491">
        <v>46790</v>
      </c>
      <c r="V18" s="491">
        <v>59150</v>
      </c>
      <c r="W18" s="491">
        <v>82580</v>
      </c>
      <c r="X18" s="491">
        <v>99970</v>
      </c>
      <c r="Y18" s="491">
        <v>145180</v>
      </c>
      <c r="Z18" s="490"/>
      <c r="AA18" s="490"/>
    </row>
    <row r="19" spans="1:27" x14ac:dyDescent="0.25">
      <c r="A19" s="373" t="s">
        <v>196</v>
      </c>
      <c r="B19" s="374">
        <f t="shared" si="1"/>
        <v>31.83</v>
      </c>
      <c r="C19" s="383">
        <f t="shared" si="1"/>
        <v>37.36</v>
      </c>
      <c r="D19" s="384">
        <f t="shared" si="1"/>
        <v>45.63</v>
      </c>
      <c r="G19" s="489" t="s">
        <v>419</v>
      </c>
      <c r="H19" s="490" t="s">
        <v>399</v>
      </c>
      <c r="I19" s="491">
        <v>570</v>
      </c>
      <c r="J19" s="492">
        <v>8.9</v>
      </c>
      <c r="K19" s="493">
        <v>3.2069999999999999</v>
      </c>
      <c r="L19" s="494">
        <v>1.8</v>
      </c>
      <c r="M19" s="494">
        <v>63.99</v>
      </c>
      <c r="N19" s="491">
        <v>133100</v>
      </c>
      <c r="O19" s="492">
        <v>3.7</v>
      </c>
      <c r="P19" s="494">
        <v>36.58</v>
      </c>
      <c r="Q19" s="494">
        <v>46.57</v>
      </c>
      <c r="R19" s="494">
        <v>59.07</v>
      </c>
      <c r="S19" s="494">
        <v>81.349999999999994</v>
      </c>
      <c r="T19" s="494">
        <v>96.23</v>
      </c>
      <c r="U19" s="491">
        <v>76080</v>
      </c>
      <c r="V19" s="491">
        <v>96880</v>
      </c>
      <c r="W19" s="491">
        <v>122870</v>
      </c>
      <c r="X19" s="491">
        <v>169200</v>
      </c>
      <c r="Y19" s="491">
        <v>200160</v>
      </c>
      <c r="Z19" s="490"/>
      <c r="AA19" s="490"/>
    </row>
    <row r="20" spans="1:27" x14ac:dyDescent="0.25">
      <c r="A20" s="373" t="s">
        <v>197</v>
      </c>
      <c r="B20" s="374" t="str">
        <f t="shared" si="1"/>
        <v>*</v>
      </c>
      <c r="C20" s="383" t="str">
        <f t="shared" si="1"/>
        <v>*</v>
      </c>
      <c r="D20" s="384" t="str">
        <f t="shared" si="1"/>
        <v>*</v>
      </c>
      <c r="G20" s="489" t="s">
        <v>420</v>
      </c>
      <c r="H20" s="490" t="s">
        <v>399</v>
      </c>
      <c r="I20" s="491">
        <v>40</v>
      </c>
      <c r="J20" s="492">
        <v>41.7</v>
      </c>
      <c r="K20" s="493">
        <v>0.22</v>
      </c>
      <c r="L20" s="494">
        <v>0.64</v>
      </c>
      <c r="M20" s="494">
        <v>31.77</v>
      </c>
      <c r="N20" s="491">
        <v>66090</v>
      </c>
      <c r="O20" s="492">
        <v>9</v>
      </c>
      <c r="P20" s="494">
        <v>19.649999999999999</v>
      </c>
      <c r="Q20" s="494">
        <v>25.03</v>
      </c>
      <c r="R20" s="494">
        <v>31.83</v>
      </c>
      <c r="S20" s="494">
        <v>37.36</v>
      </c>
      <c r="T20" s="494">
        <v>45.63</v>
      </c>
      <c r="U20" s="491">
        <v>40870</v>
      </c>
      <c r="V20" s="491">
        <v>52070</v>
      </c>
      <c r="W20" s="491">
        <v>66210</v>
      </c>
      <c r="X20" s="491">
        <v>77700</v>
      </c>
      <c r="Y20" s="491">
        <v>94900</v>
      </c>
      <c r="Z20" s="490"/>
      <c r="AA20" s="490"/>
    </row>
    <row r="21" spans="1:27" x14ac:dyDescent="0.25">
      <c r="A21" s="373" t="s">
        <v>198</v>
      </c>
      <c r="B21" s="374">
        <f t="shared" si="1"/>
        <v>49.25</v>
      </c>
      <c r="C21" s="383">
        <f t="shared" si="1"/>
        <v>73.33</v>
      </c>
      <c r="D21" s="384">
        <f t="shared" si="1"/>
        <v>91.51</v>
      </c>
      <c r="G21" s="489" t="s">
        <v>421</v>
      </c>
      <c r="H21" s="490" t="s">
        <v>399</v>
      </c>
      <c r="I21" s="491">
        <v>240</v>
      </c>
      <c r="J21" s="492">
        <v>1.3</v>
      </c>
      <c r="K21" s="493">
        <v>1.375</v>
      </c>
      <c r="L21" s="494">
        <v>0.79</v>
      </c>
      <c r="M21" s="494" t="s">
        <v>401</v>
      </c>
      <c r="N21" s="491">
        <v>118730</v>
      </c>
      <c r="O21" s="492">
        <v>2.2000000000000002</v>
      </c>
      <c r="P21" s="494" t="s">
        <v>401</v>
      </c>
      <c r="Q21" s="494" t="s">
        <v>401</v>
      </c>
      <c r="R21" s="494" t="s">
        <v>401</v>
      </c>
      <c r="S21" s="494" t="s">
        <v>401</v>
      </c>
      <c r="T21" s="494" t="s">
        <v>401</v>
      </c>
      <c r="U21" s="491">
        <v>98300</v>
      </c>
      <c r="V21" s="491">
        <v>110210</v>
      </c>
      <c r="W21" s="491">
        <v>120080</v>
      </c>
      <c r="X21" s="491">
        <v>130110</v>
      </c>
      <c r="Y21" s="491">
        <v>147040</v>
      </c>
      <c r="Z21" s="490" t="s">
        <v>402</v>
      </c>
      <c r="AA21" s="490"/>
    </row>
    <row r="22" spans="1:27" x14ac:dyDescent="0.25">
      <c r="A22" s="373" t="s">
        <v>199</v>
      </c>
      <c r="B22" s="374">
        <f t="shared" si="1"/>
        <v>46.33</v>
      </c>
      <c r="C22" s="383">
        <f t="shared" si="1"/>
        <v>55.98</v>
      </c>
      <c r="D22" s="384">
        <f t="shared" si="1"/>
        <v>67.94</v>
      </c>
      <c r="G22" s="489" t="s">
        <v>422</v>
      </c>
      <c r="H22" s="490" t="s">
        <v>399</v>
      </c>
      <c r="I22" s="491">
        <v>90</v>
      </c>
      <c r="J22" s="492">
        <v>36.4</v>
      </c>
      <c r="K22" s="493">
        <v>0.53600000000000003</v>
      </c>
      <c r="L22" s="494">
        <v>0.54</v>
      </c>
      <c r="M22" s="494">
        <v>57.41</v>
      </c>
      <c r="N22" s="491">
        <v>119420</v>
      </c>
      <c r="O22" s="492">
        <v>6.3</v>
      </c>
      <c r="P22" s="494">
        <v>33.71</v>
      </c>
      <c r="Q22" s="494">
        <v>38.47</v>
      </c>
      <c r="R22" s="494">
        <v>49.25</v>
      </c>
      <c r="S22" s="494">
        <v>73.33</v>
      </c>
      <c r="T22" s="494">
        <v>91.51</v>
      </c>
      <c r="U22" s="491">
        <v>70110</v>
      </c>
      <c r="V22" s="491">
        <v>80020</v>
      </c>
      <c r="W22" s="491">
        <v>102430</v>
      </c>
      <c r="X22" s="491">
        <v>152520</v>
      </c>
      <c r="Y22" s="491">
        <v>190340</v>
      </c>
      <c r="Z22" s="490"/>
      <c r="AA22" s="490"/>
    </row>
    <row r="23" spans="1:27" x14ac:dyDescent="0.25">
      <c r="A23" s="373" t="s">
        <v>200</v>
      </c>
      <c r="B23" s="374">
        <f t="shared" si="1"/>
        <v>68.12</v>
      </c>
      <c r="C23" s="383">
        <f t="shared" si="1"/>
        <v>91.59</v>
      </c>
      <c r="D23" s="384" t="str">
        <f t="shared" si="1"/>
        <v>#</v>
      </c>
      <c r="G23" s="489" t="s">
        <v>423</v>
      </c>
      <c r="H23" s="490" t="s">
        <v>399</v>
      </c>
      <c r="I23" s="491">
        <v>70</v>
      </c>
      <c r="J23" s="492">
        <v>12.8</v>
      </c>
      <c r="K23" s="493">
        <v>0.40200000000000002</v>
      </c>
      <c r="L23" s="494">
        <v>1.65</v>
      </c>
      <c r="M23" s="494">
        <v>44.43</v>
      </c>
      <c r="N23" s="491">
        <v>92410</v>
      </c>
      <c r="O23" s="492">
        <v>5.2</v>
      </c>
      <c r="P23" s="494">
        <v>21.07</v>
      </c>
      <c r="Q23" s="494">
        <v>31.66</v>
      </c>
      <c r="R23" s="494">
        <v>46.33</v>
      </c>
      <c r="S23" s="494">
        <v>55.98</v>
      </c>
      <c r="T23" s="494">
        <v>67.94</v>
      </c>
      <c r="U23" s="491">
        <v>43820</v>
      </c>
      <c r="V23" s="491">
        <v>65860</v>
      </c>
      <c r="W23" s="491">
        <v>96370</v>
      </c>
      <c r="X23" s="491">
        <v>116430</v>
      </c>
      <c r="Y23" s="491">
        <v>141320</v>
      </c>
      <c r="Z23" s="490"/>
      <c r="AA23" s="490"/>
    </row>
    <row r="24" spans="1:27" x14ac:dyDescent="0.25">
      <c r="A24" s="373" t="s">
        <v>201</v>
      </c>
      <c r="B24" s="374">
        <f t="shared" si="1"/>
        <v>26.12</v>
      </c>
      <c r="C24" s="383">
        <f t="shared" si="1"/>
        <v>32.590000000000003</v>
      </c>
      <c r="D24" s="384">
        <f t="shared" si="1"/>
        <v>39.21</v>
      </c>
      <c r="G24" s="489" t="s">
        <v>424</v>
      </c>
      <c r="H24" s="490" t="s">
        <v>399</v>
      </c>
      <c r="I24" s="491">
        <v>270</v>
      </c>
      <c r="J24" s="492">
        <v>10.9</v>
      </c>
      <c r="K24" s="493">
        <v>1.5149999999999999</v>
      </c>
      <c r="L24" s="494">
        <v>1.19</v>
      </c>
      <c r="M24" s="494">
        <v>77.03</v>
      </c>
      <c r="N24" s="491">
        <v>160230</v>
      </c>
      <c r="O24" s="492">
        <v>4.9000000000000004</v>
      </c>
      <c r="P24" s="494">
        <v>46.37</v>
      </c>
      <c r="Q24" s="494">
        <v>55.91</v>
      </c>
      <c r="R24" s="494">
        <v>68.12</v>
      </c>
      <c r="S24" s="494">
        <v>91.59</v>
      </c>
      <c r="T24" s="494" t="s">
        <v>400</v>
      </c>
      <c r="U24" s="491">
        <v>96440</v>
      </c>
      <c r="V24" s="491">
        <v>116300</v>
      </c>
      <c r="W24" s="491">
        <v>141680</v>
      </c>
      <c r="X24" s="491">
        <v>190500</v>
      </c>
      <c r="Y24" s="491" t="s">
        <v>400</v>
      </c>
      <c r="Z24" s="490"/>
      <c r="AA24" s="490"/>
    </row>
    <row r="25" spans="1:27" ht="15.75" customHeight="1" x14ac:dyDescent="0.25">
      <c r="A25" s="373" t="s">
        <v>202</v>
      </c>
      <c r="B25" s="374">
        <f t="shared" si="1"/>
        <v>28.97</v>
      </c>
      <c r="C25" s="383">
        <f t="shared" si="1"/>
        <v>42.52</v>
      </c>
      <c r="D25" s="384">
        <f t="shared" si="1"/>
        <v>48.36</v>
      </c>
      <c r="G25" s="489" t="s">
        <v>425</v>
      </c>
      <c r="H25" s="490" t="s">
        <v>399</v>
      </c>
      <c r="I25" s="491">
        <v>210</v>
      </c>
      <c r="J25" s="492">
        <v>15.3</v>
      </c>
      <c r="K25" s="493">
        <v>1.212</v>
      </c>
      <c r="L25" s="494">
        <v>0.84</v>
      </c>
      <c r="M25" s="494">
        <v>27.67</v>
      </c>
      <c r="N25" s="491">
        <v>57550</v>
      </c>
      <c r="O25" s="492">
        <v>4.7</v>
      </c>
      <c r="P25" s="494">
        <v>19.29</v>
      </c>
      <c r="Q25" s="494">
        <v>21.63</v>
      </c>
      <c r="R25" s="494">
        <v>26.12</v>
      </c>
      <c r="S25" s="494">
        <v>32.590000000000003</v>
      </c>
      <c r="T25" s="494">
        <v>39.21</v>
      </c>
      <c r="U25" s="491">
        <v>40120</v>
      </c>
      <c r="V25" s="491">
        <v>44990</v>
      </c>
      <c r="W25" s="491">
        <v>54330</v>
      </c>
      <c r="X25" s="491">
        <v>67780</v>
      </c>
      <c r="Y25" s="491">
        <v>81550</v>
      </c>
      <c r="Z25" s="490"/>
      <c r="AA25" s="490"/>
    </row>
    <row r="26" spans="1:27" ht="12.75" customHeight="1" x14ac:dyDescent="0.25">
      <c r="A26" s="501" t="str">
        <f ca="1">"Source: " &amp; PROPER(B31&amp;", ")&amp;B32 &amp; ", retrieved " &amp; MONTH(TODAY()) &amp; "/" &amp; YEAR(TODAY())</f>
        <v>Source: Department Of Labor, Occupational Employment Statistics, 5/2014, retrieved 9/2017</v>
      </c>
      <c r="B26" s="501"/>
      <c r="C26" s="501"/>
      <c r="D26" s="501"/>
      <c r="G26" s="489" t="s">
        <v>426</v>
      </c>
      <c r="H26" s="490" t="s">
        <v>399</v>
      </c>
      <c r="I26" s="491">
        <v>50</v>
      </c>
      <c r="J26" s="492">
        <v>20.5</v>
      </c>
      <c r="K26" s="493">
        <v>0.30499999999999999</v>
      </c>
      <c r="L26" s="494">
        <v>1.21</v>
      </c>
      <c r="M26" s="494">
        <v>33.93</v>
      </c>
      <c r="N26" s="491">
        <v>70560</v>
      </c>
      <c r="O26" s="492">
        <v>8.5</v>
      </c>
      <c r="P26" s="494">
        <v>20.13</v>
      </c>
      <c r="Q26" s="494">
        <v>22.25</v>
      </c>
      <c r="R26" s="494">
        <v>28.97</v>
      </c>
      <c r="S26" s="494">
        <v>42.52</v>
      </c>
      <c r="T26" s="494">
        <v>48.36</v>
      </c>
      <c r="U26" s="491">
        <v>41870</v>
      </c>
      <c r="V26" s="491">
        <v>46280</v>
      </c>
      <c r="W26" s="491">
        <v>60260</v>
      </c>
      <c r="X26" s="491">
        <v>88450</v>
      </c>
      <c r="Y26" s="491">
        <v>100590</v>
      </c>
      <c r="Z26" s="490"/>
      <c r="AA26" s="490"/>
    </row>
    <row r="27" spans="1:27" x14ac:dyDescent="0.25">
      <c r="G27" s="489" t="s">
        <v>427</v>
      </c>
      <c r="H27" s="490" t="s">
        <v>399</v>
      </c>
      <c r="I27" s="491">
        <v>460</v>
      </c>
      <c r="J27" s="492">
        <v>12.4</v>
      </c>
      <c r="K27" s="493">
        <v>2.6379999999999999</v>
      </c>
      <c r="L27" s="494">
        <v>1.1200000000000001</v>
      </c>
      <c r="M27" s="494">
        <v>63.08</v>
      </c>
      <c r="N27" s="491">
        <v>131210</v>
      </c>
      <c r="O27" s="492">
        <v>6.1</v>
      </c>
      <c r="P27" s="494">
        <v>28.64</v>
      </c>
      <c r="Q27" s="494">
        <v>35.83</v>
      </c>
      <c r="R27" s="494">
        <v>47.62</v>
      </c>
      <c r="S27" s="494">
        <v>77.17</v>
      </c>
      <c r="T27" s="494" t="s">
        <v>400</v>
      </c>
      <c r="U27" s="491">
        <v>59580</v>
      </c>
      <c r="V27" s="491">
        <v>74520</v>
      </c>
      <c r="W27" s="491">
        <v>99050</v>
      </c>
      <c r="X27" s="491">
        <v>160510</v>
      </c>
      <c r="Y27" s="491" t="s">
        <v>400</v>
      </c>
      <c r="Z27" s="490"/>
      <c r="AA27" s="490"/>
    </row>
    <row r="28" spans="1:27" x14ac:dyDescent="0.25">
      <c r="G28" s="489" t="s">
        <v>428</v>
      </c>
      <c r="H28" s="490" t="s">
        <v>399</v>
      </c>
      <c r="I28" s="491">
        <v>250</v>
      </c>
      <c r="J28" s="492">
        <v>1.3</v>
      </c>
      <c r="K28" s="493">
        <v>1.427</v>
      </c>
      <c r="L28" s="494">
        <v>3.66</v>
      </c>
      <c r="M28" s="494">
        <v>50.73</v>
      </c>
      <c r="N28" s="491">
        <v>105510</v>
      </c>
      <c r="O28" s="492">
        <v>4.0999999999999996</v>
      </c>
      <c r="P28" s="494">
        <v>37.869999999999997</v>
      </c>
      <c r="Q28" s="494">
        <v>42.35</v>
      </c>
      <c r="R28" s="494">
        <v>48.88</v>
      </c>
      <c r="S28" s="494">
        <v>54.81</v>
      </c>
      <c r="T28" s="494">
        <v>64.77</v>
      </c>
      <c r="U28" s="491">
        <v>78770</v>
      </c>
      <c r="V28" s="491">
        <v>88100</v>
      </c>
      <c r="W28" s="491">
        <v>101660</v>
      </c>
      <c r="X28" s="491">
        <v>114000</v>
      </c>
      <c r="Y28" s="491">
        <v>134720</v>
      </c>
      <c r="Z28" s="490"/>
      <c r="AA28" s="490"/>
    </row>
    <row r="29" spans="1:27" x14ac:dyDescent="0.25">
      <c r="A29" s="386" t="s">
        <v>205</v>
      </c>
      <c r="B29" s="502" t="e">
        <f>SMA_Name</f>
        <v>#REF!</v>
      </c>
      <c r="C29" s="503"/>
      <c r="D29" s="503"/>
      <c r="E29" s="504"/>
      <c r="G29" s="489" t="s">
        <v>429</v>
      </c>
      <c r="H29" s="490" t="s">
        <v>399</v>
      </c>
      <c r="I29" s="491">
        <v>230</v>
      </c>
      <c r="J29" s="492">
        <v>16.100000000000001</v>
      </c>
      <c r="K29" s="493">
        <v>1.3169999999999999</v>
      </c>
      <c r="L29" s="494">
        <v>1.03</v>
      </c>
      <c r="M29" s="494">
        <v>31.36</v>
      </c>
      <c r="N29" s="491">
        <v>65230</v>
      </c>
      <c r="O29" s="492">
        <v>7</v>
      </c>
      <c r="P29" s="494">
        <v>16.16</v>
      </c>
      <c r="Q29" s="494">
        <v>19.2</v>
      </c>
      <c r="R29" s="494">
        <v>23.18</v>
      </c>
      <c r="S29" s="494">
        <v>41.46</v>
      </c>
      <c r="T29" s="494">
        <v>56.78</v>
      </c>
      <c r="U29" s="491">
        <v>33620</v>
      </c>
      <c r="V29" s="491">
        <v>39940</v>
      </c>
      <c r="W29" s="491">
        <v>48220</v>
      </c>
      <c r="X29" s="491">
        <v>86230</v>
      </c>
      <c r="Y29" s="491">
        <v>118100</v>
      </c>
      <c r="Z29" s="490"/>
      <c r="AA29" s="490"/>
    </row>
    <row r="30" spans="1:27" x14ac:dyDescent="0.25">
      <c r="A30" s="386" t="s">
        <v>206</v>
      </c>
      <c r="B30" s="483" t="s">
        <v>374</v>
      </c>
      <c r="C30" s="484"/>
      <c r="D30" s="484"/>
      <c r="E30" s="485"/>
      <c r="G30" s="489" t="s">
        <v>430</v>
      </c>
      <c r="H30" s="490" t="s">
        <v>399</v>
      </c>
      <c r="I30" s="491">
        <v>140</v>
      </c>
      <c r="J30" s="492">
        <v>11.1</v>
      </c>
      <c r="K30" s="493">
        <v>0.82</v>
      </c>
      <c r="L30" s="494">
        <v>0.91</v>
      </c>
      <c r="M30" s="494">
        <v>38.06</v>
      </c>
      <c r="N30" s="491">
        <v>79170</v>
      </c>
      <c r="O30" s="492">
        <v>3</v>
      </c>
      <c r="P30" s="494">
        <v>21.8</v>
      </c>
      <c r="Q30" s="494">
        <v>26.21</v>
      </c>
      <c r="R30" s="494">
        <v>35.31</v>
      </c>
      <c r="S30" s="494">
        <v>47.75</v>
      </c>
      <c r="T30" s="494">
        <v>58.14</v>
      </c>
      <c r="U30" s="491">
        <v>45350</v>
      </c>
      <c r="V30" s="491">
        <v>54510</v>
      </c>
      <c r="W30" s="491">
        <v>73450</v>
      </c>
      <c r="X30" s="491">
        <v>99310</v>
      </c>
      <c r="Y30" s="491">
        <v>120920</v>
      </c>
      <c r="Z30" s="490"/>
      <c r="AA30" s="490"/>
    </row>
    <row r="31" spans="1:27" x14ac:dyDescent="0.25">
      <c r="A31" s="386" t="s">
        <v>207</v>
      </c>
      <c r="B31" s="486" t="s">
        <v>208</v>
      </c>
      <c r="C31" s="487"/>
      <c r="D31" s="487"/>
      <c r="E31" s="488"/>
      <c r="G31" s="489" t="s">
        <v>431</v>
      </c>
      <c r="H31" s="490" t="s">
        <v>399</v>
      </c>
      <c r="I31" s="491">
        <v>50</v>
      </c>
      <c r="J31" s="492">
        <v>3.3</v>
      </c>
      <c r="K31" s="493">
        <v>0.25600000000000001</v>
      </c>
      <c r="L31" s="494">
        <v>3.75</v>
      </c>
      <c r="M31" s="494">
        <v>37.79</v>
      </c>
      <c r="N31" s="491">
        <v>78610</v>
      </c>
      <c r="O31" s="492">
        <v>6.1</v>
      </c>
      <c r="P31" s="494">
        <v>24.15</v>
      </c>
      <c r="Q31" s="494">
        <v>27.8</v>
      </c>
      <c r="R31" s="494">
        <v>32.15</v>
      </c>
      <c r="S31" s="494">
        <v>35.700000000000003</v>
      </c>
      <c r="T31" s="494">
        <v>67.23</v>
      </c>
      <c r="U31" s="491">
        <v>50230</v>
      </c>
      <c r="V31" s="491">
        <v>57830</v>
      </c>
      <c r="W31" s="491">
        <v>66860</v>
      </c>
      <c r="X31" s="491">
        <v>74250</v>
      </c>
      <c r="Y31" s="491">
        <v>139830</v>
      </c>
      <c r="Z31" s="490"/>
      <c r="AA31" s="490"/>
    </row>
    <row r="32" spans="1:27" x14ac:dyDescent="0.25">
      <c r="A32" s="386" t="s">
        <v>38</v>
      </c>
      <c r="B32" s="483" t="s">
        <v>375</v>
      </c>
      <c r="C32" s="484"/>
      <c r="D32" s="484"/>
      <c r="E32" s="485"/>
      <c r="G32" s="489" t="s">
        <v>432</v>
      </c>
      <c r="H32" s="490" t="s">
        <v>399</v>
      </c>
      <c r="I32" s="491">
        <v>940</v>
      </c>
      <c r="J32" s="492">
        <v>7.5</v>
      </c>
      <c r="K32" s="493">
        <v>5.3159999999999998</v>
      </c>
      <c r="L32" s="494">
        <v>1.85</v>
      </c>
      <c r="M32" s="494">
        <v>55.22</v>
      </c>
      <c r="N32" s="491">
        <v>114850</v>
      </c>
      <c r="O32" s="492">
        <v>2.7</v>
      </c>
      <c r="P32" s="494">
        <v>30.15</v>
      </c>
      <c r="Q32" s="494">
        <v>39.33</v>
      </c>
      <c r="R32" s="494">
        <v>51.76</v>
      </c>
      <c r="S32" s="494">
        <v>66.94</v>
      </c>
      <c r="T32" s="494">
        <v>88.87</v>
      </c>
      <c r="U32" s="491">
        <v>62700</v>
      </c>
      <c r="V32" s="491">
        <v>81800</v>
      </c>
      <c r="W32" s="491">
        <v>107670</v>
      </c>
      <c r="X32" s="491">
        <v>139230</v>
      </c>
      <c r="Y32" s="491">
        <v>184840</v>
      </c>
      <c r="Z32" s="490"/>
      <c r="AA32" s="490"/>
    </row>
    <row r="33" spans="7:27" x14ac:dyDescent="0.25">
      <c r="G33" s="489" t="s">
        <v>182</v>
      </c>
      <c r="H33" s="490" t="s">
        <v>398</v>
      </c>
      <c r="I33" s="491">
        <v>9190</v>
      </c>
      <c r="J33" s="492">
        <v>2.5</v>
      </c>
      <c r="K33" s="493">
        <v>52.143999999999998</v>
      </c>
      <c r="L33" s="494">
        <v>1.01</v>
      </c>
      <c r="M33" s="494">
        <v>37.51</v>
      </c>
      <c r="N33" s="491">
        <v>78020</v>
      </c>
      <c r="O33" s="492">
        <v>1.9</v>
      </c>
      <c r="P33" s="494">
        <v>20.81</v>
      </c>
      <c r="Q33" s="494">
        <v>26.82</v>
      </c>
      <c r="R33" s="494">
        <v>35.18</v>
      </c>
      <c r="S33" s="494">
        <v>46.09</v>
      </c>
      <c r="T33" s="494">
        <v>57.81</v>
      </c>
      <c r="U33" s="491">
        <v>43290</v>
      </c>
      <c r="V33" s="491">
        <v>55780</v>
      </c>
      <c r="W33" s="491">
        <v>73180</v>
      </c>
      <c r="X33" s="491">
        <v>95860</v>
      </c>
      <c r="Y33" s="491">
        <v>120240</v>
      </c>
      <c r="Z33" s="490"/>
      <c r="AA33" s="490"/>
    </row>
    <row r="34" spans="7:27" x14ac:dyDescent="0.25">
      <c r="G34" s="489" t="s">
        <v>433</v>
      </c>
      <c r="H34" s="490" t="s">
        <v>399</v>
      </c>
      <c r="I34" s="491">
        <v>190</v>
      </c>
      <c r="J34" s="492">
        <v>18.5</v>
      </c>
      <c r="K34" s="493">
        <v>1.081</v>
      </c>
      <c r="L34" s="494">
        <v>1.39</v>
      </c>
      <c r="M34" s="494">
        <v>29.51</v>
      </c>
      <c r="N34" s="491">
        <v>61380</v>
      </c>
      <c r="O34" s="492">
        <v>6.5</v>
      </c>
      <c r="P34" s="494">
        <v>14.44</v>
      </c>
      <c r="Q34" s="494">
        <v>21.4</v>
      </c>
      <c r="R34" s="494">
        <v>27.63</v>
      </c>
      <c r="S34" s="494">
        <v>36.57</v>
      </c>
      <c r="T34" s="494">
        <v>47.65</v>
      </c>
      <c r="U34" s="491">
        <v>30040</v>
      </c>
      <c r="V34" s="491">
        <v>44510</v>
      </c>
      <c r="W34" s="491">
        <v>57460</v>
      </c>
      <c r="X34" s="491">
        <v>76060</v>
      </c>
      <c r="Y34" s="491">
        <v>99110</v>
      </c>
      <c r="Z34" s="490"/>
      <c r="AA34" s="490"/>
    </row>
    <row r="35" spans="7:27" x14ac:dyDescent="0.25">
      <c r="G35" s="489" t="s">
        <v>434</v>
      </c>
      <c r="H35" s="490" t="s">
        <v>399</v>
      </c>
      <c r="I35" s="491">
        <v>390</v>
      </c>
      <c r="J35" s="492">
        <v>6.6</v>
      </c>
      <c r="K35" s="493">
        <v>2.2370000000000001</v>
      </c>
      <c r="L35" s="494">
        <v>1.06</v>
      </c>
      <c r="M35" s="494">
        <v>36.74</v>
      </c>
      <c r="N35" s="491">
        <v>76420</v>
      </c>
      <c r="O35" s="492">
        <v>3.2</v>
      </c>
      <c r="P35" s="494">
        <v>22.61</v>
      </c>
      <c r="Q35" s="494">
        <v>27.74</v>
      </c>
      <c r="R35" s="494">
        <v>35.94</v>
      </c>
      <c r="S35" s="494">
        <v>45.3</v>
      </c>
      <c r="T35" s="494">
        <v>54.16</v>
      </c>
      <c r="U35" s="491">
        <v>47040</v>
      </c>
      <c r="V35" s="491">
        <v>57690</v>
      </c>
      <c r="W35" s="491">
        <v>74750</v>
      </c>
      <c r="X35" s="491">
        <v>94220</v>
      </c>
      <c r="Y35" s="491">
        <v>112660</v>
      </c>
      <c r="Z35" s="490"/>
      <c r="AA35" s="490"/>
    </row>
    <row r="36" spans="7:27" x14ac:dyDescent="0.25">
      <c r="G36" s="489" t="s">
        <v>435</v>
      </c>
      <c r="H36" s="490" t="s">
        <v>399</v>
      </c>
      <c r="I36" s="491">
        <v>250</v>
      </c>
      <c r="J36" s="492">
        <v>29.3</v>
      </c>
      <c r="K36" s="493">
        <v>1.4019999999999999</v>
      </c>
      <c r="L36" s="494">
        <v>0.72</v>
      </c>
      <c r="M36" s="494">
        <v>35.74</v>
      </c>
      <c r="N36" s="491">
        <v>74340</v>
      </c>
      <c r="O36" s="492">
        <v>2.4</v>
      </c>
      <c r="P36" s="494">
        <v>24.37</v>
      </c>
      <c r="Q36" s="494">
        <v>28.2</v>
      </c>
      <c r="R36" s="494">
        <v>35.130000000000003</v>
      </c>
      <c r="S36" s="494">
        <v>42.7</v>
      </c>
      <c r="T36" s="494">
        <v>48.99</v>
      </c>
      <c r="U36" s="491">
        <v>50700</v>
      </c>
      <c r="V36" s="491">
        <v>58660</v>
      </c>
      <c r="W36" s="491">
        <v>73070</v>
      </c>
      <c r="X36" s="491">
        <v>88810</v>
      </c>
      <c r="Y36" s="491">
        <v>101900</v>
      </c>
      <c r="Z36" s="490"/>
      <c r="AA36" s="490"/>
    </row>
    <row r="37" spans="7:27" x14ac:dyDescent="0.25">
      <c r="G37" s="489" t="s">
        <v>436</v>
      </c>
      <c r="H37" s="490" t="s">
        <v>399</v>
      </c>
      <c r="I37" s="491">
        <v>440</v>
      </c>
      <c r="J37" s="492">
        <v>3.3</v>
      </c>
      <c r="K37" s="493">
        <v>2.5230000000000001</v>
      </c>
      <c r="L37" s="494">
        <v>1.29</v>
      </c>
      <c r="M37" s="494">
        <v>36.03</v>
      </c>
      <c r="N37" s="491">
        <v>74940</v>
      </c>
      <c r="O37" s="492">
        <v>3.8</v>
      </c>
      <c r="P37" s="494">
        <v>22.63</v>
      </c>
      <c r="Q37" s="494">
        <v>27.81</v>
      </c>
      <c r="R37" s="494">
        <v>35.33</v>
      </c>
      <c r="S37" s="494">
        <v>42.53</v>
      </c>
      <c r="T37" s="494">
        <v>50.36</v>
      </c>
      <c r="U37" s="491">
        <v>47060</v>
      </c>
      <c r="V37" s="491">
        <v>57840</v>
      </c>
      <c r="W37" s="491">
        <v>73490</v>
      </c>
      <c r="X37" s="491">
        <v>88460</v>
      </c>
      <c r="Y37" s="491">
        <v>104750</v>
      </c>
      <c r="Z37" s="490"/>
      <c r="AA37" s="490"/>
    </row>
    <row r="38" spans="7:27" x14ac:dyDescent="0.25">
      <c r="G38" s="489" t="s">
        <v>437</v>
      </c>
      <c r="H38" s="490" t="s">
        <v>399</v>
      </c>
      <c r="I38" s="491">
        <v>190</v>
      </c>
      <c r="J38" s="492">
        <v>16</v>
      </c>
      <c r="K38" s="493">
        <v>1.0840000000000001</v>
      </c>
      <c r="L38" s="494">
        <v>0.71</v>
      </c>
      <c r="M38" s="494">
        <v>44.98</v>
      </c>
      <c r="N38" s="491">
        <v>93560</v>
      </c>
      <c r="O38" s="492">
        <v>4.2</v>
      </c>
      <c r="P38" s="494">
        <v>25.63</v>
      </c>
      <c r="Q38" s="494">
        <v>31.39</v>
      </c>
      <c r="R38" s="494">
        <v>45.38</v>
      </c>
      <c r="S38" s="494">
        <v>56.71</v>
      </c>
      <c r="T38" s="494">
        <v>63.13</v>
      </c>
      <c r="U38" s="491">
        <v>53310</v>
      </c>
      <c r="V38" s="491">
        <v>65290</v>
      </c>
      <c r="W38" s="491">
        <v>94390</v>
      </c>
      <c r="X38" s="491">
        <v>117950</v>
      </c>
      <c r="Y38" s="491">
        <v>131320</v>
      </c>
      <c r="Z38" s="490"/>
      <c r="AA38" s="490"/>
    </row>
    <row r="39" spans="7:27" x14ac:dyDescent="0.25">
      <c r="G39" s="489" t="s">
        <v>438</v>
      </c>
      <c r="H39" s="490" t="s">
        <v>399</v>
      </c>
      <c r="I39" s="491">
        <v>590</v>
      </c>
      <c r="J39" s="492">
        <v>4.5999999999999996</v>
      </c>
      <c r="K39" s="493">
        <v>3.3370000000000002</v>
      </c>
      <c r="L39" s="494">
        <v>0.89</v>
      </c>
      <c r="M39" s="494">
        <v>32.65</v>
      </c>
      <c r="N39" s="491">
        <v>67920</v>
      </c>
      <c r="O39" s="492">
        <v>3</v>
      </c>
      <c r="P39" s="494">
        <v>19.420000000000002</v>
      </c>
      <c r="Q39" s="494">
        <v>24.93</v>
      </c>
      <c r="R39" s="494">
        <v>30.03</v>
      </c>
      <c r="S39" s="494">
        <v>39.11</v>
      </c>
      <c r="T39" s="494">
        <v>48.57</v>
      </c>
      <c r="U39" s="491">
        <v>40400</v>
      </c>
      <c r="V39" s="491">
        <v>51850</v>
      </c>
      <c r="W39" s="491">
        <v>62460</v>
      </c>
      <c r="X39" s="491">
        <v>81350</v>
      </c>
      <c r="Y39" s="491">
        <v>101030</v>
      </c>
      <c r="Z39" s="490"/>
      <c r="AA39" s="490"/>
    </row>
    <row r="40" spans="7:27" x14ac:dyDescent="0.25">
      <c r="G40" s="489" t="s">
        <v>439</v>
      </c>
      <c r="H40" s="490" t="s">
        <v>399</v>
      </c>
      <c r="I40" s="491">
        <v>130</v>
      </c>
      <c r="J40" s="492">
        <v>23.7</v>
      </c>
      <c r="K40" s="493">
        <v>0.747</v>
      </c>
      <c r="L40" s="494">
        <v>1.32</v>
      </c>
      <c r="M40" s="494">
        <v>44.54</v>
      </c>
      <c r="N40" s="491">
        <v>92630</v>
      </c>
      <c r="O40" s="492">
        <v>7.2</v>
      </c>
      <c r="P40" s="494">
        <v>29.96</v>
      </c>
      <c r="Q40" s="494">
        <v>33.69</v>
      </c>
      <c r="R40" s="494">
        <v>42.53</v>
      </c>
      <c r="S40" s="494">
        <v>57</v>
      </c>
      <c r="T40" s="494">
        <v>62.62</v>
      </c>
      <c r="U40" s="491">
        <v>62310</v>
      </c>
      <c r="V40" s="491">
        <v>70070</v>
      </c>
      <c r="W40" s="491">
        <v>88460</v>
      </c>
      <c r="X40" s="491">
        <v>118550</v>
      </c>
      <c r="Y40" s="491">
        <v>130250</v>
      </c>
      <c r="Z40" s="490"/>
      <c r="AA40" s="490"/>
    </row>
    <row r="41" spans="7:27" x14ac:dyDescent="0.25">
      <c r="G41" s="489" t="s">
        <v>440</v>
      </c>
      <c r="H41" s="490" t="s">
        <v>399</v>
      </c>
      <c r="I41" s="491">
        <v>220</v>
      </c>
      <c r="J41" s="492">
        <v>13.4</v>
      </c>
      <c r="K41" s="493">
        <v>1.2310000000000001</v>
      </c>
      <c r="L41" s="494">
        <v>1.18</v>
      </c>
      <c r="M41" s="494">
        <v>42.28</v>
      </c>
      <c r="N41" s="491">
        <v>87940</v>
      </c>
      <c r="O41" s="492">
        <v>2.2999999999999998</v>
      </c>
      <c r="P41" s="494">
        <v>29.25</v>
      </c>
      <c r="Q41" s="494">
        <v>33.5</v>
      </c>
      <c r="R41" s="494">
        <v>39.49</v>
      </c>
      <c r="S41" s="494">
        <v>50.36</v>
      </c>
      <c r="T41" s="494">
        <v>59.95</v>
      </c>
      <c r="U41" s="491">
        <v>60830</v>
      </c>
      <c r="V41" s="491">
        <v>69680</v>
      </c>
      <c r="W41" s="491">
        <v>82130</v>
      </c>
      <c r="X41" s="491">
        <v>104750</v>
      </c>
      <c r="Y41" s="491">
        <v>124690</v>
      </c>
      <c r="Z41" s="490"/>
      <c r="AA41" s="490"/>
    </row>
    <row r="42" spans="7:27" x14ac:dyDescent="0.25">
      <c r="G42" s="489" t="s">
        <v>441</v>
      </c>
      <c r="H42" s="490" t="s">
        <v>399</v>
      </c>
      <c r="I42" s="491">
        <v>470</v>
      </c>
      <c r="J42" s="492">
        <v>11.6</v>
      </c>
      <c r="K42" s="493">
        <v>2.6930000000000001</v>
      </c>
      <c r="L42" s="494">
        <v>0.59</v>
      </c>
      <c r="M42" s="494">
        <v>41.74</v>
      </c>
      <c r="N42" s="491">
        <v>86830</v>
      </c>
      <c r="O42" s="492">
        <v>2.5</v>
      </c>
      <c r="P42" s="494">
        <v>26.3</v>
      </c>
      <c r="Q42" s="494">
        <v>31.45</v>
      </c>
      <c r="R42" s="494">
        <v>40.25</v>
      </c>
      <c r="S42" s="494">
        <v>48.21</v>
      </c>
      <c r="T42" s="494">
        <v>58.68</v>
      </c>
      <c r="U42" s="491">
        <v>54710</v>
      </c>
      <c r="V42" s="491">
        <v>65420</v>
      </c>
      <c r="W42" s="491">
        <v>83730</v>
      </c>
      <c r="X42" s="491">
        <v>100280</v>
      </c>
      <c r="Y42" s="491">
        <v>122050</v>
      </c>
      <c r="Z42" s="490"/>
      <c r="AA42" s="490"/>
    </row>
    <row r="43" spans="7:27" x14ac:dyDescent="0.25">
      <c r="G43" s="489" t="s">
        <v>442</v>
      </c>
      <c r="H43" s="490" t="s">
        <v>399</v>
      </c>
      <c r="I43" s="491">
        <v>80</v>
      </c>
      <c r="J43" s="492">
        <v>32.200000000000003</v>
      </c>
      <c r="K43" s="493">
        <v>0.439</v>
      </c>
      <c r="L43" s="494">
        <v>0.64</v>
      </c>
      <c r="M43" s="494">
        <v>27.28</v>
      </c>
      <c r="N43" s="491">
        <v>56740</v>
      </c>
      <c r="O43" s="492">
        <v>9.4</v>
      </c>
      <c r="P43" s="494">
        <v>19.88</v>
      </c>
      <c r="Q43" s="494">
        <v>21.37</v>
      </c>
      <c r="R43" s="494">
        <v>23.82</v>
      </c>
      <c r="S43" s="494">
        <v>28.09</v>
      </c>
      <c r="T43" s="494">
        <v>52.09</v>
      </c>
      <c r="U43" s="491">
        <v>41350</v>
      </c>
      <c r="V43" s="491">
        <v>44440</v>
      </c>
      <c r="W43" s="491">
        <v>49550</v>
      </c>
      <c r="X43" s="491">
        <v>58420</v>
      </c>
      <c r="Y43" s="491">
        <v>108340</v>
      </c>
      <c r="Z43" s="490"/>
      <c r="AA43" s="490"/>
    </row>
    <row r="44" spans="7:27" x14ac:dyDescent="0.25">
      <c r="G44" s="489" t="s">
        <v>443</v>
      </c>
      <c r="H44" s="490" t="s">
        <v>399</v>
      </c>
      <c r="I44" s="491">
        <v>50</v>
      </c>
      <c r="J44" s="492">
        <v>22.8</v>
      </c>
      <c r="K44" s="493">
        <v>0.25700000000000001</v>
      </c>
      <c r="L44" s="494">
        <v>0.52</v>
      </c>
      <c r="M44" s="494">
        <v>27.95</v>
      </c>
      <c r="N44" s="491">
        <v>58130</v>
      </c>
      <c r="O44" s="492">
        <v>3.5</v>
      </c>
      <c r="P44" s="494">
        <v>21.57</v>
      </c>
      <c r="Q44" s="494">
        <v>24.57</v>
      </c>
      <c r="R44" s="494">
        <v>27.31</v>
      </c>
      <c r="S44" s="494">
        <v>30.04</v>
      </c>
      <c r="T44" s="494">
        <v>36.130000000000003</v>
      </c>
      <c r="U44" s="491">
        <v>44860</v>
      </c>
      <c r="V44" s="491">
        <v>51100</v>
      </c>
      <c r="W44" s="491">
        <v>56800</v>
      </c>
      <c r="X44" s="491">
        <v>62480</v>
      </c>
      <c r="Y44" s="491">
        <v>75140</v>
      </c>
      <c r="Z44" s="490"/>
      <c r="AA44" s="490"/>
    </row>
    <row r="45" spans="7:27" x14ac:dyDescent="0.25">
      <c r="G45" s="489" t="s">
        <v>444</v>
      </c>
      <c r="H45" s="490" t="s">
        <v>399</v>
      </c>
      <c r="I45" s="491">
        <v>80</v>
      </c>
      <c r="J45" s="492">
        <v>32.200000000000003</v>
      </c>
      <c r="K45" s="493">
        <v>0.47299999999999998</v>
      </c>
      <c r="L45" s="494">
        <v>0.84</v>
      </c>
      <c r="M45" s="494">
        <v>35.47</v>
      </c>
      <c r="N45" s="491">
        <v>73770</v>
      </c>
      <c r="O45" s="492">
        <v>5.4</v>
      </c>
      <c r="P45" s="494">
        <v>21.37</v>
      </c>
      <c r="Q45" s="494">
        <v>25.6</v>
      </c>
      <c r="R45" s="494">
        <v>32.6</v>
      </c>
      <c r="S45" s="494">
        <v>44.79</v>
      </c>
      <c r="T45" s="494">
        <v>54.04</v>
      </c>
      <c r="U45" s="491">
        <v>44440</v>
      </c>
      <c r="V45" s="491">
        <v>53240</v>
      </c>
      <c r="W45" s="491">
        <v>67800</v>
      </c>
      <c r="X45" s="491">
        <v>93160</v>
      </c>
      <c r="Y45" s="491">
        <v>112400</v>
      </c>
      <c r="Z45" s="490"/>
      <c r="AA45" s="490"/>
    </row>
    <row r="46" spans="7:27" x14ac:dyDescent="0.25">
      <c r="G46" s="489" t="s">
        <v>445</v>
      </c>
      <c r="H46" s="490" t="s">
        <v>399</v>
      </c>
      <c r="I46" s="491">
        <v>350</v>
      </c>
      <c r="J46" s="492">
        <v>16</v>
      </c>
      <c r="K46" s="493">
        <v>1.9990000000000001</v>
      </c>
      <c r="L46" s="494">
        <v>0.5</v>
      </c>
      <c r="M46" s="494">
        <v>32.229999999999997</v>
      </c>
      <c r="N46" s="491">
        <v>67040</v>
      </c>
      <c r="O46" s="492">
        <v>3.4</v>
      </c>
      <c r="P46" s="494">
        <v>17.5</v>
      </c>
      <c r="Q46" s="494">
        <v>23.24</v>
      </c>
      <c r="R46" s="494">
        <v>31.49</v>
      </c>
      <c r="S46" s="494">
        <v>39.74</v>
      </c>
      <c r="T46" s="494">
        <v>50.65</v>
      </c>
      <c r="U46" s="491">
        <v>36400</v>
      </c>
      <c r="V46" s="491">
        <v>48330</v>
      </c>
      <c r="W46" s="491">
        <v>65500</v>
      </c>
      <c r="X46" s="491">
        <v>82660</v>
      </c>
      <c r="Y46" s="491">
        <v>105340</v>
      </c>
      <c r="Z46" s="490"/>
      <c r="AA46" s="490"/>
    </row>
    <row r="47" spans="7:27" x14ac:dyDescent="0.25">
      <c r="G47" s="489" t="s">
        <v>446</v>
      </c>
      <c r="H47" s="490" t="s">
        <v>399</v>
      </c>
      <c r="I47" s="491">
        <v>1770</v>
      </c>
      <c r="J47" s="492">
        <v>3.3</v>
      </c>
      <c r="K47" s="493">
        <v>10.032</v>
      </c>
      <c r="L47" s="494">
        <v>1.47</v>
      </c>
      <c r="M47" s="494">
        <v>38.01</v>
      </c>
      <c r="N47" s="491">
        <v>79070</v>
      </c>
      <c r="O47" s="492">
        <v>2.1</v>
      </c>
      <c r="P47" s="494">
        <v>23.19</v>
      </c>
      <c r="Q47" s="494">
        <v>28.87</v>
      </c>
      <c r="R47" s="494">
        <v>35.950000000000003</v>
      </c>
      <c r="S47" s="494">
        <v>44.85</v>
      </c>
      <c r="T47" s="494">
        <v>57</v>
      </c>
      <c r="U47" s="491">
        <v>48240</v>
      </c>
      <c r="V47" s="491">
        <v>60060</v>
      </c>
      <c r="W47" s="491">
        <v>74770</v>
      </c>
      <c r="X47" s="491">
        <v>93280</v>
      </c>
      <c r="Y47" s="491">
        <v>118560</v>
      </c>
      <c r="Z47" s="490"/>
      <c r="AA47" s="490"/>
    </row>
    <row r="48" spans="7:27" x14ac:dyDescent="0.25">
      <c r="G48" s="489" t="s">
        <v>447</v>
      </c>
      <c r="H48" s="490" t="s">
        <v>399</v>
      </c>
      <c r="I48" s="491">
        <v>1320</v>
      </c>
      <c r="J48" s="492">
        <v>4.8</v>
      </c>
      <c r="K48" s="493">
        <v>7.4770000000000003</v>
      </c>
      <c r="L48" s="494">
        <v>0.84</v>
      </c>
      <c r="M48" s="494">
        <v>38.869999999999997</v>
      </c>
      <c r="N48" s="491">
        <v>80850</v>
      </c>
      <c r="O48" s="492">
        <v>2.1</v>
      </c>
      <c r="P48" s="494">
        <v>24.99</v>
      </c>
      <c r="Q48" s="494">
        <v>29.04</v>
      </c>
      <c r="R48" s="494">
        <v>36.03</v>
      </c>
      <c r="S48" s="494">
        <v>46.06</v>
      </c>
      <c r="T48" s="494">
        <v>58.05</v>
      </c>
      <c r="U48" s="491">
        <v>51970</v>
      </c>
      <c r="V48" s="491">
        <v>60400</v>
      </c>
      <c r="W48" s="491">
        <v>74940</v>
      </c>
      <c r="X48" s="491">
        <v>95800</v>
      </c>
      <c r="Y48" s="491">
        <v>120740</v>
      </c>
      <c r="Z48" s="490"/>
      <c r="AA48" s="490"/>
    </row>
    <row r="49" spans="7:27" x14ac:dyDescent="0.25">
      <c r="G49" s="489" t="s">
        <v>448</v>
      </c>
      <c r="H49" s="490" t="s">
        <v>399</v>
      </c>
      <c r="I49" s="491">
        <v>70</v>
      </c>
      <c r="J49" s="492">
        <v>18.7</v>
      </c>
      <c r="K49" s="493">
        <v>0.40600000000000003</v>
      </c>
      <c r="L49" s="494">
        <v>0.94</v>
      </c>
      <c r="M49" s="494">
        <v>38.119999999999997</v>
      </c>
      <c r="N49" s="491">
        <v>79290</v>
      </c>
      <c r="O49" s="492">
        <v>4.5999999999999996</v>
      </c>
      <c r="P49" s="494">
        <v>21.74</v>
      </c>
      <c r="Q49" s="494">
        <v>29.1</v>
      </c>
      <c r="R49" s="494">
        <v>39.64</v>
      </c>
      <c r="S49" s="494">
        <v>47.11</v>
      </c>
      <c r="T49" s="494">
        <v>54.8</v>
      </c>
      <c r="U49" s="491">
        <v>45210</v>
      </c>
      <c r="V49" s="491">
        <v>60530</v>
      </c>
      <c r="W49" s="491">
        <v>82450</v>
      </c>
      <c r="X49" s="491">
        <v>97990</v>
      </c>
      <c r="Y49" s="491">
        <v>113990</v>
      </c>
      <c r="Z49" s="490"/>
      <c r="AA49" s="490"/>
    </row>
    <row r="50" spans="7:27" x14ac:dyDescent="0.25">
      <c r="G50" s="489" t="s">
        <v>449</v>
      </c>
      <c r="H50" s="490" t="s">
        <v>399</v>
      </c>
      <c r="I50" s="491">
        <v>130</v>
      </c>
      <c r="J50" s="492">
        <v>3</v>
      </c>
      <c r="K50" s="493">
        <v>0.73</v>
      </c>
      <c r="L50" s="494">
        <v>1.87</v>
      </c>
      <c r="M50" s="494">
        <v>37.71</v>
      </c>
      <c r="N50" s="491">
        <v>78430</v>
      </c>
      <c r="O50" s="492">
        <v>2.2999999999999998</v>
      </c>
      <c r="P50" s="494">
        <v>26.63</v>
      </c>
      <c r="Q50" s="494">
        <v>31.17</v>
      </c>
      <c r="R50" s="494">
        <v>35.57</v>
      </c>
      <c r="S50" s="494">
        <v>43.6</v>
      </c>
      <c r="T50" s="494">
        <v>50.36</v>
      </c>
      <c r="U50" s="491">
        <v>55380</v>
      </c>
      <c r="V50" s="491">
        <v>64840</v>
      </c>
      <c r="W50" s="491">
        <v>73980</v>
      </c>
      <c r="X50" s="491">
        <v>90680</v>
      </c>
      <c r="Y50" s="491">
        <v>104750</v>
      </c>
      <c r="Z50" s="490"/>
      <c r="AA50" s="490"/>
    </row>
    <row r="51" spans="7:27" x14ac:dyDescent="0.25">
      <c r="G51" s="489" t="s">
        <v>450</v>
      </c>
      <c r="H51" s="490" t="s">
        <v>399</v>
      </c>
      <c r="I51" s="491">
        <v>280</v>
      </c>
      <c r="J51" s="492">
        <v>9.5</v>
      </c>
      <c r="K51" s="493">
        <v>1.5940000000000001</v>
      </c>
      <c r="L51" s="494">
        <v>0.79</v>
      </c>
      <c r="M51" s="494">
        <v>44.16</v>
      </c>
      <c r="N51" s="491">
        <v>91860</v>
      </c>
      <c r="O51" s="492">
        <v>4.3</v>
      </c>
      <c r="P51" s="494">
        <v>23.32</v>
      </c>
      <c r="Q51" s="494">
        <v>31.93</v>
      </c>
      <c r="R51" s="494">
        <v>40.93</v>
      </c>
      <c r="S51" s="494">
        <v>54.5</v>
      </c>
      <c r="T51" s="494">
        <v>64.040000000000006</v>
      </c>
      <c r="U51" s="491">
        <v>48510</v>
      </c>
      <c r="V51" s="491">
        <v>66420</v>
      </c>
      <c r="W51" s="491">
        <v>85130</v>
      </c>
      <c r="X51" s="491">
        <v>113350</v>
      </c>
      <c r="Y51" s="491">
        <v>133190</v>
      </c>
      <c r="Z51" s="490"/>
      <c r="AA51" s="490"/>
    </row>
    <row r="52" spans="7:27" x14ac:dyDescent="0.25">
      <c r="G52" s="489" t="s">
        <v>451</v>
      </c>
      <c r="H52" s="490" t="s">
        <v>399</v>
      </c>
      <c r="I52" s="491">
        <v>100</v>
      </c>
      <c r="J52" s="492">
        <v>30.9</v>
      </c>
      <c r="K52" s="493">
        <v>0.55300000000000005</v>
      </c>
      <c r="L52" s="494">
        <v>0.38</v>
      </c>
      <c r="M52" s="494">
        <v>46.46</v>
      </c>
      <c r="N52" s="491">
        <v>96640</v>
      </c>
      <c r="O52" s="492">
        <v>15.5</v>
      </c>
      <c r="P52" s="494">
        <v>19.579999999999998</v>
      </c>
      <c r="Q52" s="494">
        <v>25.82</v>
      </c>
      <c r="R52" s="494">
        <v>33.29</v>
      </c>
      <c r="S52" s="494">
        <v>69.67</v>
      </c>
      <c r="T52" s="494">
        <v>79.37</v>
      </c>
      <c r="U52" s="491">
        <v>40720</v>
      </c>
      <c r="V52" s="491">
        <v>53700</v>
      </c>
      <c r="W52" s="491">
        <v>69240</v>
      </c>
      <c r="X52" s="491">
        <v>144920</v>
      </c>
      <c r="Y52" s="491">
        <v>165080</v>
      </c>
      <c r="Z52" s="490"/>
      <c r="AA52" s="490"/>
    </row>
    <row r="53" spans="7:27" x14ac:dyDescent="0.25">
      <c r="G53" s="489" t="s">
        <v>452</v>
      </c>
      <c r="H53" s="490" t="s">
        <v>399</v>
      </c>
      <c r="I53" s="491">
        <v>100</v>
      </c>
      <c r="J53" s="492">
        <v>14.6</v>
      </c>
      <c r="K53" s="493">
        <v>0.58299999999999996</v>
      </c>
      <c r="L53" s="494">
        <v>0.89</v>
      </c>
      <c r="M53" s="494">
        <v>28.02</v>
      </c>
      <c r="N53" s="491">
        <v>58270</v>
      </c>
      <c r="O53" s="492">
        <v>9.4</v>
      </c>
      <c r="P53" s="494">
        <v>13.98</v>
      </c>
      <c r="Q53" s="494">
        <v>16.260000000000002</v>
      </c>
      <c r="R53" s="494">
        <v>22.36</v>
      </c>
      <c r="S53" s="494">
        <v>40.270000000000003</v>
      </c>
      <c r="T53" s="494">
        <v>48.69</v>
      </c>
      <c r="U53" s="491">
        <v>29070</v>
      </c>
      <c r="V53" s="491">
        <v>33820</v>
      </c>
      <c r="W53" s="491">
        <v>46510</v>
      </c>
      <c r="X53" s="491">
        <v>83770</v>
      </c>
      <c r="Y53" s="491">
        <v>101280</v>
      </c>
      <c r="Z53" s="490"/>
      <c r="AA53" s="490"/>
    </row>
    <row r="54" spans="7:27" x14ac:dyDescent="0.25">
      <c r="G54" s="489" t="s">
        <v>453</v>
      </c>
      <c r="H54" s="490" t="s">
        <v>399</v>
      </c>
      <c r="I54" s="491">
        <v>70</v>
      </c>
      <c r="J54" s="492">
        <v>17.399999999999999</v>
      </c>
      <c r="K54" s="493">
        <v>0.41799999999999998</v>
      </c>
      <c r="L54" s="494">
        <v>1.18</v>
      </c>
      <c r="M54" s="494">
        <v>29.54</v>
      </c>
      <c r="N54" s="491">
        <v>61430</v>
      </c>
      <c r="O54" s="492">
        <v>5.4</v>
      </c>
      <c r="P54" s="494">
        <v>14.88</v>
      </c>
      <c r="Q54" s="494">
        <v>22.97</v>
      </c>
      <c r="R54" s="494">
        <v>28.98</v>
      </c>
      <c r="S54" s="494">
        <v>37.229999999999997</v>
      </c>
      <c r="T54" s="494">
        <v>42.3</v>
      </c>
      <c r="U54" s="491">
        <v>30940</v>
      </c>
      <c r="V54" s="491">
        <v>47780</v>
      </c>
      <c r="W54" s="491">
        <v>60290</v>
      </c>
      <c r="X54" s="491">
        <v>77430</v>
      </c>
      <c r="Y54" s="491">
        <v>87990</v>
      </c>
      <c r="Z54" s="490"/>
      <c r="AA54" s="490"/>
    </row>
    <row r="55" spans="7:27" x14ac:dyDescent="0.25">
      <c r="G55" s="489" t="s">
        <v>454</v>
      </c>
      <c r="H55" s="490" t="s">
        <v>399</v>
      </c>
      <c r="I55" s="491">
        <v>590</v>
      </c>
      <c r="J55" s="492">
        <v>12.2</v>
      </c>
      <c r="K55" s="493">
        <v>3.3210000000000002</v>
      </c>
      <c r="L55" s="494">
        <v>1.53</v>
      </c>
      <c r="M55" s="494">
        <v>36.880000000000003</v>
      </c>
      <c r="N55" s="491">
        <v>76710</v>
      </c>
      <c r="O55" s="492">
        <v>11</v>
      </c>
      <c r="P55" s="494">
        <v>19</v>
      </c>
      <c r="Q55" s="494">
        <v>21.67</v>
      </c>
      <c r="R55" s="494">
        <v>28.36</v>
      </c>
      <c r="S55" s="494">
        <v>41.59</v>
      </c>
      <c r="T55" s="494">
        <v>66.89</v>
      </c>
      <c r="U55" s="491">
        <v>39520</v>
      </c>
      <c r="V55" s="491">
        <v>45070</v>
      </c>
      <c r="W55" s="491">
        <v>58990</v>
      </c>
      <c r="X55" s="491">
        <v>86510</v>
      </c>
      <c r="Y55" s="491">
        <v>139120</v>
      </c>
      <c r="Z55" s="490"/>
      <c r="AA55" s="490"/>
    </row>
    <row r="56" spans="7:27" x14ac:dyDescent="0.25">
      <c r="G56" s="489" t="s">
        <v>455</v>
      </c>
      <c r="H56" s="490" t="s">
        <v>399</v>
      </c>
      <c r="I56" s="491">
        <v>60</v>
      </c>
      <c r="J56" s="492">
        <v>0</v>
      </c>
      <c r="K56" s="493">
        <v>0.33</v>
      </c>
      <c r="L56" s="494">
        <v>0.79</v>
      </c>
      <c r="M56" s="494">
        <v>44.3</v>
      </c>
      <c r="N56" s="491">
        <v>92150</v>
      </c>
      <c r="O56" s="492">
        <v>1.8</v>
      </c>
      <c r="P56" s="494">
        <v>28.79</v>
      </c>
      <c r="Q56" s="494">
        <v>34.36</v>
      </c>
      <c r="R56" s="494">
        <v>41.62</v>
      </c>
      <c r="S56" s="494">
        <v>53.33</v>
      </c>
      <c r="T56" s="494">
        <v>57.77</v>
      </c>
      <c r="U56" s="491">
        <v>59890</v>
      </c>
      <c r="V56" s="491">
        <v>71470</v>
      </c>
      <c r="W56" s="491">
        <v>86580</v>
      </c>
      <c r="X56" s="491">
        <v>110920</v>
      </c>
      <c r="Y56" s="491">
        <v>120160</v>
      </c>
      <c r="Z56" s="490"/>
      <c r="AA56" s="490"/>
    </row>
    <row r="57" spans="7:27" x14ac:dyDescent="0.25">
      <c r="G57" s="489" t="s">
        <v>456</v>
      </c>
      <c r="H57" s="490" t="s">
        <v>399</v>
      </c>
      <c r="I57" s="491">
        <v>170</v>
      </c>
      <c r="J57" s="492">
        <v>29.1</v>
      </c>
      <c r="K57" s="493">
        <v>0.97799999999999998</v>
      </c>
      <c r="L57" s="494">
        <v>1.96</v>
      </c>
      <c r="M57" s="494">
        <v>25.24</v>
      </c>
      <c r="N57" s="491">
        <v>52490</v>
      </c>
      <c r="O57" s="492">
        <v>14.9</v>
      </c>
      <c r="P57" s="494">
        <v>13.63</v>
      </c>
      <c r="Q57" s="494">
        <v>16.739999999999998</v>
      </c>
      <c r="R57" s="494">
        <v>22.62</v>
      </c>
      <c r="S57" s="494">
        <v>33.549999999999997</v>
      </c>
      <c r="T57" s="494">
        <v>42.24</v>
      </c>
      <c r="U57" s="491">
        <v>28350</v>
      </c>
      <c r="V57" s="491">
        <v>34820</v>
      </c>
      <c r="W57" s="491">
        <v>47040</v>
      </c>
      <c r="X57" s="491">
        <v>69780</v>
      </c>
      <c r="Y57" s="491">
        <v>87850</v>
      </c>
      <c r="Z57" s="490"/>
      <c r="AA57" s="490"/>
    </row>
    <row r="58" spans="7:27" x14ac:dyDescent="0.25">
      <c r="G58" s="489" t="s">
        <v>457</v>
      </c>
      <c r="H58" s="490" t="s">
        <v>399</v>
      </c>
      <c r="I58" s="491">
        <v>290</v>
      </c>
      <c r="J58" s="492">
        <v>21.5</v>
      </c>
      <c r="K58" s="493">
        <v>1.6319999999999999</v>
      </c>
      <c r="L58" s="494">
        <v>1.86</v>
      </c>
      <c r="M58" s="494">
        <v>32.54</v>
      </c>
      <c r="N58" s="491">
        <v>67680</v>
      </c>
      <c r="O58" s="492">
        <v>8.6999999999999993</v>
      </c>
      <c r="P58" s="494">
        <v>14.25</v>
      </c>
      <c r="Q58" s="494">
        <v>19.43</v>
      </c>
      <c r="R58" s="494">
        <v>28.02</v>
      </c>
      <c r="S58" s="494">
        <v>41.11</v>
      </c>
      <c r="T58" s="494">
        <v>56.32</v>
      </c>
      <c r="U58" s="491">
        <v>29630</v>
      </c>
      <c r="V58" s="491">
        <v>40410</v>
      </c>
      <c r="W58" s="491">
        <v>58270</v>
      </c>
      <c r="X58" s="491">
        <v>85500</v>
      </c>
      <c r="Y58" s="491">
        <v>117140</v>
      </c>
      <c r="Z58" s="490"/>
      <c r="AA58" s="490"/>
    </row>
    <row r="59" spans="7:27" x14ac:dyDescent="0.25">
      <c r="G59" s="489" t="s">
        <v>183</v>
      </c>
      <c r="H59" s="490" t="s">
        <v>398</v>
      </c>
      <c r="I59" s="491">
        <v>3370</v>
      </c>
      <c r="J59" s="492">
        <v>4.8</v>
      </c>
      <c r="K59" s="493">
        <v>19.105</v>
      </c>
      <c r="L59" s="494">
        <v>0.64</v>
      </c>
      <c r="M59" s="494">
        <v>41.42</v>
      </c>
      <c r="N59" s="491">
        <v>86160</v>
      </c>
      <c r="O59" s="492">
        <v>3.3</v>
      </c>
      <c r="P59" s="494">
        <v>21.66</v>
      </c>
      <c r="Q59" s="494">
        <v>28.42</v>
      </c>
      <c r="R59" s="494">
        <v>37.97</v>
      </c>
      <c r="S59" s="494">
        <v>48.06</v>
      </c>
      <c r="T59" s="494">
        <v>63.47</v>
      </c>
      <c r="U59" s="491">
        <v>45050</v>
      </c>
      <c r="V59" s="491">
        <v>59120</v>
      </c>
      <c r="W59" s="491">
        <v>78980</v>
      </c>
      <c r="X59" s="491">
        <v>99960</v>
      </c>
      <c r="Y59" s="491">
        <v>132020</v>
      </c>
      <c r="Z59" s="490"/>
      <c r="AA59" s="490"/>
    </row>
    <row r="60" spans="7:27" x14ac:dyDescent="0.25">
      <c r="G60" s="489" t="s">
        <v>458</v>
      </c>
      <c r="H60" s="490" t="s">
        <v>399</v>
      </c>
      <c r="I60" s="491">
        <v>460</v>
      </c>
      <c r="J60" s="492">
        <v>10.4</v>
      </c>
      <c r="K60" s="493">
        <v>2.601</v>
      </c>
      <c r="L60" s="494">
        <v>0.64</v>
      </c>
      <c r="M60" s="494">
        <v>39.26</v>
      </c>
      <c r="N60" s="491">
        <v>81660</v>
      </c>
      <c r="O60" s="492">
        <v>3.4</v>
      </c>
      <c r="P60" s="494">
        <v>24.98</v>
      </c>
      <c r="Q60" s="494">
        <v>31.51</v>
      </c>
      <c r="R60" s="494">
        <v>39.57</v>
      </c>
      <c r="S60" s="494">
        <v>46.84</v>
      </c>
      <c r="T60" s="494">
        <v>55.19</v>
      </c>
      <c r="U60" s="491">
        <v>51960</v>
      </c>
      <c r="V60" s="491">
        <v>65530</v>
      </c>
      <c r="W60" s="491">
        <v>82300</v>
      </c>
      <c r="X60" s="491">
        <v>97430</v>
      </c>
      <c r="Y60" s="491">
        <v>114800</v>
      </c>
      <c r="Z60" s="490"/>
      <c r="AA60" s="490"/>
    </row>
    <row r="61" spans="7:27" x14ac:dyDescent="0.25">
      <c r="G61" s="489" t="s">
        <v>459</v>
      </c>
      <c r="H61" s="490" t="s">
        <v>399</v>
      </c>
      <c r="I61" s="491">
        <v>70</v>
      </c>
      <c r="J61" s="492">
        <v>40.700000000000003</v>
      </c>
      <c r="K61" s="493">
        <v>0.38</v>
      </c>
      <c r="L61" s="494">
        <v>0.55000000000000004</v>
      </c>
      <c r="M61" s="494">
        <v>42.36</v>
      </c>
      <c r="N61" s="491">
        <v>88120</v>
      </c>
      <c r="O61" s="492">
        <v>3.3</v>
      </c>
      <c r="P61" s="494">
        <v>22.52</v>
      </c>
      <c r="Q61" s="494">
        <v>34.729999999999997</v>
      </c>
      <c r="R61" s="494">
        <v>42.9</v>
      </c>
      <c r="S61" s="494">
        <v>48.33</v>
      </c>
      <c r="T61" s="494">
        <v>60.64</v>
      </c>
      <c r="U61" s="491">
        <v>46840</v>
      </c>
      <c r="V61" s="491">
        <v>72230</v>
      </c>
      <c r="W61" s="491">
        <v>89240</v>
      </c>
      <c r="X61" s="491">
        <v>100540</v>
      </c>
      <c r="Y61" s="491">
        <v>126130</v>
      </c>
      <c r="Z61" s="490"/>
      <c r="AA61" s="490"/>
    </row>
    <row r="62" spans="7:27" x14ac:dyDescent="0.25">
      <c r="G62" s="489" t="s">
        <v>460</v>
      </c>
      <c r="H62" s="490" t="s">
        <v>399</v>
      </c>
      <c r="I62" s="491">
        <v>330</v>
      </c>
      <c r="J62" s="492">
        <v>11.2</v>
      </c>
      <c r="K62" s="493">
        <v>1.88</v>
      </c>
      <c r="L62" s="494">
        <v>0.97</v>
      </c>
      <c r="M62" s="494">
        <v>45.91</v>
      </c>
      <c r="N62" s="491">
        <v>95500</v>
      </c>
      <c r="O62" s="492">
        <v>8.5</v>
      </c>
      <c r="P62" s="494">
        <v>24.61</v>
      </c>
      <c r="Q62" s="494">
        <v>31.9</v>
      </c>
      <c r="R62" s="494">
        <v>40.619999999999997</v>
      </c>
      <c r="S62" s="494">
        <v>48.82</v>
      </c>
      <c r="T62" s="494">
        <v>62.24</v>
      </c>
      <c r="U62" s="491">
        <v>51190</v>
      </c>
      <c r="V62" s="491">
        <v>66350</v>
      </c>
      <c r="W62" s="491">
        <v>84480</v>
      </c>
      <c r="X62" s="491">
        <v>101550</v>
      </c>
      <c r="Y62" s="491">
        <v>129460</v>
      </c>
      <c r="Z62" s="490"/>
      <c r="AA62" s="490"/>
    </row>
    <row r="63" spans="7:27" x14ac:dyDescent="0.25">
      <c r="G63" s="489" t="s">
        <v>461</v>
      </c>
      <c r="H63" s="490" t="s">
        <v>399</v>
      </c>
      <c r="I63" s="491">
        <v>290</v>
      </c>
      <c r="J63" s="492">
        <v>28.1</v>
      </c>
      <c r="K63" s="493">
        <v>1.645</v>
      </c>
      <c r="L63" s="494">
        <v>0.28999999999999998</v>
      </c>
      <c r="M63" s="494" t="s">
        <v>401</v>
      </c>
      <c r="N63" s="491" t="s">
        <v>401</v>
      </c>
      <c r="O63" s="492" t="s">
        <v>401</v>
      </c>
      <c r="P63" s="494" t="s">
        <v>401</v>
      </c>
      <c r="Q63" s="494" t="s">
        <v>401</v>
      </c>
      <c r="R63" s="494" t="s">
        <v>401</v>
      </c>
      <c r="S63" s="494" t="s">
        <v>401</v>
      </c>
      <c r="T63" s="494" t="s">
        <v>401</v>
      </c>
      <c r="U63" s="491" t="s">
        <v>401</v>
      </c>
      <c r="V63" s="491" t="s">
        <v>401</v>
      </c>
      <c r="W63" s="491" t="s">
        <v>401</v>
      </c>
      <c r="X63" s="491" t="s">
        <v>401</v>
      </c>
      <c r="Y63" s="491" t="s">
        <v>401</v>
      </c>
      <c r="Z63" s="490"/>
      <c r="AA63" s="490"/>
    </row>
    <row r="64" spans="7:27" x14ac:dyDescent="0.25">
      <c r="G64" s="489" t="s">
        <v>462</v>
      </c>
      <c r="H64" s="490" t="s">
        <v>399</v>
      </c>
      <c r="I64" s="491">
        <v>100</v>
      </c>
      <c r="J64" s="492">
        <v>31.9</v>
      </c>
      <c r="K64" s="493">
        <v>0.57599999999999996</v>
      </c>
      <c r="L64" s="494">
        <v>0.2</v>
      </c>
      <c r="M64" s="494" t="s">
        <v>401</v>
      </c>
      <c r="N64" s="491" t="s">
        <v>401</v>
      </c>
      <c r="O64" s="492" t="s">
        <v>401</v>
      </c>
      <c r="P64" s="494" t="s">
        <v>401</v>
      </c>
      <c r="Q64" s="494" t="s">
        <v>401</v>
      </c>
      <c r="R64" s="494" t="s">
        <v>401</v>
      </c>
      <c r="S64" s="494" t="s">
        <v>401</v>
      </c>
      <c r="T64" s="494" t="s">
        <v>401</v>
      </c>
      <c r="U64" s="491" t="s">
        <v>401</v>
      </c>
      <c r="V64" s="491" t="s">
        <v>401</v>
      </c>
      <c r="W64" s="491" t="s">
        <v>401</v>
      </c>
      <c r="X64" s="491" t="s">
        <v>401</v>
      </c>
      <c r="Y64" s="491" t="s">
        <v>401</v>
      </c>
      <c r="Z64" s="490"/>
      <c r="AA64" s="490"/>
    </row>
    <row r="65" spans="7:27" x14ac:dyDescent="0.25">
      <c r="G65" s="489" t="s">
        <v>463</v>
      </c>
      <c r="H65" s="490" t="s">
        <v>399</v>
      </c>
      <c r="I65" s="491">
        <v>70</v>
      </c>
      <c r="J65" s="492">
        <v>46.5</v>
      </c>
      <c r="K65" s="493">
        <v>0.376</v>
      </c>
      <c r="L65" s="494">
        <v>0.41</v>
      </c>
      <c r="M65" s="494">
        <v>26.71</v>
      </c>
      <c r="N65" s="491">
        <v>55550</v>
      </c>
      <c r="O65" s="492">
        <v>11.1</v>
      </c>
      <c r="P65" s="494">
        <v>15.78</v>
      </c>
      <c r="Q65" s="494">
        <v>17.45</v>
      </c>
      <c r="R65" s="494">
        <v>21.34</v>
      </c>
      <c r="S65" s="494">
        <v>32.450000000000003</v>
      </c>
      <c r="T65" s="494">
        <v>43.45</v>
      </c>
      <c r="U65" s="491">
        <v>32830</v>
      </c>
      <c r="V65" s="491">
        <v>36300</v>
      </c>
      <c r="W65" s="491">
        <v>44390</v>
      </c>
      <c r="X65" s="491">
        <v>67500</v>
      </c>
      <c r="Y65" s="491">
        <v>90370</v>
      </c>
      <c r="Z65" s="490"/>
      <c r="AA65" s="490"/>
    </row>
    <row r="66" spans="7:27" x14ac:dyDescent="0.25">
      <c r="G66" s="489" t="s">
        <v>464</v>
      </c>
      <c r="H66" s="490" t="s">
        <v>399</v>
      </c>
      <c r="I66" s="491">
        <v>120</v>
      </c>
      <c r="J66" s="492">
        <v>14.5</v>
      </c>
      <c r="K66" s="493">
        <v>0.65700000000000003</v>
      </c>
      <c r="L66" s="494">
        <v>0.81</v>
      </c>
      <c r="M66" s="494">
        <v>38.54</v>
      </c>
      <c r="N66" s="491">
        <v>80170</v>
      </c>
      <c r="O66" s="492">
        <v>5.5</v>
      </c>
      <c r="P66" s="494">
        <v>17.350000000000001</v>
      </c>
      <c r="Q66" s="494">
        <v>24.76</v>
      </c>
      <c r="R66" s="494">
        <v>34.96</v>
      </c>
      <c r="S66" s="494">
        <v>48.69</v>
      </c>
      <c r="T66" s="494">
        <v>60.95</v>
      </c>
      <c r="U66" s="491">
        <v>36080</v>
      </c>
      <c r="V66" s="491">
        <v>51500</v>
      </c>
      <c r="W66" s="491">
        <v>72710</v>
      </c>
      <c r="X66" s="491">
        <v>101270</v>
      </c>
      <c r="Y66" s="491">
        <v>126770</v>
      </c>
      <c r="Z66" s="490"/>
      <c r="AA66" s="490"/>
    </row>
    <row r="67" spans="7:27" x14ac:dyDescent="0.25">
      <c r="G67" s="489" t="s">
        <v>465</v>
      </c>
      <c r="H67" s="490" t="s">
        <v>399</v>
      </c>
      <c r="I67" s="491">
        <v>690</v>
      </c>
      <c r="J67" s="492">
        <v>9.6</v>
      </c>
      <c r="K67" s="493">
        <v>3.8929999999999998</v>
      </c>
      <c r="L67" s="494">
        <v>1.45</v>
      </c>
      <c r="M67" s="494">
        <v>41.54</v>
      </c>
      <c r="N67" s="491">
        <v>86400</v>
      </c>
      <c r="O67" s="492">
        <v>3.6</v>
      </c>
      <c r="P67" s="494">
        <v>26.74</v>
      </c>
      <c r="Q67" s="494">
        <v>31.9</v>
      </c>
      <c r="R67" s="494">
        <v>39.28</v>
      </c>
      <c r="S67" s="494">
        <v>48</v>
      </c>
      <c r="T67" s="494">
        <v>64.58</v>
      </c>
      <c r="U67" s="491">
        <v>55620</v>
      </c>
      <c r="V67" s="491">
        <v>66350</v>
      </c>
      <c r="W67" s="491">
        <v>81700</v>
      </c>
      <c r="X67" s="491">
        <v>99840</v>
      </c>
      <c r="Y67" s="491">
        <v>134320</v>
      </c>
      <c r="Z67" s="490"/>
      <c r="AA67" s="490"/>
    </row>
    <row r="68" spans="7:27" x14ac:dyDescent="0.25">
      <c r="G68" s="489" t="s">
        <v>466</v>
      </c>
      <c r="H68" s="490" t="s">
        <v>399</v>
      </c>
      <c r="I68" s="491">
        <v>40</v>
      </c>
      <c r="J68" s="492">
        <v>14.6</v>
      </c>
      <c r="K68" s="493">
        <v>0.246</v>
      </c>
      <c r="L68" s="494">
        <v>0.22</v>
      </c>
      <c r="M68" s="494">
        <v>60.27</v>
      </c>
      <c r="N68" s="491">
        <v>125360</v>
      </c>
      <c r="O68" s="492">
        <v>5.3</v>
      </c>
      <c r="P68" s="494">
        <v>41.75</v>
      </c>
      <c r="Q68" s="494">
        <v>50.78</v>
      </c>
      <c r="R68" s="494">
        <v>56.65</v>
      </c>
      <c r="S68" s="494">
        <v>62.34</v>
      </c>
      <c r="T68" s="494">
        <v>76.3</v>
      </c>
      <c r="U68" s="491">
        <v>86830</v>
      </c>
      <c r="V68" s="491">
        <v>105620</v>
      </c>
      <c r="W68" s="491">
        <v>117820</v>
      </c>
      <c r="X68" s="491">
        <v>129670</v>
      </c>
      <c r="Y68" s="491">
        <v>158700</v>
      </c>
      <c r="Z68" s="490"/>
      <c r="AA68" s="490"/>
    </row>
    <row r="69" spans="7:27" x14ac:dyDescent="0.25">
      <c r="G69" s="489" t="s">
        <v>467</v>
      </c>
      <c r="H69" s="490" t="s">
        <v>399</v>
      </c>
      <c r="I69" s="491">
        <v>530</v>
      </c>
      <c r="J69" s="492">
        <v>9.1999999999999993</v>
      </c>
      <c r="K69" s="493">
        <v>3.0049999999999999</v>
      </c>
      <c r="L69" s="494">
        <v>0.7</v>
      </c>
      <c r="M69" s="494">
        <v>27.47</v>
      </c>
      <c r="N69" s="491">
        <v>57130</v>
      </c>
      <c r="O69" s="492">
        <v>2.6</v>
      </c>
      <c r="P69" s="494">
        <v>16.920000000000002</v>
      </c>
      <c r="Q69" s="494">
        <v>21.79</v>
      </c>
      <c r="R69" s="494">
        <v>26.89</v>
      </c>
      <c r="S69" s="494">
        <v>31.75</v>
      </c>
      <c r="T69" s="494">
        <v>40.33</v>
      </c>
      <c r="U69" s="491">
        <v>35200</v>
      </c>
      <c r="V69" s="491">
        <v>45310</v>
      </c>
      <c r="W69" s="491">
        <v>55920</v>
      </c>
      <c r="X69" s="491">
        <v>66050</v>
      </c>
      <c r="Y69" s="491">
        <v>83890</v>
      </c>
      <c r="Z69" s="490"/>
      <c r="AA69" s="490"/>
    </row>
    <row r="70" spans="7:27" x14ac:dyDescent="0.25">
      <c r="G70" s="489" t="s">
        <v>468</v>
      </c>
      <c r="H70" s="490" t="s">
        <v>399</v>
      </c>
      <c r="I70" s="491">
        <v>220</v>
      </c>
      <c r="J70" s="492">
        <v>15.3</v>
      </c>
      <c r="K70" s="493">
        <v>1.272</v>
      </c>
      <c r="L70" s="494">
        <v>0.95</v>
      </c>
      <c r="M70" s="494">
        <v>33.07</v>
      </c>
      <c r="N70" s="491">
        <v>68790</v>
      </c>
      <c r="O70" s="492">
        <v>4.8</v>
      </c>
      <c r="P70" s="494">
        <v>18.850000000000001</v>
      </c>
      <c r="Q70" s="494">
        <v>22.49</v>
      </c>
      <c r="R70" s="494">
        <v>32.479999999999997</v>
      </c>
      <c r="S70" s="494">
        <v>42.86</v>
      </c>
      <c r="T70" s="494">
        <v>49.24</v>
      </c>
      <c r="U70" s="491">
        <v>39220</v>
      </c>
      <c r="V70" s="491">
        <v>46780</v>
      </c>
      <c r="W70" s="491">
        <v>67570</v>
      </c>
      <c r="X70" s="491">
        <v>89140</v>
      </c>
      <c r="Y70" s="491">
        <v>102430</v>
      </c>
      <c r="Z70" s="490"/>
      <c r="AA70" s="490"/>
    </row>
    <row r="71" spans="7:27" x14ac:dyDescent="0.25">
      <c r="G71" s="489" t="s">
        <v>469</v>
      </c>
      <c r="H71" s="490" t="s">
        <v>399</v>
      </c>
      <c r="I71" s="491">
        <v>300</v>
      </c>
      <c r="J71" s="492">
        <v>4</v>
      </c>
      <c r="K71" s="493">
        <v>1.73</v>
      </c>
      <c r="L71" s="494">
        <v>0.93</v>
      </c>
      <c r="M71" s="494">
        <v>43.89</v>
      </c>
      <c r="N71" s="491">
        <v>91280</v>
      </c>
      <c r="O71" s="492">
        <v>2.6</v>
      </c>
      <c r="P71" s="494">
        <v>30.51</v>
      </c>
      <c r="Q71" s="494">
        <v>37.770000000000003</v>
      </c>
      <c r="R71" s="494">
        <v>44.85</v>
      </c>
      <c r="S71" s="494">
        <v>51.09</v>
      </c>
      <c r="T71" s="494">
        <v>57.76</v>
      </c>
      <c r="U71" s="491">
        <v>63460</v>
      </c>
      <c r="V71" s="491">
        <v>78560</v>
      </c>
      <c r="W71" s="491">
        <v>93300</v>
      </c>
      <c r="X71" s="491">
        <v>106270</v>
      </c>
      <c r="Y71" s="491">
        <v>120140</v>
      </c>
      <c r="Z71" s="490"/>
      <c r="AA71" s="490"/>
    </row>
    <row r="72" spans="7:27" x14ac:dyDescent="0.25">
      <c r="G72" s="489" t="s">
        <v>470</v>
      </c>
      <c r="H72" s="490" t="s">
        <v>399</v>
      </c>
      <c r="I72" s="491">
        <v>80</v>
      </c>
      <c r="J72" s="492">
        <v>28</v>
      </c>
      <c r="K72" s="493">
        <v>0.437</v>
      </c>
      <c r="L72" s="494">
        <v>0.56000000000000005</v>
      </c>
      <c r="M72" s="494">
        <v>46.69</v>
      </c>
      <c r="N72" s="491">
        <v>97120</v>
      </c>
      <c r="O72" s="492">
        <v>10.6</v>
      </c>
      <c r="P72" s="494">
        <v>21.46</v>
      </c>
      <c r="Q72" s="494">
        <v>29.43</v>
      </c>
      <c r="R72" s="494">
        <v>36.18</v>
      </c>
      <c r="S72" s="494">
        <v>52.72</v>
      </c>
      <c r="T72" s="494">
        <v>81.77</v>
      </c>
      <c r="U72" s="491">
        <v>44650</v>
      </c>
      <c r="V72" s="491">
        <v>61220</v>
      </c>
      <c r="W72" s="491">
        <v>75250</v>
      </c>
      <c r="X72" s="491">
        <v>109670</v>
      </c>
      <c r="Y72" s="491">
        <v>170080</v>
      </c>
      <c r="Z72" s="490"/>
      <c r="AA72" s="490"/>
    </row>
    <row r="73" spans="7:27" x14ac:dyDescent="0.25">
      <c r="G73" s="489" t="s">
        <v>184</v>
      </c>
      <c r="H73" s="490" t="s">
        <v>398</v>
      </c>
      <c r="I73" s="491">
        <v>5070</v>
      </c>
      <c r="J73" s="492">
        <v>3.1</v>
      </c>
      <c r="K73" s="493">
        <v>28.800999999999998</v>
      </c>
      <c r="L73" s="494">
        <v>1.62</v>
      </c>
      <c r="M73" s="494">
        <v>52.35</v>
      </c>
      <c r="N73" s="491">
        <v>108890</v>
      </c>
      <c r="O73" s="492">
        <v>2.8</v>
      </c>
      <c r="P73" s="494">
        <v>26.09</v>
      </c>
      <c r="Q73" s="494">
        <v>34.81</v>
      </c>
      <c r="R73" s="494">
        <v>47.08</v>
      </c>
      <c r="S73" s="494">
        <v>62.68</v>
      </c>
      <c r="T73" s="494">
        <v>80.73</v>
      </c>
      <c r="U73" s="491">
        <v>54260</v>
      </c>
      <c r="V73" s="491">
        <v>72410</v>
      </c>
      <c r="W73" s="491">
        <v>97930</v>
      </c>
      <c r="X73" s="491">
        <v>130370</v>
      </c>
      <c r="Y73" s="491">
        <v>167910</v>
      </c>
      <c r="Z73" s="490"/>
      <c r="AA73" s="490"/>
    </row>
    <row r="74" spans="7:27" x14ac:dyDescent="0.25">
      <c r="G74" s="489" t="s">
        <v>471</v>
      </c>
      <c r="H74" s="490" t="s">
        <v>399</v>
      </c>
      <c r="I74" s="491">
        <v>140</v>
      </c>
      <c r="J74" s="492">
        <v>23</v>
      </c>
      <c r="K74" s="493">
        <v>0.8</v>
      </c>
      <c r="L74" s="494">
        <v>1.1200000000000001</v>
      </c>
      <c r="M74" s="494">
        <v>45.68</v>
      </c>
      <c r="N74" s="491">
        <v>95020</v>
      </c>
      <c r="O74" s="492">
        <v>5.3</v>
      </c>
      <c r="P74" s="494">
        <v>28.03</v>
      </c>
      <c r="Q74" s="494">
        <v>38.659999999999997</v>
      </c>
      <c r="R74" s="494">
        <v>46.62</v>
      </c>
      <c r="S74" s="494">
        <v>54.63</v>
      </c>
      <c r="T74" s="494">
        <v>61.13</v>
      </c>
      <c r="U74" s="491">
        <v>58310</v>
      </c>
      <c r="V74" s="491">
        <v>80400</v>
      </c>
      <c r="W74" s="491">
        <v>96980</v>
      </c>
      <c r="X74" s="491">
        <v>113630</v>
      </c>
      <c r="Y74" s="491">
        <v>127160</v>
      </c>
      <c r="Z74" s="490"/>
      <c r="AA74" s="490"/>
    </row>
    <row r="75" spans="7:27" x14ac:dyDescent="0.25">
      <c r="G75" s="489" t="s">
        <v>472</v>
      </c>
      <c r="H75" s="490" t="s">
        <v>399</v>
      </c>
      <c r="I75" s="491">
        <v>110</v>
      </c>
      <c r="J75" s="492">
        <v>39.299999999999997</v>
      </c>
      <c r="K75" s="493">
        <v>0.63300000000000001</v>
      </c>
      <c r="L75" s="494">
        <v>7.34</v>
      </c>
      <c r="M75" s="494">
        <v>28.71</v>
      </c>
      <c r="N75" s="491">
        <v>59720</v>
      </c>
      <c r="O75" s="492">
        <v>4.3</v>
      </c>
      <c r="P75" s="494">
        <v>17.53</v>
      </c>
      <c r="Q75" s="494">
        <v>20.56</v>
      </c>
      <c r="R75" s="494">
        <v>25.79</v>
      </c>
      <c r="S75" s="494">
        <v>37.28</v>
      </c>
      <c r="T75" s="494">
        <v>45.78</v>
      </c>
      <c r="U75" s="491">
        <v>36470</v>
      </c>
      <c r="V75" s="491">
        <v>42770</v>
      </c>
      <c r="W75" s="491">
        <v>53640</v>
      </c>
      <c r="X75" s="491">
        <v>77540</v>
      </c>
      <c r="Y75" s="491">
        <v>95230</v>
      </c>
      <c r="Z75" s="490"/>
      <c r="AA75" s="490"/>
    </row>
    <row r="76" spans="7:27" x14ac:dyDescent="0.25">
      <c r="G76" s="489" t="s">
        <v>473</v>
      </c>
      <c r="H76" s="490" t="s">
        <v>399</v>
      </c>
      <c r="I76" s="491">
        <v>250</v>
      </c>
      <c r="J76" s="492">
        <v>19.899999999999999</v>
      </c>
      <c r="K76" s="493">
        <v>1.419</v>
      </c>
      <c r="L76" s="494">
        <v>4.5999999999999996</v>
      </c>
      <c r="M76" s="494">
        <v>37.369999999999997</v>
      </c>
      <c r="N76" s="491">
        <v>77740</v>
      </c>
      <c r="O76" s="492">
        <v>7.9</v>
      </c>
      <c r="P76" s="494">
        <v>21.04</v>
      </c>
      <c r="Q76" s="494">
        <v>25.76</v>
      </c>
      <c r="R76" s="494">
        <v>39.369999999999997</v>
      </c>
      <c r="S76" s="494">
        <v>46.88</v>
      </c>
      <c r="T76" s="494">
        <v>52.05</v>
      </c>
      <c r="U76" s="491">
        <v>43750</v>
      </c>
      <c r="V76" s="491">
        <v>53590</v>
      </c>
      <c r="W76" s="491">
        <v>81880</v>
      </c>
      <c r="X76" s="491">
        <v>97510</v>
      </c>
      <c r="Y76" s="491">
        <v>108260</v>
      </c>
      <c r="Z76" s="490"/>
      <c r="AA76" s="490"/>
    </row>
    <row r="77" spans="7:27" x14ac:dyDescent="0.25">
      <c r="G77" s="489" t="s">
        <v>474</v>
      </c>
      <c r="H77" s="490" t="s">
        <v>399</v>
      </c>
      <c r="I77" s="491">
        <v>880</v>
      </c>
      <c r="J77" s="492">
        <v>10.4</v>
      </c>
      <c r="K77" s="493">
        <v>4.9779999999999998</v>
      </c>
      <c r="L77" s="494">
        <v>2.4300000000000002</v>
      </c>
      <c r="M77" s="494">
        <v>59.91</v>
      </c>
      <c r="N77" s="491">
        <v>124620</v>
      </c>
      <c r="O77" s="492">
        <v>5.3</v>
      </c>
      <c r="P77" s="494">
        <v>32.869999999999997</v>
      </c>
      <c r="Q77" s="494">
        <v>40.99</v>
      </c>
      <c r="R77" s="494">
        <v>52.75</v>
      </c>
      <c r="S77" s="494">
        <v>68.06</v>
      </c>
      <c r="T77" s="494">
        <v>96.75</v>
      </c>
      <c r="U77" s="491">
        <v>68380</v>
      </c>
      <c r="V77" s="491">
        <v>85260</v>
      </c>
      <c r="W77" s="491">
        <v>109720</v>
      </c>
      <c r="X77" s="491">
        <v>141560</v>
      </c>
      <c r="Y77" s="491">
        <v>201230</v>
      </c>
      <c r="Z77" s="490"/>
      <c r="AA77" s="490"/>
    </row>
    <row r="78" spans="7:27" x14ac:dyDescent="0.25">
      <c r="G78" s="489" t="s">
        <v>475</v>
      </c>
      <c r="H78" s="490" t="s">
        <v>399</v>
      </c>
      <c r="I78" s="491">
        <v>70</v>
      </c>
      <c r="J78" s="492">
        <v>21.3</v>
      </c>
      <c r="K78" s="493">
        <v>0.371</v>
      </c>
      <c r="L78" s="494">
        <v>0.71</v>
      </c>
      <c r="M78" s="494">
        <v>61.51</v>
      </c>
      <c r="N78" s="491">
        <v>127940</v>
      </c>
      <c r="O78" s="492">
        <v>5.4</v>
      </c>
      <c r="P78" s="494">
        <v>39.94</v>
      </c>
      <c r="Q78" s="494">
        <v>43.7</v>
      </c>
      <c r="R78" s="494">
        <v>50.22</v>
      </c>
      <c r="S78" s="494">
        <v>61.57</v>
      </c>
      <c r="T78" s="494" t="s">
        <v>400</v>
      </c>
      <c r="U78" s="491">
        <v>83080</v>
      </c>
      <c r="V78" s="491">
        <v>90900</v>
      </c>
      <c r="W78" s="491">
        <v>104450</v>
      </c>
      <c r="X78" s="491">
        <v>128060</v>
      </c>
      <c r="Y78" s="491" t="s">
        <v>400</v>
      </c>
      <c r="Z78" s="490"/>
      <c r="AA78" s="490"/>
    </row>
    <row r="79" spans="7:27" x14ac:dyDescent="0.25">
      <c r="G79" s="489" t="s">
        <v>476</v>
      </c>
      <c r="H79" s="490" t="s">
        <v>399</v>
      </c>
      <c r="I79" s="491">
        <v>290</v>
      </c>
      <c r="J79" s="492">
        <v>11.3</v>
      </c>
      <c r="K79" s="493">
        <v>1.659</v>
      </c>
      <c r="L79" s="494">
        <v>1.27</v>
      </c>
      <c r="M79" s="494">
        <v>58.64</v>
      </c>
      <c r="N79" s="491">
        <v>121980</v>
      </c>
      <c r="O79" s="492">
        <v>4.3</v>
      </c>
      <c r="P79" s="494">
        <v>34.880000000000003</v>
      </c>
      <c r="Q79" s="494">
        <v>43.05</v>
      </c>
      <c r="R79" s="494">
        <v>56.04</v>
      </c>
      <c r="S79" s="494">
        <v>70.400000000000006</v>
      </c>
      <c r="T79" s="494">
        <v>81.66</v>
      </c>
      <c r="U79" s="491">
        <v>72560</v>
      </c>
      <c r="V79" s="491">
        <v>89550</v>
      </c>
      <c r="W79" s="491">
        <v>116560</v>
      </c>
      <c r="X79" s="491">
        <v>146440</v>
      </c>
      <c r="Y79" s="491">
        <v>169840</v>
      </c>
      <c r="Z79" s="490"/>
      <c r="AA79" s="490"/>
    </row>
    <row r="80" spans="7:27" x14ac:dyDescent="0.25">
      <c r="G80" s="489" t="s">
        <v>477</v>
      </c>
      <c r="H80" s="490" t="s">
        <v>399</v>
      </c>
      <c r="I80" s="491">
        <v>130</v>
      </c>
      <c r="J80" s="492">
        <v>35.4</v>
      </c>
      <c r="K80" s="493">
        <v>0.76600000000000001</v>
      </c>
      <c r="L80" s="494">
        <v>0.81</v>
      </c>
      <c r="M80" s="494">
        <v>45.51</v>
      </c>
      <c r="N80" s="491">
        <v>94660</v>
      </c>
      <c r="O80" s="492">
        <v>4.7</v>
      </c>
      <c r="P80" s="494">
        <v>28.74</v>
      </c>
      <c r="Q80" s="494">
        <v>34.880000000000003</v>
      </c>
      <c r="R80" s="494">
        <v>43.3</v>
      </c>
      <c r="S80" s="494">
        <v>51.25</v>
      </c>
      <c r="T80" s="494">
        <v>61.34</v>
      </c>
      <c r="U80" s="491">
        <v>59770</v>
      </c>
      <c r="V80" s="491">
        <v>72550</v>
      </c>
      <c r="W80" s="491">
        <v>90060</v>
      </c>
      <c r="X80" s="491">
        <v>106590</v>
      </c>
      <c r="Y80" s="491">
        <v>127580</v>
      </c>
      <c r="Z80" s="490"/>
      <c r="AA80" s="490"/>
    </row>
    <row r="81" spans="7:27" x14ac:dyDescent="0.25">
      <c r="G81" s="489" t="s">
        <v>478</v>
      </c>
      <c r="H81" s="490" t="s">
        <v>399</v>
      </c>
      <c r="I81" s="491">
        <v>250</v>
      </c>
      <c r="J81" s="492">
        <v>8.5</v>
      </c>
      <c r="K81" s="493">
        <v>1.4350000000000001</v>
      </c>
      <c r="L81" s="494">
        <v>3.85</v>
      </c>
      <c r="M81" s="494">
        <v>68.03</v>
      </c>
      <c r="N81" s="491">
        <v>141500</v>
      </c>
      <c r="O81" s="492">
        <v>6</v>
      </c>
      <c r="P81" s="494">
        <v>37.799999999999997</v>
      </c>
      <c r="Q81" s="494">
        <v>48.08</v>
      </c>
      <c r="R81" s="494">
        <v>57.16</v>
      </c>
      <c r="S81" s="494">
        <v>80.17</v>
      </c>
      <c r="T81" s="494" t="s">
        <v>400</v>
      </c>
      <c r="U81" s="491">
        <v>78620</v>
      </c>
      <c r="V81" s="491">
        <v>100010</v>
      </c>
      <c r="W81" s="491">
        <v>118900</v>
      </c>
      <c r="X81" s="491">
        <v>166760</v>
      </c>
      <c r="Y81" s="491" t="s">
        <v>400</v>
      </c>
      <c r="Z81" s="490"/>
      <c r="AA81" s="490"/>
    </row>
    <row r="82" spans="7:27" x14ac:dyDescent="0.25">
      <c r="G82" s="489" t="s">
        <v>479</v>
      </c>
      <c r="H82" s="490" t="s">
        <v>399</v>
      </c>
      <c r="I82" s="491">
        <v>170</v>
      </c>
      <c r="J82" s="492">
        <v>23.3</v>
      </c>
      <c r="K82" s="493">
        <v>0.95099999999999996</v>
      </c>
      <c r="L82" s="494">
        <v>5.25</v>
      </c>
      <c r="M82" s="494">
        <v>58.2</v>
      </c>
      <c r="N82" s="491">
        <v>121050</v>
      </c>
      <c r="O82" s="492">
        <v>3.1</v>
      </c>
      <c r="P82" s="494">
        <v>33.43</v>
      </c>
      <c r="Q82" s="494">
        <v>42.89</v>
      </c>
      <c r="R82" s="494">
        <v>63.09</v>
      </c>
      <c r="S82" s="494">
        <v>74.180000000000007</v>
      </c>
      <c r="T82" s="494">
        <v>80.680000000000007</v>
      </c>
      <c r="U82" s="491">
        <v>69540</v>
      </c>
      <c r="V82" s="491">
        <v>89220</v>
      </c>
      <c r="W82" s="491">
        <v>131230</v>
      </c>
      <c r="X82" s="491">
        <v>154290</v>
      </c>
      <c r="Y82" s="491">
        <v>167810</v>
      </c>
      <c r="Z82" s="490"/>
      <c r="AA82" s="490"/>
    </row>
    <row r="83" spans="7:27" x14ac:dyDescent="0.25">
      <c r="G83" s="489" t="s">
        <v>480</v>
      </c>
      <c r="H83" s="490" t="s">
        <v>399</v>
      </c>
      <c r="I83" s="491">
        <v>30</v>
      </c>
      <c r="J83" s="492">
        <v>8.4</v>
      </c>
      <c r="K83" s="493">
        <v>0.17899999999999999</v>
      </c>
      <c r="L83" s="494">
        <v>0.1</v>
      </c>
      <c r="M83" s="494">
        <v>56.42</v>
      </c>
      <c r="N83" s="491">
        <v>117350</v>
      </c>
      <c r="O83" s="492">
        <v>5.7</v>
      </c>
      <c r="P83" s="494">
        <v>34.14</v>
      </c>
      <c r="Q83" s="494">
        <v>41.2</v>
      </c>
      <c r="R83" s="494">
        <v>53.86</v>
      </c>
      <c r="S83" s="494">
        <v>66.989999999999995</v>
      </c>
      <c r="T83" s="494">
        <v>80.09</v>
      </c>
      <c r="U83" s="491">
        <v>71010</v>
      </c>
      <c r="V83" s="491">
        <v>85690</v>
      </c>
      <c r="W83" s="491">
        <v>112040</v>
      </c>
      <c r="X83" s="491">
        <v>139340</v>
      </c>
      <c r="Y83" s="491">
        <v>166590</v>
      </c>
      <c r="Z83" s="490"/>
      <c r="AA83" s="490"/>
    </row>
    <row r="84" spans="7:27" x14ac:dyDescent="0.25">
      <c r="G84" s="489" t="s">
        <v>481</v>
      </c>
      <c r="H84" s="490" t="s">
        <v>399</v>
      </c>
      <c r="I84" s="491">
        <v>400</v>
      </c>
      <c r="J84" s="492">
        <v>13.3</v>
      </c>
      <c r="K84" s="493">
        <v>2.2799999999999998</v>
      </c>
      <c r="L84" s="494">
        <v>1.1200000000000001</v>
      </c>
      <c r="M84" s="494">
        <v>70.150000000000006</v>
      </c>
      <c r="N84" s="491">
        <v>145900</v>
      </c>
      <c r="O84" s="492">
        <v>5.3</v>
      </c>
      <c r="P84" s="494">
        <v>41.14</v>
      </c>
      <c r="Q84" s="494">
        <v>49.88</v>
      </c>
      <c r="R84" s="494">
        <v>62.92</v>
      </c>
      <c r="S84" s="494">
        <v>78</v>
      </c>
      <c r="T84" s="494" t="s">
        <v>400</v>
      </c>
      <c r="U84" s="491">
        <v>85570</v>
      </c>
      <c r="V84" s="491">
        <v>103740</v>
      </c>
      <c r="W84" s="491">
        <v>130870</v>
      </c>
      <c r="X84" s="491">
        <v>162230</v>
      </c>
      <c r="Y84" s="491" t="s">
        <v>400</v>
      </c>
      <c r="Z84" s="490"/>
      <c r="AA84" s="490"/>
    </row>
    <row r="85" spans="7:27" x14ac:dyDescent="0.25">
      <c r="G85" s="489" t="s">
        <v>482</v>
      </c>
      <c r="H85" s="490" t="s">
        <v>399</v>
      </c>
      <c r="I85" s="491">
        <v>50</v>
      </c>
      <c r="J85" s="492">
        <v>18.5</v>
      </c>
      <c r="K85" s="493">
        <v>0.29799999999999999</v>
      </c>
      <c r="L85" s="494">
        <v>6.03</v>
      </c>
      <c r="M85" s="494">
        <v>62.67</v>
      </c>
      <c r="N85" s="491">
        <v>130350</v>
      </c>
      <c r="O85" s="492">
        <v>7.3</v>
      </c>
      <c r="P85" s="494">
        <v>41.52</v>
      </c>
      <c r="Q85" s="494">
        <v>46.68</v>
      </c>
      <c r="R85" s="494">
        <v>57.32</v>
      </c>
      <c r="S85" s="494">
        <v>71.25</v>
      </c>
      <c r="T85" s="494">
        <v>80.58</v>
      </c>
      <c r="U85" s="491">
        <v>86370</v>
      </c>
      <c r="V85" s="491">
        <v>97100</v>
      </c>
      <c r="W85" s="491">
        <v>119230</v>
      </c>
      <c r="X85" s="491">
        <v>148210</v>
      </c>
      <c r="Y85" s="491">
        <v>167600</v>
      </c>
      <c r="Z85" s="490"/>
      <c r="AA85" s="490"/>
    </row>
    <row r="86" spans="7:27" x14ac:dyDescent="0.25">
      <c r="G86" s="489" t="s">
        <v>483</v>
      </c>
      <c r="H86" s="490" t="s">
        <v>399</v>
      </c>
      <c r="I86" s="491">
        <v>450</v>
      </c>
      <c r="J86" s="492">
        <v>10.6</v>
      </c>
      <c r="K86" s="493">
        <v>2.569</v>
      </c>
      <c r="L86" s="494">
        <v>11.01</v>
      </c>
      <c r="M86" s="494">
        <v>76.77</v>
      </c>
      <c r="N86" s="491">
        <v>159680</v>
      </c>
      <c r="O86" s="492">
        <v>4.5999999999999996</v>
      </c>
      <c r="P86" s="494">
        <v>43.66</v>
      </c>
      <c r="Q86" s="494">
        <v>55.57</v>
      </c>
      <c r="R86" s="494">
        <v>70.760000000000005</v>
      </c>
      <c r="S86" s="494">
        <v>88.72</v>
      </c>
      <c r="T86" s="494" t="s">
        <v>400</v>
      </c>
      <c r="U86" s="491">
        <v>90810</v>
      </c>
      <c r="V86" s="491">
        <v>115590</v>
      </c>
      <c r="W86" s="491">
        <v>147190</v>
      </c>
      <c r="X86" s="491">
        <v>184540</v>
      </c>
      <c r="Y86" s="491" t="s">
        <v>400</v>
      </c>
      <c r="Z86" s="490"/>
      <c r="AA86" s="490"/>
    </row>
    <row r="87" spans="7:27" x14ac:dyDescent="0.25">
      <c r="G87" s="489" t="s">
        <v>484</v>
      </c>
      <c r="H87" s="490" t="s">
        <v>399</v>
      </c>
      <c r="I87" s="491">
        <v>390</v>
      </c>
      <c r="J87" s="492">
        <v>6.2</v>
      </c>
      <c r="K87" s="493">
        <v>2.2210000000000001</v>
      </c>
      <c r="L87" s="494">
        <v>2.5299999999999998</v>
      </c>
      <c r="M87" s="494">
        <v>49.99</v>
      </c>
      <c r="N87" s="491">
        <v>103980</v>
      </c>
      <c r="O87" s="492">
        <v>2.4</v>
      </c>
      <c r="P87" s="494">
        <v>25.18</v>
      </c>
      <c r="Q87" s="494">
        <v>39.799999999999997</v>
      </c>
      <c r="R87" s="494">
        <v>52.7</v>
      </c>
      <c r="S87" s="494">
        <v>62.54</v>
      </c>
      <c r="T87" s="494">
        <v>72.25</v>
      </c>
      <c r="U87" s="491">
        <v>52370</v>
      </c>
      <c r="V87" s="491">
        <v>82780</v>
      </c>
      <c r="W87" s="491">
        <v>109610</v>
      </c>
      <c r="X87" s="491">
        <v>130080</v>
      </c>
      <c r="Y87" s="491">
        <v>150280</v>
      </c>
      <c r="Z87" s="490"/>
      <c r="AA87" s="490"/>
    </row>
    <row r="88" spans="7:27" x14ac:dyDescent="0.25">
      <c r="G88" s="489" t="s">
        <v>485</v>
      </c>
      <c r="H88" s="490" t="s">
        <v>399</v>
      </c>
      <c r="I88" s="491">
        <v>150</v>
      </c>
      <c r="J88" s="492">
        <v>28.2</v>
      </c>
      <c r="K88" s="493">
        <v>0.84</v>
      </c>
      <c r="L88" s="494">
        <v>1.22</v>
      </c>
      <c r="M88" s="494">
        <v>29.22</v>
      </c>
      <c r="N88" s="491">
        <v>60790</v>
      </c>
      <c r="O88" s="492">
        <v>4.9000000000000004</v>
      </c>
      <c r="P88" s="494">
        <v>20.21</v>
      </c>
      <c r="Q88" s="494">
        <v>23.37</v>
      </c>
      <c r="R88" s="494">
        <v>29.14</v>
      </c>
      <c r="S88" s="494">
        <v>35</v>
      </c>
      <c r="T88" s="494">
        <v>38.6</v>
      </c>
      <c r="U88" s="491">
        <v>42030</v>
      </c>
      <c r="V88" s="491">
        <v>48610</v>
      </c>
      <c r="W88" s="491">
        <v>60610</v>
      </c>
      <c r="X88" s="491">
        <v>72810</v>
      </c>
      <c r="Y88" s="491">
        <v>80290</v>
      </c>
      <c r="Z88" s="490"/>
      <c r="AA88" s="490"/>
    </row>
    <row r="89" spans="7:27" x14ac:dyDescent="0.25">
      <c r="G89" s="489" t="s">
        <v>486</v>
      </c>
      <c r="H89" s="490" t="s">
        <v>399</v>
      </c>
      <c r="I89" s="491">
        <v>30</v>
      </c>
      <c r="J89" s="492">
        <v>18.5</v>
      </c>
      <c r="K89" s="493">
        <v>0.192</v>
      </c>
      <c r="L89" s="494">
        <v>1.01</v>
      </c>
      <c r="M89" s="494">
        <v>29.79</v>
      </c>
      <c r="N89" s="491">
        <v>61970</v>
      </c>
      <c r="O89" s="492">
        <v>3.6</v>
      </c>
      <c r="P89" s="494">
        <v>20.79</v>
      </c>
      <c r="Q89" s="494">
        <v>23.87</v>
      </c>
      <c r="R89" s="494">
        <v>29.31</v>
      </c>
      <c r="S89" s="494">
        <v>35.68</v>
      </c>
      <c r="T89" s="494">
        <v>40.56</v>
      </c>
      <c r="U89" s="491">
        <v>43240</v>
      </c>
      <c r="V89" s="491">
        <v>49650</v>
      </c>
      <c r="W89" s="491">
        <v>60960</v>
      </c>
      <c r="X89" s="491">
        <v>74210</v>
      </c>
      <c r="Y89" s="491">
        <v>84360</v>
      </c>
      <c r="Z89" s="490"/>
      <c r="AA89" s="490"/>
    </row>
    <row r="90" spans="7:27" x14ac:dyDescent="0.25">
      <c r="G90" s="489" t="s">
        <v>487</v>
      </c>
      <c r="H90" s="490" t="s">
        <v>399</v>
      </c>
      <c r="I90" s="491">
        <v>300</v>
      </c>
      <c r="J90" s="492">
        <v>4.4000000000000004</v>
      </c>
      <c r="K90" s="493">
        <v>1.6890000000000001</v>
      </c>
      <c r="L90" s="494">
        <v>3.29</v>
      </c>
      <c r="M90" s="494">
        <v>34.43</v>
      </c>
      <c r="N90" s="491">
        <v>71620</v>
      </c>
      <c r="O90" s="492">
        <v>2.2999999999999998</v>
      </c>
      <c r="P90" s="494">
        <v>23.53</v>
      </c>
      <c r="Q90" s="494">
        <v>29.55</v>
      </c>
      <c r="R90" s="494">
        <v>34.96</v>
      </c>
      <c r="S90" s="494">
        <v>38.85</v>
      </c>
      <c r="T90" s="494">
        <v>45.11</v>
      </c>
      <c r="U90" s="491">
        <v>48940</v>
      </c>
      <c r="V90" s="491">
        <v>61470</v>
      </c>
      <c r="W90" s="491">
        <v>72710</v>
      </c>
      <c r="X90" s="491">
        <v>80800</v>
      </c>
      <c r="Y90" s="491">
        <v>93820</v>
      </c>
      <c r="Z90" s="490"/>
      <c r="AA90" s="490"/>
    </row>
    <row r="91" spans="7:27" x14ac:dyDescent="0.25">
      <c r="G91" s="489" t="s">
        <v>488</v>
      </c>
      <c r="H91" s="490" t="s">
        <v>399</v>
      </c>
      <c r="I91" s="491">
        <v>330</v>
      </c>
      <c r="J91" s="492">
        <v>9.4</v>
      </c>
      <c r="K91" s="493">
        <v>1.8740000000000001</v>
      </c>
      <c r="L91" s="494">
        <v>1.95</v>
      </c>
      <c r="M91" s="494">
        <v>38.18</v>
      </c>
      <c r="N91" s="491">
        <v>79400</v>
      </c>
      <c r="O91" s="492">
        <v>2.5</v>
      </c>
      <c r="P91" s="494">
        <v>25.29</v>
      </c>
      <c r="Q91" s="494">
        <v>31.83</v>
      </c>
      <c r="R91" s="494">
        <v>39.22</v>
      </c>
      <c r="S91" s="494">
        <v>45.15</v>
      </c>
      <c r="T91" s="494">
        <v>49.02</v>
      </c>
      <c r="U91" s="491">
        <v>52610</v>
      </c>
      <c r="V91" s="491">
        <v>66200</v>
      </c>
      <c r="W91" s="491">
        <v>81580</v>
      </c>
      <c r="X91" s="491">
        <v>93910</v>
      </c>
      <c r="Y91" s="491">
        <v>101950</v>
      </c>
      <c r="Z91" s="490"/>
      <c r="AA91" s="490"/>
    </row>
    <row r="92" spans="7:27" x14ac:dyDescent="0.25">
      <c r="G92" s="489" t="s">
        <v>489</v>
      </c>
      <c r="H92" s="490" t="s">
        <v>399</v>
      </c>
      <c r="I92" s="491">
        <v>100</v>
      </c>
      <c r="J92" s="492">
        <v>27.5</v>
      </c>
      <c r="K92" s="493">
        <v>0.55100000000000005</v>
      </c>
      <c r="L92" s="494">
        <v>4.67</v>
      </c>
      <c r="M92" s="494">
        <v>27.64</v>
      </c>
      <c r="N92" s="491">
        <v>57500</v>
      </c>
      <c r="O92" s="492">
        <v>2.2000000000000002</v>
      </c>
      <c r="P92" s="494">
        <v>19.8</v>
      </c>
      <c r="Q92" s="494">
        <v>24.09</v>
      </c>
      <c r="R92" s="494">
        <v>27.77</v>
      </c>
      <c r="S92" s="494">
        <v>30.97</v>
      </c>
      <c r="T92" s="494">
        <v>36.24</v>
      </c>
      <c r="U92" s="491">
        <v>41180</v>
      </c>
      <c r="V92" s="491">
        <v>50110</v>
      </c>
      <c r="W92" s="491">
        <v>57750</v>
      </c>
      <c r="X92" s="491">
        <v>64420</v>
      </c>
      <c r="Y92" s="491">
        <v>75370</v>
      </c>
      <c r="Z92" s="490"/>
      <c r="AA92" s="490"/>
    </row>
    <row r="93" spans="7:27" x14ac:dyDescent="0.25">
      <c r="G93" s="489" t="s">
        <v>490</v>
      </c>
      <c r="H93" s="490" t="s">
        <v>399</v>
      </c>
      <c r="I93" s="491">
        <v>60</v>
      </c>
      <c r="J93" s="492">
        <v>22.6</v>
      </c>
      <c r="K93" s="493">
        <v>0.32800000000000001</v>
      </c>
      <c r="L93" s="494">
        <v>1.01</v>
      </c>
      <c r="M93" s="494">
        <v>37.15</v>
      </c>
      <c r="N93" s="491">
        <v>77260</v>
      </c>
      <c r="O93" s="492">
        <v>9.1999999999999993</v>
      </c>
      <c r="P93" s="494">
        <v>21.44</v>
      </c>
      <c r="Q93" s="494">
        <v>25.32</v>
      </c>
      <c r="R93" s="494">
        <v>32.58</v>
      </c>
      <c r="S93" s="494">
        <v>45</v>
      </c>
      <c r="T93" s="494">
        <v>67.81</v>
      </c>
      <c r="U93" s="491">
        <v>44590</v>
      </c>
      <c r="V93" s="491">
        <v>52660</v>
      </c>
      <c r="W93" s="491">
        <v>67770</v>
      </c>
      <c r="X93" s="491">
        <v>93610</v>
      </c>
      <c r="Y93" s="491">
        <v>141040</v>
      </c>
      <c r="Z93" s="490"/>
      <c r="AA93" s="490"/>
    </row>
    <row r="94" spans="7:27" x14ac:dyDescent="0.25">
      <c r="G94" s="489" t="s">
        <v>491</v>
      </c>
      <c r="H94" s="490" t="s">
        <v>399</v>
      </c>
      <c r="I94" s="491">
        <v>150</v>
      </c>
      <c r="J94" s="492">
        <v>12.5</v>
      </c>
      <c r="K94" s="493">
        <v>0.85299999999999998</v>
      </c>
      <c r="L94" s="494">
        <v>1.61</v>
      </c>
      <c r="M94" s="494">
        <v>36.36</v>
      </c>
      <c r="N94" s="491">
        <v>75640</v>
      </c>
      <c r="O94" s="492">
        <v>4.2</v>
      </c>
      <c r="P94" s="494">
        <v>25.15</v>
      </c>
      <c r="Q94" s="494">
        <v>28.32</v>
      </c>
      <c r="R94" s="494">
        <v>35.14</v>
      </c>
      <c r="S94" s="494">
        <v>43.77</v>
      </c>
      <c r="T94" s="494">
        <v>49.78</v>
      </c>
      <c r="U94" s="491">
        <v>52320</v>
      </c>
      <c r="V94" s="491">
        <v>58900</v>
      </c>
      <c r="W94" s="491">
        <v>73080</v>
      </c>
      <c r="X94" s="491">
        <v>91050</v>
      </c>
      <c r="Y94" s="491">
        <v>103540</v>
      </c>
      <c r="Z94" s="490"/>
      <c r="AA94" s="490"/>
    </row>
    <row r="95" spans="7:27" x14ac:dyDescent="0.25">
      <c r="G95" s="489" t="s">
        <v>492</v>
      </c>
      <c r="H95" s="490" t="s">
        <v>399</v>
      </c>
      <c r="I95" s="491">
        <v>120</v>
      </c>
      <c r="J95" s="492">
        <v>12.1</v>
      </c>
      <c r="K95" s="493">
        <v>0.69099999999999995</v>
      </c>
      <c r="L95" s="494">
        <v>1.8</v>
      </c>
      <c r="M95" s="494">
        <v>28.18</v>
      </c>
      <c r="N95" s="491">
        <v>58620</v>
      </c>
      <c r="O95" s="492">
        <v>4.9000000000000004</v>
      </c>
      <c r="P95" s="494">
        <v>15.21</v>
      </c>
      <c r="Q95" s="494">
        <v>20.64</v>
      </c>
      <c r="R95" s="494">
        <v>27.99</v>
      </c>
      <c r="S95" s="494">
        <v>34.24</v>
      </c>
      <c r="T95" s="494">
        <v>43.2</v>
      </c>
      <c r="U95" s="491">
        <v>31640</v>
      </c>
      <c r="V95" s="491">
        <v>42930</v>
      </c>
      <c r="W95" s="491">
        <v>58230</v>
      </c>
      <c r="X95" s="491">
        <v>71210</v>
      </c>
      <c r="Y95" s="491">
        <v>89860</v>
      </c>
      <c r="Z95" s="490"/>
      <c r="AA95" s="490"/>
    </row>
    <row r="96" spans="7:27" x14ac:dyDescent="0.25">
      <c r="G96" s="489" t="s">
        <v>185</v>
      </c>
      <c r="H96" s="490" t="s">
        <v>398</v>
      </c>
      <c r="I96" s="491">
        <v>2590</v>
      </c>
      <c r="J96" s="492">
        <v>5.0999999999999996</v>
      </c>
      <c r="K96" s="493">
        <v>14.699</v>
      </c>
      <c r="L96" s="494">
        <v>1.79</v>
      </c>
      <c r="M96" s="494">
        <v>39.14</v>
      </c>
      <c r="N96" s="491">
        <v>81420</v>
      </c>
      <c r="O96" s="492">
        <v>2.8</v>
      </c>
      <c r="P96" s="494">
        <v>21.07</v>
      </c>
      <c r="Q96" s="494">
        <v>27.49</v>
      </c>
      <c r="R96" s="494">
        <v>36.79</v>
      </c>
      <c r="S96" s="494">
        <v>46.64</v>
      </c>
      <c r="T96" s="494">
        <v>59.42</v>
      </c>
      <c r="U96" s="491">
        <v>43820</v>
      </c>
      <c r="V96" s="491">
        <v>57170</v>
      </c>
      <c r="W96" s="491">
        <v>76520</v>
      </c>
      <c r="X96" s="491">
        <v>97010</v>
      </c>
      <c r="Y96" s="491">
        <v>123590</v>
      </c>
      <c r="Z96" s="490"/>
      <c r="AA96" s="490"/>
    </row>
    <row r="97" spans="7:27" x14ac:dyDescent="0.25">
      <c r="G97" s="489" t="s">
        <v>493</v>
      </c>
      <c r="H97" s="490" t="s">
        <v>399</v>
      </c>
      <c r="I97" s="491">
        <v>200</v>
      </c>
      <c r="J97" s="492">
        <v>7.7</v>
      </c>
      <c r="K97" s="493">
        <v>1.109</v>
      </c>
      <c r="L97" s="494">
        <v>8.7899999999999991</v>
      </c>
      <c r="M97" s="494">
        <v>35.97</v>
      </c>
      <c r="N97" s="491">
        <v>74820</v>
      </c>
      <c r="O97" s="492">
        <v>1.8</v>
      </c>
      <c r="P97" s="494">
        <v>25.77</v>
      </c>
      <c r="Q97" s="494">
        <v>28.34</v>
      </c>
      <c r="R97" s="494">
        <v>34.479999999999997</v>
      </c>
      <c r="S97" s="494">
        <v>41.46</v>
      </c>
      <c r="T97" s="494">
        <v>48.58</v>
      </c>
      <c r="U97" s="491">
        <v>53600</v>
      </c>
      <c r="V97" s="491">
        <v>58960</v>
      </c>
      <c r="W97" s="491">
        <v>71720</v>
      </c>
      <c r="X97" s="491">
        <v>86240</v>
      </c>
      <c r="Y97" s="491">
        <v>101040</v>
      </c>
      <c r="Z97" s="490"/>
      <c r="AA97" s="490"/>
    </row>
    <row r="98" spans="7:27" x14ac:dyDescent="0.25">
      <c r="G98" s="489" t="s">
        <v>494</v>
      </c>
      <c r="H98" s="490" t="s">
        <v>399</v>
      </c>
      <c r="I98" s="491">
        <v>140</v>
      </c>
      <c r="J98" s="492">
        <v>2.2999999999999998</v>
      </c>
      <c r="K98" s="493">
        <v>0.80900000000000005</v>
      </c>
      <c r="L98" s="494">
        <v>3.23</v>
      </c>
      <c r="M98" s="494">
        <v>39.549999999999997</v>
      </c>
      <c r="N98" s="491">
        <v>82270</v>
      </c>
      <c r="O98" s="492">
        <v>3.8</v>
      </c>
      <c r="P98" s="494">
        <v>25.77</v>
      </c>
      <c r="Q98" s="494">
        <v>31.17</v>
      </c>
      <c r="R98" s="494">
        <v>38.24</v>
      </c>
      <c r="S98" s="494">
        <v>44.84</v>
      </c>
      <c r="T98" s="494">
        <v>49.47</v>
      </c>
      <c r="U98" s="491">
        <v>53590</v>
      </c>
      <c r="V98" s="491">
        <v>64840</v>
      </c>
      <c r="W98" s="491">
        <v>79540</v>
      </c>
      <c r="X98" s="491">
        <v>93270</v>
      </c>
      <c r="Y98" s="491">
        <v>102900</v>
      </c>
      <c r="Z98" s="490"/>
      <c r="AA98" s="490"/>
    </row>
    <row r="99" spans="7:27" x14ac:dyDescent="0.25">
      <c r="G99" s="489" t="s">
        <v>495</v>
      </c>
      <c r="H99" s="490" t="s">
        <v>399</v>
      </c>
      <c r="I99" s="491">
        <v>90</v>
      </c>
      <c r="J99" s="492">
        <v>12.7</v>
      </c>
      <c r="K99" s="493">
        <v>0.502</v>
      </c>
      <c r="L99" s="494">
        <v>3.44</v>
      </c>
      <c r="M99" s="494">
        <v>42.51</v>
      </c>
      <c r="N99" s="491">
        <v>88410</v>
      </c>
      <c r="O99" s="492">
        <v>7.8</v>
      </c>
      <c r="P99" s="494">
        <v>24.03</v>
      </c>
      <c r="Q99" s="494">
        <v>28.35</v>
      </c>
      <c r="R99" s="494">
        <v>43.42</v>
      </c>
      <c r="S99" s="494">
        <v>54.81</v>
      </c>
      <c r="T99" s="494">
        <v>63.02</v>
      </c>
      <c r="U99" s="491">
        <v>49980</v>
      </c>
      <c r="V99" s="491">
        <v>58960</v>
      </c>
      <c r="W99" s="491">
        <v>90320</v>
      </c>
      <c r="X99" s="491">
        <v>114000</v>
      </c>
      <c r="Y99" s="491">
        <v>131080</v>
      </c>
      <c r="Z99" s="490"/>
      <c r="AA99" s="490"/>
    </row>
    <row r="100" spans="7:27" x14ac:dyDescent="0.25">
      <c r="G100" s="489" t="s">
        <v>496</v>
      </c>
      <c r="H100" s="490" t="s">
        <v>399</v>
      </c>
      <c r="I100" s="491">
        <v>60</v>
      </c>
      <c r="J100" s="492">
        <v>6.3</v>
      </c>
      <c r="K100" s="493">
        <v>0.35</v>
      </c>
      <c r="L100" s="494">
        <v>5.01</v>
      </c>
      <c r="M100" s="494">
        <v>45.99</v>
      </c>
      <c r="N100" s="491">
        <v>95650</v>
      </c>
      <c r="O100" s="492">
        <v>3.1</v>
      </c>
      <c r="P100" s="494">
        <v>37.369999999999997</v>
      </c>
      <c r="Q100" s="494">
        <v>41.1</v>
      </c>
      <c r="R100" s="494">
        <v>45.92</v>
      </c>
      <c r="S100" s="494">
        <v>52.5</v>
      </c>
      <c r="T100" s="494">
        <v>57.76</v>
      </c>
      <c r="U100" s="491">
        <v>77720</v>
      </c>
      <c r="V100" s="491">
        <v>85490</v>
      </c>
      <c r="W100" s="491">
        <v>95510</v>
      </c>
      <c r="X100" s="491">
        <v>109200</v>
      </c>
      <c r="Y100" s="491">
        <v>120150</v>
      </c>
      <c r="Z100" s="490"/>
      <c r="AA100" s="490"/>
    </row>
    <row r="101" spans="7:27" x14ac:dyDescent="0.25">
      <c r="G101" s="489" t="s">
        <v>497</v>
      </c>
      <c r="H101" s="490" t="s">
        <v>399</v>
      </c>
      <c r="I101" s="491">
        <v>80</v>
      </c>
      <c r="J101" s="492">
        <v>48.5</v>
      </c>
      <c r="K101" s="493">
        <v>0.43099999999999999</v>
      </c>
      <c r="L101" s="494">
        <v>0.7</v>
      </c>
      <c r="M101" s="494">
        <v>41.96</v>
      </c>
      <c r="N101" s="491">
        <v>87270</v>
      </c>
      <c r="O101" s="492">
        <v>2.4</v>
      </c>
      <c r="P101" s="494">
        <v>32.369999999999997</v>
      </c>
      <c r="Q101" s="494">
        <v>35.58</v>
      </c>
      <c r="R101" s="494">
        <v>40.79</v>
      </c>
      <c r="S101" s="494">
        <v>48.82</v>
      </c>
      <c r="T101" s="494">
        <v>56.4</v>
      </c>
      <c r="U101" s="491">
        <v>67340</v>
      </c>
      <c r="V101" s="491">
        <v>74000</v>
      </c>
      <c r="W101" s="491">
        <v>84840</v>
      </c>
      <c r="X101" s="491">
        <v>101550</v>
      </c>
      <c r="Y101" s="491">
        <v>117310</v>
      </c>
      <c r="Z101" s="490"/>
      <c r="AA101" s="490"/>
    </row>
    <row r="102" spans="7:27" x14ac:dyDescent="0.25">
      <c r="G102" s="489" t="s">
        <v>498</v>
      </c>
      <c r="H102" s="490" t="s">
        <v>399</v>
      </c>
      <c r="I102" s="491">
        <v>380</v>
      </c>
      <c r="J102" s="492">
        <v>10.4</v>
      </c>
      <c r="K102" s="493">
        <v>2.181</v>
      </c>
      <c r="L102" s="494">
        <v>3.63</v>
      </c>
      <c r="M102" s="494">
        <v>44.53</v>
      </c>
      <c r="N102" s="491">
        <v>92610</v>
      </c>
      <c r="O102" s="492">
        <v>6.4</v>
      </c>
      <c r="P102" s="494">
        <v>25.73</v>
      </c>
      <c r="Q102" s="494">
        <v>29.97</v>
      </c>
      <c r="R102" s="494">
        <v>37.869999999999997</v>
      </c>
      <c r="S102" s="494">
        <v>48.26</v>
      </c>
      <c r="T102" s="494">
        <v>66.14</v>
      </c>
      <c r="U102" s="491">
        <v>53520</v>
      </c>
      <c r="V102" s="491">
        <v>62340</v>
      </c>
      <c r="W102" s="491">
        <v>78760</v>
      </c>
      <c r="X102" s="491">
        <v>100390</v>
      </c>
      <c r="Y102" s="491">
        <v>137580</v>
      </c>
      <c r="Z102" s="490"/>
      <c r="AA102" s="490"/>
    </row>
    <row r="103" spans="7:27" x14ac:dyDescent="0.25">
      <c r="G103" s="489" t="s">
        <v>499</v>
      </c>
      <c r="H103" s="490" t="s">
        <v>399</v>
      </c>
      <c r="I103" s="491">
        <v>300</v>
      </c>
      <c r="J103" s="492">
        <v>23.7</v>
      </c>
      <c r="K103" s="493">
        <v>1.7190000000000001</v>
      </c>
      <c r="L103" s="494">
        <v>7.93</v>
      </c>
      <c r="M103" s="494">
        <v>52.63</v>
      </c>
      <c r="N103" s="491">
        <v>109480</v>
      </c>
      <c r="O103" s="492">
        <v>2.1</v>
      </c>
      <c r="P103" s="494">
        <v>31.22</v>
      </c>
      <c r="Q103" s="494">
        <v>40.76</v>
      </c>
      <c r="R103" s="494">
        <v>51.13</v>
      </c>
      <c r="S103" s="494">
        <v>66.53</v>
      </c>
      <c r="T103" s="494">
        <v>76.73</v>
      </c>
      <c r="U103" s="491">
        <v>64930</v>
      </c>
      <c r="V103" s="491">
        <v>84770</v>
      </c>
      <c r="W103" s="491">
        <v>106360</v>
      </c>
      <c r="X103" s="491">
        <v>138390</v>
      </c>
      <c r="Y103" s="491">
        <v>159610</v>
      </c>
      <c r="Z103" s="490"/>
      <c r="AA103" s="490"/>
    </row>
    <row r="104" spans="7:27" x14ac:dyDescent="0.25">
      <c r="G104" s="489" t="s">
        <v>500</v>
      </c>
      <c r="H104" s="490" t="s">
        <v>399</v>
      </c>
      <c r="I104" s="491">
        <v>40</v>
      </c>
      <c r="J104" s="492">
        <v>12.8</v>
      </c>
      <c r="K104" s="493">
        <v>0.20300000000000001</v>
      </c>
      <c r="L104" s="494">
        <v>4.51</v>
      </c>
      <c r="M104" s="494">
        <v>46.54</v>
      </c>
      <c r="N104" s="491">
        <v>96790</v>
      </c>
      <c r="O104" s="492">
        <v>4.9000000000000004</v>
      </c>
      <c r="P104" s="494">
        <v>31.89</v>
      </c>
      <c r="Q104" s="494">
        <v>36.229999999999997</v>
      </c>
      <c r="R104" s="494">
        <v>42.36</v>
      </c>
      <c r="S104" s="494">
        <v>48.87</v>
      </c>
      <c r="T104" s="494">
        <v>61.63</v>
      </c>
      <c r="U104" s="491">
        <v>66330</v>
      </c>
      <c r="V104" s="491">
        <v>75360</v>
      </c>
      <c r="W104" s="491">
        <v>88100</v>
      </c>
      <c r="X104" s="491">
        <v>101650</v>
      </c>
      <c r="Y104" s="491">
        <v>128190</v>
      </c>
      <c r="Z104" s="490"/>
      <c r="AA104" s="490"/>
    </row>
    <row r="105" spans="7:27" x14ac:dyDescent="0.25">
      <c r="G105" s="489" t="s">
        <v>501</v>
      </c>
      <c r="H105" s="490" t="s">
        <v>399</v>
      </c>
      <c r="I105" s="491">
        <v>70</v>
      </c>
      <c r="J105" s="492">
        <v>1</v>
      </c>
      <c r="K105" s="493">
        <v>0.371</v>
      </c>
      <c r="L105" s="494">
        <v>2.74</v>
      </c>
      <c r="M105" s="494">
        <v>46.22</v>
      </c>
      <c r="N105" s="491">
        <v>96140</v>
      </c>
      <c r="O105" s="492">
        <v>3.9</v>
      </c>
      <c r="P105" s="494">
        <v>25.77</v>
      </c>
      <c r="Q105" s="494">
        <v>36.75</v>
      </c>
      <c r="R105" s="494">
        <v>44.43</v>
      </c>
      <c r="S105" s="494">
        <v>53.33</v>
      </c>
      <c r="T105" s="494">
        <v>57.77</v>
      </c>
      <c r="U105" s="491">
        <v>53590</v>
      </c>
      <c r="V105" s="491">
        <v>76450</v>
      </c>
      <c r="W105" s="491">
        <v>92420</v>
      </c>
      <c r="X105" s="491">
        <v>110920</v>
      </c>
      <c r="Y105" s="491">
        <v>120160</v>
      </c>
      <c r="Z105" s="490"/>
      <c r="AA105" s="490"/>
    </row>
    <row r="106" spans="7:27" x14ac:dyDescent="0.25">
      <c r="G106" s="489" t="s">
        <v>502</v>
      </c>
      <c r="H106" s="490" t="s">
        <v>399</v>
      </c>
      <c r="I106" s="491">
        <v>170</v>
      </c>
      <c r="J106" s="492">
        <v>14.5</v>
      </c>
      <c r="K106" s="493">
        <v>0.99199999999999999</v>
      </c>
      <c r="L106" s="494">
        <v>1.29</v>
      </c>
      <c r="M106" s="494">
        <v>39.950000000000003</v>
      </c>
      <c r="N106" s="491">
        <v>83090</v>
      </c>
      <c r="O106" s="492">
        <v>3.8</v>
      </c>
      <c r="P106" s="494">
        <v>18.600000000000001</v>
      </c>
      <c r="Q106" s="494">
        <v>27.32</v>
      </c>
      <c r="R106" s="494">
        <v>39.18</v>
      </c>
      <c r="S106" s="494">
        <v>48.45</v>
      </c>
      <c r="T106" s="494">
        <v>60.56</v>
      </c>
      <c r="U106" s="491">
        <v>38690</v>
      </c>
      <c r="V106" s="491">
        <v>56820</v>
      </c>
      <c r="W106" s="491">
        <v>81500</v>
      </c>
      <c r="X106" s="491">
        <v>100780</v>
      </c>
      <c r="Y106" s="491">
        <v>125970</v>
      </c>
      <c r="Z106" s="490"/>
      <c r="AA106" s="490"/>
    </row>
    <row r="107" spans="7:27" x14ac:dyDescent="0.25">
      <c r="G107" s="489" t="s">
        <v>503</v>
      </c>
      <c r="H107" s="490" t="s">
        <v>399</v>
      </c>
      <c r="I107" s="491" t="s">
        <v>403</v>
      </c>
      <c r="J107" s="492" t="s">
        <v>403</v>
      </c>
      <c r="K107" s="493" t="s">
        <v>403</v>
      </c>
      <c r="L107" s="494" t="s">
        <v>403</v>
      </c>
      <c r="M107" s="494">
        <v>45.35</v>
      </c>
      <c r="N107" s="491">
        <v>94330</v>
      </c>
      <c r="O107" s="492">
        <v>5.5</v>
      </c>
      <c r="P107" s="494">
        <v>40.03</v>
      </c>
      <c r="Q107" s="494">
        <v>42.42</v>
      </c>
      <c r="R107" s="494">
        <v>45.99</v>
      </c>
      <c r="S107" s="494">
        <v>49.41</v>
      </c>
      <c r="T107" s="494">
        <v>57.21</v>
      </c>
      <c r="U107" s="491">
        <v>83260</v>
      </c>
      <c r="V107" s="491">
        <v>88230</v>
      </c>
      <c r="W107" s="491">
        <v>95670</v>
      </c>
      <c r="X107" s="491">
        <v>102760</v>
      </c>
      <c r="Y107" s="491">
        <v>118990</v>
      </c>
      <c r="Z107" s="490"/>
      <c r="AA107" s="490"/>
    </row>
    <row r="108" spans="7:27" x14ac:dyDescent="0.25">
      <c r="G108" s="489" t="s">
        <v>504</v>
      </c>
      <c r="H108" s="490" t="s">
        <v>399</v>
      </c>
      <c r="I108" s="491">
        <v>90</v>
      </c>
      <c r="J108" s="492">
        <v>9.3000000000000007</v>
      </c>
      <c r="K108" s="493">
        <v>0.50900000000000001</v>
      </c>
      <c r="L108" s="494">
        <v>2.0499999999999998</v>
      </c>
      <c r="M108" s="494">
        <v>40.46</v>
      </c>
      <c r="N108" s="491">
        <v>84160</v>
      </c>
      <c r="O108" s="492">
        <v>2.4</v>
      </c>
      <c r="P108" s="494">
        <v>29.53</v>
      </c>
      <c r="Q108" s="494">
        <v>33.369999999999997</v>
      </c>
      <c r="R108" s="494">
        <v>37.96</v>
      </c>
      <c r="S108" s="494">
        <v>45.2</v>
      </c>
      <c r="T108" s="494">
        <v>56.41</v>
      </c>
      <c r="U108" s="491">
        <v>61430</v>
      </c>
      <c r="V108" s="491">
        <v>69420</v>
      </c>
      <c r="W108" s="491">
        <v>78960</v>
      </c>
      <c r="X108" s="491">
        <v>94020</v>
      </c>
      <c r="Y108" s="491">
        <v>117330</v>
      </c>
      <c r="Z108" s="490"/>
      <c r="AA108" s="490"/>
    </row>
    <row r="109" spans="7:27" x14ac:dyDescent="0.25">
      <c r="G109" s="489" t="s">
        <v>505</v>
      </c>
      <c r="H109" s="490" t="s">
        <v>399</v>
      </c>
      <c r="I109" s="491">
        <v>60</v>
      </c>
      <c r="J109" s="492">
        <v>22</v>
      </c>
      <c r="K109" s="493">
        <v>0.317</v>
      </c>
      <c r="L109" s="494">
        <v>6.87</v>
      </c>
      <c r="M109" s="494">
        <v>39.99</v>
      </c>
      <c r="N109" s="491">
        <v>83170</v>
      </c>
      <c r="O109" s="492">
        <v>2.9</v>
      </c>
      <c r="P109" s="494">
        <v>26.85</v>
      </c>
      <c r="Q109" s="494">
        <v>32.22</v>
      </c>
      <c r="R109" s="494">
        <v>38.25</v>
      </c>
      <c r="S109" s="494">
        <v>47.23</v>
      </c>
      <c r="T109" s="494">
        <v>53.91</v>
      </c>
      <c r="U109" s="491">
        <v>55860</v>
      </c>
      <c r="V109" s="491">
        <v>67010</v>
      </c>
      <c r="W109" s="491">
        <v>79550</v>
      </c>
      <c r="X109" s="491">
        <v>98230</v>
      </c>
      <c r="Y109" s="491">
        <v>112140</v>
      </c>
      <c r="Z109" s="490"/>
      <c r="AA109" s="490"/>
    </row>
    <row r="110" spans="7:27" x14ac:dyDescent="0.25">
      <c r="G110" s="489" t="s">
        <v>506</v>
      </c>
      <c r="H110" s="490" t="s">
        <v>399</v>
      </c>
      <c r="I110" s="491">
        <v>120</v>
      </c>
      <c r="J110" s="492">
        <v>1.1000000000000001</v>
      </c>
      <c r="K110" s="493">
        <v>0.67500000000000004</v>
      </c>
      <c r="L110" s="494">
        <v>2.6</v>
      </c>
      <c r="M110" s="494">
        <v>36.58</v>
      </c>
      <c r="N110" s="491">
        <v>76090</v>
      </c>
      <c r="O110" s="492">
        <v>2.7</v>
      </c>
      <c r="P110" s="494">
        <v>26.33</v>
      </c>
      <c r="Q110" s="494">
        <v>30.45</v>
      </c>
      <c r="R110" s="494">
        <v>36.04</v>
      </c>
      <c r="S110" s="494">
        <v>42.35</v>
      </c>
      <c r="T110" s="494">
        <v>48.88</v>
      </c>
      <c r="U110" s="491">
        <v>54760</v>
      </c>
      <c r="V110" s="491">
        <v>63340</v>
      </c>
      <c r="W110" s="491">
        <v>74950</v>
      </c>
      <c r="X110" s="491">
        <v>88090</v>
      </c>
      <c r="Y110" s="491">
        <v>101660</v>
      </c>
      <c r="Z110" s="490"/>
      <c r="AA110" s="490"/>
    </row>
    <row r="111" spans="7:27" x14ac:dyDescent="0.25">
      <c r="G111" s="489" t="s">
        <v>507</v>
      </c>
      <c r="H111" s="490" t="s">
        <v>399</v>
      </c>
      <c r="I111" s="491">
        <v>110</v>
      </c>
      <c r="J111" s="492">
        <v>12.6</v>
      </c>
      <c r="K111" s="493">
        <v>0.64</v>
      </c>
      <c r="L111" s="494">
        <v>1.2</v>
      </c>
      <c r="M111" s="494">
        <v>20.350000000000001</v>
      </c>
      <c r="N111" s="491">
        <v>42330</v>
      </c>
      <c r="O111" s="492">
        <v>4.3</v>
      </c>
      <c r="P111" s="494">
        <v>15.21</v>
      </c>
      <c r="Q111" s="494">
        <v>17.010000000000002</v>
      </c>
      <c r="R111" s="494">
        <v>18.96</v>
      </c>
      <c r="S111" s="494">
        <v>21.79</v>
      </c>
      <c r="T111" s="494">
        <v>27</v>
      </c>
      <c r="U111" s="491">
        <v>31630</v>
      </c>
      <c r="V111" s="491">
        <v>35370</v>
      </c>
      <c r="W111" s="491">
        <v>39430</v>
      </c>
      <c r="X111" s="491">
        <v>45320</v>
      </c>
      <c r="Y111" s="491">
        <v>56160</v>
      </c>
      <c r="Z111" s="490"/>
      <c r="AA111" s="490"/>
    </row>
    <row r="112" spans="7:27" x14ac:dyDescent="0.25">
      <c r="G112" s="489" t="s">
        <v>508</v>
      </c>
      <c r="H112" s="490" t="s">
        <v>399</v>
      </c>
      <c r="I112" s="491">
        <v>90</v>
      </c>
      <c r="J112" s="492">
        <v>20.5</v>
      </c>
      <c r="K112" s="493">
        <v>0.51400000000000001</v>
      </c>
      <c r="L112" s="494">
        <v>4.78</v>
      </c>
      <c r="M112" s="494">
        <v>33.67</v>
      </c>
      <c r="N112" s="491">
        <v>70020</v>
      </c>
      <c r="O112" s="492">
        <v>3.2</v>
      </c>
      <c r="P112" s="494">
        <v>20.96</v>
      </c>
      <c r="Q112" s="494">
        <v>24.5</v>
      </c>
      <c r="R112" s="494">
        <v>34.15</v>
      </c>
      <c r="S112" s="494">
        <v>41.92</v>
      </c>
      <c r="T112" s="494">
        <v>47.59</v>
      </c>
      <c r="U112" s="491">
        <v>43590</v>
      </c>
      <c r="V112" s="491">
        <v>50950</v>
      </c>
      <c r="W112" s="491">
        <v>71040</v>
      </c>
      <c r="X112" s="491">
        <v>87190</v>
      </c>
      <c r="Y112" s="491">
        <v>98990</v>
      </c>
      <c r="Z112" s="490"/>
      <c r="AA112" s="490"/>
    </row>
    <row r="113" spans="7:27" x14ac:dyDescent="0.25">
      <c r="G113" s="489" t="s">
        <v>509</v>
      </c>
      <c r="H113" s="490" t="s">
        <v>399</v>
      </c>
      <c r="I113" s="491">
        <v>60</v>
      </c>
      <c r="J113" s="492">
        <v>7</v>
      </c>
      <c r="K113" s="493">
        <v>0.313</v>
      </c>
      <c r="L113" s="494">
        <v>1.33</v>
      </c>
      <c r="M113" s="494">
        <v>26.83</v>
      </c>
      <c r="N113" s="491">
        <v>55810</v>
      </c>
      <c r="O113" s="492">
        <v>5.3</v>
      </c>
      <c r="P113" s="494">
        <v>17.95</v>
      </c>
      <c r="Q113" s="494">
        <v>20.27</v>
      </c>
      <c r="R113" s="494">
        <v>25.2</v>
      </c>
      <c r="S113" s="494">
        <v>32.049999999999997</v>
      </c>
      <c r="T113" s="494">
        <v>40.090000000000003</v>
      </c>
      <c r="U113" s="491">
        <v>37330</v>
      </c>
      <c r="V113" s="491">
        <v>42160</v>
      </c>
      <c r="W113" s="491">
        <v>52430</v>
      </c>
      <c r="X113" s="491">
        <v>66660</v>
      </c>
      <c r="Y113" s="491">
        <v>83400</v>
      </c>
      <c r="Z113" s="490"/>
      <c r="AA113" s="490"/>
    </row>
    <row r="114" spans="7:27" x14ac:dyDescent="0.25">
      <c r="G114" s="489" t="s">
        <v>510</v>
      </c>
      <c r="H114" s="490" t="s">
        <v>399</v>
      </c>
      <c r="I114" s="491">
        <v>110</v>
      </c>
      <c r="J114" s="492">
        <v>47.1</v>
      </c>
      <c r="K114" s="493">
        <v>0.59899999999999998</v>
      </c>
      <c r="L114" s="494">
        <v>2.79</v>
      </c>
      <c r="M114" s="494">
        <v>20.399999999999999</v>
      </c>
      <c r="N114" s="491">
        <v>42440</v>
      </c>
      <c r="O114" s="492">
        <v>3</v>
      </c>
      <c r="P114" s="494">
        <v>15.71</v>
      </c>
      <c r="Q114" s="494">
        <v>17.010000000000002</v>
      </c>
      <c r="R114" s="494">
        <v>19.100000000000001</v>
      </c>
      <c r="S114" s="494">
        <v>22.93</v>
      </c>
      <c r="T114" s="494">
        <v>26.57</v>
      </c>
      <c r="U114" s="491">
        <v>32670</v>
      </c>
      <c r="V114" s="491">
        <v>35380</v>
      </c>
      <c r="W114" s="491">
        <v>39720</v>
      </c>
      <c r="X114" s="491">
        <v>47680</v>
      </c>
      <c r="Y114" s="491">
        <v>55260</v>
      </c>
      <c r="Z114" s="490"/>
      <c r="AA114" s="490"/>
    </row>
    <row r="115" spans="7:27" x14ac:dyDescent="0.25">
      <c r="G115" s="489" t="s">
        <v>511</v>
      </c>
      <c r="H115" s="490" t="s">
        <v>399</v>
      </c>
      <c r="I115" s="491">
        <v>70</v>
      </c>
      <c r="J115" s="492">
        <v>5.4</v>
      </c>
      <c r="K115" s="493">
        <v>0.377</v>
      </c>
      <c r="L115" s="494">
        <v>0.77</v>
      </c>
      <c r="M115" s="494">
        <v>27.94</v>
      </c>
      <c r="N115" s="491">
        <v>58110</v>
      </c>
      <c r="O115" s="492">
        <v>2</v>
      </c>
      <c r="P115" s="494">
        <v>18.95</v>
      </c>
      <c r="Q115" s="494">
        <v>21.77</v>
      </c>
      <c r="R115" s="494">
        <v>26.39</v>
      </c>
      <c r="S115" s="494">
        <v>33.130000000000003</v>
      </c>
      <c r="T115" s="494">
        <v>40.520000000000003</v>
      </c>
      <c r="U115" s="491">
        <v>39420</v>
      </c>
      <c r="V115" s="491">
        <v>45280</v>
      </c>
      <c r="W115" s="491">
        <v>54900</v>
      </c>
      <c r="X115" s="491">
        <v>68910</v>
      </c>
      <c r="Y115" s="491">
        <v>84290</v>
      </c>
      <c r="Z115" s="490"/>
      <c r="AA115" s="490"/>
    </row>
    <row r="116" spans="7:27" x14ac:dyDescent="0.25">
      <c r="G116" s="489" t="s">
        <v>512</v>
      </c>
      <c r="H116" s="490" t="s">
        <v>398</v>
      </c>
      <c r="I116" s="491">
        <v>3990</v>
      </c>
      <c r="J116" s="492">
        <v>7.2</v>
      </c>
      <c r="K116" s="493">
        <v>22.643999999999998</v>
      </c>
      <c r="L116" s="494">
        <v>1.57</v>
      </c>
      <c r="M116" s="494">
        <v>25.29</v>
      </c>
      <c r="N116" s="491">
        <v>52610</v>
      </c>
      <c r="O116" s="492">
        <v>4.4000000000000004</v>
      </c>
      <c r="P116" s="494">
        <v>13.79</v>
      </c>
      <c r="Q116" s="494">
        <v>17.14</v>
      </c>
      <c r="R116" s="494">
        <v>23.96</v>
      </c>
      <c r="S116" s="494">
        <v>31.18</v>
      </c>
      <c r="T116" s="494">
        <v>39.21</v>
      </c>
      <c r="U116" s="491">
        <v>28690</v>
      </c>
      <c r="V116" s="491">
        <v>35650</v>
      </c>
      <c r="W116" s="491">
        <v>49830</v>
      </c>
      <c r="X116" s="491">
        <v>64860</v>
      </c>
      <c r="Y116" s="491">
        <v>81560</v>
      </c>
      <c r="Z116" s="490"/>
      <c r="AA116" s="490"/>
    </row>
    <row r="117" spans="7:27" x14ac:dyDescent="0.25">
      <c r="G117" s="489" t="s">
        <v>513</v>
      </c>
      <c r="H117" s="490" t="s">
        <v>399</v>
      </c>
      <c r="I117" s="491">
        <v>150</v>
      </c>
      <c r="J117" s="492">
        <v>34.9</v>
      </c>
      <c r="K117" s="493">
        <v>0.83399999999999996</v>
      </c>
      <c r="L117" s="494">
        <v>1.29</v>
      </c>
      <c r="M117" s="494">
        <v>24.51</v>
      </c>
      <c r="N117" s="491">
        <v>50970</v>
      </c>
      <c r="O117" s="492">
        <v>2.9</v>
      </c>
      <c r="P117" s="494">
        <v>19.739999999999998</v>
      </c>
      <c r="Q117" s="494">
        <v>21.38</v>
      </c>
      <c r="R117" s="494">
        <v>24.09</v>
      </c>
      <c r="S117" s="494">
        <v>27.55</v>
      </c>
      <c r="T117" s="494">
        <v>29.91</v>
      </c>
      <c r="U117" s="491">
        <v>41050</v>
      </c>
      <c r="V117" s="491">
        <v>44470</v>
      </c>
      <c r="W117" s="491">
        <v>50100</v>
      </c>
      <c r="X117" s="491">
        <v>57300</v>
      </c>
      <c r="Y117" s="491">
        <v>62200</v>
      </c>
      <c r="Z117" s="490"/>
      <c r="AA117" s="490"/>
    </row>
    <row r="118" spans="7:27" x14ac:dyDescent="0.25">
      <c r="G118" s="489" t="s">
        <v>514</v>
      </c>
      <c r="H118" s="490" t="s">
        <v>399</v>
      </c>
      <c r="I118" s="491">
        <v>330</v>
      </c>
      <c r="J118" s="492">
        <v>5.9</v>
      </c>
      <c r="K118" s="493">
        <v>1.855</v>
      </c>
      <c r="L118" s="494">
        <v>1</v>
      </c>
      <c r="M118" s="494">
        <v>33.81</v>
      </c>
      <c r="N118" s="491">
        <v>70320</v>
      </c>
      <c r="O118" s="492">
        <v>4.8</v>
      </c>
      <c r="P118" s="494">
        <v>19.579999999999998</v>
      </c>
      <c r="Q118" s="494">
        <v>24.65</v>
      </c>
      <c r="R118" s="494">
        <v>32.46</v>
      </c>
      <c r="S118" s="494">
        <v>41.84</v>
      </c>
      <c r="T118" s="494">
        <v>50.79</v>
      </c>
      <c r="U118" s="491">
        <v>40730</v>
      </c>
      <c r="V118" s="491">
        <v>51280</v>
      </c>
      <c r="W118" s="491">
        <v>67510</v>
      </c>
      <c r="X118" s="491">
        <v>87030</v>
      </c>
      <c r="Y118" s="491">
        <v>105650</v>
      </c>
      <c r="Z118" s="490"/>
      <c r="AA118" s="490"/>
    </row>
    <row r="119" spans="7:27" x14ac:dyDescent="0.25">
      <c r="G119" s="489" t="s">
        <v>515</v>
      </c>
      <c r="H119" s="490" t="s">
        <v>399</v>
      </c>
      <c r="I119" s="491">
        <v>300</v>
      </c>
      <c r="J119" s="492">
        <v>10.9</v>
      </c>
      <c r="K119" s="493">
        <v>1.7130000000000001</v>
      </c>
      <c r="L119" s="494">
        <v>1.72</v>
      </c>
      <c r="M119" s="494">
        <v>33.35</v>
      </c>
      <c r="N119" s="491">
        <v>69360</v>
      </c>
      <c r="O119" s="492">
        <v>2.8</v>
      </c>
      <c r="P119" s="494">
        <v>24.28</v>
      </c>
      <c r="Q119" s="494">
        <v>27.62</v>
      </c>
      <c r="R119" s="494">
        <v>32.18</v>
      </c>
      <c r="S119" s="494">
        <v>37.97</v>
      </c>
      <c r="T119" s="494">
        <v>43.89</v>
      </c>
      <c r="U119" s="491">
        <v>50500</v>
      </c>
      <c r="V119" s="491">
        <v>57450</v>
      </c>
      <c r="W119" s="491">
        <v>66940</v>
      </c>
      <c r="X119" s="491">
        <v>78980</v>
      </c>
      <c r="Y119" s="491">
        <v>91290</v>
      </c>
      <c r="Z119" s="490"/>
      <c r="AA119" s="490"/>
    </row>
    <row r="120" spans="7:27" x14ac:dyDescent="0.25">
      <c r="G120" s="489" t="s">
        <v>516</v>
      </c>
      <c r="H120" s="490" t="s">
        <v>399</v>
      </c>
      <c r="I120" s="491" t="s">
        <v>403</v>
      </c>
      <c r="J120" s="492" t="s">
        <v>403</v>
      </c>
      <c r="K120" s="493" t="s">
        <v>403</v>
      </c>
      <c r="L120" s="494" t="s">
        <v>403</v>
      </c>
      <c r="M120" s="494">
        <v>32.340000000000003</v>
      </c>
      <c r="N120" s="491">
        <v>67270</v>
      </c>
      <c r="O120" s="492">
        <v>7</v>
      </c>
      <c r="P120" s="494">
        <v>18.43</v>
      </c>
      <c r="Q120" s="494">
        <v>25.17</v>
      </c>
      <c r="R120" s="494">
        <v>32.86</v>
      </c>
      <c r="S120" s="494">
        <v>40.799999999999997</v>
      </c>
      <c r="T120" s="494">
        <v>45.73</v>
      </c>
      <c r="U120" s="491">
        <v>38340</v>
      </c>
      <c r="V120" s="491">
        <v>52350</v>
      </c>
      <c r="W120" s="491">
        <v>68350</v>
      </c>
      <c r="X120" s="491">
        <v>84860</v>
      </c>
      <c r="Y120" s="491">
        <v>95120</v>
      </c>
      <c r="Z120" s="490"/>
      <c r="AA120" s="490"/>
    </row>
    <row r="121" spans="7:27" x14ac:dyDescent="0.25">
      <c r="G121" s="489" t="s">
        <v>517</v>
      </c>
      <c r="H121" s="490" t="s">
        <v>399</v>
      </c>
      <c r="I121" s="491">
        <v>60</v>
      </c>
      <c r="J121" s="492">
        <v>19.100000000000001</v>
      </c>
      <c r="K121" s="493">
        <v>0.35899999999999999</v>
      </c>
      <c r="L121" s="494">
        <v>1.77</v>
      </c>
      <c r="M121" s="494">
        <v>25.88</v>
      </c>
      <c r="N121" s="491">
        <v>53830</v>
      </c>
      <c r="O121" s="492">
        <v>4.5</v>
      </c>
      <c r="P121" s="494">
        <v>16.36</v>
      </c>
      <c r="Q121" s="494">
        <v>20.37</v>
      </c>
      <c r="R121" s="494">
        <v>25.54</v>
      </c>
      <c r="S121" s="494">
        <v>30.71</v>
      </c>
      <c r="T121" s="494">
        <v>36.53</v>
      </c>
      <c r="U121" s="491">
        <v>34030</v>
      </c>
      <c r="V121" s="491">
        <v>42370</v>
      </c>
      <c r="W121" s="491">
        <v>53120</v>
      </c>
      <c r="X121" s="491">
        <v>63870</v>
      </c>
      <c r="Y121" s="491">
        <v>75990</v>
      </c>
      <c r="Z121" s="490"/>
      <c r="AA121" s="490"/>
    </row>
    <row r="122" spans="7:27" x14ac:dyDescent="0.25">
      <c r="G122" s="489" t="s">
        <v>518</v>
      </c>
      <c r="H122" s="490" t="s">
        <v>399</v>
      </c>
      <c r="I122" s="491">
        <v>660</v>
      </c>
      <c r="J122" s="492">
        <v>8.5</v>
      </c>
      <c r="K122" s="493">
        <v>3.7440000000000002</v>
      </c>
      <c r="L122" s="494">
        <v>1.76</v>
      </c>
      <c r="M122" s="494">
        <v>23.39</v>
      </c>
      <c r="N122" s="491">
        <v>48660</v>
      </c>
      <c r="O122" s="492">
        <v>6.5</v>
      </c>
      <c r="P122" s="494">
        <v>13.08</v>
      </c>
      <c r="Q122" s="494">
        <v>15.79</v>
      </c>
      <c r="R122" s="494">
        <v>22.88</v>
      </c>
      <c r="S122" s="494">
        <v>28.8</v>
      </c>
      <c r="T122" s="494">
        <v>33.43</v>
      </c>
      <c r="U122" s="491">
        <v>27210</v>
      </c>
      <c r="V122" s="491">
        <v>32840</v>
      </c>
      <c r="W122" s="491">
        <v>47600</v>
      </c>
      <c r="X122" s="491">
        <v>59910</v>
      </c>
      <c r="Y122" s="491">
        <v>69520</v>
      </c>
      <c r="Z122" s="490"/>
      <c r="AA122" s="490"/>
    </row>
    <row r="123" spans="7:27" x14ac:dyDescent="0.25">
      <c r="G123" s="489" t="s">
        <v>519</v>
      </c>
      <c r="H123" s="490" t="s">
        <v>399</v>
      </c>
      <c r="I123" s="491">
        <v>250</v>
      </c>
      <c r="J123" s="492">
        <v>40.200000000000003</v>
      </c>
      <c r="K123" s="493">
        <v>1.403</v>
      </c>
      <c r="L123" s="494">
        <v>1.24</v>
      </c>
      <c r="M123" s="494">
        <v>29.73</v>
      </c>
      <c r="N123" s="491">
        <v>61830</v>
      </c>
      <c r="O123" s="492">
        <v>6.4</v>
      </c>
      <c r="P123" s="494">
        <v>17.61</v>
      </c>
      <c r="Q123" s="494">
        <v>21.4</v>
      </c>
      <c r="R123" s="494">
        <v>30.01</v>
      </c>
      <c r="S123" s="494">
        <v>36.619999999999997</v>
      </c>
      <c r="T123" s="494">
        <v>42.17</v>
      </c>
      <c r="U123" s="491">
        <v>36620</v>
      </c>
      <c r="V123" s="491">
        <v>44510</v>
      </c>
      <c r="W123" s="491">
        <v>62430</v>
      </c>
      <c r="X123" s="491">
        <v>76160</v>
      </c>
      <c r="Y123" s="491">
        <v>87710</v>
      </c>
      <c r="Z123" s="490"/>
      <c r="AA123" s="490"/>
    </row>
    <row r="124" spans="7:27" x14ac:dyDescent="0.25">
      <c r="G124" s="489" t="s">
        <v>520</v>
      </c>
      <c r="H124" s="490" t="s">
        <v>399</v>
      </c>
      <c r="I124" s="491">
        <v>350</v>
      </c>
      <c r="J124" s="492">
        <v>12.9</v>
      </c>
      <c r="K124" s="493">
        <v>1.9630000000000001</v>
      </c>
      <c r="L124" s="494">
        <v>2.42</v>
      </c>
      <c r="M124" s="494">
        <v>21.45</v>
      </c>
      <c r="N124" s="491">
        <v>44610</v>
      </c>
      <c r="O124" s="492">
        <v>2</v>
      </c>
      <c r="P124" s="494">
        <v>15.25</v>
      </c>
      <c r="Q124" s="494">
        <v>17.27</v>
      </c>
      <c r="R124" s="494">
        <v>21.03</v>
      </c>
      <c r="S124" s="494">
        <v>25.62</v>
      </c>
      <c r="T124" s="494">
        <v>29.63</v>
      </c>
      <c r="U124" s="491">
        <v>31730</v>
      </c>
      <c r="V124" s="491">
        <v>35910</v>
      </c>
      <c r="W124" s="491">
        <v>43750</v>
      </c>
      <c r="X124" s="491">
        <v>53290</v>
      </c>
      <c r="Y124" s="491">
        <v>61630</v>
      </c>
      <c r="Z124" s="490"/>
      <c r="AA124" s="490"/>
    </row>
    <row r="125" spans="7:27" x14ac:dyDescent="0.25">
      <c r="G125" s="489" t="s">
        <v>521</v>
      </c>
      <c r="H125" s="490" t="s">
        <v>399</v>
      </c>
      <c r="I125" s="491">
        <v>80</v>
      </c>
      <c r="J125" s="492">
        <v>13.9</v>
      </c>
      <c r="K125" s="493">
        <v>0.433</v>
      </c>
      <c r="L125" s="494">
        <v>1.02</v>
      </c>
      <c r="M125" s="494">
        <v>33.53</v>
      </c>
      <c r="N125" s="491">
        <v>69750</v>
      </c>
      <c r="O125" s="492">
        <v>4</v>
      </c>
      <c r="P125" s="494">
        <v>18.100000000000001</v>
      </c>
      <c r="Q125" s="494">
        <v>23.36</v>
      </c>
      <c r="R125" s="494">
        <v>34.67</v>
      </c>
      <c r="S125" s="494">
        <v>42.25</v>
      </c>
      <c r="T125" s="494">
        <v>45.54</v>
      </c>
      <c r="U125" s="491">
        <v>37640</v>
      </c>
      <c r="V125" s="491">
        <v>48590</v>
      </c>
      <c r="W125" s="491">
        <v>72110</v>
      </c>
      <c r="X125" s="491">
        <v>87870</v>
      </c>
      <c r="Y125" s="491">
        <v>94720</v>
      </c>
      <c r="Z125" s="490"/>
      <c r="AA125" s="490"/>
    </row>
    <row r="126" spans="7:27" x14ac:dyDescent="0.25">
      <c r="G126" s="489" t="s">
        <v>522</v>
      </c>
      <c r="H126" s="490" t="s">
        <v>399</v>
      </c>
      <c r="I126" s="491">
        <v>200</v>
      </c>
      <c r="J126" s="492">
        <v>7.4</v>
      </c>
      <c r="K126" s="493">
        <v>1.1399999999999999</v>
      </c>
      <c r="L126" s="494">
        <v>2.78</v>
      </c>
      <c r="M126" s="494">
        <v>31.18</v>
      </c>
      <c r="N126" s="491">
        <v>64860</v>
      </c>
      <c r="O126" s="492">
        <v>3.5</v>
      </c>
      <c r="P126" s="494">
        <v>19.28</v>
      </c>
      <c r="Q126" s="494">
        <v>23.1</v>
      </c>
      <c r="R126" s="494">
        <v>29.86</v>
      </c>
      <c r="S126" s="494">
        <v>36.869999999999997</v>
      </c>
      <c r="T126" s="494">
        <v>45.1</v>
      </c>
      <c r="U126" s="491">
        <v>40090</v>
      </c>
      <c r="V126" s="491">
        <v>48050</v>
      </c>
      <c r="W126" s="491">
        <v>62100</v>
      </c>
      <c r="X126" s="491">
        <v>76690</v>
      </c>
      <c r="Y126" s="491">
        <v>93810</v>
      </c>
      <c r="Z126" s="490"/>
      <c r="AA126" s="490"/>
    </row>
    <row r="127" spans="7:27" x14ac:dyDescent="0.25">
      <c r="G127" s="489" t="s">
        <v>523</v>
      </c>
      <c r="H127" s="490" t="s">
        <v>399</v>
      </c>
      <c r="I127" s="491">
        <v>740</v>
      </c>
      <c r="J127" s="492">
        <v>28.9</v>
      </c>
      <c r="K127" s="493">
        <v>4.2039999999999997</v>
      </c>
      <c r="L127" s="494">
        <v>1.64</v>
      </c>
      <c r="M127" s="494">
        <v>16.39</v>
      </c>
      <c r="N127" s="491">
        <v>34100</v>
      </c>
      <c r="O127" s="492">
        <v>3.4</v>
      </c>
      <c r="P127" s="494">
        <v>12.69</v>
      </c>
      <c r="Q127" s="494">
        <v>13.59</v>
      </c>
      <c r="R127" s="494">
        <v>15.15</v>
      </c>
      <c r="S127" s="494">
        <v>18.690000000000001</v>
      </c>
      <c r="T127" s="494">
        <v>22.52</v>
      </c>
      <c r="U127" s="491">
        <v>26390</v>
      </c>
      <c r="V127" s="491">
        <v>28260</v>
      </c>
      <c r="W127" s="491">
        <v>31500</v>
      </c>
      <c r="X127" s="491">
        <v>38880</v>
      </c>
      <c r="Y127" s="491">
        <v>46830</v>
      </c>
      <c r="Z127" s="490"/>
      <c r="AA127" s="490"/>
    </row>
    <row r="128" spans="7:27" x14ac:dyDescent="0.25">
      <c r="G128" s="489" t="s">
        <v>524</v>
      </c>
      <c r="H128" s="490" t="s">
        <v>399</v>
      </c>
      <c r="I128" s="491">
        <v>250</v>
      </c>
      <c r="J128" s="492">
        <v>23.3</v>
      </c>
      <c r="K128" s="493">
        <v>1.446</v>
      </c>
      <c r="L128" s="494">
        <v>3.91</v>
      </c>
      <c r="M128" s="494">
        <v>21.43</v>
      </c>
      <c r="N128" s="491">
        <v>44570</v>
      </c>
      <c r="O128" s="492">
        <v>5.8</v>
      </c>
      <c r="P128" s="494">
        <v>13.14</v>
      </c>
      <c r="Q128" s="494">
        <v>14.72</v>
      </c>
      <c r="R128" s="494">
        <v>19.579999999999998</v>
      </c>
      <c r="S128" s="494">
        <v>27.29</v>
      </c>
      <c r="T128" s="494">
        <v>30.38</v>
      </c>
      <c r="U128" s="491">
        <v>27320</v>
      </c>
      <c r="V128" s="491">
        <v>30620</v>
      </c>
      <c r="W128" s="491">
        <v>40730</v>
      </c>
      <c r="X128" s="491">
        <v>56760</v>
      </c>
      <c r="Y128" s="491">
        <v>63200</v>
      </c>
      <c r="Z128" s="490"/>
      <c r="AA128" s="490"/>
    </row>
    <row r="129" spans="7:27" x14ac:dyDescent="0.25">
      <c r="G129" s="489" t="s">
        <v>525</v>
      </c>
      <c r="H129" s="490" t="s">
        <v>399</v>
      </c>
      <c r="I129" s="491">
        <v>90</v>
      </c>
      <c r="J129" s="492">
        <v>8.6</v>
      </c>
      <c r="K129" s="493">
        <v>0.52300000000000002</v>
      </c>
      <c r="L129" s="494">
        <v>0.8</v>
      </c>
      <c r="M129" s="494">
        <v>25.92</v>
      </c>
      <c r="N129" s="491">
        <v>53920</v>
      </c>
      <c r="O129" s="492">
        <v>1.9</v>
      </c>
      <c r="P129" s="494">
        <v>17.29</v>
      </c>
      <c r="Q129" s="494">
        <v>20.53</v>
      </c>
      <c r="R129" s="494">
        <v>24.05</v>
      </c>
      <c r="S129" s="494">
        <v>30.47</v>
      </c>
      <c r="T129" s="494">
        <v>36.869999999999997</v>
      </c>
      <c r="U129" s="491">
        <v>35960</v>
      </c>
      <c r="V129" s="491">
        <v>42690</v>
      </c>
      <c r="W129" s="491">
        <v>50020</v>
      </c>
      <c r="X129" s="491">
        <v>63380</v>
      </c>
      <c r="Y129" s="491">
        <v>76680</v>
      </c>
      <c r="Z129" s="490"/>
      <c r="AA129" s="490"/>
    </row>
    <row r="130" spans="7:27" x14ac:dyDescent="0.25">
      <c r="G130" s="489" t="s">
        <v>526</v>
      </c>
      <c r="H130" s="490" t="s">
        <v>399</v>
      </c>
      <c r="I130" s="491">
        <v>40</v>
      </c>
      <c r="J130" s="492">
        <v>25</v>
      </c>
      <c r="K130" s="493">
        <v>0.216</v>
      </c>
      <c r="L130" s="494">
        <v>0.61</v>
      </c>
      <c r="M130" s="494">
        <v>26.42</v>
      </c>
      <c r="N130" s="491">
        <v>54950</v>
      </c>
      <c r="O130" s="492">
        <v>3.8</v>
      </c>
      <c r="P130" s="494">
        <v>15.08</v>
      </c>
      <c r="Q130" s="494">
        <v>18.79</v>
      </c>
      <c r="R130" s="494">
        <v>27.57</v>
      </c>
      <c r="S130" s="494">
        <v>30.77</v>
      </c>
      <c r="T130" s="494">
        <v>35.4</v>
      </c>
      <c r="U130" s="491">
        <v>31370</v>
      </c>
      <c r="V130" s="491">
        <v>39090</v>
      </c>
      <c r="W130" s="491">
        <v>57340</v>
      </c>
      <c r="X130" s="491">
        <v>64000</v>
      </c>
      <c r="Y130" s="491">
        <v>73630</v>
      </c>
      <c r="Z130" s="490"/>
      <c r="AA130" s="490"/>
    </row>
    <row r="131" spans="7:27" x14ac:dyDescent="0.25">
      <c r="G131" s="489" t="s">
        <v>527</v>
      </c>
      <c r="H131" s="490" t="s">
        <v>399</v>
      </c>
      <c r="I131" s="491" t="s">
        <v>403</v>
      </c>
      <c r="J131" s="492" t="s">
        <v>403</v>
      </c>
      <c r="K131" s="493" t="s">
        <v>403</v>
      </c>
      <c r="L131" s="494" t="s">
        <v>403</v>
      </c>
      <c r="M131" s="494">
        <v>16.899999999999999</v>
      </c>
      <c r="N131" s="491">
        <v>35160</v>
      </c>
      <c r="O131" s="492">
        <v>5.2</v>
      </c>
      <c r="P131" s="494">
        <v>15.08</v>
      </c>
      <c r="Q131" s="494">
        <v>15.76</v>
      </c>
      <c r="R131" s="494">
        <v>16.89</v>
      </c>
      <c r="S131" s="494">
        <v>18.03</v>
      </c>
      <c r="T131" s="494">
        <v>18.71</v>
      </c>
      <c r="U131" s="491">
        <v>31370</v>
      </c>
      <c r="V131" s="491">
        <v>32780</v>
      </c>
      <c r="W131" s="491">
        <v>35140</v>
      </c>
      <c r="X131" s="491">
        <v>37490</v>
      </c>
      <c r="Y131" s="491">
        <v>38910</v>
      </c>
      <c r="Z131" s="490"/>
      <c r="AA131" s="490"/>
    </row>
    <row r="132" spans="7:27" x14ac:dyDescent="0.25">
      <c r="G132" s="489" t="s">
        <v>187</v>
      </c>
      <c r="H132" s="490" t="s">
        <v>398</v>
      </c>
      <c r="I132" s="491">
        <v>1500</v>
      </c>
      <c r="J132" s="492">
        <v>7.1</v>
      </c>
      <c r="K132" s="493">
        <v>8.4969999999999999</v>
      </c>
      <c r="L132" s="494">
        <v>1.1100000000000001</v>
      </c>
      <c r="M132" s="494">
        <v>46.83</v>
      </c>
      <c r="N132" s="491">
        <v>97410</v>
      </c>
      <c r="O132" s="492">
        <v>5.6</v>
      </c>
      <c r="P132" s="494">
        <v>23.4</v>
      </c>
      <c r="Q132" s="494">
        <v>29.21</v>
      </c>
      <c r="R132" s="494">
        <v>42.26</v>
      </c>
      <c r="S132" s="494">
        <v>58.41</v>
      </c>
      <c r="T132" s="494">
        <v>77.010000000000005</v>
      </c>
      <c r="U132" s="491">
        <v>48670</v>
      </c>
      <c r="V132" s="491">
        <v>60760</v>
      </c>
      <c r="W132" s="491">
        <v>87910</v>
      </c>
      <c r="X132" s="491">
        <v>121500</v>
      </c>
      <c r="Y132" s="491">
        <v>160190</v>
      </c>
      <c r="Z132" s="490"/>
      <c r="AA132" s="490"/>
    </row>
    <row r="133" spans="7:27" x14ac:dyDescent="0.25">
      <c r="G133" s="489" t="s">
        <v>528</v>
      </c>
      <c r="H133" s="490" t="s">
        <v>399</v>
      </c>
      <c r="I133" s="491">
        <v>650</v>
      </c>
      <c r="J133" s="492">
        <v>20.3</v>
      </c>
      <c r="K133" s="493">
        <v>3.68</v>
      </c>
      <c r="L133" s="494">
        <v>0.83</v>
      </c>
      <c r="M133" s="494">
        <v>60.43</v>
      </c>
      <c r="N133" s="491">
        <v>125700</v>
      </c>
      <c r="O133" s="492">
        <v>7.5</v>
      </c>
      <c r="P133" s="494">
        <v>37.04</v>
      </c>
      <c r="Q133" s="494">
        <v>46.2</v>
      </c>
      <c r="R133" s="494">
        <v>55.72</v>
      </c>
      <c r="S133" s="494">
        <v>68.48</v>
      </c>
      <c r="T133" s="494">
        <v>87.55</v>
      </c>
      <c r="U133" s="491">
        <v>77040</v>
      </c>
      <c r="V133" s="491">
        <v>96100</v>
      </c>
      <c r="W133" s="491">
        <v>115890</v>
      </c>
      <c r="X133" s="491">
        <v>142430</v>
      </c>
      <c r="Y133" s="491">
        <v>182100</v>
      </c>
      <c r="Z133" s="490"/>
      <c r="AA133" s="490"/>
    </row>
    <row r="134" spans="7:27" x14ac:dyDescent="0.25">
      <c r="G134" s="489" t="s">
        <v>529</v>
      </c>
      <c r="H134" s="490" t="s">
        <v>399</v>
      </c>
      <c r="I134" s="491">
        <v>570</v>
      </c>
      <c r="J134" s="492">
        <v>16.600000000000001</v>
      </c>
      <c r="K134" s="493">
        <v>3.2109999999999999</v>
      </c>
      <c r="L134" s="494">
        <v>1.63</v>
      </c>
      <c r="M134" s="494">
        <v>33.090000000000003</v>
      </c>
      <c r="N134" s="491">
        <v>68830</v>
      </c>
      <c r="O134" s="492">
        <v>7.7</v>
      </c>
      <c r="P134" s="494">
        <v>21.04</v>
      </c>
      <c r="Q134" s="494">
        <v>25.32</v>
      </c>
      <c r="R134" s="494">
        <v>30.18</v>
      </c>
      <c r="S134" s="494">
        <v>37.659999999999997</v>
      </c>
      <c r="T134" s="494">
        <v>55.27</v>
      </c>
      <c r="U134" s="491">
        <v>43770</v>
      </c>
      <c r="V134" s="491">
        <v>52670</v>
      </c>
      <c r="W134" s="491">
        <v>62780</v>
      </c>
      <c r="X134" s="491">
        <v>78330</v>
      </c>
      <c r="Y134" s="491">
        <v>114950</v>
      </c>
      <c r="Z134" s="490"/>
      <c r="AA134" s="490"/>
    </row>
    <row r="135" spans="7:27" x14ac:dyDescent="0.25">
      <c r="G135" s="489" t="s">
        <v>530</v>
      </c>
      <c r="H135" s="490" t="s">
        <v>399</v>
      </c>
      <c r="I135" s="491">
        <v>70</v>
      </c>
      <c r="J135" s="492">
        <v>26.5</v>
      </c>
      <c r="K135" s="493">
        <v>0.39800000000000002</v>
      </c>
      <c r="L135" s="494">
        <v>1.02</v>
      </c>
      <c r="M135" s="494">
        <v>30.02</v>
      </c>
      <c r="N135" s="491">
        <v>62440</v>
      </c>
      <c r="O135" s="492">
        <v>7.9</v>
      </c>
      <c r="P135" s="494">
        <v>19.43</v>
      </c>
      <c r="Q135" s="494">
        <v>25.19</v>
      </c>
      <c r="R135" s="494">
        <v>30.34</v>
      </c>
      <c r="S135" s="494">
        <v>36.380000000000003</v>
      </c>
      <c r="T135" s="494">
        <v>39.49</v>
      </c>
      <c r="U135" s="491">
        <v>40410</v>
      </c>
      <c r="V135" s="491">
        <v>52390</v>
      </c>
      <c r="W135" s="491">
        <v>63100</v>
      </c>
      <c r="X135" s="491">
        <v>75670</v>
      </c>
      <c r="Y135" s="491">
        <v>82130</v>
      </c>
      <c r="Z135" s="490"/>
      <c r="AA135" s="490"/>
    </row>
    <row r="136" spans="7:27" x14ac:dyDescent="0.25">
      <c r="G136" s="489" t="s">
        <v>531</v>
      </c>
      <c r="H136" s="490" t="s">
        <v>399</v>
      </c>
      <c r="I136" s="491">
        <v>80</v>
      </c>
      <c r="J136" s="492">
        <v>6.5</v>
      </c>
      <c r="K136" s="493">
        <v>0.46100000000000002</v>
      </c>
      <c r="L136" s="494">
        <v>1.44</v>
      </c>
      <c r="M136" s="494">
        <v>35.08</v>
      </c>
      <c r="N136" s="491">
        <v>72980</v>
      </c>
      <c r="O136" s="492">
        <v>3.1</v>
      </c>
      <c r="P136" s="494">
        <v>18.96</v>
      </c>
      <c r="Q136" s="494">
        <v>26.14</v>
      </c>
      <c r="R136" s="494">
        <v>35.74</v>
      </c>
      <c r="S136" s="494">
        <v>42.27</v>
      </c>
      <c r="T136" s="494">
        <v>50.26</v>
      </c>
      <c r="U136" s="491">
        <v>39440</v>
      </c>
      <c r="V136" s="491">
        <v>54380</v>
      </c>
      <c r="W136" s="491">
        <v>74330</v>
      </c>
      <c r="X136" s="491">
        <v>87920</v>
      </c>
      <c r="Y136" s="491">
        <v>104550</v>
      </c>
      <c r="Z136" s="490"/>
      <c r="AA136" s="490"/>
    </row>
    <row r="137" spans="7:27" x14ac:dyDescent="0.25">
      <c r="G137" s="489" t="s">
        <v>188</v>
      </c>
      <c r="H137" s="490" t="s">
        <v>398</v>
      </c>
      <c r="I137" s="491">
        <v>9280</v>
      </c>
      <c r="J137" s="492">
        <v>2.2000000000000002</v>
      </c>
      <c r="K137" s="493">
        <v>52.683</v>
      </c>
      <c r="L137" s="494">
        <v>0.86</v>
      </c>
      <c r="M137" s="494">
        <v>31.71</v>
      </c>
      <c r="N137" s="491">
        <v>65960</v>
      </c>
      <c r="O137" s="492">
        <v>3.2</v>
      </c>
      <c r="P137" s="494">
        <v>15.3</v>
      </c>
      <c r="Q137" s="494">
        <v>21.38</v>
      </c>
      <c r="R137" s="494">
        <v>31.18</v>
      </c>
      <c r="S137" s="494">
        <v>41.11</v>
      </c>
      <c r="T137" s="494">
        <v>49.88</v>
      </c>
      <c r="U137" s="491">
        <v>31820</v>
      </c>
      <c r="V137" s="491">
        <v>44460</v>
      </c>
      <c r="W137" s="491">
        <v>64850</v>
      </c>
      <c r="X137" s="491">
        <v>85510</v>
      </c>
      <c r="Y137" s="491">
        <v>103750</v>
      </c>
      <c r="Z137" s="490"/>
      <c r="AA137" s="490"/>
    </row>
    <row r="138" spans="7:27" x14ac:dyDescent="0.25">
      <c r="G138" s="489" t="s">
        <v>532</v>
      </c>
      <c r="H138" s="490" t="s">
        <v>399</v>
      </c>
      <c r="I138" s="491">
        <v>150</v>
      </c>
      <c r="J138" s="492">
        <v>44</v>
      </c>
      <c r="K138" s="493">
        <v>0.84199999999999997</v>
      </c>
      <c r="L138" s="494">
        <v>1.42</v>
      </c>
      <c r="M138" s="494" t="s">
        <v>401</v>
      </c>
      <c r="N138" s="491" t="s">
        <v>401</v>
      </c>
      <c r="O138" s="492" t="s">
        <v>401</v>
      </c>
      <c r="P138" s="494" t="s">
        <v>401</v>
      </c>
      <c r="Q138" s="494" t="s">
        <v>401</v>
      </c>
      <c r="R138" s="494" t="s">
        <v>401</v>
      </c>
      <c r="S138" s="494" t="s">
        <v>401</v>
      </c>
      <c r="T138" s="494" t="s">
        <v>401</v>
      </c>
      <c r="U138" s="491" t="s">
        <v>401</v>
      </c>
      <c r="V138" s="491" t="s">
        <v>401</v>
      </c>
      <c r="W138" s="491" t="s">
        <v>401</v>
      </c>
      <c r="X138" s="491" t="s">
        <v>401</v>
      </c>
      <c r="Y138" s="491" t="s">
        <v>401</v>
      </c>
      <c r="Z138" s="490" t="s">
        <v>402</v>
      </c>
      <c r="AA138" s="490"/>
    </row>
    <row r="139" spans="7:27" x14ac:dyDescent="0.25">
      <c r="G139" s="489" t="s">
        <v>533</v>
      </c>
      <c r="H139" s="490" t="s">
        <v>399</v>
      </c>
      <c r="I139" s="491">
        <v>40</v>
      </c>
      <c r="J139" s="492">
        <v>3.2</v>
      </c>
      <c r="K139" s="493">
        <v>0.245</v>
      </c>
      <c r="L139" s="494">
        <v>0.66</v>
      </c>
      <c r="M139" s="494" t="s">
        <v>401</v>
      </c>
      <c r="N139" s="491" t="s">
        <v>401</v>
      </c>
      <c r="O139" s="492" t="s">
        <v>401</v>
      </c>
      <c r="P139" s="494" t="s">
        <v>401</v>
      </c>
      <c r="Q139" s="494" t="s">
        <v>401</v>
      </c>
      <c r="R139" s="494" t="s">
        <v>401</v>
      </c>
      <c r="S139" s="494" t="s">
        <v>401</v>
      </c>
      <c r="T139" s="494" t="s">
        <v>401</v>
      </c>
      <c r="U139" s="491" t="s">
        <v>401</v>
      </c>
      <c r="V139" s="491" t="s">
        <v>401</v>
      </c>
      <c r="W139" s="491" t="s">
        <v>401</v>
      </c>
      <c r="X139" s="491" t="s">
        <v>401</v>
      </c>
      <c r="Y139" s="491" t="s">
        <v>401</v>
      </c>
      <c r="Z139" s="490" t="s">
        <v>402</v>
      </c>
      <c r="AA139" s="490"/>
    </row>
    <row r="140" spans="7:27" x14ac:dyDescent="0.25">
      <c r="G140" s="489" t="s">
        <v>534</v>
      </c>
      <c r="H140" s="490" t="s">
        <v>399</v>
      </c>
      <c r="I140" s="491">
        <v>50</v>
      </c>
      <c r="J140" s="492">
        <v>11.4</v>
      </c>
      <c r="K140" s="493">
        <v>0.26600000000000001</v>
      </c>
      <c r="L140" s="494">
        <v>0.73</v>
      </c>
      <c r="M140" s="494" t="s">
        <v>401</v>
      </c>
      <c r="N140" s="491">
        <v>82600</v>
      </c>
      <c r="O140" s="492">
        <v>2.2999999999999998</v>
      </c>
      <c r="P140" s="494" t="s">
        <v>401</v>
      </c>
      <c r="Q140" s="494" t="s">
        <v>401</v>
      </c>
      <c r="R140" s="494" t="s">
        <v>401</v>
      </c>
      <c r="S140" s="494" t="s">
        <v>401</v>
      </c>
      <c r="T140" s="494" t="s">
        <v>401</v>
      </c>
      <c r="U140" s="491">
        <v>48240</v>
      </c>
      <c r="V140" s="491">
        <v>65230</v>
      </c>
      <c r="W140" s="491">
        <v>80450</v>
      </c>
      <c r="X140" s="491">
        <v>102100</v>
      </c>
      <c r="Y140" s="491">
        <v>122090</v>
      </c>
      <c r="Z140" s="490" t="s">
        <v>402</v>
      </c>
      <c r="AA140" s="490"/>
    </row>
    <row r="141" spans="7:27" x14ac:dyDescent="0.25">
      <c r="G141" s="489" t="s">
        <v>535</v>
      </c>
      <c r="H141" s="490" t="s">
        <v>399</v>
      </c>
      <c r="I141" s="491">
        <v>190</v>
      </c>
      <c r="J141" s="492">
        <v>26</v>
      </c>
      <c r="K141" s="493">
        <v>1.054</v>
      </c>
      <c r="L141" s="494">
        <v>1.27</v>
      </c>
      <c r="M141" s="494">
        <v>34.14</v>
      </c>
      <c r="N141" s="491">
        <v>71010</v>
      </c>
      <c r="O141" s="492">
        <v>6.5</v>
      </c>
      <c r="P141" s="494">
        <v>23.81</v>
      </c>
      <c r="Q141" s="494">
        <v>27.12</v>
      </c>
      <c r="R141" s="494">
        <v>32.369999999999997</v>
      </c>
      <c r="S141" s="494">
        <v>38.9</v>
      </c>
      <c r="T141" s="494">
        <v>47.49</v>
      </c>
      <c r="U141" s="491">
        <v>49520</v>
      </c>
      <c r="V141" s="491">
        <v>56410</v>
      </c>
      <c r="W141" s="491">
        <v>67330</v>
      </c>
      <c r="X141" s="491">
        <v>80910</v>
      </c>
      <c r="Y141" s="491">
        <v>98790</v>
      </c>
      <c r="Z141" s="490"/>
      <c r="AA141" s="490"/>
    </row>
    <row r="142" spans="7:27" x14ac:dyDescent="0.25">
      <c r="G142" s="489" t="s">
        <v>536</v>
      </c>
      <c r="H142" s="490" t="s">
        <v>399</v>
      </c>
      <c r="I142" s="491">
        <v>130</v>
      </c>
      <c r="J142" s="492">
        <v>45.5</v>
      </c>
      <c r="K142" s="493">
        <v>0.70899999999999996</v>
      </c>
      <c r="L142" s="494">
        <v>0.51</v>
      </c>
      <c r="M142" s="494" t="s">
        <v>401</v>
      </c>
      <c r="N142" s="491">
        <v>61830</v>
      </c>
      <c r="O142" s="492">
        <v>5.8</v>
      </c>
      <c r="P142" s="494" t="s">
        <v>401</v>
      </c>
      <c r="Q142" s="494" t="s">
        <v>401</v>
      </c>
      <c r="R142" s="494" t="s">
        <v>401</v>
      </c>
      <c r="S142" s="494" t="s">
        <v>401</v>
      </c>
      <c r="T142" s="494" t="s">
        <v>401</v>
      </c>
      <c r="U142" s="491">
        <v>44340</v>
      </c>
      <c r="V142" s="491">
        <v>53980</v>
      </c>
      <c r="W142" s="491">
        <v>59490</v>
      </c>
      <c r="X142" s="491">
        <v>64970</v>
      </c>
      <c r="Y142" s="491">
        <v>77960</v>
      </c>
      <c r="Z142" s="490" t="s">
        <v>402</v>
      </c>
      <c r="AA142" s="490"/>
    </row>
    <row r="143" spans="7:27" x14ac:dyDescent="0.25">
      <c r="G143" s="489" t="s">
        <v>537</v>
      </c>
      <c r="H143" s="490" t="s">
        <v>399</v>
      </c>
      <c r="I143" s="491">
        <v>260</v>
      </c>
      <c r="J143" s="492">
        <v>30.2</v>
      </c>
      <c r="K143" s="493">
        <v>1.492</v>
      </c>
      <c r="L143" s="494">
        <v>0.54</v>
      </c>
      <c r="M143" s="494">
        <v>17.190000000000001</v>
      </c>
      <c r="N143" s="491">
        <v>35750</v>
      </c>
      <c r="O143" s="492">
        <v>13.4</v>
      </c>
      <c r="P143" s="494">
        <v>10.48</v>
      </c>
      <c r="Q143" s="494">
        <v>11.61</v>
      </c>
      <c r="R143" s="494">
        <v>14.46</v>
      </c>
      <c r="S143" s="494">
        <v>18.88</v>
      </c>
      <c r="T143" s="494">
        <v>28.71</v>
      </c>
      <c r="U143" s="491">
        <v>21790</v>
      </c>
      <c r="V143" s="491">
        <v>24140</v>
      </c>
      <c r="W143" s="491">
        <v>30070</v>
      </c>
      <c r="X143" s="491">
        <v>39280</v>
      </c>
      <c r="Y143" s="491">
        <v>59720</v>
      </c>
      <c r="Z143" s="490"/>
      <c r="AA143" s="490"/>
    </row>
    <row r="144" spans="7:27" x14ac:dyDescent="0.25">
      <c r="G144" s="489" t="s">
        <v>538</v>
      </c>
      <c r="H144" s="490" t="s">
        <v>399</v>
      </c>
      <c r="I144" s="491">
        <v>1710</v>
      </c>
      <c r="J144" s="492">
        <v>0.4</v>
      </c>
      <c r="K144" s="493">
        <v>9.6780000000000008</v>
      </c>
      <c r="L144" s="494">
        <v>0.98</v>
      </c>
      <c r="M144" s="494" t="s">
        <v>401</v>
      </c>
      <c r="N144" s="491">
        <v>76720</v>
      </c>
      <c r="O144" s="492">
        <v>2.4</v>
      </c>
      <c r="P144" s="494" t="s">
        <v>401</v>
      </c>
      <c r="Q144" s="494" t="s">
        <v>401</v>
      </c>
      <c r="R144" s="494" t="s">
        <v>401</v>
      </c>
      <c r="S144" s="494" t="s">
        <v>401</v>
      </c>
      <c r="T144" s="494" t="s">
        <v>401</v>
      </c>
      <c r="U144" s="491">
        <v>56360</v>
      </c>
      <c r="V144" s="491">
        <v>64040</v>
      </c>
      <c r="W144" s="491">
        <v>74980</v>
      </c>
      <c r="X144" s="491">
        <v>88450</v>
      </c>
      <c r="Y144" s="491">
        <v>100350</v>
      </c>
      <c r="Z144" s="490" t="s">
        <v>402</v>
      </c>
      <c r="AA144" s="490"/>
    </row>
    <row r="145" spans="7:27" x14ac:dyDescent="0.25">
      <c r="G145" s="489" t="s">
        <v>539</v>
      </c>
      <c r="H145" s="490" t="s">
        <v>399</v>
      </c>
      <c r="I145" s="491">
        <v>990</v>
      </c>
      <c r="J145" s="492">
        <v>2.6</v>
      </c>
      <c r="K145" s="493">
        <v>5.6059999999999999</v>
      </c>
      <c r="L145" s="494">
        <v>0.78</v>
      </c>
      <c r="M145" s="494" t="s">
        <v>401</v>
      </c>
      <c r="N145" s="491">
        <v>89960</v>
      </c>
      <c r="O145" s="492">
        <v>2.4</v>
      </c>
      <c r="P145" s="494" t="s">
        <v>401</v>
      </c>
      <c r="Q145" s="494" t="s">
        <v>401</v>
      </c>
      <c r="R145" s="494" t="s">
        <v>401</v>
      </c>
      <c r="S145" s="494" t="s">
        <v>401</v>
      </c>
      <c r="T145" s="494" t="s">
        <v>401</v>
      </c>
      <c r="U145" s="491">
        <v>63540</v>
      </c>
      <c r="V145" s="491">
        <v>73010</v>
      </c>
      <c r="W145" s="491">
        <v>89570</v>
      </c>
      <c r="X145" s="491">
        <v>110660</v>
      </c>
      <c r="Y145" s="491">
        <v>124040</v>
      </c>
      <c r="Z145" s="490" t="s">
        <v>402</v>
      </c>
      <c r="AA145" s="490"/>
    </row>
    <row r="146" spans="7:27" x14ac:dyDescent="0.25">
      <c r="G146" s="489" t="s">
        <v>540</v>
      </c>
      <c r="H146" s="490" t="s">
        <v>399</v>
      </c>
      <c r="I146" s="491">
        <v>390</v>
      </c>
      <c r="J146" s="492">
        <v>0.6</v>
      </c>
      <c r="K146" s="493">
        <v>2.1949999999999998</v>
      </c>
      <c r="L146" s="494">
        <v>1.62</v>
      </c>
      <c r="M146" s="494" t="s">
        <v>401</v>
      </c>
      <c r="N146" s="491">
        <v>81760</v>
      </c>
      <c r="O146" s="492">
        <v>2.2000000000000002</v>
      </c>
      <c r="P146" s="494" t="s">
        <v>401</v>
      </c>
      <c r="Q146" s="494" t="s">
        <v>401</v>
      </c>
      <c r="R146" s="494" t="s">
        <v>401</v>
      </c>
      <c r="S146" s="494" t="s">
        <v>401</v>
      </c>
      <c r="T146" s="494" t="s">
        <v>401</v>
      </c>
      <c r="U146" s="491">
        <v>58580</v>
      </c>
      <c r="V146" s="491">
        <v>68420</v>
      </c>
      <c r="W146" s="491">
        <v>80620</v>
      </c>
      <c r="X146" s="491">
        <v>96130</v>
      </c>
      <c r="Y146" s="491">
        <v>108100</v>
      </c>
      <c r="Z146" s="490" t="s">
        <v>402</v>
      </c>
      <c r="AA146" s="490"/>
    </row>
    <row r="147" spans="7:27" x14ac:dyDescent="0.25">
      <c r="G147" s="489" t="s">
        <v>541</v>
      </c>
      <c r="H147" s="490" t="s">
        <v>399</v>
      </c>
      <c r="I147" s="491">
        <v>90</v>
      </c>
      <c r="J147" s="492">
        <v>0</v>
      </c>
      <c r="K147" s="493">
        <v>0.53900000000000003</v>
      </c>
      <c r="L147" s="494">
        <v>0.84</v>
      </c>
      <c r="M147" s="494" t="s">
        <v>401</v>
      </c>
      <c r="N147" s="491">
        <v>82480</v>
      </c>
      <c r="O147" s="492">
        <v>2.4</v>
      </c>
      <c r="P147" s="494" t="s">
        <v>401</v>
      </c>
      <c r="Q147" s="494" t="s">
        <v>401</v>
      </c>
      <c r="R147" s="494" t="s">
        <v>401</v>
      </c>
      <c r="S147" s="494" t="s">
        <v>401</v>
      </c>
      <c r="T147" s="494" t="s">
        <v>401</v>
      </c>
      <c r="U147" s="491">
        <v>56290</v>
      </c>
      <c r="V147" s="491">
        <v>65490</v>
      </c>
      <c r="W147" s="491">
        <v>78180</v>
      </c>
      <c r="X147" s="491">
        <v>101360</v>
      </c>
      <c r="Y147" s="491">
        <v>120150</v>
      </c>
      <c r="Z147" s="490" t="s">
        <v>402</v>
      </c>
      <c r="AA147" s="490"/>
    </row>
    <row r="148" spans="7:27" x14ac:dyDescent="0.25">
      <c r="G148" s="489" t="s">
        <v>542</v>
      </c>
      <c r="H148" s="490" t="s">
        <v>399</v>
      </c>
      <c r="I148" s="491">
        <v>170</v>
      </c>
      <c r="J148" s="492">
        <v>28.2</v>
      </c>
      <c r="K148" s="493">
        <v>0.97099999999999997</v>
      </c>
      <c r="L148" s="494">
        <v>0.59</v>
      </c>
      <c r="M148" s="494">
        <v>24.07</v>
      </c>
      <c r="N148" s="491">
        <v>50060</v>
      </c>
      <c r="O148" s="492">
        <v>5.9</v>
      </c>
      <c r="P148" s="494">
        <v>14.17</v>
      </c>
      <c r="Q148" s="494">
        <v>20.09</v>
      </c>
      <c r="R148" s="494">
        <v>22.36</v>
      </c>
      <c r="S148" s="494">
        <v>24.83</v>
      </c>
      <c r="T148" s="494">
        <v>31.39</v>
      </c>
      <c r="U148" s="491">
        <v>29470</v>
      </c>
      <c r="V148" s="491">
        <v>41790</v>
      </c>
      <c r="W148" s="491">
        <v>46510</v>
      </c>
      <c r="X148" s="491">
        <v>51650</v>
      </c>
      <c r="Y148" s="491">
        <v>65290</v>
      </c>
      <c r="Z148" s="490"/>
      <c r="AA148" s="490"/>
    </row>
    <row r="149" spans="7:27" x14ac:dyDescent="0.25">
      <c r="G149" s="489" t="s">
        <v>543</v>
      </c>
      <c r="H149" s="490" t="s">
        <v>399</v>
      </c>
      <c r="I149" s="491">
        <v>310</v>
      </c>
      <c r="J149" s="492">
        <v>7</v>
      </c>
      <c r="K149" s="493">
        <v>1.7629999999999999</v>
      </c>
      <c r="L149" s="494">
        <v>0.85</v>
      </c>
      <c r="M149" s="494" t="s">
        <v>401</v>
      </c>
      <c r="N149" s="491">
        <v>71380</v>
      </c>
      <c r="O149" s="492">
        <v>4.9000000000000004</v>
      </c>
      <c r="P149" s="494" t="s">
        <v>401</v>
      </c>
      <c r="Q149" s="494" t="s">
        <v>401</v>
      </c>
      <c r="R149" s="494" t="s">
        <v>401</v>
      </c>
      <c r="S149" s="494" t="s">
        <v>401</v>
      </c>
      <c r="T149" s="494" t="s">
        <v>401</v>
      </c>
      <c r="U149" s="491">
        <v>34100</v>
      </c>
      <c r="V149" s="491">
        <v>50540</v>
      </c>
      <c r="W149" s="491">
        <v>71150</v>
      </c>
      <c r="X149" s="491">
        <v>91910</v>
      </c>
      <c r="Y149" s="491">
        <v>106160</v>
      </c>
      <c r="Z149" s="490" t="s">
        <v>402</v>
      </c>
      <c r="AA149" s="490"/>
    </row>
    <row r="150" spans="7:27" x14ac:dyDescent="0.25">
      <c r="G150" s="489" t="s">
        <v>544</v>
      </c>
      <c r="H150" s="490" t="s">
        <v>399</v>
      </c>
      <c r="I150" s="491">
        <v>180</v>
      </c>
      <c r="J150" s="492">
        <v>2.7</v>
      </c>
      <c r="K150" s="493">
        <v>1.01</v>
      </c>
      <c r="L150" s="494">
        <v>1.1000000000000001</v>
      </c>
      <c r="M150" s="494">
        <v>38.26</v>
      </c>
      <c r="N150" s="491">
        <v>79580</v>
      </c>
      <c r="O150" s="492">
        <v>4.4000000000000004</v>
      </c>
      <c r="P150" s="494">
        <v>25.08</v>
      </c>
      <c r="Q150" s="494">
        <v>31.72</v>
      </c>
      <c r="R150" s="494">
        <v>38.159999999999997</v>
      </c>
      <c r="S150" s="494">
        <v>46.55</v>
      </c>
      <c r="T150" s="494">
        <v>54.68</v>
      </c>
      <c r="U150" s="491">
        <v>52180</v>
      </c>
      <c r="V150" s="491">
        <v>65980</v>
      </c>
      <c r="W150" s="491">
        <v>79380</v>
      </c>
      <c r="X150" s="491">
        <v>96830</v>
      </c>
      <c r="Y150" s="491">
        <v>113740</v>
      </c>
      <c r="Z150" s="490"/>
      <c r="AA150" s="490"/>
    </row>
    <row r="151" spans="7:27" x14ac:dyDescent="0.25">
      <c r="G151" s="489" t="s">
        <v>545</v>
      </c>
      <c r="H151" s="490" t="s">
        <v>399</v>
      </c>
      <c r="I151" s="491">
        <v>50</v>
      </c>
      <c r="J151" s="492">
        <v>7.8</v>
      </c>
      <c r="K151" s="493">
        <v>0.312</v>
      </c>
      <c r="L151" s="494">
        <v>0.47</v>
      </c>
      <c r="M151" s="494">
        <v>21.38</v>
      </c>
      <c r="N151" s="491">
        <v>44470</v>
      </c>
      <c r="O151" s="492">
        <v>6.3</v>
      </c>
      <c r="P151" s="494">
        <v>13.61</v>
      </c>
      <c r="Q151" s="494">
        <v>16.61</v>
      </c>
      <c r="R151" s="494">
        <v>20.98</v>
      </c>
      <c r="S151" s="494">
        <v>25.99</v>
      </c>
      <c r="T151" s="494">
        <v>28.79</v>
      </c>
      <c r="U151" s="491">
        <v>28310</v>
      </c>
      <c r="V151" s="491">
        <v>34550</v>
      </c>
      <c r="W151" s="491">
        <v>43630</v>
      </c>
      <c r="X151" s="491">
        <v>54050</v>
      </c>
      <c r="Y151" s="491">
        <v>59880</v>
      </c>
      <c r="Z151" s="490"/>
      <c r="AA151" s="490"/>
    </row>
    <row r="152" spans="7:27" x14ac:dyDescent="0.25">
      <c r="G152" s="489" t="s">
        <v>546</v>
      </c>
      <c r="H152" s="490" t="s">
        <v>399</v>
      </c>
      <c r="I152" s="491">
        <v>320</v>
      </c>
      <c r="J152" s="492">
        <v>14.1</v>
      </c>
      <c r="K152" s="493">
        <v>1.8140000000000001</v>
      </c>
      <c r="L152" s="494">
        <v>1.73</v>
      </c>
      <c r="M152" s="494">
        <v>37.04</v>
      </c>
      <c r="N152" s="491">
        <v>77050</v>
      </c>
      <c r="O152" s="492">
        <v>4.9000000000000004</v>
      </c>
      <c r="P152" s="494">
        <v>23.28</v>
      </c>
      <c r="Q152" s="494">
        <v>27.66</v>
      </c>
      <c r="R152" s="494">
        <v>37.04</v>
      </c>
      <c r="S152" s="494">
        <v>46.09</v>
      </c>
      <c r="T152" s="494">
        <v>53.29</v>
      </c>
      <c r="U152" s="491">
        <v>48420</v>
      </c>
      <c r="V152" s="491">
        <v>57530</v>
      </c>
      <c r="W152" s="491">
        <v>77050</v>
      </c>
      <c r="X152" s="491">
        <v>95870</v>
      </c>
      <c r="Y152" s="491">
        <v>110850</v>
      </c>
      <c r="Z152" s="490"/>
      <c r="AA152" s="490"/>
    </row>
    <row r="153" spans="7:27" x14ac:dyDescent="0.25">
      <c r="G153" s="489" t="s">
        <v>547</v>
      </c>
      <c r="H153" s="490" t="s">
        <v>399</v>
      </c>
      <c r="I153" s="491">
        <v>1700</v>
      </c>
      <c r="J153" s="492">
        <v>5.0999999999999996</v>
      </c>
      <c r="K153" s="493">
        <v>9.6720000000000006</v>
      </c>
      <c r="L153" s="494">
        <v>1.07</v>
      </c>
      <c r="M153" s="494" t="s">
        <v>401</v>
      </c>
      <c r="N153" s="491">
        <v>39650</v>
      </c>
      <c r="O153" s="492">
        <v>3</v>
      </c>
      <c r="P153" s="494" t="s">
        <v>401</v>
      </c>
      <c r="Q153" s="494" t="s">
        <v>401</v>
      </c>
      <c r="R153" s="494" t="s">
        <v>401</v>
      </c>
      <c r="S153" s="494" t="s">
        <v>401</v>
      </c>
      <c r="T153" s="494" t="s">
        <v>401</v>
      </c>
      <c r="U153" s="491">
        <v>27330</v>
      </c>
      <c r="V153" s="491">
        <v>33390</v>
      </c>
      <c r="W153" s="491">
        <v>38980</v>
      </c>
      <c r="X153" s="491">
        <v>46680</v>
      </c>
      <c r="Y153" s="491">
        <v>52980</v>
      </c>
      <c r="Z153" s="490" t="s">
        <v>402</v>
      </c>
      <c r="AA153" s="490"/>
    </row>
    <row r="154" spans="7:27" x14ac:dyDescent="0.25">
      <c r="G154" s="489" t="s">
        <v>548</v>
      </c>
      <c r="H154" s="490" t="s">
        <v>399</v>
      </c>
      <c r="I154" s="491">
        <v>510</v>
      </c>
      <c r="J154" s="492">
        <v>0.2</v>
      </c>
      <c r="K154" s="493">
        <v>2.9039999999999999</v>
      </c>
      <c r="L154" s="494">
        <v>4.05</v>
      </c>
      <c r="M154" s="494">
        <v>14.74</v>
      </c>
      <c r="N154" s="491">
        <v>30650</v>
      </c>
      <c r="O154" s="492">
        <v>2.7</v>
      </c>
      <c r="P154" s="494">
        <v>9.75</v>
      </c>
      <c r="Q154" s="494">
        <v>9.75</v>
      </c>
      <c r="R154" s="494">
        <v>9.76</v>
      </c>
      <c r="S154" s="494">
        <v>17.010000000000002</v>
      </c>
      <c r="T154" s="494">
        <v>30.06</v>
      </c>
      <c r="U154" s="491">
        <v>20280</v>
      </c>
      <c r="V154" s="491">
        <v>20290</v>
      </c>
      <c r="W154" s="491">
        <v>20300</v>
      </c>
      <c r="X154" s="491">
        <v>35380</v>
      </c>
      <c r="Y154" s="491">
        <v>62530</v>
      </c>
      <c r="Z154" s="490"/>
      <c r="AA154" s="490"/>
    </row>
    <row r="155" spans="7:27" x14ac:dyDescent="0.25">
      <c r="G155" s="489" t="s">
        <v>189</v>
      </c>
      <c r="H155" s="490" t="s">
        <v>398</v>
      </c>
      <c r="I155" s="491">
        <v>2110</v>
      </c>
      <c r="J155" s="492">
        <v>7</v>
      </c>
      <c r="K155" s="493">
        <v>12</v>
      </c>
      <c r="L155" s="494">
        <v>0.89</v>
      </c>
      <c r="M155" s="494">
        <v>27.21</v>
      </c>
      <c r="N155" s="491">
        <v>56590</v>
      </c>
      <c r="O155" s="492">
        <v>3</v>
      </c>
      <c r="P155" s="494">
        <v>12.08</v>
      </c>
      <c r="Q155" s="494">
        <v>17.41</v>
      </c>
      <c r="R155" s="494">
        <v>24.37</v>
      </c>
      <c r="S155" s="494">
        <v>31.44</v>
      </c>
      <c r="T155" s="494">
        <v>43.73</v>
      </c>
      <c r="U155" s="491">
        <v>25120</v>
      </c>
      <c r="V155" s="491">
        <v>36210</v>
      </c>
      <c r="W155" s="491">
        <v>50690</v>
      </c>
      <c r="X155" s="491">
        <v>65390</v>
      </c>
      <c r="Y155" s="491">
        <v>90960</v>
      </c>
      <c r="Z155" s="490"/>
      <c r="AA155" s="490"/>
    </row>
    <row r="156" spans="7:27" x14ac:dyDescent="0.25">
      <c r="G156" s="489" t="s">
        <v>549</v>
      </c>
      <c r="H156" s="490" t="s">
        <v>399</v>
      </c>
      <c r="I156" s="491" t="s">
        <v>403</v>
      </c>
      <c r="J156" s="492" t="s">
        <v>403</v>
      </c>
      <c r="K156" s="493" t="s">
        <v>403</v>
      </c>
      <c r="L156" s="494" t="s">
        <v>403</v>
      </c>
      <c r="M156" s="494">
        <v>44.93</v>
      </c>
      <c r="N156" s="491">
        <v>93460</v>
      </c>
      <c r="O156" s="492">
        <v>10.5</v>
      </c>
      <c r="P156" s="494">
        <v>19.829999999999998</v>
      </c>
      <c r="Q156" s="494">
        <v>34.450000000000003</v>
      </c>
      <c r="R156" s="494">
        <v>43.03</v>
      </c>
      <c r="S156" s="494">
        <v>62.4</v>
      </c>
      <c r="T156" s="494">
        <v>73.27</v>
      </c>
      <c r="U156" s="491">
        <v>41250</v>
      </c>
      <c r="V156" s="491">
        <v>71660</v>
      </c>
      <c r="W156" s="491">
        <v>89500</v>
      </c>
      <c r="X156" s="491">
        <v>129800</v>
      </c>
      <c r="Y156" s="491">
        <v>152400</v>
      </c>
      <c r="Z156" s="490"/>
      <c r="AA156" s="490"/>
    </row>
    <row r="157" spans="7:27" x14ac:dyDescent="0.25">
      <c r="G157" s="489" t="s">
        <v>550</v>
      </c>
      <c r="H157" s="490" t="s">
        <v>399</v>
      </c>
      <c r="I157" s="491">
        <v>40</v>
      </c>
      <c r="J157" s="492">
        <v>10.3</v>
      </c>
      <c r="K157" s="493">
        <v>0.252</v>
      </c>
      <c r="L157" s="494">
        <v>0.8</v>
      </c>
      <c r="M157" s="494">
        <v>16.46</v>
      </c>
      <c r="N157" s="491">
        <v>34230</v>
      </c>
      <c r="O157" s="492">
        <v>6.8</v>
      </c>
      <c r="P157" s="494">
        <v>10.3</v>
      </c>
      <c r="Q157" s="494">
        <v>12.04</v>
      </c>
      <c r="R157" s="494">
        <v>16.29</v>
      </c>
      <c r="S157" s="494">
        <v>20.53</v>
      </c>
      <c r="T157" s="494">
        <v>23.34</v>
      </c>
      <c r="U157" s="491">
        <v>21430</v>
      </c>
      <c r="V157" s="491">
        <v>25040</v>
      </c>
      <c r="W157" s="491">
        <v>33880</v>
      </c>
      <c r="X157" s="491">
        <v>42700</v>
      </c>
      <c r="Y157" s="491">
        <v>48550</v>
      </c>
      <c r="Z157" s="490"/>
      <c r="AA157" s="490"/>
    </row>
    <row r="158" spans="7:27" x14ac:dyDescent="0.25">
      <c r="G158" s="489" t="s">
        <v>551</v>
      </c>
      <c r="H158" s="490" t="s">
        <v>399</v>
      </c>
      <c r="I158" s="491">
        <v>230</v>
      </c>
      <c r="J158" s="492">
        <v>29.5</v>
      </c>
      <c r="K158" s="493">
        <v>1.2829999999999999</v>
      </c>
      <c r="L158" s="494">
        <v>0.86</v>
      </c>
      <c r="M158" s="494">
        <v>26.08</v>
      </c>
      <c r="N158" s="491">
        <v>54250</v>
      </c>
      <c r="O158" s="492">
        <v>6.5</v>
      </c>
      <c r="P158" s="494">
        <v>16</v>
      </c>
      <c r="Q158" s="494">
        <v>18.93</v>
      </c>
      <c r="R158" s="494">
        <v>27</v>
      </c>
      <c r="S158" s="494">
        <v>31.74</v>
      </c>
      <c r="T158" s="494">
        <v>37.06</v>
      </c>
      <c r="U158" s="491">
        <v>33270</v>
      </c>
      <c r="V158" s="491">
        <v>39380</v>
      </c>
      <c r="W158" s="491">
        <v>56150</v>
      </c>
      <c r="X158" s="491">
        <v>66030</v>
      </c>
      <c r="Y158" s="491">
        <v>77080</v>
      </c>
      <c r="Z158" s="490"/>
      <c r="AA158" s="490"/>
    </row>
    <row r="159" spans="7:27" x14ac:dyDescent="0.25">
      <c r="G159" s="489" t="s">
        <v>552</v>
      </c>
      <c r="H159" s="490" t="s">
        <v>399</v>
      </c>
      <c r="I159" s="491">
        <v>40</v>
      </c>
      <c r="J159" s="492">
        <v>38.6</v>
      </c>
      <c r="K159" s="493">
        <v>0.20300000000000001</v>
      </c>
      <c r="L159" s="494">
        <v>0.54</v>
      </c>
      <c r="M159" s="494">
        <v>22.23</v>
      </c>
      <c r="N159" s="491">
        <v>46230</v>
      </c>
      <c r="O159" s="492">
        <v>7.4</v>
      </c>
      <c r="P159" s="494">
        <v>9.76</v>
      </c>
      <c r="Q159" s="494">
        <v>15.87</v>
      </c>
      <c r="R159" s="494">
        <v>20.55</v>
      </c>
      <c r="S159" s="494">
        <v>27.86</v>
      </c>
      <c r="T159" s="494">
        <v>31.15</v>
      </c>
      <c r="U159" s="491">
        <v>20290</v>
      </c>
      <c r="V159" s="491">
        <v>33000</v>
      </c>
      <c r="W159" s="491">
        <v>42730</v>
      </c>
      <c r="X159" s="491">
        <v>57940</v>
      </c>
      <c r="Y159" s="491">
        <v>64790</v>
      </c>
      <c r="Z159" s="490"/>
      <c r="AA159" s="490"/>
    </row>
    <row r="160" spans="7:27" x14ac:dyDescent="0.25">
      <c r="G160" s="489" t="s">
        <v>553</v>
      </c>
      <c r="H160" s="490" t="s">
        <v>399</v>
      </c>
      <c r="I160" s="491">
        <v>90</v>
      </c>
      <c r="J160" s="492">
        <v>18.2</v>
      </c>
      <c r="K160" s="493">
        <v>0.52</v>
      </c>
      <c r="L160" s="494">
        <v>0.64</v>
      </c>
      <c r="M160" s="494">
        <v>17.21</v>
      </c>
      <c r="N160" s="491">
        <v>35810</v>
      </c>
      <c r="O160" s="492">
        <v>6.2</v>
      </c>
      <c r="P160" s="494">
        <v>11.22</v>
      </c>
      <c r="Q160" s="494">
        <v>13.24</v>
      </c>
      <c r="R160" s="494">
        <v>16.309999999999999</v>
      </c>
      <c r="S160" s="494">
        <v>20.440000000000001</v>
      </c>
      <c r="T160" s="494">
        <v>25.43</v>
      </c>
      <c r="U160" s="491">
        <v>23340</v>
      </c>
      <c r="V160" s="491">
        <v>27540</v>
      </c>
      <c r="W160" s="491">
        <v>33920</v>
      </c>
      <c r="X160" s="491">
        <v>42520</v>
      </c>
      <c r="Y160" s="491">
        <v>52880</v>
      </c>
      <c r="Z160" s="490"/>
      <c r="AA160" s="490"/>
    </row>
    <row r="161" spans="7:27" x14ac:dyDescent="0.25">
      <c r="G161" s="489" t="s">
        <v>554</v>
      </c>
      <c r="H161" s="490" t="s">
        <v>399</v>
      </c>
      <c r="I161" s="491">
        <v>100</v>
      </c>
      <c r="J161" s="492">
        <v>13.6</v>
      </c>
      <c r="K161" s="493">
        <v>0.55600000000000005</v>
      </c>
      <c r="L161" s="494">
        <v>0.68</v>
      </c>
      <c r="M161" s="494">
        <v>31.41</v>
      </c>
      <c r="N161" s="491">
        <v>65330</v>
      </c>
      <c r="O161" s="492">
        <v>9.1</v>
      </c>
      <c r="P161" s="494">
        <v>11.31</v>
      </c>
      <c r="Q161" s="494">
        <v>20.010000000000002</v>
      </c>
      <c r="R161" s="494">
        <v>27.34</v>
      </c>
      <c r="S161" s="494">
        <v>39.46</v>
      </c>
      <c r="T161" s="494">
        <v>62.98</v>
      </c>
      <c r="U161" s="491">
        <v>23530</v>
      </c>
      <c r="V161" s="491">
        <v>41620</v>
      </c>
      <c r="W161" s="491">
        <v>56870</v>
      </c>
      <c r="X161" s="491">
        <v>82070</v>
      </c>
      <c r="Y161" s="491">
        <v>131000</v>
      </c>
      <c r="Z161" s="490"/>
      <c r="AA161" s="490"/>
    </row>
    <row r="162" spans="7:27" x14ac:dyDescent="0.25">
      <c r="G162" s="489" t="s">
        <v>555</v>
      </c>
      <c r="H162" s="490" t="s">
        <v>399</v>
      </c>
      <c r="I162" s="491">
        <v>300</v>
      </c>
      <c r="J162" s="492">
        <v>21.6</v>
      </c>
      <c r="K162" s="493">
        <v>1.6910000000000001</v>
      </c>
      <c r="L162" s="494">
        <v>1.03</v>
      </c>
      <c r="M162" s="494" t="s">
        <v>401</v>
      </c>
      <c r="N162" s="491">
        <v>49750</v>
      </c>
      <c r="O162" s="492">
        <v>9.6999999999999993</v>
      </c>
      <c r="P162" s="494" t="s">
        <v>401</v>
      </c>
      <c r="Q162" s="494" t="s">
        <v>401</v>
      </c>
      <c r="R162" s="494" t="s">
        <v>401</v>
      </c>
      <c r="S162" s="494" t="s">
        <v>401</v>
      </c>
      <c r="T162" s="494" t="s">
        <v>401</v>
      </c>
      <c r="U162" s="491">
        <v>23250</v>
      </c>
      <c r="V162" s="491">
        <v>36810</v>
      </c>
      <c r="W162" s="491">
        <v>46910</v>
      </c>
      <c r="X162" s="491">
        <v>58060</v>
      </c>
      <c r="Y162" s="491">
        <v>69310</v>
      </c>
      <c r="Z162" s="490" t="s">
        <v>402</v>
      </c>
      <c r="AA162" s="490"/>
    </row>
    <row r="163" spans="7:27" x14ac:dyDescent="0.25">
      <c r="G163" s="489" t="s">
        <v>556</v>
      </c>
      <c r="H163" s="490" t="s">
        <v>399</v>
      </c>
      <c r="I163" s="491" t="s">
        <v>403</v>
      </c>
      <c r="J163" s="492" t="s">
        <v>403</v>
      </c>
      <c r="K163" s="493" t="s">
        <v>403</v>
      </c>
      <c r="L163" s="494" t="s">
        <v>403</v>
      </c>
      <c r="M163" s="494" t="s">
        <v>401</v>
      </c>
      <c r="N163" s="491">
        <v>43670</v>
      </c>
      <c r="O163" s="492">
        <v>8.1999999999999993</v>
      </c>
      <c r="P163" s="494" t="s">
        <v>401</v>
      </c>
      <c r="Q163" s="494" t="s">
        <v>401</v>
      </c>
      <c r="R163" s="494" t="s">
        <v>401</v>
      </c>
      <c r="S163" s="494" t="s">
        <v>401</v>
      </c>
      <c r="T163" s="494" t="s">
        <v>401</v>
      </c>
      <c r="U163" s="491">
        <v>20300</v>
      </c>
      <c r="V163" s="491">
        <v>26320</v>
      </c>
      <c r="W163" s="491">
        <v>48970</v>
      </c>
      <c r="X163" s="491">
        <v>57360</v>
      </c>
      <c r="Y163" s="491">
        <v>61800</v>
      </c>
      <c r="Z163" s="490" t="s">
        <v>402</v>
      </c>
      <c r="AA163" s="490"/>
    </row>
    <row r="164" spans="7:27" x14ac:dyDescent="0.25">
      <c r="G164" s="489" t="s">
        <v>557</v>
      </c>
      <c r="H164" s="490" t="s">
        <v>399</v>
      </c>
      <c r="I164" s="491">
        <v>60</v>
      </c>
      <c r="J164" s="492">
        <v>32</v>
      </c>
      <c r="K164" s="493">
        <v>0.33200000000000002</v>
      </c>
      <c r="L164" s="494">
        <v>1.6</v>
      </c>
      <c r="M164" s="494">
        <v>34.340000000000003</v>
      </c>
      <c r="N164" s="491">
        <v>71420</v>
      </c>
      <c r="O164" s="492">
        <v>15.4</v>
      </c>
      <c r="P164" s="494">
        <v>12.4</v>
      </c>
      <c r="Q164" s="494">
        <v>18.66</v>
      </c>
      <c r="R164" s="494">
        <v>27.31</v>
      </c>
      <c r="S164" s="494">
        <v>31.76</v>
      </c>
      <c r="T164" s="494">
        <v>63.67</v>
      </c>
      <c r="U164" s="491">
        <v>25780</v>
      </c>
      <c r="V164" s="491">
        <v>38800</v>
      </c>
      <c r="W164" s="491">
        <v>56810</v>
      </c>
      <c r="X164" s="491">
        <v>66060</v>
      </c>
      <c r="Y164" s="491">
        <v>132430</v>
      </c>
      <c r="Z164" s="490"/>
      <c r="AA164" s="490"/>
    </row>
    <row r="165" spans="7:27" x14ac:dyDescent="0.25">
      <c r="G165" s="489" t="s">
        <v>558</v>
      </c>
      <c r="H165" s="490" t="s">
        <v>399</v>
      </c>
      <c r="I165" s="491">
        <v>60</v>
      </c>
      <c r="J165" s="492">
        <v>7.7</v>
      </c>
      <c r="K165" s="493">
        <v>0.35699999999999998</v>
      </c>
      <c r="L165" s="494">
        <v>1.25</v>
      </c>
      <c r="M165" s="494" t="s">
        <v>401</v>
      </c>
      <c r="N165" s="491" t="s">
        <v>401</v>
      </c>
      <c r="O165" s="492" t="s">
        <v>401</v>
      </c>
      <c r="P165" s="494" t="s">
        <v>401</v>
      </c>
      <c r="Q165" s="494" t="s">
        <v>401</v>
      </c>
      <c r="R165" s="494" t="s">
        <v>401</v>
      </c>
      <c r="S165" s="494" t="s">
        <v>401</v>
      </c>
      <c r="T165" s="494" t="s">
        <v>401</v>
      </c>
      <c r="U165" s="491" t="s">
        <v>401</v>
      </c>
      <c r="V165" s="491" t="s">
        <v>401</v>
      </c>
      <c r="W165" s="491" t="s">
        <v>401</v>
      </c>
      <c r="X165" s="491" t="s">
        <v>401</v>
      </c>
      <c r="Y165" s="491" t="s">
        <v>401</v>
      </c>
      <c r="Z165" s="490"/>
      <c r="AA165" s="490"/>
    </row>
    <row r="166" spans="7:27" x14ac:dyDescent="0.25">
      <c r="G166" s="489" t="s">
        <v>559</v>
      </c>
      <c r="H166" s="490" t="s">
        <v>399</v>
      </c>
      <c r="I166" s="491">
        <v>300</v>
      </c>
      <c r="J166" s="492">
        <v>9.3000000000000007</v>
      </c>
      <c r="K166" s="493">
        <v>1.7270000000000001</v>
      </c>
      <c r="L166" s="494">
        <v>1.07</v>
      </c>
      <c r="M166" s="494">
        <v>30.24</v>
      </c>
      <c r="N166" s="491">
        <v>62900</v>
      </c>
      <c r="O166" s="492">
        <v>4</v>
      </c>
      <c r="P166" s="494">
        <v>17.5</v>
      </c>
      <c r="Q166" s="494">
        <v>21.84</v>
      </c>
      <c r="R166" s="494">
        <v>28.42</v>
      </c>
      <c r="S166" s="494">
        <v>36.380000000000003</v>
      </c>
      <c r="T166" s="494">
        <v>47.34</v>
      </c>
      <c r="U166" s="491">
        <v>36400</v>
      </c>
      <c r="V166" s="491">
        <v>45430</v>
      </c>
      <c r="W166" s="491">
        <v>59110</v>
      </c>
      <c r="X166" s="491">
        <v>75670</v>
      </c>
      <c r="Y166" s="491">
        <v>98470</v>
      </c>
      <c r="Z166" s="490"/>
      <c r="AA166" s="490"/>
    </row>
    <row r="167" spans="7:27" x14ac:dyDescent="0.25">
      <c r="G167" s="489" t="s">
        <v>560</v>
      </c>
      <c r="H167" s="490" t="s">
        <v>399</v>
      </c>
      <c r="I167" s="491">
        <v>70</v>
      </c>
      <c r="J167" s="492">
        <v>6.9</v>
      </c>
      <c r="K167" s="493">
        <v>0.39200000000000002</v>
      </c>
      <c r="L167" s="494">
        <v>0.56999999999999995</v>
      </c>
      <c r="M167" s="494">
        <v>26.66</v>
      </c>
      <c r="N167" s="491">
        <v>55460</v>
      </c>
      <c r="O167" s="492">
        <v>3.5</v>
      </c>
      <c r="P167" s="494">
        <v>14.44</v>
      </c>
      <c r="Q167" s="494">
        <v>18.72</v>
      </c>
      <c r="R167" s="494">
        <v>26.05</v>
      </c>
      <c r="S167" s="494">
        <v>32.049999999999997</v>
      </c>
      <c r="T167" s="494">
        <v>38.81</v>
      </c>
      <c r="U167" s="491">
        <v>30040</v>
      </c>
      <c r="V167" s="491">
        <v>38940</v>
      </c>
      <c r="W167" s="491">
        <v>54180</v>
      </c>
      <c r="X167" s="491">
        <v>66660</v>
      </c>
      <c r="Y167" s="491">
        <v>80730</v>
      </c>
      <c r="Z167" s="490"/>
      <c r="AA167" s="490"/>
    </row>
    <row r="168" spans="7:27" x14ac:dyDescent="0.25">
      <c r="G168" s="489" t="s">
        <v>561</v>
      </c>
      <c r="H168" s="490" t="s">
        <v>399</v>
      </c>
      <c r="I168" s="491">
        <v>40</v>
      </c>
      <c r="J168" s="492">
        <v>13</v>
      </c>
      <c r="K168" s="493">
        <v>0.20200000000000001</v>
      </c>
      <c r="L168" s="494">
        <v>0.56999999999999995</v>
      </c>
      <c r="M168" s="494">
        <v>30.64</v>
      </c>
      <c r="N168" s="491">
        <v>63730</v>
      </c>
      <c r="O168" s="492">
        <v>3</v>
      </c>
      <c r="P168" s="494">
        <v>21.85</v>
      </c>
      <c r="Q168" s="494">
        <v>25.29</v>
      </c>
      <c r="R168" s="494">
        <v>29.43</v>
      </c>
      <c r="S168" s="494">
        <v>35.340000000000003</v>
      </c>
      <c r="T168" s="494">
        <v>42.38</v>
      </c>
      <c r="U168" s="491">
        <v>45450</v>
      </c>
      <c r="V168" s="491">
        <v>52610</v>
      </c>
      <c r="W168" s="491">
        <v>61200</v>
      </c>
      <c r="X168" s="491">
        <v>73500</v>
      </c>
      <c r="Y168" s="491">
        <v>88140</v>
      </c>
      <c r="Z168" s="490"/>
      <c r="AA168" s="490"/>
    </row>
    <row r="169" spans="7:27" x14ac:dyDescent="0.25">
      <c r="G169" s="489" t="s">
        <v>562</v>
      </c>
      <c r="H169" s="490" t="s">
        <v>399</v>
      </c>
      <c r="I169" s="491">
        <v>70</v>
      </c>
      <c r="J169" s="492">
        <v>47.1</v>
      </c>
      <c r="K169" s="493">
        <v>0.38600000000000001</v>
      </c>
      <c r="L169" s="494">
        <v>1.21</v>
      </c>
      <c r="M169" s="494">
        <v>38.53</v>
      </c>
      <c r="N169" s="491">
        <v>80140</v>
      </c>
      <c r="O169" s="492">
        <v>14.7</v>
      </c>
      <c r="P169" s="494">
        <v>18.28</v>
      </c>
      <c r="Q169" s="494">
        <v>26.2</v>
      </c>
      <c r="R169" s="494">
        <v>37.32</v>
      </c>
      <c r="S169" s="494">
        <v>53.98</v>
      </c>
      <c r="T169" s="494">
        <v>59.51</v>
      </c>
      <c r="U169" s="491">
        <v>38030</v>
      </c>
      <c r="V169" s="491">
        <v>54490</v>
      </c>
      <c r="W169" s="491">
        <v>77630</v>
      </c>
      <c r="X169" s="491">
        <v>112290</v>
      </c>
      <c r="Y169" s="491">
        <v>123790</v>
      </c>
      <c r="Z169" s="490"/>
      <c r="AA169" s="490"/>
    </row>
    <row r="170" spans="7:27" x14ac:dyDescent="0.25">
      <c r="G170" s="489" t="s">
        <v>563</v>
      </c>
      <c r="H170" s="490" t="s">
        <v>399</v>
      </c>
      <c r="I170" s="491">
        <v>70</v>
      </c>
      <c r="J170" s="492">
        <v>6.6</v>
      </c>
      <c r="K170" s="493">
        <v>0.39100000000000001</v>
      </c>
      <c r="L170" s="494">
        <v>2.35</v>
      </c>
      <c r="M170" s="494">
        <v>33.82</v>
      </c>
      <c r="N170" s="491">
        <v>70340</v>
      </c>
      <c r="O170" s="492">
        <v>3.7</v>
      </c>
      <c r="P170" s="494">
        <v>19.22</v>
      </c>
      <c r="Q170" s="494">
        <v>24.14</v>
      </c>
      <c r="R170" s="494">
        <v>31.1</v>
      </c>
      <c r="S170" s="494">
        <v>38.69</v>
      </c>
      <c r="T170" s="494">
        <v>49.15</v>
      </c>
      <c r="U170" s="491">
        <v>39980</v>
      </c>
      <c r="V170" s="491">
        <v>50210</v>
      </c>
      <c r="W170" s="491">
        <v>64680</v>
      </c>
      <c r="X170" s="491">
        <v>80480</v>
      </c>
      <c r="Y170" s="491">
        <v>102240</v>
      </c>
      <c r="Z170" s="490"/>
      <c r="AA170" s="490"/>
    </row>
    <row r="171" spans="7:27" x14ac:dyDescent="0.25">
      <c r="G171" s="489" t="s">
        <v>564</v>
      </c>
      <c r="H171" s="490" t="s">
        <v>399</v>
      </c>
      <c r="I171" s="491">
        <v>110</v>
      </c>
      <c r="J171" s="492">
        <v>14</v>
      </c>
      <c r="K171" s="493">
        <v>0.59799999999999998</v>
      </c>
      <c r="L171" s="494">
        <v>1.2</v>
      </c>
      <c r="M171" s="494">
        <v>26.44</v>
      </c>
      <c r="N171" s="491">
        <v>54990</v>
      </c>
      <c r="O171" s="492">
        <v>5.8</v>
      </c>
      <c r="P171" s="494">
        <v>12.41</v>
      </c>
      <c r="Q171" s="494">
        <v>17.239999999999998</v>
      </c>
      <c r="R171" s="494">
        <v>23.52</v>
      </c>
      <c r="S171" s="494">
        <v>34.11</v>
      </c>
      <c r="T171" s="494">
        <v>45.42</v>
      </c>
      <c r="U171" s="491">
        <v>25820</v>
      </c>
      <c r="V171" s="491">
        <v>35860</v>
      </c>
      <c r="W171" s="491">
        <v>48910</v>
      </c>
      <c r="X171" s="491">
        <v>70940</v>
      </c>
      <c r="Y171" s="491">
        <v>94470</v>
      </c>
      <c r="Z171" s="490"/>
      <c r="AA171" s="490"/>
    </row>
    <row r="172" spans="7:27" x14ac:dyDescent="0.25">
      <c r="G172" s="489" t="s">
        <v>565</v>
      </c>
      <c r="H172" s="490" t="s">
        <v>399</v>
      </c>
      <c r="I172" s="491">
        <v>50</v>
      </c>
      <c r="J172" s="492">
        <v>45.1</v>
      </c>
      <c r="K172" s="493">
        <v>0.27600000000000002</v>
      </c>
      <c r="L172" s="494">
        <v>1.28</v>
      </c>
      <c r="M172" s="494">
        <v>18.63</v>
      </c>
      <c r="N172" s="491">
        <v>38750</v>
      </c>
      <c r="O172" s="492">
        <v>16.5</v>
      </c>
      <c r="P172" s="494">
        <v>10.86</v>
      </c>
      <c r="Q172" s="494">
        <v>13.42</v>
      </c>
      <c r="R172" s="494">
        <v>16.82</v>
      </c>
      <c r="S172" s="494">
        <v>23.77</v>
      </c>
      <c r="T172" s="494">
        <v>29.32</v>
      </c>
      <c r="U172" s="491">
        <v>22600</v>
      </c>
      <c r="V172" s="491">
        <v>27920</v>
      </c>
      <c r="W172" s="491">
        <v>35000</v>
      </c>
      <c r="X172" s="491">
        <v>49450</v>
      </c>
      <c r="Y172" s="491">
        <v>60980</v>
      </c>
      <c r="Z172" s="490"/>
      <c r="AA172" s="490"/>
    </row>
    <row r="173" spans="7:27" x14ac:dyDescent="0.25">
      <c r="G173" s="489" t="s">
        <v>566</v>
      </c>
      <c r="H173" s="490" t="s">
        <v>399</v>
      </c>
      <c r="I173" s="491">
        <v>40</v>
      </c>
      <c r="J173" s="492">
        <v>18.7</v>
      </c>
      <c r="K173" s="493">
        <v>0.221</v>
      </c>
      <c r="L173" s="494">
        <v>0.64</v>
      </c>
      <c r="M173" s="494">
        <v>24.22</v>
      </c>
      <c r="N173" s="491">
        <v>50380</v>
      </c>
      <c r="O173" s="492">
        <v>7.7</v>
      </c>
      <c r="P173" s="494">
        <v>12.92</v>
      </c>
      <c r="Q173" s="494">
        <v>16.96</v>
      </c>
      <c r="R173" s="494">
        <v>21.09</v>
      </c>
      <c r="S173" s="494">
        <v>25.39</v>
      </c>
      <c r="T173" s="494">
        <v>29.85</v>
      </c>
      <c r="U173" s="491">
        <v>26870</v>
      </c>
      <c r="V173" s="491">
        <v>35280</v>
      </c>
      <c r="W173" s="491">
        <v>43860</v>
      </c>
      <c r="X173" s="491">
        <v>52820</v>
      </c>
      <c r="Y173" s="491">
        <v>62090</v>
      </c>
      <c r="Z173" s="490"/>
      <c r="AA173" s="490"/>
    </row>
    <row r="174" spans="7:27" x14ac:dyDescent="0.25">
      <c r="G174" s="489" t="s">
        <v>190</v>
      </c>
      <c r="H174" s="490" t="s">
        <v>398</v>
      </c>
      <c r="I174" s="491">
        <v>10010</v>
      </c>
      <c r="J174" s="492">
        <v>4.2</v>
      </c>
      <c r="K174" s="493">
        <v>56.813000000000002</v>
      </c>
      <c r="L174" s="494">
        <v>0.96</v>
      </c>
      <c r="M174" s="494">
        <v>44.56</v>
      </c>
      <c r="N174" s="491">
        <v>92680</v>
      </c>
      <c r="O174" s="492">
        <v>2.2999999999999998</v>
      </c>
      <c r="P174" s="494">
        <v>19.579999999999998</v>
      </c>
      <c r="Q174" s="494">
        <v>27.61</v>
      </c>
      <c r="R174" s="494">
        <v>38.58</v>
      </c>
      <c r="S174" s="494">
        <v>52.04</v>
      </c>
      <c r="T174" s="494">
        <v>72.489999999999995</v>
      </c>
      <c r="U174" s="491">
        <v>40720</v>
      </c>
      <c r="V174" s="491">
        <v>57420</v>
      </c>
      <c r="W174" s="491">
        <v>80240</v>
      </c>
      <c r="X174" s="491">
        <v>108240</v>
      </c>
      <c r="Y174" s="491">
        <v>150780</v>
      </c>
      <c r="Z174" s="490"/>
      <c r="AA174" s="490"/>
    </row>
    <row r="175" spans="7:27" x14ac:dyDescent="0.25">
      <c r="G175" s="489" t="s">
        <v>567</v>
      </c>
      <c r="H175" s="490" t="s">
        <v>399</v>
      </c>
      <c r="I175" s="491">
        <v>60</v>
      </c>
      <c r="J175" s="492">
        <v>23.6</v>
      </c>
      <c r="K175" s="493">
        <v>0.33800000000000002</v>
      </c>
      <c r="L175" s="494">
        <v>1.44</v>
      </c>
      <c r="M175" s="494">
        <v>54.23</v>
      </c>
      <c r="N175" s="491">
        <v>112790</v>
      </c>
      <c r="O175" s="492">
        <v>10.6</v>
      </c>
      <c r="P175" s="494">
        <v>35.14</v>
      </c>
      <c r="Q175" s="494">
        <v>40.19</v>
      </c>
      <c r="R175" s="494">
        <v>52.55</v>
      </c>
      <c r="S175" s="494">
        <v>61.45</v>
      </c>
      <c r="T175" s="494">
        <v>85.28</v>
      </c>
      <c r="U175" s="491">
        <v>73100</v>
      </c>
      <c r="V175" s="491">
        <v>83590</v>
      </c>
      <c r="W175" s="491">
        <v>109300</v>
      </c>
      <c r="X175" s="491">
        <v>127820</v>
      </c>
      <c r="Y175" s="491">
        <v>177390</v>
      </c>
      <c r="Z175" s="490"/>
      <c r="AA175" s="490"/>
    </row>
    <row r="176" spans="7:27" x14ac:dyDescent="0.25">
      <c r="G176" s="489" t="s">
        <v>568</v>
      </c>
      <c r="H176" s="490" t="s">
        <v>399</v>
      </c>
      <c r="I176" s="491">
        <v>170</v>
      </c>
      <c r="J176" s="492">
        <v>35.1</v>
      </c>
      <c r="K176" s="493">
        <v>0.93700000000000006</v>
      </c>
      <c r="L176" s="494">
        <v>1.25</v>
      </c>
      <c r="M176" s="494">
        <v>117.29</v>
      </c>
      <c r="N176" s="491">
        <v>243970</v>
      </c>
      <c r="O176" s="492">
        <v>11</v>
      </c>
      <c r="P176" s="494">
        <v>74.87</v>
      </c>
      <c r="Q176" s="494">
        <v>87.5</v>
      </c>
      <c r="R176" s="494" t="s">
        <v>400</v>
      </c>
      <c r="S176" s="494" t="s">
        <v>400</v>
      </c>
      <c r="T176" s="494" t="s">
        <v>400</v>
      </c>
      <c r="U176" s="491">
        <v>155720</v>
      </c>
      <c r="V176" s="491">
        <v>181990</v>
      </c>
      <c r="W176" s="491" t="s">
        <v>400</v>
      </c>
      <c r="X176" s="491" t="s">
        <v>400</v>
      </c>
      <c r="Y176" s="491" t="s">
        <v>400</v>
      </c>
      <c r="Z176" s="490"/>
      <c r="AA176" s="490"/>
    </row>
    <row r="177" spans="7:27" x14ac:dyDescent="0.25">
      <c r="G177" s="489" t="s">
        <v>569</v>
      </c>
      <c r="H177" s="490" t="s">
        <v>399</v>
      </c>
      <c r="I177" s="491">
        <v>80</v>
      </c>
      <c r="J177" s="492">
        <v>21.1</v>
      </c>
      <c r="K177" s="493">
        <v>0.44600000000000001</v>
      </c>
      <c r="L177" s="494">
        <v>1.02</v>
      </c>
      <c r="M177" s="494">
        <v>33.78</v>
      </c>
      <c r="N177" s="491">
        <v>70260</v>
      </c>
      <c r="O177" s="492">
        <v>3.5</v>
      </c>
      <c r="P177" s="494">
        <v>25.22</v>
      </c>
      <c r="Q177" s="494">
        <v>27.97</v>
      </c>
      <c r="R177" s="494">
        <v>33.19</v>
      </c>
      <c r="S177" s="494">
        <v>40.21</v>
      </c>
      <c r="T177" s="494">
        <v>45.82</v>
      </c>
      <c r="U177" s="491">
        <v>52460</v>
      </c>
      <c r="V177" s="491">
        <v>58180</v>
      </c>
      <c r="W177" s="491">
        <v>69030</v>
      </c>
      <c r="X177" s="491">
        <v>83630</v>
      </c>
      <c r="Y177" s="491">
        <v>95300</v>
      </c>
      <c r="Z177" s="490"/>
      <c r="AA177" s="490"/>
    </row>
    <row r="178" spans="7:27" x14ac:dyDescent="0.25">
      <c r="G178" s="489" t="s">
        <v>570</v>
      </c>
      <c r="H178" s="490" t="s">
        <v>399</v>
      </c>
      <c r="I178" s="491">
        <v>40</v>
      </c>
      <c r="J178" s="492">
        <v>21.2</v>
      </c>
      <c r="K178" s="493">
        <v>0.24299999999999999</v>
      </c>
      <c r="L178" s="494">
        <v>0.94</v>
      </c>
      <c r="M178" s="494">
        <v>91.29</v>
      </c>
      <c r="N178" s="491">
        <v>189890</v>
      </c>
      <c r="O178" s="492">
        <v>13</v>
      </c>
      <c r="P178" s="494">
        <v>45.76</v>
      </c>
      <c r="Q178" s="494">
        <v>62.37</v>
      </c>
      <c r="R178" s="494">
        <v>85.69</v>
      </c>
      <c r="S178" s="494" t="s">
        <v>400</v>
      </c>
      <c r="T178" s="494" t="s">
        <v>400</v>
      </c>
      <c r="U178" s="491">
        <v>95180</v>
      </c>
      <c r="V178" s="491">
        <v>129730</v>
      </c>
      <c r="W178" s="491">
        <v>178240</v>
      </c>
      <c r="X178" s="491" t="s">
        <v>400</v>
      </c>
      <c r="Y178" s="491" t="s">
        <v>400</v>
      </c>
      <c r="Z178" s="490"/>
      <c r="AA178" s="490"/>
    </row>
    <row r="179" spans="7:27" x14ac:dyDescent="0.25">
      <c r="G179" s="489" t="s">
        <v>571</v>
      </c>
      <c r="H179" s="490" t="s">
        <v>399</v>
      </c>
      <c r="I179" s="491">
        <v>290</v>
      </c>
      <c r="J179" s="492">
        <v>11</v>
      </c>
      <c r="K179" s="493">
        <v>1.633</v>
      </c>
      <c r="L179" s="494">
        <v>0.75</v>
      </c>
      <c r="M179" s="494">
        <v>64.36</v>
      </c>
      <c r="N179" s="491">
        <v>133870</v>
      </c>
      <c r="O179" s="492">
        <v>1.9</v>
      </c>
      <c r="P179" s="494">
        <v>51.67</v>
      </c>
      <c r="Q179" s="494">
        <v>59.66</v>
      </c>
      <c r="R179" s="494">
        <v>67.150000000000006</v>
      </c>
      <c r="S179" s="494">
        <v>73.98</v>
      </c>
      <c r="T179" s="494">
        <v>78.13</v>
      </c>
      <c r="U179" s="491">
        <v>107480</v>
      </c>
      <c r="V179" s="491">
        <v>124090</v>
      </c>
      <c r="W179" s="491">
        <v>139660</v>
      </c>
      <c r="X179" s="491">
        <v>153870</v>
      </c>
      <c r="Y179" s="491">
        <v>162510</v>
      </c>
      <c r="Z179" s="490"/>
      <c r="AA179" s="490"/>
    </row>
    <row r="180" spans="7:27" x14ac:dyDescent="0.25">
      <c r="G180" s="489" t="s">
        <v>572</v>
      </c>
      <c r="H180" s="490" t="s">
        <v>399</v>
      </c>
      <c r="I180" s="491">
        <v>290</v>
      </c>
      <c r="J180" s="492">
        <v>19.899999999999999</v>
      </c>
      <c r="K180" s="493">
        <v>1.631</v>
      </c>
      <c r="L180" s="494">
        <v>1.86</v>
      </c>
      <c r="M180" s="494">
        <v>93.23</v>
      </c>
      <c r="N180" s="491">
        <v>193920</v>
      </c>
      <c r="O180" s="492">
        <v>10.3</v>
      </c>
      <c r="P180" s="494">
        <v>28.65</v>
      </c>
      <c r="Q180" s="494">
        <v>47.62</v>
      </c>
      <c r="R180" s="494">
        <v>91.6</v>
      </c>
      <c r="S180" s="494" t="s">
        <v>400</v>
      </c>
      <c r="T180" s="494" t="s">
        <v>400</v>
      </c>
      <c r="U180" s="491">
        <v>59590</v>
      </c>
      <c r="V180" s="491">
        <v>99050</v>
      </c>
      <c r="W180" s="491">
        <v>190520</v>
      </c>
      <c r="X180" s="491" t="s">
        <v>400</v>
      </c>
      <c r="Y180" s="491" t="s">
        <v>400</v>
      </c>
      <c r="Z180" s="490"/>
      <c r="AA180" s="490"/>
    </row>
    <row r="181" spans="7:27" x14ac:dyDescent="0.25">
      <c r="G181" s="489" t="s">
        <v>573</v>
      </c>
      <c r="H181" s="490" t="s">
        <v>399</v>
      </c>
      <c r="I181" s="491">
        <v>50</v>
      </c>
      <c r="J181" s="492">
        <v>21.5</v>
      </c>
      <c r="K181" s="493">
        <v>0.26900000000000002</v>
      </c>
      <c r="L181" s="494">
        <v>0.83</v>
      </c>
      <c r="M181" s="494">
        <v>106.83</v>
      </c>
      <c r="N181" s="491">
        <v>222210</v>
      </c>
      <c r="O181" s="492">
        <v>11.1</v>
      </c>
      <c r="P181" s="494">
        <v>59.33</v>
      </c>
      <c r="Q181" s="494">
        <v>70.44</v>
      </c>
      <c r="R181" s="494" t="s">
        <v>400</v>
      </c>
      <c r="S181" s="494" t="s">
        <v>400</v>
      </c>
      <c r="T181" s="494" t="s">
        <v>400</v>
      </c>
      <c r="U181" s="491">
        <v>123410</v>
      </c>
      <c r="V181" s="491">
        <v>146520</v>
      </c>
      <c r="W181" s="491" t="s">
        <v>400</v>
      </c>
      <c r="X181" s="491" t="s">
        <v>400</v>
      </c>
      <c r="Y181" s="491" t="s">
        <v>400</v>
      </c>
      <c r="Z181" s="490"/>
      <c r="AA181" s="490"/>
    </row>
    <row r="182" spans="7:27" x14ac:dyDescent="0.25">
      <c r="G182" s="489" t="s">
        <v>574</v>
      </c>
      <c r="H182" s="490" t="s">
        <v>399</v>
      </c>
      <c r="I182" s="491">
        <v>30</v>
      </c>
      <c r="J182" s="492">
        <v>28.4</v>
      </c>
      <c r="K182" s="493">
        <v>0.187</v>
      </c>
      <c r="L182" s="494">
        <v>1.06</v>
      </c>
      <c r="M182" s="494">
        <v>122.87</v>
      </c>
      <c r="N182" s="491">
        <v>255560</v>
      </c>
      <c r="O182" s="492">
        <v>8.3000000000000007</v>
      </c>
      <c r="P182" s="494">
        <v>80.150000000000006</v>
      </c>
      <c r="Q182" s="494" t="s">
        <v>400</v>
      </c>
      <c r="R182" s="494" t="s">
        <v>400</v>
      </c>
      <c r="S182" s="494" t="s">
        <v>400</v>
      </c>
      <c r="T182" s="494" t="s">
        <v>400</v>
      </c>
      <c r="U182" s="491">
        <v>166710</v>
      </c>
      <c r="V182" s="491" t="s">
        <v>400</v>
      </c>
      <c r="W182" s="491" t="s">
        <v>400</v>
      </c>
      <c r="X182" s="491" t="s">
        <v>400</v>
      </c>
      <c r="Y182" s="491" t="s">
        <v>400</v>
      </c>
      <c r="Z182" s="490"/>
      <c r="AA182" s="490"/>
    </row>
    <row r="183" spans="7:27" x14ac:dyDescent="0.25">
      <c r="G183" s="489" t="s">
        <v>575</v>
      </c>
      <c r="H183" s="490" t="s">
        <v>399</v>
      </c>
      <c r="I183" s="491">
        <v>240</v>
      </c>
      <c r="J183" s="492">
        <v>7.1</v>
      </c>
      <c r="K183" s="493">
        <v>1.3779999999999999</v>
      </c>
      <c r="L183" s="494">
        <v>0.56999999999999995</v>
      </c>
      <c r="M183" s="494">
        <v>107.23</v>
      </c>
      <c r="N183" s="491">
        <v>223040</v>
      </c>
      <c r="O183" s="492">
        <v>8</v>
      </c>
      <c r="P183" s="494">
        <v>33.47</v>
      </c>
      <c r="Q183" s="494">
        <v>73.03</v>
      </c>
      <c r="R183" s="494" t="s">
        <v>400</v>
      </c>
      <c r="S183" s="494" t="s">
        <v>400</v>
      </c>
      <c r="T183" s="494" t="s">
        <v>400</v>
      </c>
      <c r="U183" s="491">
        <v>69610</v>
      </c>
      <c r="V183" s="491">
        <v>151890</v>
      </c>
      <c r="W183" s="491" t="s">
        <v>400</v>
      </c>
      <c r="X183" s="491" t="s">
        <v>400</v>
      </c>
      <c r="Y183" s="491" t="s">
        <v>400</v>
      </c>
      <c r="Z183" s="490"/>
      <c r="AA183" s="490"/>
    </row>
    <row r="184" spans="7:27" x14ac:dyDescent="0.25">
      <c r="G184" s="489" t="s">
        <v>576</v>
      </c>
      <c r="H184" s="490" t="s">
        <v>399</v>
      </c>
      <c r="I184" s="491">
        <v>200</v>
      </c>
      <c r="J184" s="492">
        <v>8.5</v>
      </c>
      <c r="K184" s="493">
        <v>1.1359999999999999</v>
      </c>
      <c r="L184" s="494">
        <v>1.53</v>
      </c>
      <c r="M184" s="494">
        <v>55.24</v>
      </c>
      <c r="N184" s="491">
        <v>114890</v>
      </c>
      <c r="O184" s="492">
        <v>2.5</v>
      </c>
      <c r="P184" s="494">
        <v>40.43</v>
      </c>
      <c r="Q184" s="494">
        <v>46.46</v>
      </c>
      <c r="R184" s="494">
        <v>55.33</v>
      </c>
      <c r="S184" s="494">
        <v>64.510000000000005</v>
      </c>
      <c r="T184" s="494">
        <v>74.11</v>
      </c>
      <c r="U184" s="491">
        <v>84090</v>
      </c>
      <c r="V184" s="491">
        <v>96640</v>
      </c>
      <c r="W184" s="491">
        <v>115080</v>
      </c>
      <c r="X184" s="491">
        <v>134180</v>
      </c>
      <c r="Y184" s="491">
        <v>154140</v>
      </c>
      <c r="Z184" s="490"/>
      <c r="AA184" s="490"/>
    </row>
    <row r="185" spans="7:27" x14ac:dyDescent="0.25">
      <c r="G185" s="489" t="s">
        <v>577</v>
      </c>
      <c r="H185" s="490" t="s">
        <v>399</v>
      </c>
      <c r="I185" s="491">
        <v>170</v>
      </c>
      <c r="J185" s="492">
        <v>16</v>
      </c>
      <c r="K185" s="493">
        <v>0.93899999999999995</v>
      </c>
      <c r="L185" s="494">
        <v>1.1200000000000001</v>
      </c>
      <c r="M185" s="494">
        <v>37.090000000000003</v>
      </c>
      <c r="N185" s="491">
        <v>77150</v>
      </c>
      <c r="O185" s="492">
        <v>3.8</v>
      </c>
      <c r="P185" s="494">
        <v>20.96</v>
      </c>
      <c r="Q185" s="494">
        <v>30.64</v>
      </c>
      <c r="R185" s="494">
        <v>38.47</v>
      </c>
      <c r="S185" s="494">
        <v>45.52</v>
      </c>
      <c r="T185" s="494">
        <v>50.88</v>
      </c>
      <c r="U185" s="491">
        <v>43600</v>
      </c>
      <c r="V185" s="491">
        <v>63740</v>
      </c>
      <c r="W185" s="491">
        <v>80010</v>
      </c>
      <c r="X185" s="491">
        <v>94690</v>
      </c>
      <c r="Y185" s="491">
        <v>105820</v>
      </c>
      <c r="Z185" s="490"/>
      <c r="AA185" s="490"/>
    </row>
    <row r="186" spans="7:27" x14ac:dyDescent="0.25">
      <c r="G186" s="489" t="s">
        <v>578</v>
      </c>
      <c r="H186" s="490" t="s">
        <v>399</v>
      </c>
      <c r="I186" s="491">
        <v>280</v>
      </c>
      <c r="J186" s="492">
        <v>18.600000000000001</v>
      </c>
      <c r="K186" s="493">
        <v>1.6060000000000001</v>
      </c>
      <c r="L186" s="494">
        <v>1.04</v>
      </c>
      <c r="M186" s="494">
        <v>44</v>
      </c>
      <c r="N186" s="491">
        <v>91530</v>
      </c>
      <c r="O186" s="492">
        <v>2.5</v>
      </c>
      <c r="P186" s="494">
        <v>31.67</v>
      </c>
      <c r="Q186" s="494">
        <v>36.14</v>
      </c>
      <c r="R186" s="494">
        <v>43.21</v>
      </c>
      <c r="S186" s="494">
        <v>51.04</v>
      </c>
      <c r="T186" s="494">
        <v>60.57</v>
      </c>
      <c r="U186" s="491">
        <v>65880</v>
      </c>
      <c r="V186" s="491">
        <v>75170</v>
      </c>
      <c r="W186" s="491">
        <v>89870</v>
      </c>
      <c r="X186" s="491">
        <v>106170</v>
      </c>
      <c r="Y186" s="491">
        <v>125990</v>
      </c>
      <c r="Z186" s="490"/>
      <c r="AA186" s="490"/>
    </row>
    <row r="187" spans="7:27" x14ac:dyDescent="0.25">
      <c r="G187" s="489" t="s">
        <v>579</v>
      </c>
      <c r="H187" s="490" t="s">
        <v>399</v>
      </c>
      <c r="I187" s="491">
        <v>110</v>
      </c>
      <c r="J187" s="492">
        <v>11</v>
      </c>
      <c r="K187" s="493">
        <v>0.64</v>
      </c>
      <c r="L187" s="494">
        <v>0.71</v>
      </c>
      <c r="M187" s="494">
        <v>34.46</v>
      </c>
      <c r="N187" s="491">
        <v>71680</v>
      </c>
      <c r="O187" s="492">
        <v>1.7</v>
      </c>
      <c r="P187" s="494">
        <v>25.96</v>
      </c>
      <c r="Q187" s="494">
        <v>30.26</v>
      </c>
      <c r="R187" s="494">
        <v>34.26</v>
      </c>
      <c r="S187" s="494">
        <v>38.020000000000003</v>
      </c>
      <c r="T187" s="494">
        <v>44.53</v>
      </c>
      <c r="U187" s="491">
        <v>54000</v>
      </c>
      <c r="V187" s="491">
        <v>62950</v>
      </c>
      <c r="W187" s="491">
        <v>71250</v>
      </c>
      <c r="X187" s="491">
        <v>79080</v>
      </c>
      <c r="Y187" s="491">
        <v>92630</v>
      </c>
      <c r="Z187" s="490"/>
      <c r="AA187" s="490"/>
    </row>
    <row r="188" spans="7:27" x14ac:dyDescent="0.25">
      <c r="G188" s="489" t="s">
        <v>580</v>
      </c>
      <c r="H188" s="490" t="s">
        <v>399</v>
      </c>
      <c r="I188" s="491">
        <v>180</v>
      </c>
      <c r="J188" s="492">
        <v>13.7</v>
      </c>
      <c r="K188" s="493">
        <v>1.0209999999999999</v>
      </c>
      <c r="L188" s="494">
        <v>1.05</v>
      </c>
      <c r="M188" s="494">
        <v>44.12</v>
      </c>
      <c r="N188" s="491">
        <v>91780</v>
      </c>
      <c r="O188" s="492">
        <v>2.7</v>
      </c>
      <c r="P188" s="494">
        <v>32.86</v>
      </c>
      <c r="Q188" s="494">
        <v>37.81</v>
      </c>
      <c r="R188" s="494">
        <v>43.91</v>
      </c>
      <c r="S188" s="494">
        <v>49.44</v>
      </c>
      <c r="T188" s="494">
        <v>58.62</v>
      </c>
      <c r="U188" s="491">
        <v>68340</v>
      </c>
      <c r="V188" s="491">
        <v>78640</v>
      </c>
      <c r="W188" s="491">
        <v>91330</v>
      </c>
      <c r="X188" s="491">
        <v>102830</v>
      </c>
      <c r="Y188" s="491">
        <v>121930</v>
      </c>
      <c r="Z188" s="490"/>
      <c r="AA188" s="490"/>
    </row>
    <row r="189" spans="7:27" x14ac:dyDescent="0.25">
      <c r="G189" s="489" t="s">
        <v>581</v>
      </c>
      <c r="H189" s="490" t="s">
        <v>399</v>
      </c>
      <c r="I189" s="491">
        <v>110</v>
      </c>
      <c r="J189" s="492">
        <v>41.2</v>
      </c>
      <c r="K189" s="493">
        <v>0.62</v>
      </c>
      <c r="L189" s="494">
        <v>7.69</v>
      </c>
      <c r="M189" s="494">
        <v>39.96</v>
      </c>
      <c r="N189" s="491">
        <v>83110</v>
      </c>
      <c r="O189" s="492">
        <v>27</v>
      </c>
      <c r="P189" s="494">
        <v>16.34</v>
      </c>
      <c r="Q189" s="494">
        <v>19.18</v>
      </c>
      <c r="R189" s="494">
        <v>26.49</v>
      </c>
      <c r="S189" s="494">
        <v>66.27</v>
      </c>
      <c r="T189" s="494">
        <v>76.150000000000006</v>
      </c>
      <c r="U189" s="491">
        <v>33990</v>
      </c>
      <c r="V189" s="491">
        <v>39900</v>
      </c>
      <c r="W189" s="491">
        <v>55100</v>
      </c>
      <c r="X189" s="491">
        <v>137840</v>
      </c>
      <c r="Y189" s="491">
        <v>158400</v>
      </c>
      <c r="Z189" s="490"/>
      <c r="AA189" s="490"/>
    </row>
    <row r="190" spans="7:27" x14ac:dyDescent="0.25">
      <c r="G190" s="489" t="s">
        <v>582</v>
      </c>
      <c r="H190" s="490" t="s">
        <v>399</v>
      </c>
      <c r="I190" s="491">
        <v>120</v>
      </c>
      <c r="J190" s="492">
        <v>20.9</v>
      </c>
      <c r="K190" s="493">
        <v>0.69899999999999995</v>
      </c>
      <c r="L190" s="494">
        <v>1.45</v>
      </c>
      <c r="M190" s="494">
        <v>48.2</v>
      </c>
      <c r="N190" s="491">
        <v>100260</v>
      </c>
      <c r="O190" s="492">
        <v>10.8</v>
      </c>
      <c r="P190" s="494">
        <v>31.26</v>
      </c>
      <c r="Q190" s="494">
        <v>39.270000000000003</v>
      </c>
      <c r="R190" s="494">
        <v>45.84</v>
      </c>
      <c r="S190" s="494">
        <v>61.3</v>
      </c>
      <c r="T190" s="494">
        <v>71.94</v>
      </c>
      <c r="U190" s="491">
        <v>65030</v>
      </c>
      <c r="V190" s="491">
        <v>81670</v>
      </c>
      <c r="W190" s="491">
        <v>95340</v>
      </c>
      <c r="X190" s="491">
        <v>127500</v>
      </c>
      <c r="Y190" s="491">
        <v>149630</v>
      </c>
      <c r="Z190" s="490"/>
      <c r="AA190" s="490"/>
    </row>
    <row r="191" spans="7:27" x14ac:dyDescent="0.25">
      <c r="G191" s="489" t="s">
        <v>583</v>
      </c>
      <c r="H191" s="490" t="s">
        <v>399</v>
      </c>
      <c r="I191" s="491">
        <v>3610</v>
      </c>
      <c r="J191" s="492">
        <v>4.8</v>
      </c>
      <c r="K191" s="493">
        <v>20.512</v>
      </c>
      <c r="L191" s="494">
        <v>1.01</v>
      </c>
      <c r="M191" s="494">
        <v>41.75</v>
      </c>
      <c r="N191" s="491">
        <v>86850</v>
      </c>
      <c r="O191" s="492">
        <v>2.5</v>
      </c>
      <c r="P191" s="494">
        <v>28.68</v>
      </c>
      <c r="Q191" s="494">
        <v>33.81</v>
      </c>
      <c r="R191" s="494">
        <v>41.05</v>
      </c>
      <c r="S191" s="494">
        <v>49.36</v>
      </c>
      <c r="T191" s="494">
        <v>57.68</v>
      </c>
      <c r="U191" s="491">
        <v>59660</v>
      </c>
      <c r="V191" s="491">
        <v>70320</v>
      </c>
      <c r="W191" s="491">
        <v>85380</v>
      </c>
      <c r="X191" s="491">
        <v>102660</v>
      </c>
      <c r="Y191" s="491">
        <v>119980</v>
      </c>
      <c r="Z191" s="490"/>
      <c r="AA191" s="490"/>
    </row>
    <row r="192" spans="7:27" x14ac:dyDescent="0.25">
      <c r="G192" s="489" t="s">
        <v>584</v>
      </c>
      <c r="H192" s="490" t="s">
        <v>399</v>
      </c>
      <c r="I192" s="491">
        <v>40</v>
      </c>
      <c r="J192" s="492">
        <v>20.5</v>
      </c>
      <c r="K192" s="493">
        <v>0.19900000000000001</v>
      </c>
      <c r="L192" s="494">
        <v>0.7</v>
      </c>
      <c r="M192" s="494">
        <v>74.11</v>
      </c>
      <c r="N192" s="491">
        <v>154160</v>
      </c>
      <c r="O192" s="492">
        <v>3.6</v>
      </c>
      <c r="P192" s="494">
        <v>36.090000000000003</v>
      </c>
      <c r="Q192" s="494">
        <v>55.84</v>
      </c>
      <c r="R192" s="494">
        <v>78.680000000000007</v>
      </c>
      <c r="S192" s="494">
        <v>90.98</v>
      </c>
      <c r="T192" s="494">
        <v>97.72</v>
      </c>
      <c r="U192" s="491">
        <v>75070</v>
      </c>
      <c r="V192" s="491">
        <v>116160</v>
      </c>
      <c r="W192" s="491">
        <v>163650</v>
      </c>
      <c r="X192" s="491">
        <v>189250</v>
      </c>
      <c r="Y192" s="491">
        <v>203260</v>
      </c>
      <c r="Z192" s="490"/>
      <c r="AA192" s="490"/>
    </row>
    <row r="193" spans="7:27" x14ac:dyDescent="0.25">
      <c r="G193" s="489" t="s">
        <v>585</v>
      </c>
      <c r="H193" s="490" t="s">
        <v>399</v>
      </c>
      <c r="I193" s="491">
        <v>210</v>
      </c>
      <c r="J193" s="492">
        <v>15.6</v>
      </c>
      <c r="K193" s="493">
        <v>1.1919999999999999</v>
      </c>
      <c r="L193" s="494">
        <v>1.1100000000000001</v>
      </c>
      <c r="M193" s="494">
        <v>53.64</v>
      </c>
      <c r="N193" s="491">
        <v>111570</v>
      </c>
      <c r="O193" s="492">
        <v>3.8</v>
      </c>
      <c r="P193" s="494">
        <v>33.28</v>
      </c>
      <c r="Q193" s="494">
        <v>41.09</v>
      </c>
      <c r="R193" s="494">
        <v>51.23</v>
      </c>
      <c r="S193" s="494">
        <v>62.41</v>
      </c>
      <c r="T193" s="494">
        <v>75.64</v>
      </c>
      <c r="U193" s="491">
        <v>69210</v>
      </c>
      <c r="V193" s="491">
        <v>85470</v>
      </c>
      <c r="W193" s="491">
        <v>106560</v>
      </c>
      <c r="X193" s="491">
        <v>129820</v>
      </c>
      <c r="Y193" s="491">
        <v>157330</v>
      </c>
      <c r="Z193" s="490"/>
      <c r="AA193" s="490"/>
    </row>
    <row r="194" spans="7:27" x14ac:dyDescent="0.25">
      <c r="G194" s="489" t="s">
        <v>586</v>
      </c>
      <c r="H194" s="490" t="s">
        <v>399</v>
      </c>
      <c r="I194" s="491" t="s">
        <v>403</v>
      </c>
      <c r="J194" s="492" t="s">
        <v>403</v>
      </c>
      <c r="K194" s="493" t="s">
        <v>403</v>
      </c>
      <c r="L194" s="494" t="s">
        <v>403</v>
      </c>
      <c r="M194" s="494">
        <v>24.36</v>
      </c>
      <c r="N194" s="491">
        <v>50660</v>
      </c>
      <c r="O194" s="492">
        <v>13.2</v>
      </c>
      <c r="P194" s="494">
        <v>19.579999999999998</v>
      </c>
      <c r="Q194" s="494">
        <v>20.52</v>
      </c>
      <c r="R194" s="494">
        <v>22.08</v>
      </c>
      <c r="S194" s="494">
        <v>23.63</v>
      </c>
      <c r="T194" s="494">
        <v>37.99</v>
      </c>
      <c r="U194" s="491">
        <v>40730</v>
      </c>
      <c r="V194" s="491">
        <v>42680</v>
      </c>
      <c r="W194" s="491">
        <v>45920</v>
      </c>
      <c r="X194" s="491">
        <v>49160</v>
      </c>
      <c r="Y194" s="491">
        <v>79030</v>
      </c>
      <c r="Z194" s="490"/>
      <c r="AA194" s="490"/>
    </row>
    <row r="195" spans="7:27" x14ac:dyDescent="0.25">
      <c r="G195" s="489" t="s">
        <v>587</v>
      </c>
      <c r="H195" s="490" t="s">
        <v>399</v>
      </c>
      <c r="I195" s="491">
        <v>70</v>
      </c>
      <c r="J195" s="492">
        <v>16.399999999999999</v>
      </c>
      <c r="K195" s="493">
        <v>0.39200000000000002</v>
      </c>
      <c r="L195" s="494">
        <v>1.52</v>
      </c>
      <c r="M195" s="494">
        <v>46.28</v>
      </c>
      <c r="N195" s="491">
        <v>96260</v>
      </c>
      <c r="O195" s="492">
        <v>6.1</v>
      </c>
      <c r="P195" s="494">
        <v>25.76</v>
      </c>
      <c r="Q195" s="494">
        <v>34.74</v>
      </c>
      <c r="R195" s="494">
        <v>38.99</v>
      </c>
      <c r="S195" s="494">
        <v>64.3</v>
      </c>
      <c r="T195" s="494">
        <v>74.12</v>
      </c>
      <c r="U195" s="491">
        <v>53590</v>
      </c>
      <c r="V195" s="491">
        <v>72250</v>
      </c>
      <c r="W195" s="491">
        <v>81100</v>
      </c>
      <c r="X195" s="491">
        <v>133740</v>
      </c>
      <c r="Y195" s="491">
        <v>154160</v>
      </c>
      <c r="Z195" s="490"/>
      <c r="AA195" s="490"/>
    </row>
    <row r="196" spans="7:27" x14ac:dyDescent="0.25">
      <c r="G196" s="489" t="s">
        <v>588</v>
      </c>
      <c r="H196" s="490" t="s">
        <v>399</v>
      </c>
      <c r="I196" s="491">
        <v>110</v>
      </c>
      <c r="J196" s="492">
        <v>20.399999999999999</v>
      </c>
      <c r="K196" s="493">
        <v>0.61799999999999999</v>
      </c>
      <c r="L196" s="494">
        <v>0.52</v>
      </c>
      <c r="M196" s="494">
        <v>37.22</v>
      </c>
      <c r="N196" s="491">
        <v>77420</v>
      </c>
      <c r="O196" s="492">
        <v>2.7</v>
      </c>
      <c r="P196" s="494">
        <v>27.88</v>
      </c>
      <c r="Q196" s="494">
        <v>32.520000000000003</v>
      </c>
      <c r="R196" s="494">
        <v>37.619999999999997</v>
      </c>
      <c r="S196" s="494">
        <v>42.94</v>
      </c>
      <c r="T196" s="494">
        <v>46.86</v>
      </c>
      <c r="U196" s="491">
        <v>57990</v>
      </c>
      <c r="V196" s="491">
        <v>67650</v>
      </c>
      <c r="W196" s="491">
        <v>78240</v>
      </c>
      <c r="X196" s="491">
        <v>89310</v>
      </c>
      <c r="Y196" s="491">
        <v>97470</v>
      </c>
      <c r="Z196" s="490"/>
      <c r="AA196" s="490"/>
    </row>
    <row r="197" spans="7:27" x14ac:dyDescent="0.25">
      <c r="G197" s="489" t="s">
        <v>589</v>
      </c>
      <c r="H197" s="490" t="s">
        <v>399</v>
      </c>
      <c r="I197" s="491">
        <v>260</v>
      </c>
      <c r="J197" s="492">
        <v>26.2</v>
      </c>
      <c r="K197" s="493">
        <v>1.454</v>
      </c>
      <c r="L197" s="494">
        <v>1.27</v>
      </c>
      <c r="M197" s="494">
        <v>26.65</v>
      </c>
      <c r="N197" s="491">
        <v>55440</v>
      </c>
      <c r="O197" s="492">
        <v>6.1</v>
      </c>
      <c r="P197" s="494">
        <v>16.82</v>
      </c>
      <c r="Q197" s="494">
        <v>19.899999999999999</v>
      </c>
      <c r="R197" s="494">
        <v>24.3</v>
      </c>
      <c r="S197" s="494">
        <v>33.93</v>
      </c>
      <c r="T197" s="494">
        <v>37.69</v>
      </c>
      <c r="U197" s="491">
        <v>34980</v>
      </c>
      <c r="V197" s="491">
        <v>41390</v>
      </c>
      <c r="W197" s="491">
        <v>50540</v>
      </c>
      <c r="X197" s="491">
        <v>70560</v>
      </c>
      <c r="Y197" s="491">
        <v>78390</v>
      </c>
      <c r="Z197" s="490"/>
      <c r="AA197" s="490"/>
    </row>
    <row r="198" spans="7:27" x14ac:dyDescent="0.25">
      <c r="G198" s="489" t="s">
        <v>590</v>
      </c>
      <c r="H198" s="490" t="s">
        <v>399</v>
      </c>
      <c r="I198" s="491">
        <v>310</v>
      </c>
      <c r="J198" s="492">
        <v>26.4</v>
      </c>
      <c r="K198" s="493">
        <v>1.764</v>
      </c>
      <c r="L198" s="494">
        <v>1.21</v>
      </c>
      <c r="M198" s="494">
        <v>49.8</v>
      </c>
      <c r="N198" s="491">
        <v>103580</v>
      </c>
      <c r="O198" s="492">
        <v>4</v>
      </c>
      <c r="P198" s="494">
        <v>39.75</v>
      </c>
      <c r="Q198" s="494">
        <v>44.38</v>
      </c>
      <c r="R198" s="494">
        <v>51.62</v>
      </c>
      <c r="S198" s="494">
        <v>57.23</v>
      </c>
      <c r="T198" s="494">
        <v>60.6</v>
      </c>
      <c r="U198" s="491">
        <v>82690</v>
      </c>
      <c r="V198" s="491">
        <v>92310</v>
      </c>
      <c r="W198" s="491">
        <v>107370</v>
      </c>
      <c r="X198" s="491">
        <v>119040</v>
      </c>
      <c r="Y198" s="491">
        <v>126040</v>
      </c>
      <c r="Z198" s="490"/>
      <c r="AA198" s="490"/>
    </row>
    <row r="199" spans="7:27" x14ac:dyDescent="0.25">
      <c r="G199" s="489" t="s">
        <v>591</v>
      </c>
      <c r="H199" s="490" t="s">
        <v>399</v>
      </c>
      <c r="I199" s="491">
        <v>50</v>
      </c>
      <c r="J199" s="492">
        <v>24.5</v>
      </c>
      <c r="K199" s="493">
        <v>0.25900000000000001</v>
      </c>
      <c r="L199" s="494">
        <v>0.55000000000000004</v>
      </c>
      <c r="M199" s="494">
        <v>36.549999999999997</v>
      </c>
      <c r="N199" s="491">
        <v>76030</v>
      </c>
      <c r="O199" s="492">
        <v>3.4</v>
      </c>
      <c r="P199" s="494">
        <v>21.91</v>
      </c>
      <c r="Q199" s="494">
        <v>29.17</v>
      </c>
      <c r="R199" s="494">
        <v>38.97</v>
      </c>
      <c r="S199" s="494">
        <v>44.77</v>
      </c>
      <c r="T199" s="494">
        <v>48.24</v>
      </c>
      <c r="U199" s="491">
        <v>45570</v>
      </c>
      <c r="V199" s="491">
        <v>60680</v>
      </c>
      <c r="W199" s="491">
        <v>81060</v>
      </c>
      <c r="X199" s="491">
        <v>93120</v>
      </c>
      <c r="Y199" s="491">
        <v>100340</v>
      </c>
      <c r="Z199" s="490"/>
      <c r="AA199" s="490"/>
    </row>
    <row r="200" spans="7:27" x14ac:dyDescent="0.25">
      <c r="G200" s="489" t="s">
        <v>592</v>
      </c>
      <c r="H200" s="490" t="s">
        <v>399</v>
      </c>
      <c r="I200" s="491">
        <v>40</v>
      </c>
      <c r="J200" s="492">
        <v>47.8</v>
      </c>
      <c r="K200" s="493">
        <v>0.20899999999999999</v>
      </c>
      <c r="L200" s="494">
        <v>1.5</v>
      </c>
      <c r="M200" s="494">
        <v>41.04</v>
      </c>
      <c r="N200" s="491">
        <v>85360</v>
      </c>
      <c r="O200" s="492">
        <v>5.2</v>
      </c>
      <c r="P200" s="494">
        <v>31.06</v>
      </c>
      <c r="Q200" s="494">
        <v>36</v>
      </c>
      <c r="R200" s="494">
        <v>42.44</v>
      </c>
      <c r="S200" s="494">
        <v>47.02</v>
      </c>
      <c r="T200" s="494">
        <v>49.83</v>
      </c>
      <c r="U200" s="491">
        <v>64610</v>
      </c>
      <c r="V200" s="491">
        <v>74880</v>
      </c>
      <c r="W200" s="491">
        <v>88270</v>
      </c>
      <c r="X200" s="491">
        <v>97790</v>
      </c>
      <c r="Y200" s="491">
        <v>103640</v>
      </c>
      <c r="Z200" s="490"/>
      <c r="AA200" s="490"/>
    </row>
    <row r="201" spans="7:27" x14ac:dyDescent="0.25">
      <c r="G201" s="489" t="s">
        <v>593</v>
      </c>
      <c r="H201" s="490" t="s">
        <v>399</v>
      </c>
      <c r="I201" s="491">
        <v>200</v>
      </c>
      <c r="J201" s="492">
        <v>10.1</v>
      </c>
      <c r="K201" s="493">
        <v>1.123</v>
      </c>
      <c r="L201" s="494">
        <v>0.79</v>
      </c>
      <c r="M201" s="494">
        <v>32.14</v>
      </c>
      <c r="N201" s="491">
        <v>66850</v>
      </c>
      <c r="O201" s="492">
        <v>2.4</v>
      </c>
      <c r="P201" s="494">
        <v>21.73</v>
      </c>
      <c r="Q201" s="494">
        <v>25.77</v>
      </c>
      <c r="R201" s="494">
        <v>31.08</v>
      </c>
      <c r="S201" s="494">
        <v>38.99</v>
      </c>
      <c r="T201" s="494">
        <v>44.96</v>
      </c>
      <c r="U201" s="491">
        <v>45190</v>
      </c>
      <c r="V201" s="491">
        <v>53600</v>
      </c>
      <c r="W201" s="491">
        <v>64650</v>
      </c>
      <c r="X201" s="491">
        <v>81100</v>
      </c>
      <c r="Y201" s="491">
        <v>93530</v>
      </c>
      <c r="Z201" s="490"/>
      <c r="AA201" s="490"/>
    </row>
    <row r="202" spans="7:27" x14ac:dyDescent="0.25">
      <c r="G202" s="489" t="s">
        <v>594</v>
      </c>
      <c r="H202" s="490" t="s">
        <v>399</v>
      </c>
      <c r="I202" s="491">
        <v>40</v>
      </c>
      <c r="J202" s="492">
        <v>38.799999999999997</v>
      </c>
      <c r="K202" s="493">
        <v>0.222</v>
      </c>
      <c r="L202" s="494">
        <v>0.87</v>
      </c>
      <c r="M202" s="494">
        <v>35.69</v>
      </c>
      <c r="N202" s="491">
        <v>74230</v>
      </c>
      <c r="O202" s="492">
        <v>5.8</v>
      </c>
      <c r="P202" s="494">
        <v>27.1</v>
      </c>
      <c r="Q202" s="494">
        <v>31.22</v>
      </c>
      <c r="R202" s="494">
        <v>35.31</v>
      </c>
      <c r="S202" s="494">
        <v>40.04</v>
      </c>
      <c r="T202" s="494">
        <v>46.36</v>
      </c>
      <c r="U202" s="491">
        <v>56370</v>
      </c>
      <c r="V202" s="491">
        <v>64940</v>
      </c>
      <c r="W202" s="491">
        <v>73450</v>
      </c>
      <c r="X202" s="491">
        <v>83290</v>
      </c>
      <c r="Y202" s="491">
        <v>96440</v>
      </c>
      <c r="Z202" s="490"/>
      <c r="AA202" s="490"/>
    </row>
    <row r="203" spans="7:27" x14ac:dyDescent="0.25">
      <c r="G203" s="489" t="s">
        <v>595</v>
      </c>
      <c r="H203" s="490" t="s">
        <v>399</v>
      </c>
      <c r="I203" s="491">
        <v>100</v>
      </c>
      <c r="J203" s="492">
        <v>30.9</v>
      </c>
      <c r="K203" s="493">
        <v>0.56499999999999995</v>
      </c>
      <c r="L203" s="494">
        <v>0.32</v>
      </c>
      <c r="M203" s="494">
        <v>29.71</v>
      </c>
      <c r="N203" s="491">
        <v>61800</v>
      </c>
      <c r="O203" s="492">
        <v>4.7</v>
      </c>
      <c r="P203" s="494">
        <v>18.75</v>
      </c>
      <c r="Q203" s="494">
        <v>24.43</v>
      </c>
      <c r="R203" s="494">
        <v>30.32</v>
      </c>
      <c r="S203" s="494">
        <v>35.47</v>
      </c>
      <c r="T203" s="494">
        <v>38.380000000000003</v>
      </c>
      <c r="U203" s="491">
        <v>39000</v>
      </c>
      <c r="V203" s="491">
        <v>50800</v>
      </c>
      <c r="W203" s="491">
        <v>63070</v>
      </c>
      <c r="X203" s="491">
        <v>73790</v>
      </c>
      <c r="Y203" s="491">
        <v>79840</v>
      </c>
      <c r="Z203" s="490"/>
      <c r="AA203" s="490"/>
    </row>
    <row r="204" spans="7:27" x14ac:dyDescent="0.25">
      <c r="G204" s="489" t="s">
        <v>596</v>
      </c>
      <c r="H204" s="490" t="s">
        <v>399</v>
      </c>
      <c r="I204" s="491">
        <v>450</v>
      </c>
      <c r="J204" s="492">
        <v>13.5</v>
      </c>
      <c r="K204" s="493">
        <v>2.5470000000000002</v>
      </c>
      <c r="L204" s="494">
        <v>0.9</v>
      </c>
      <c r="M204" s="494">
        <v>18.73</v>
      </c>
      <c r="N204" s="491">
        <v>38960</v>
      </c>
      <c r="O204" s="492">
        <v>3.9</v>
      </c>
      <c r="P204" s="494">
        <v>12.08</v>
      </c>
      <c r="Q204" s="494">
        <v>14.67</v>
      </c>
      <c r="R204" s="494">
        <v>18.98</v>
      </c>
      <c r="S204" s="494">
        <v>22.29</v>
      </c>
      <c r="T204" s="494">
        <v>24.48</v>
      </c>
      <c r="U204" s="491">
        <v>25130</v>
      </c>
      <c r="V204" s="491">
        <v>30510</v>
      </c>
      <c r="W204" s="491">
        <v>39480</v>
      </c>
      <c r="X204" s="491">
        <v>46350</v>
      </c>
      <c r="Y204" s="491">
        <v>50920</v>
      </c>
      <c r="Z204" s="490"/>
      <c r="AA204" s="490"/>
    </row>
    <row r="205" spans="7:27" x14ac:dyDescent="0.25">
      <c r="G205" s="489" t="s">
        <v>597</v>
      </c>
      <c r="H205" s="490" t="s">
        <v>399</v>
      </c>
      <c r="I205" s="491">
        <v>210</v>
      </c>
      <c r="J205" s="492">
        <v>34.4</v>
      </c>
      <c r="K205" s="493">
        <v>1.204</v>
      </c>
      <c r="L205" s="494">
        <v>2.74</v>
      </c>
      <c r="M205" s="494">
        <v>14.23</v>
      </c>
      <c r="N205" s="491">
        <v>29600</v>
      </c>
      <c r="O205" s="492">
        <v>4.7</v>
      </c>
      <c r="P205" s="494">
        <v>10.02</v>
      </c>
      <c r="Q205" s="494">
        <v>11.81</v>
      </c>
      <c r="R205" s="494">
        <v>13.55</v>
      </c>
      <c r="S205" s="494">
        <v>15.65</v>
      </c>
      <c r="T205" s="494">
        <v>18.47</v>
      </c>
      <c r="U205" s="491">
        <v>20850</v>
      </c>
      <c r="V205" s="491">
        <v>24560</v>
      </c>
      <c r="W205" s="491">
        <v>28180</v>
      </c>
      <c r="X205" s="491">
        <v>32550</v>
      </c>
      <c r="Y205" s="491">
        <v>38420</v>
      </c>
      <c r="Z205" s="490"/>
      <c r="AA205" s="490"/>
    </row>
    <row r="206" spans="7:27" x14ac:dyDescent="0.25">
      <c r="G206" s="489" t="s">
        <v>598</v>
      </c>
      <c r="H206" s="490" t="s">
        <v>399</v>
      </c>
      <c r="I206" s="491">
        <v>70</v>
      </c>
      <c r="J206" s="492">
        <v>10.6</v>
      </c>
      <c r="K206" s="493">
        <v>0.41099999999999998</v>
      </c>
      <c r="L206" s="494">
        <v>0.55000000000000004</v>
      </c>
      <c r="M206" s="494">
        <v>26.72</v>
      </c>
      <c r="N206" s="491">
        <v>55590</v>
      </c>
      <c r="O206" s="492">
        <v>3.6</v>
      </c>
      <c r="P206" s="494">
        <v>18.690000000000001</v>
      </c>
      <c r="Q206" s="494">
        <v>22.23</v>
      </c>
      <c r="R206" s="494">
        <v>26.39</v>
      </c>
      <c r="S206" s="494">
        <v>29.97</v>
      </c>
      <c r="T206" s="494">
        <v>36.520000000000003</v>
      </c>
      <c r="U206" s="491">
        <v>38870</v>
      </c>
      <c r="V206" s="491">
        <v>46230</v>
      </c>
      <c r="W206" s="491">
        <v>54900</v>
      </c>
      <c r="X206" s="491">
        <v>62330</v>
      </c>
      <c r="Y206" s="491">
        <v>75960</v>
      </c>
      <c r="Z206" s="490"/>
      <c r="AA206" s="490"/>
    </row>
    <row r="207" spans="7:27" x14ac:dyDescent="0.25">
      <c r="G207" s="489" t="s">
        <v>599</v>
      </c>
      <c r="H207" s="490" t="s">
        <v>399</v>
      </c>
      <c r="I207" s="491">
        <v>130</v>
      </c>
      <c r="J207" s="492">
        <v>21.9</v>
      </c>
      <c r="K207" s="493">
        <v>0.72799999999999998</v>
      </c>
      <c r="L207" s="494">
        <v>1.03</v>
      </c>
      <c r="M207" s="494">
        <v>20.36</v>
      </c>
      <c r="N207" s="491">
        <v>42350</v>
      </c>
      <c r="O207" s="492">
        <v>2.7</v>
      </c>
      <c r="P207" s="494">
        <v>16.46</v>
      </c>
      <c r="Q207" s="494">
        <v>18.559999999999999</v>
      </c>
      <c r="R207" s="494">
        <v>20.78</v>
      </c>
      <c r="S207" s="494">
        <v>22.71</v>
      </c>
      <c r="T207" s="494">
        <v>23.91</v>
      </c>
      <c r="U207" s="491">
        <v>34230</v>
      </c>
      <c r="V207" s="491">
        <v>38600</v>
      </c>
      <c r="W207" s="491">
        <v>43230</v>
      </c>
      <c r="X207" s="491">
        <v>47240</v>
      </c>
      <c r="Y207" s="491">
        <v>49720</v>
      </c>
      <c r="Z207" s="490"/>
      <c r="AA207" s="490"/>
    </row>
    <row r="208" spans="7:27" x14ac:dyDescent="0.25">
      <c r="G208" s="489" t="s">
        <v>600</v>
      </c>
      <c r="H208" s="490" t="s">
        <v>399</v>
      </c>
      <c r="I208" s="491" t="s">
        <v>403</v>
      </c>
      <c r="J208" s="492" t="s">
        <v>403</v>
      </c>
      <c r="K208" s="493" t="s">
        <v>403</v>
      </c>
      <c r="L208" s="494" t="s">
        <v>403</v>
      </c>
      <c r="M208" s="494">
        <v>20.88</v>
      </c>
      <c r="N208" s="491">
        <v>43430</v>
      </c>
      <c r="O208" s="492">
        <v>5.9</v>
      </c>
      <c r="P208" s="494">
        <v>15.23</v>
      </c>
      <c r="Q208" s="494">
        <v>16.760000000000002</v>
      </c>
      <c r="R208" s="494">
        <v>19.440000000000001</v>
      </c>
      <c r="S208" s="494">
        <v>23.81</v>
      </c>
      <c r="T208" s="494">
        <v>30.24</v>
      </c>
      <c r="U208" s="491">
        <v>31670</v>
      </c>
      <c r="V208" s="491">
        <v>34870</v>
      </c>
      <c r="W208" s="491">
        <v>40430</v>
      </c>
      <c r="X208" s="491">
        <v>49520</v>
      </c>
      <c r="Y208" s="491">
        <v>62900</v>
      </c>
      <c r="Z208" s="490"/>
      <c r="AA208" s="490"/>
    </row>
    <row r="209" spans="7:27" x14ac:dyDescent="0.25">
      <c r="G209" s="489" t="s">
        <v>601</v>
      </c>
      <c r="H209" s="490" t="s">
        <v>399</v>
      </c>
      <c r="I209" s="491">
        <v>290</v>
      </c>
      <c r="J209" s="492">
        <v>11</v>
      </c>
      <c r="K209" s="493">
        <v>1.641</v>
      </c>
      <c r="L209" s="494">
        <v>0.33</v>
      </c>
      <c r="M209" s="494">
        <v>25.56</v>
      </c>
      <c r="N209" s="491">
        <v>53160</v>
      </c>
      <c r="O209" s="492">
        <v>3.5</v>
      </c>
      <c r="P209" s="494">
        <v>19.95</v>
      </c>
      <c r="Q209" s="494">
        <v>21.63</v>
      </c>
      <c r="R209" s="494">
        <v>24.42</v>
      </c>
      <c r="S209" s="494">
        <v>29.2</v>
      </c>
      <c r="T209" s="494">
        <v>32.86</v>
      </c>
      <c r="U209" s="491">
        <v>41490</v>
      </c>
      <c r="V209" s="491">
        <v>44990</v>
      </c>
      <c r="W209" s="491">
        <v>50790</v>
      </c>
      <c r="X209" s="491">
        <v>60740</v>
      </c>
      <c r="Y209" s="491">
        <v>68350</v>
      </c>
      <c r="Z209" s="490"/>
      <c r="AA209" s="490"/>
    </row>
    <row r="210" spans="7:27" x14ac:dyDescent="0.25">
      <c r="G210" s="489" t="s">
        <v>602</v>
      </c>
      <c r="H210" s="490" t="s">
        <v>399</v>
      </c>
      <c r="I210" s="491">
        <v>330</v>
      </c>
      <c r="J210" s="492">
        <v>15</v>
      </c>
      <c r="K210" s="493">
        <v>1.8839999999999999</v>
      </c>
      <c r="L210" s="494">
        <v>1.32</v>
      </c>
      <c r="M210" s="494">
        <v>20.59</v>
      </c>
      <c r="N210" s="491">
        <v>42820</v>
      </c>
      <c r="O210" s="492">
        <v>2.6</v>
      </c>
      <c r="P210" s="494">
        <v>15.69</v>
      </c>
      <c r="Q210" s="494">
        <v>17.38</v>
      </c>
      <c r="R210" s="494">
        <v>20.09</v>
      </c>
      <c r="S210" s="494">
        <v>23.54</v>
      </c>
      <c r="T210" s="494">
        <v>27.58</v>
      </c>
      <c r="U210" s="491">
        <v>32640</v>
      </c>
      <c r="V210" s="491">
        <v>36140</v>
      </c>
      <c r="W210" s="491">
        <v>41780</v>
      </c>
      <c r="X210" s="491">
        <v>48960</v>
      </c>
      <c r="Y210" s="491">
        <v>57370</v>
      </c>
      <c r="Z210" s="490"/>
      <c r="AA210" s="490"/>
    </row>
    <row r="211" spans="7:27" x14ac:dyDescent="0.25">
      <c r="G211" s="489" t="s">
        <v>603</v>
      </c>
      <c r="H211" s="490" t="s">
        <v>399</v>
      </c>
      <c r="I211" s="491">
        <v>100</v>
      </c>
      <c r="J211" s="492">
        <v>20.9</v>
      </c>
      <c r="K211" s="493">
        <v>0.59</v>
      </c>
      <c r="L211" s="494">
        <v>1.1000000000000001</v>
      </c>
      <c r="M211" s="494">
        <v>20.6</v>
      </c>
      <c r="N211" s="491">
        <v>42850</v>
      </c>
      <c r="O211" s="492">
        <v>5.9</v>
      </c>
      <c r="P211" s="494">
        <v>13.54</v>
      </c>
      <c r="Q211" s="494">
        <v>16.309999999999999</v>
      </c>
      <c r="R211" s="494">
        <v>20.47</v>
      </c>
      <c r="S211" s="494">
        <v>24.55</v>
      </c>
      <c r="T211" s="494">
        <v>28.85</v>
      </c>
      <c r="U211" s="491">
        <v>28160</v>
      </c>
      <c r="V211" s="491">
        <v>33930</v>
      </c>
      <c r="W211" s="491">
        <v>42570</v>
      </c>
      <c r="X211" s="491">
        <v>51060</v>
      </c>
      <c r="Y211" s="491">
        <v>60010</v>
      </c>
      <c r="Z211" s="490"/>
      <c r="AA211" s="490"/>
    </row>
    <row r="212" spans="7:27" x14ac:dyDescent="0.25">
      <c r="G212" s="489" t="s">
        <v>604</v>
      </c>
      <c r="H212" s="490" t="s">
        <v>399</v>
      </c>
      <c r="I212" s="491">
        <v>110</v>
      </c>
      <c r="J212" s="492">
        <v>13.5</v>
      </c>
      <c r="K212" s="493">
        <v>0.64900000000000002</v>
      </c>
      <c r="L212" s="494">
        <v>0.75</v>
      </c>
      <c r="M212" s="494">
        <v>29.88</v>
      </c>
      <c r="N212" s="491">
        <v>62140</v>
      </c>
      <c r="O212" s="492">
        <v>3.7</v>
      </c>
      <c r="P212" s="494">
        <v>19.91</v>
      </c>
      <c r="Q212" s="494">
        <v>22.07</v>
      </c>
      <c r="R212" s="494">
        <v>30</v>
      </c>
      <c r="S212" s="494">
        <v>36.200000000000003</v>
      </c>
      <c r="T212" s="494">
        <v>42.9</v>
      </c>
      <c r="U212" s="491">
        <v>41420</v>
      </c>
      <c r="V212" s="491">
        <v>45890</v>
      </c>
      <c r="W212" s="491">
        <v>62410</v>
      </c>
      <c r="X212" s="491">
        <v>75290</v>
      </c>
      <c r="Y212" s="491">
        <v>89240</v>
      </c>
      <c r="Z212" s="490"/>
      <c r="AA212" s="490"/>
    </row>
    <row r="213" spans="7:27" x14ac:dyDescent="0.25">
      <c r="G213" s="489" t="s">
        <v>605</v>
      </c>
      <c r="H213" s="490" t="s">
        <v>399</v>
      </c>
      <c r="I213" s="491">
        <v>250</v>
      </c>
      <c r="J213" s="492">
        <v>8.4</v>
      </c>
      <c r="K213" s="493">
        <v>1.4470000000000001</v>
      </c>
      <c r="L213" s="494">
        <v>2.65</v>
      </c>
      <c r="M213" s="494">
        <v>41.65</v>
      </c>
      <c r="N213" s="491">
        <v>86630</v>
      </c>
      <c r="O213" s="492">
        <v>2.6</v>
      </c>
      <c r="P213" s="494">
        <v>28.47</v>
      </c>
      <c r="Q213" s="494">
        <v>32.93</v>
      </c>
      <c r="R213" s="494">
        <v>39.24</v>
      </c>
      <c r="S213" s="494">
        <v>50.37</v>
      </c>
      <c r="T213" s="494">
        <v>59.99</v>
      </c>
      <c r="U213" s="491">
        <v>59210</v>
      </c>
      <c r="V213" s="491">
        <v>68500</v>
      </c>
      <c r="W213" s="491">
        <v>81620</v>
      </c>
      <c r="X213" s="491">
        <v>104770</v>
      </c>
      <c r="Y213" s="491">
        <v>124770</v>
      </c>
      <c r="Z213" s="490"/>
      <c r="AA213" s="490"/>
    </row>
    <row r="214" spans="7:27" x14ac:dyDescent="0.25">
      <c r="G214" s="489" t="s">
        <v>606</v>
      </c>
      <c r="H214" s="490" t="s">
        <v>399</v>
      </c>
      <c r="I214" s="491">
        <v>30</v>
      </c>
      <c r="J214" s="492">
        <v>9.1999999999999993</v>
      </c>
      <c r="K214" s="493">
        <v>0.17399999999999999</v>
      </c>
      <c r="L214" s="494">
        <v>1.47</v>
      </c>
      <c r="M214" s="494">
        <v>34.11</v>
      </c>
      <c r="N214" s="491">
        <v>70940</v>
      </c>
      <c r="O214" s="492">
        <v>4</v>
      </c>
      <c r="P214" s="494">
        <v>18.559999999999999</v>
      </c>
      <c r="Q214" s="494">
        <v>25.11</v>
      </c>
      <c r="R214" s="494">
        <v>32.020000000000003</v>
      </c>
      <c r="S214" s="494">
        <v>44.6</v>
      </c>
      <c r="T214" s="494">
        <v>54.22</v>
      </c>
      <c r="U214" s="491">
        <v>38600</v>
      </c>
      <c r="V214" s="491">
        <v>52230</v>
      </c>
      <c r="W214" s="491">
        <v>66600</v>
      </c>
      <c r="X214" s="491">
        <v>92770</v>
      </c>
      <c r="Y214" s="491">
        <v>112780</v>
      </c>
      <c r="Z214" s="490"/>
      <c r="AA214" s="490"/>
    </row>
    <row r="215" spans="7:27" x14ac:dyDescent="0.25">
      <c r="G215" s="489" t="s">
        <v>607</v>
      </c>
      <c r="H215" s="490" t="s">
        <v>399</v>
      </c>
      <c r="I215" s="491">
        <v>100</v>
      </c>
      <c r="J215" s="492">
        <v>8.6</v>
      </c>
      <c r="K215" s="493">
        <v>0.54600000000000004</v>
      </c>
      <c r="L215" s="494">
        <v>2.13</v>
      </c>
      <c r="M215" s="494">
        <v>31.15</v>
      </c>
      <c r="N215" s="491">
        <v>64800</v>
      </c>
      <c r="O215" s="492">
        <v>5.4</v>
      </c>
      <c r="P215" s="494">
        <v>17.73</v>
      </c>
      <c r="Q215" s="494">
        <v>22.4</v>
      </c>
      <c r="R215" s="494">
        <v>29.06</v>
      </c>
      <c r="S215" s="494">
        <v>38.659999999999997</v>
      </c>
      <c r="T215" s="494">
        <v>46.09</v>
      </c>
      <c r="U215" s="491">
        <v>36890</v>
      </c>
      <c r="V215" s="491">
        <v>46580</v>
      </c>
      <c r="W215" s="491">
        <v>60440</v>
      </c>
      <c r="X215" s="491">
        <v>80400</v>
      </c>
      <c r="Y215" s="491">
        <v>95870</v>
      </c>
      <c r="Z215" s="490"/>
      <c r="AA215" s="490"/>
    </row>
    <row r="216" spans="7:27" x14ac:dyDescent="0.25">
      <c r="G216" s="489" t="s">
        <v>191</v>
      </c>
      <c r="H216" s="490" t="s">
        <v>398</v>
      </c>
      <c r="I216" s="491">
        <v>4710</v>
      </c>
      <c r="J216" s="492">
        <v>6.7</v>
      </c>
      <c r="K216" s="493">
        <v>26.745000000000001</v>
      </c>
      <c r="L216" s="494">
        <v>0.93</v>
      </c>
      <c r="M216" s="494">
        <v>21.89</v>
      </c>
      <c r="N216" s="491">
        <v>45520</v>
      </c>
      <c r="O216" s="492">
        <v>4.2</v>
      </c>
      <c r="P216" s="494">
        <v>12.7</v>
      </c>
      <c r="Q216" s="494">
        <v>16.21</v>
      </c>
      <c r="R216" s="494">
        <v>18.96</v>
      </c>
      <c r="S216" s="494">
        <v>24.08</v>
      </c>
      <c r="T216" s="494">
        <v>34.94</v>
      </c>
      <c r="U216" s="491">
        <v>26410</v>
      </c>
      <c r="V216" s="491">
        <v>33720</v>
      </c>
      <c r="W216" s="491">
        <v>39440</v>
      </c>
      <c r="X216" s="491">
        <v>50090</v>
      </c>
      <c r="Y216" s="491">
        <v>72670</v>
      </c>
      <c r="Z216" s="490"/>
      <c r="AA216" s="490"/>
    </row>
    <row r="217" spans="7:27" x14ac:dyDescent="0.25">
      <c r="G217" s="489" t="s">
        <v>608</v>
      </c>
      <c r="H217" s="490" t="s">
        <v>399</v>
      </c>
      <c r="I217" s="491">
        <v>670</v>
      </c>
      <c r="J217" s="492">
        <v>26.1</v>
      </c>
      <c r="K217" s="493">
        <v>3.8050000000000002</v>
      </c>
      <c r="L217" s="494">
        <v>0.66</v>
      </c>
      <c r="M217" s="494">
        <v>15.16</v>
      </c>
      <c r="N217" s="491">
        <v>31530</v>
      </c>
      <c r="O217" s="492">
        <v>7.7</v>
      </c>
      <c r="P217" s="494">
        <v>9.76</v>
      </c>
      <c r="Q217" s="494">
        <v>10.89</v>
      </c>
      <c r="R217" s="494">
        <v>16.47</v>
      </c>
      <c r="S217" s="494">
        <v>18.100000000000001</v>
      </c>
      <c r="T217" s="494">
        <v>19.079999999999998</v>
      </c>
      <c r="U217" s="491">
        <v>20290</v>
      </c>
      <c r="V217" s="491">
        <v>22650</v>
      </c>
      <c r="W217" s="491">
        <v>34250</v>
      </c>
      <c r="X217" s="491">
        <v>37640</v>
      </c>
      <c r="Y217" s="491">
        <v>39680</v>
      </c>
      <c r="Z217" s="490"/>
      <c r="AA217" s="490"/>
    </row>
    <row r="218" spans="7:27" x14ac:dyDescent="0.25">
      <c r="G218" s="489" t="s">
        <v>609</v>
      </c>
      <c r="H218" s="490" t="s">
        <v>399</v>
      </c>
      <c r="I218" s="491">
        <v>970</v>
      </c>
      <c r="J218" s="492">
        <v>13</v>
      </c>
      <c r="K218" s="493">
        <v>5.4880000000000004</v>
      </c>
      <c r="L218" s="494">
        <v>0.53</v>
      </c>
      <c r="M218" s="494">
        <v>17.38</v>
      </c>
      <c r="N218" s="491">
        <v>36140</v>
      </c>
      <c r="O218" s="492">
        <v>2.4</v>
      </c>
      <c r="P218" s="494">
        <v>12.7</v>
      </c>
      <c r="Q218" s="494">
        <v>14.98</v>
      </c>
      <c r="R218" s="494">
        <v>17.25</v>
      </c>
      <c r="S218" s="494">
        <v>19.510000000000002</v>
      </c>
      <c r="T218" s="494">
        <v>22.94</v>
      </c>
      <c r="U218" s="491">
        <v>26420</v>
      </c>
      <c r="V218" s="491">
        <v>31160</v>
      </c>
      <c r="W218" s="491">
        <v>35890</v>
      </c>
      <c r="X218" s="491">
        <v>40570</v>
      </c>
      <c r="Y218" s="491">
        <v>47710</v>
      </c>
      <c r="Z218" s="490"/>
      <c r="AA218" s="490"/>
    </row>
    <row r="219" spans="7:27" x14ac:dyDescent="0.25">
      <c r="G219" s="489" t="s">
        <v>610</v>
      </c>
      <c r="H219" s="490" t="s">
        <v>399</v>
      </c>
      <c r="I219" s="491">
        <v>50</v>
      </c>
      <c r="J219" s="492">
        <v>34.6</v>
      </c>
      <c r="K219" s="493">
        <v>0.25900000000000001</v>
      </c>
      <c r="L219" s="494">
        <v>0.42</v>
      </c>
      <c r="M219" s="494">
        <v>27.62</v>
      </c>
      <c r="N219" s="491">
        <v>57440</v>
      </c>
      <c r="O219" s="492">
        <v>8.6999999999999993</v>
      </c>
      <c r="P219" s="494">
        <v>17.53</v>
      </c>
      <c r="Q219" s="494">
        <v>22.17</v>
      </c>
      <c r="R219" s="494">
        <v>28.21</v>
      </c>
      <c r="S219" s="494">
        <v>34.36</v>
      </c>
      <c r="T219" s="494">
        <v>37.5</v>
      </c>
      <c r="U219" s="491">
        <v>36460</v>
      </c>
      <c r="V219" s="491">
        <v>46110</v>
      </c>
      <c r="W219" s="491">
        <v>58680</v>
      </c>
      <c r="X219" s="491">
        <v>71480</v>
      </c>
      <c r="Y219" s="491">
        <v>78000</v>
      </c>
      <c r="Z219" s="490"/>
      <c r="AA219" s="490"/>
    </row>
    <row r="220" spans="7:27" x14ac:dyDescent="0.25">
      <c r="G220" s="489" t="s">
        <v>611</v>
      </c>
      <c r="H220" s="490" t="s">
        <v>399</v>
      </c>
      <c r="I220" s="491">
        <v>630</v>
      </c>
      <c r="J220" s="492">
        <v>18.2</v>
      </c>
      <c r="K220" s="493">
        <v>3.5569999999999999</v>
      </c>
      <c r="L220" s="494">
        <v>5.21</v>
      </c>
      <c r="M220" s="494">
        <v>41.67</v>
      </c>
      <c r="N220" s="491">
        <v>86670</v>
      </c>
      <c r="O220" s="492">
        <v>6</v>
      </c>
      <c r="P220" s="494">
        <v>20.3</v>
      </c>
      <c r="Q220" s="494">
        <v>33.299999999999997</v>
      </c>
      <c r="R220" s="494">
        <v>39.56</v>
      </c>
      <c r="S220" s="494">
        <v>54.97</v>
      </c>
      <c r="T220" s="494">
        <v>60.29</v>
      </c>
      <c r="U220" s="491">
        <v>42220</v>
      </c>
      <c r="V220" s="491">
        <v>69270</v>
      </c>
      <c r="W220" s="491">
        <v>82290</v>
      </c>
      <c r="X220" s="491">
        <v>114340</v>
      </c>
      <c r="Y220" s="491">
        <v>125390</v>
      </c>
      <c r="Z220" s="490"/>
      <c r="AA220" s="490"/>
    </row>
    <row r="221" spans="7:27" x14ac:dyDescent="0.25">
      <c r="G221" s="489" t="s">
        <v>612</v>
      </c>
      <c r="H221" s="490" t="s">
        <v>399</v>
      </c>
      <c r="I221" s="491">
        <v>780</v>
      </c>
      <c r="J221" s="492">
        <v>12.7</v>
      </c>
      <c r="K221" s="493">
        <v>4.4130000000000003</v>
      </c>
      <c r="L221" s="494">
        <v>1.89</v>
      </c>
      <c r="M221" s="494">
        <v>21.73</v>
      </c>
      <c r="N221" s="491">
        <v>45200</v>
      </c>
      <c r="O221" s="492">
        <v>4.5999999999999996</v>
      </c>
      <c r="P221" s="494">
        <v>15.81</v>
      </c>
      <c r="Q221" s="494">
        <v>18.329999999999998</v>
      </c>
      <c r="R221" s="494">
        <v>21.75</v>
      </c>
      <c r="S221" s="494">
        <v>24.95</v>
      </c>
      <c r="T221" s="494">
        <v>28.77</v>
      </c>
      <c r="U221" s="491">
        <v>32890</v>
      </c>
      <c r="V221" s="491">
        <v>38140</v>
      </c>
      <c r="W221" s="491">
        <v>45240</v>
      </c>
      <c r="X221" s="491">
        <v>51890</v>
      </c>
      <c r="Y221" s="491">
        <v>59850</v>
      </c>
      <c r="Z221" s="490"/>
      <c r="AA221" s="490"/>
    </row>
    <row r="222" spans="7:27" x14ac:dyDescent="0.25">
      <c r="G222" s="489" t="s">
        <v>613</v>
      </c>
      <c r="H222" s="490" t="s">
        <v>399</v>
      </c>
      <c r="I222" s="491">
        <v>890</v>
      </c>
      <c r="J222" s="492">
        <v>13.2</v>
      </c>
      <c r="K222" s="493">
        <v>5.0430000000000001</v>
      </c>
      <c r="L222" s="494">
        <v>1.1399999999999999</v>
      </c>
      <c r="M222" s="494">
        <v>18.86</v>
      </c>
      <c r="N222" s="491">
        <v>39220</v>
      </c>
      <c r="O222" s="492">
        <v>4.7</v>
      </c>
      <c r="P222" s="494">
        <v>11.47</v>
      </c>
      <c r="Q222" s="494">
        <v>16.16</v>
      </c>
      <c r="R222" s="494">
        <v>18.739999999999998</v>
      </c>
      <c r="S222" s="494">
        <v>22.31</v>
      </c>
      <c r="T222" s="494">
        <v>25.17</v>
      </c>
      <c r="U222" s="491">
        <v>23850</v>
      </c>
      <c r="V222" s="491">
        <v>33620</v>
      </c>
      <c r="W222" s="491">
        <v>38980</v>
      </c>
      <c r="X222" s="491">
        <v>46400</v>
      </c>
      <c r="Y222" s="491">
        <v>52360</v>
      </c>
      <c r="Z222" s="490"/>
      <c r="AA222" s="490"/>
    </row>
    <row r="223" spans="7:27" x14ac:dyDescent="0.25">
      <c r="G223" s="489" t="s">
        <v>614</v>
      </c>
      <c r="H223" s="490" t="s">
        <v>399</v>
      </c>
      <c r="I223" s="491">
        <v>90</v>
      </c>
      <c r="J223" s="492">
        <v>3.7</v>
      </c>
      <c r="K223" s="493">
        <v>0.53600000000000003</v>
      </c>
      <c r="L223" s="494">
        <v>1.43</v>
      </c>
      <c r="M223" s="494">
        <v>20.79</v>
      </c>
      <c r="N223" s="491">
        <v>43240</v>
      </c>
      <c r="O223" s="492">
        <v>2.2000000000000002</v>
      </c>
      <c r="P223" s="494">
        <v>15.64</v>
      </c>
      <c r="Q223" s="494">
        <v>17.79</v>
      </c>
      <c r="R223" s="494">
        <v>20.73</v>
      </c>
      <c r="S223" s="494">
        <v>23.44</v>
      </c>
      <c r="T223" s="494">
        <v>27.35</v>
      </c>
      <c r="U223" s="491">
        <v>32540</v>
      </c>
      <c r="V223" s="491">
        <v>36990</v>
      </c>
      <c r="W223" s="491">
        <v>43120</v>
      </c>
      <c r="X223" s="491">
        <v>48750</v>
      </c>
      <c r="Y223" s="491">
        <v>56890</v>
      </c>
      <c r="Z223" s="490"/>
      <c r="AA223" s="490"/>
    </row>
    <row r="224" spans="7:27" x14ac:dyDescent="0.25">
      <c r="G224" s="489" t="s">
        <v>615</v>
      </c>
      <c r="H224" s="490" t="s">
        <v>399</v>
      </c>
      <c r="I224" s="491">
        <v>40</v>
      </c>
      <c r="J224" s="492">
        <v>40.9</v>
      </c>
      <c r="K224" s="493">
        <v>0.23300000000000001</v>
      </c>
      <c r="L224" s="494">
        <v>0.6</v>
      </c>
      <c r="M224" s="494">
        <v>26.47</v>
      </c>
      <c r="N224" s="491">
        <v>55060</v>
      </c>
      <c r="O224" s="492">
        <v>4.9000000000000004</v>
      </c>
      <c r="P224" s="494">
        <v>20.22</v>
      </c>
      <c r="Q224" s="494">
        <v>22.86</v>
      </c>
      <c r="R224" s="494">
        <v>26.64</v>
      </c>
      <c r="S224" s="494">
        <v>29.56</v>
      </c>
      <c r="T224" s="494">
        <v>33.51</v>
      </c>
      <c r="U224" s="491">
        <v>42060</v>
      </c>
      <c r="V224" s="491">
        <v>47550</v>
      </c>
      <c r="W224" s="491">
        <v>55420</v>
      </c>
      <c r="X224" s="491">
        <v>61480</v>
      </c>
      <c r="Y224" s="491">
        <v>69690</v>
      </c>
      <c r="Z224" s="490"/>
      <c r="AA224" s="490"/>
    </row>
    <row r="225" spans="7:27" x14ac:dyDescent="0.25">
      <c r="G225" s="489" t="s">
        <v>616</v>
      </c>
      <c r="H225" s="490" t="s">
        <v>399</v>
      </c>
      <c r="I225" s="491">
        <v>60</v>
      </c>
      <c r="J225" s="492">
        <v>32</v>
      </c>
      <c r="K225" s="493">
        <v>0.35199999999999998</v>
      </c>
      <c r="L225" s="494">
        <v>0.62</v>
      </c>
      <c r="M225" s="494">
        <v>13.51</v>
      </c>
      <c r="N225" s="491">
        <v>28090</v>
      </c>
      <c r="O225" s="492">
        <v>3.9</v>
      </c>
      <c r="P225" s="494">
        <v>10.15</v>
      </c>
      <c r="Q225" s="494">
        <v>11.61</v>
      </c>
      <c r="R225" s="494">
        <v>13.38</v>
      </c>
      <c r="S225" s="494">
        <v>14.85</v>
      </c>
      <c r="T225" s="494">
        <v>17.21</v>
      </c>
      <c r="U225" s="491">
        <v>21110</v>
      </c>
      <c r="V225" s="491">
        <v>24150</v>
      </c>
      <c r="W225" s="491">
        <v>27820</v>
      </c>
      <c r="X225" s="491">
        <v>30900</v>
      </c>
      <c r="Y225" s="491">
        <v>35790</v>
      </c>
      <c r="Z225" s="490"/>
      <c r="AA225" s="490"/>
    </row>
    <row r="226" spans="7:27" x14ac:dyDescent="0.25">
      <c r="G226" s="489" t="s">
        <v>617</v>
      </c>
      <c r="H226" s="490" t="s">
        <v>399</v>
      </c>
      <c r="I226" s="491">
        <v>90</v>
      </c>
      <c r="J226" s="492">
        <v>30.3</v>
      </c>
      <c r="K226" s="493">
        <v>0.51900000000000002</v>
      </c>
      <c r="L226" s="494">
        <v>0.6</v>
      </c>
      <c r="M226" s="494">
        <v>19.25</v>
      </c>
      <c r="N226" s="491">
        <v>40040</v>
      </c>
      <c r="O226" s="492">
        <v>6.4</v>
      </c>
      <c r="P226" s="494">
        <v>13.99</v>
      </c>
      <c r="Q226" s="494">
        <v>16.100000000000001</v>
      </c>
      <c r="R226" s="494">
        <v>18.59</v>
      </c>
      <c r="S226" s="494">
        <v>22.1</v>
      </c>
      <c r="T226" s="494">
        <v>26.01</v>
      </c>
      <c r="U226" s="491">
        <v>29100</v>
      </c>
      <c r="V226" s="491">
        <v>33490</v>
      </c>
      <c r="W226" s="491">
        <v>38670</v>
      </c>
      <c r="X226" s="491">
        <v>45970</v>
      </c>
      <c r="Y226" s="491">
        <v>54100</v>
      </c>
      <c r="Z226" s="490"/>
      <c r="AA226" s="490"/>
    </row>
    <row r="227" spans="7:27" x14ac:dyDescent="0.25">
      <c r="G227" s="489" t="s">
        <v>618</v>
      </c>
      <c r="H227" s="490" t="s">
        <v>399</v>
      </c>
      <c r="I227" s="491">
        <v>280</v>
      </c>
      <c r="J227" s="492">
        <v>15.2</v>
      </c>
      <c r="K227" s="493">
        <v>1.585</v>
      </c>
      <c r="L227" s="494">
        <v>2.37</v>
      </c>
      <c r="M227" s="494">
        <v>22.03</v>
      </c>
      <c r="N227" s="491">
        <v>45810</v>
      </c>
      <c r="O227" s="492">
        <v>2.1</v>
      </c>
      <c r="P227" s="494">
        <v>15.37</v>
      </c>
      <c r="Q227" s="494">
        <v>17.45</v>
      </c>
      <c r="R227" s="494">
        <v>21.58</v>
      </c>
      <c r="S227" s="494">
        <v>25.67</v>
      </c>
      <c r="T227" s="494">
        <v>30.24</v>
      </c>
      <c r="U227" s="491">
        <v>31980</v>
      </c>
      <c r="V227" s="491">
        <v>36300</v>
      </c>
      <c r="W227" s="491">
        <v>44890</v>
      </c>
      <c r="X227" s="491">
        <v>53390</v>
      </c>
      <c r="Y227" s="491">
        <v>62900</v>
      </c>
      <c r="Z227" s="490"/>
      <c r="AA227" s="490"/>
    </row>
    <row r="228" spans="7:27" x14ac:dyDescent="0.25">
      <c r="G228" s="489" t="s">
        <v>192</v>
      </c>
      <c r="H228" s="490" t="s">
        <v>398</v>
      </c>
      <c r="I228" s="491">
        <v>3990</v>
      </c>
      <c r="J228" s="492">
        <v>4.8</v>
      </c>
      <c r="K228" s="493">
        <v>22.65</v>
      </c>
      <c r="L228" s="494">
        <v>0.94</v>
      </c>
      <c r="M228" s="494">
        <v>28.44</v>
      </c>
      <c r="N228" s="491">
        <v>59160</v>
      </c>
      <c r="O228" s="492">
        <v>4.9000000000000004</v>
      </c>
      <c r="P228" s="494">
        <v>13.45</v>
      </c>
      <c r="Q228" s="494">
        <v>18.82</v>
      </c>
      <c r="R228" s="494">
        <v>26.55</v>
      </c>
      <c r="S228" s="494">
        <v>36.159999999999997</v>
      </c>
      <c r="T228" s="494">
        <v>46.06</v>
      </c>
      <c r="U228" s="491">
        <v>27980</v>
      </c>
      <c r="V228" s="491">
        <v>39150</v>
      </c>
      <c r="W228" s="491">
        <v>55230</v>
      </c>
      <c r="X228" s="491">
        <v>75210</v>
      </c>
      <c r="Y228" s="491">
        <v>95810</v>
      </c>
      <c r="Z228" s="490"/>
      <c r="AA228" s="490"/>
    </row>
    <row r="229" spans="7:27" x14ac:dyDescent="0.25">
      <c r="G229" s="489" t="s">
        <v>619</v>
      </c>
      <c r="H229" s="490" t="s">
        <v>399</v>
      </c>
      <c r="I229" s="491">
        <v>150</v>
      </c>
      <c r="J229" s="492">
        <v>6.5</v>
      </c>
      <c r="K229" s="493">
        <v>0.871</v>
      </c>
      <c r="L229" s="494">
        <v>1.22</v>
      </c>
      <c r="M229" s="494">
        <v>52.64</v>
      </c>
      <c r="N229" s="491">
        <v>109490</v>
      </c>
      <c r="O229" s="492">
        <v>2.9</v>
      </c>
      <c r="P229" s="494">
        <v>33</v>
      </c>
      <c r="Q229" s="494">
        <v>47.76</v>
      </c>
      <c r="R229" s="494">
        <v>54.35</v>
      </c>
      <c r="S229" s="494">
        <v>60.18</v>
      </c>
      <c r="T229" s="494">
        <v>64.81</v>
      </c>
      <c r="U229" s="491">
        <v>68640</v>
      </c>
      <c r="V229" s="491">
        <v>99330</v>
      </c>
      <c r="W229" s="491">
        <v>113050</v>
      </c>
      <c r="X229" s="491">
        <v>125180</v>
      </c>
      <c r="Y229" s="491">
        <v>134800</v>
      </c>
      <c r="Z229" s="490"/>
      <c r="AA229" s="490"/>
    </row>
    <row r="230" spans="7:27" x14ac:dyDescent="0.25">
      <c r="G230" s="489" t="s">
        <v>620</v>
      </c>
      <c r="H230" s="490" t="s">
        <v>399</v>
      </c>
      <c r="I230" s="491">
        <v>40</v>
      </c>
      <c r="J230" s="492">
        <v>21.3</v>
      </c>
      <c r="K230" s="493">
        <v>0.25</v>
      </c>
      <c r="L230" s="494">
        <v>0.61</v>
      </c>
      <c r="M230" s="494">
        <v>43.96</v>
      </c>
      <c r="N230" s="491">
        <v>91450</v>
      </c>
      <c r="O230" s="492">
        <v>3.4</v>
      </c>
      <c r="P230" s="494">
        <v>33.04</v>
      </c>
      <c r="Q230" s="494">
        <v>40.020000000000003</v>
      </c>
      <c r="R230" s="494">
        <v>44.05</v>
      </c>
      <c r="S230" s="494">
        <v>49.18</v>
      </c>
      <c r="T230" s="494">
        <v>55.88</v>
      </c>
      <c r="U230" s="491">
        <v>68730</v>
      </c>
      <c r="V230" s="491">
        <v>83230</v>
      </c>
      <c r="W230" s="491">
        <v>91630</v>
      </c>
      <c r="X230" s="491">
        <v>102300</v>
      </c>
      <c r="Y230" s="491">
        <v>116220</v>
      </c>
      <c r="Z230" s="490"/>
      <c r="AA230" s="490"/>
    </row>
    <row r="231" spans="7:27" x14ac:dyDescent="0.25">
      <c r="G231" s="489" t="s">
        <v>621</v>
      </c>
      <c r="H231" s="490" t="s">
        <v>399</v>
      </c>
      <c r="I231" s="491">
        <v>120</v>
      </c>
      <c r="J231" s="492">
        <v>23.1</v>
      </c>
      <c r="K231" s="493">
        <v>0.67200000000000004</v>
      </c>
      <c r="L231" s="494">
        <v>1.29</v>
      </c>
      <c r="M231" s="494">
        <v>30.04</v>
      </c>
      <c r="N231" s="491">
        <v>62490</v>
      </c>
      <c r="O231" s="492">
        <v>2.7</v>
      </c>
      <c r="P231" s="494">
        <v>24.4</v>
      </c>
      <c r="Q231" s="494">
        <v>25.69</v>
      </c>
      <c r="R231" s="494">
        <v>30.41</v>
      </c>
      <c r="S231" s="494">
        <v>34.590000000000003</v>
      </c>
      <c r="T231" s="494">
        <v>37.380000000000003</v>
      </c>
      <c r="U231" s="491">
        <v>50750</v>
      </c>
      <c r="V231" s="491">
        <v>53430</v>
      </c>
      <c r="W231" s="491">
        <v>63250</v>
      </c>
      <c r="X231" s="491">
        <v>71940</v>
      </c>
      <c r="Y231" s="491">
        <v>77740</v>
      </c>
      <c r="Z231" s="490"/>
      <c r="AA231" s="490"/>
    </row>
    <row r="232" spans="7:27" x14ac:dyDescent="0.25">
      <c r="G232" s="489" t="s">
        <v>622</v>
      </c>
      <c r="H232" s="490" t="s">
        <v>399</v>
      </c>
      <c r="I232" s="491">
        <v>410</v>
      </c>
      <c r="J232" s="492">
        <v>4.0999999999999996</v>
      </c>
      <c r="K232" s="493">
        <v>2.3450000000000002</v>
      </c>
      <c r="L232" s="494">
        <v>1.04</v>
      </c>
      <c r="M232" s="494">
        <v>30.82</v>
      </c>
      <c r="N232" s="491">
        <v>64110</v>
      </c>
      <c r="O232" s="492">
        <v>5.9</v>
      </c>
      <c r="P232" s="494">
        <v>18.95</v>
      </c>
      <c r="Q232" s="494">
        <v>27.11</v>
      </c>
      <c r="R232" s="494">
        <v>32.630000000000003</v>
      </c>
      <c r="S232" s="494">
        <v>36.76</v>
      </c>
      <c r="T232" s="494">
        <v>39.24</v>
      </c>
      <c r="U232" s="491">
        <v>39420</v>
      </c>
      <c r="V232" s="491">
        <v>56390</v>
      </c>
      <c r="W232" s="491">
        <v>67880</v>
      </c>
      <c r="X232" s="491">
        <v>76450</v>
      </c>
      <c r="Y232" s="491">
        <v>81610</v>
      </c>
      <c r="Z232" s="490"/>
      <c r="AA232" s="490"/>
    </row>
    <row r="233" spans="7:27" x14ac:dyDescent="0.25">
      <c r="G233" s="489" t="s">
        <v>623</v>
      </c>
      <c r="H233" s="490" t="s">
        <v>399</v>
      </c>
      <c r="I233" s="491">
        <v>570</v>
      </c>
      <c r="J233" s="492">
        <v>7.7</v>
      </c>
      <c r="K233" s="493">
        <v>3.2280000000000002</v>
      </c>
      <c r="L233" s="494">
        <v>0.69</v>
      </c>
      <c r="M233" s="494">
        <v>38.75</v>
      </c>
      <c r="N233" s="491">
        <v>80600</v>
      </c>
      <c r="O233" s="492">
        <v>3.5</v>
      </c>
      <c r="P233" s="494">
        <v>26.68</v>
      </c>
      <c r="Q233" s="494">
        <v>33</v>
      </c>
      <c r="R233" s="494">
        <v>40.83</v>
      </c>
      <c r="S233" s="494">
        <v>45.52</v>
      </c>
      <c r="T233" s="494">
        <v>48.62</v>
      </c>
      <c r="U233" s="491">
        <v>55490</v>
      </c>
      <c r="V233" s="491">
        <v>68630</v>
      </c>
      <c r="W233" s="491">
        <v>84930</v>
      </c>
      <c r="X233" s="491">
        <v>94690</v>
      </c>
      <c r="Y233" s="491">
        <v>101120</v>
      </c>
      <c r="Z233" s="490"/>
      <c r="AA233" s="490"/>
    </row>
    <row r="234" spans="7:27" x14ac:dyDescent="0.25">
      <c r="G234" s="489" t="s">
        <v>624</v>
      </c>
      <c r="H234" s="490" t="s">
        <v>399</v>
      </c>
      <c r="I234" s="491">
        <v>1110</v>
      </c>
      <c r="J234" s="492">
        <v>11.3</v>
      </c>
      <c r="K234" s="493">
        <v>6.3</v>
      </c>
      <c r="L234" s="494">
        <v>0.8</v>
      </c>
      <c r="M234" s="494">
        <v>23.25</v>
      </c>
      <c r="N234" s="491">
        <v>48350</v>
      </c>
      <c r="O234" s="492">
        <v>7.7</v>
      </c>
      <c r="P234" s="494">
        <v>12.91</v>
      </c>
      <c r="Q234" s="494">
        <v>15.57</v>
      </c>
      <c r="R234" s="494">
        <v>20.51</v>
      </c>
      <c r="S234" s="494">
        <v>27.79</v>
      </c>
      <c r="T234" s="494">
        <v>42.85</v>
      </c>
      <c r="U234" s="491">
        <v>26860</v>
      </c>
      <c r="V234" s="491">
        <v>32380</v>
      </c>
      <c r="W234" s="491">
        <v>42650</v>
      </c>
      <c r="X234" s="491">
        <v>57800</v>
      </c>
      <c r="Y234" s="491">
        <v>89130</v>
      </c>
      <c r="Z234" s="490"/>
      <c r="AA234" s="490"/>
    </row>
    <row r="235" spans="7:27" x14ac:dyDescent="0.25">
      <c r="G235" s="489" t="s">
        <v>625</v>
      </c>
      <c r="H235" s="490" t="s">
        <v>399</v>
      </c>
      <c r="I235" s="491">
        <v>150</v>
      </c>
      <c r="J235" s="492">
        <v>29.3</v>
      </c>
      <c r="K235" s="493">
        <v>0.82699999999999996</v>
      </c>
      <c r="L235" s="494">
        <v>1.59</v>
      </c>
      <c r="M235" s="494">
        <v>18.510000000000002</v>
      </c>
      <c r="N235" s="491">
        <v>38500</v>
      </c>
      <c r="O235" s="492">
        <v>16.600000000000001</v>
      </c>
      <c r="P235" s="494">
        <v>10.47</v>
      </c>
      <c r="Q235" s="494">
        <v>11.55</v>
      </c>
      <c r="R235" s="494">
        <v>18.96</v>
      </c>
      <c r="S235" s="494">
        <v>25.43</v>
      </c>
      <c r="T235" s="494">
        <v>28.47</v>
      </c>
      <c r="U235" s="491">
        <v>21790</v>
      </c>
      <c r="V235" s="491">
        <v>24010</v>
      </c>
      <c r="W235" s="491">
        <v>39440</v>
      </c>
      <c r="X235" s="491">
        <v>52880</v>
      </c>
      <c r="Y235" s="491">
        <v>59220</v>
      </c>
      <c r="Z235" s="490"/>
      <c r="AA235" s="490"/>
    </row>
    <row r="236" spans="7:27" x14ac:dyDescent="0.25">
      <c r="G236" s="489" t="s">
        <v>626</v>
      </c>
      <c r="H236" s="490" t="s">
        <v>399</v>
      </c>
      <c r="I236" s="491">
        <v>130</v>
      </c>
      <c r="J236" s="492">
        <v>28.7</v>
      </c>
      <c r="K236" s="493">
        <v>0.73099999999999998</v>
      </c>
      <c r="L236" s="494">
        <v>0.71</v>
      </c>
      <c r="M236" s="494">
        <v>14.56</v>
      </c>
      <c r="N236" s="491">
        <v>30280</v>
      </c>
      <c r="O236" s="492">
        <v>5.7</v>
      </c>
      <c r="P236" s="494">
        <v>9.76</v>
      </c>
      <c r="Q236" s="494">
        <v>10.39</v>
      </c>
      <c r="R236" s="494">
        <v>14.79</v>
      </c>
      <c r="S236" s="494">
        <v>17.82</v>
      </c>
      <c r="T236" s="494">
        <v>20.010000000000002</v>
      </c>
      <c r="U236" s="491">
        <v>20290</v>
      </c>
      <c r="V236" s="491">
        <v>21620</v>
      </c>
      <c r="W236" s="491">
        <v>30750</v>
      </c>
      <c r="X236" s="491">
        <v>37070</v>
      </c>
      <c r="Y236" s="491">
        <v>41610</v>
      </c>
      <c r="Z236" s="490"/>
      <c r="AA236" s="490"/>
    </row>
    <row r="237" spans="7:27" x14ac:dyDescent="0.25">
      <c r="G237" s="489" t="s">
        <v>627</v>
      </c>
      <c r="H237" s="490" t="s">
        <v>399</v>
      </c>
      <c r="I237" s="491">
        <v>220</v>
      </c>
      <c r="J237" s="492">
        <v>0</v>
      </c>
      <c r="K237" s="493">
        <v>1.266</v>
      </c>
      <c r="L237" s="494">
        <v>4.16</v>
      </c>
      <c r="M237" s="494">
        <v>19.21</v>
      </c>
      <c r="N237" s="491">
        <v>39950</v>
      </c>
      <c r="O237" s="492" t="s">
        <v>401</v>
      </c>
      <c r="P237" s="494">
        <v>16.61</v>
      </c>
      <c r="Q237" s="494">
        <v>16.62</v>
      </c>
      <c r="R237" s="494">
        <v>19.079999999999998</v>
      </c>
      <c r="S237" s="494">
        <v>20.85</v>
      </c>
      <c r="T237" s="494">
        <v>22.21</v>
      </c>
      <c r="U237" s="491">
        <v>34550</v>
      </c>
      <c r="V237" s="491">
        <v>34560</v>
      </c>
      <c r="W237" s="491">
        <v>39680</v>
      </c>
      <c r="X237" s="491">
        <v>43360</v>
      </c>
      <c r="Y237" s="491">
        <v>46190</v>
      </c>
      <c r="Z237" s="490"/>
      <c r="AA237" s="490"/>
    </row>
    <row r="238" spans="7:27" x14ac:dyDescent="0.25">
      <c r="G238" s="489" t="s">
        <v>628</v>
      </c>
      <c r="H238" s="490" t="s">
        <v>399</v>
      </c>
      <c r="I238" s="491">
        <v>220</v>
      </c>
      <c r="J238" s="492">
        <v>6.1</v>
      </c>
      <c r="K238" s="493">
        <v>1.2569999999999999</v>
      </c>
      <c r="L238" s="494">
        <v>1.31</v>
      </c>
      <c r="M238" s="494">
        <v>15.45</v>
      </c>
      <c r="N238" s="491">
        <v>32140</v>
      </c>
      <c r="O238" s="492">
        <v>3.9</v>
      </c>
      <c r="P238" s="494">
        <v>11</v>
      </c>
      <c r="Q238" s="494">
        <v>12.44</v>
      </c>
      <c r="R238" s="494">
        <v>13.83</v>
      </c>
      <c r="S238" s="494">
        <v>15.69</v>
      </c>
      <c r="T238" s="494">
        <v>21.43</v>
      </c>
      <c r="U238" s="491">
        <v>22870</v>
      </c>
      <c r="V238" s="491">
        <v>25870</v>
      </c>
      <c r="W238" s="491">
        <v>28770</v>
      </c>
      <c r="X238" s="491">
        <v>32640</v>
      </c>
      <c r="Y238" s="491">
        <v>44580</v>
      </c>
      <c r="Z238" s="490"/>
      <c r="AA238" s="490"/>
    </row>
    <row r="239" spans="7:27" x14ac:dyDescent="0.25">
      <c r="G239" s="489" t="s">
        <v>629</v>
      </c>
      <c r="H239" s="490" t="s">
        <v>398</v>
      </c>
      <c r="I239" s="491">
        <v>17060</v>
      </c>
      <c r="J239" s="492">
        <v>2.5</v>
      </c>
      <c r="K239" s="493">
        <v>96.835999999999999</v>
      </c>
      <c r="L239" s="494">
        <v>1.05</v>
      </c>
      <c r="M239" s="494">
        <v>13.48</v>
      </c>
      <c r="N239" s="491">
        <v>28050</v>
      </c>
      <c r="O239" s="492">
        <v>2.2999999999999998</v>
      </c>
      <c r="P239" s="494">
        <v>9.76</v>
      </c>
      <c r="Q239" s="494">
        <v>9.8000000000000007</v>
      </c>
      <c r="R239" s="494">
        <v>11.45</v>
      </c>
      <c r="S239" s="494">
        <v>15.44</v>
      </c>
      <c r="T239" s="494">
        <v>19.34</v>
      </c>
      <c r="U239" s="491">
        <v>20290</v>
      </c>
      <c r="V239" s="491">
        <v>20370</v>
      </c>
      <c r="W239" s="491">
        <v>23820</v>
      </c>
      <c r="X239" s="491">
        <v>32110</v>
      </c>
      <c r="Y239" s="491">
        <v>40220</v>
      </c>
      <c r="Z239" s="490"/>
      <c r="AA239" s="490"/>
    </row>
    <row r="240" spans="7:27" x14ac:dyDescent="0.25">
      <c r="G240" s="489" t="s">
        <v>630</v>
      </c>
      <c r="H240" s="490" t="s">
        <v>399</v>
      </c>
      <c r="I240" s="491" t="s">
        <v>403</v>
      </c>
      <c r="J240" s="492" t="s">
        <v>403</v>
      </c>
      <c r="K240" s="493" t="s">
        <v>403</v>
      </c>
      <c r="L240" s="494" t="s">
        <v>403</v>
      </c>
      <c r="M240" s="494">
        <v>16.68</v>
      </c>
      <c r="N240" s="491">
        <v>34690</v>
      </c>
      <c r="O240" s="492">
        <v>13.8</v>
      </c>
      <c r="P240" s="494">
        <v>10.68</v>
      </c>
      <c r="Q240" s="494">
        <v>12.02</v>
      </c>
      <c r="R240" s="494">
        <v>14.62</v>
      </c>
      <c r="S240" s="494">
        <v>18.27</v>
      </c>
      <c r="T240" s="494">
        <v>25.04</v>
      </c>
      <c r="U240" s="491">
        <v>22210</v>
      </c>
      <c r="V240" s="491">
        <v>25000</v>
      </c>
      <c r="W240" s="491">
        <v>30410</v>
      </c>
      <c r="X240" s="491">
        <v>37990</v>
      </c>
      <c r="Y240" s="491">
        <v>52080</v>
      </c>
      <c r="Z240" s="490"/>
      <c r="AA240" s="490"/>
    </row>
    <row r="241" spans="7:27" x14ac:dyDescent="0.25">
      <c r="G241" s="489" t="s">
        <v>631</v>
      </c>
      <c r="H241" s="490" t="s">
        <v>399</v>
      </c>
      <c r="I241" s="491">
        <v>1060</v>
      </c>
      <c r="J241" s="492">
        <v>9</v>
      </c>
      <c r="K241" s="493">
        <v>6.0389999999999997</v>
      </c>
      <c r="L241" s="494">
        <v>0.93</v>
      </c>
      <c r="M241" s="494">
        <v>17.18</v>
      </c>
      <c r="N241" s="491">
        <v>35730</v>
      </c>
      <c r="O241" s="492">
        <v>4</v>
      </c>
      <c r="P241" s="494">
        <v>10.86</v>
      </c>
      <c r="Q241" s="494">
        <v>12.77</v>
      </c>
      <c r="R241" s="494">
        <v>15.79</v>
      </c>
      <c r="S241" s="494">
        <v>20.13</v>
      </c>
      <c r="T241" s="494">
        <v>26.73</v>
      </c>
      <c r="U241" s="491">
        <v>22600</v>
      </c>
      <c r="V241" s="491">
        <v>26550</v>
      </c>
      <c r="W241" s="491">
        <v>32850</v>
      </c>
      <c r="X241" s="491">
        <v>41880</v>
      </c>
      <c r="Y241" s="491">
        <v>55600</v>
      </c>
      <c r="Z241" s="490"/>
      <c r="AA241" s="490"/>
    </row>
    <row r="242" spans="7:27" x14ac:dyDescent="0.25">
      <c r="G242" s="489" t="s">
        <v>632</v>
      </c>
      <c r="H242" s="490" t="s">
        <v>399</v>
      </c>
      <c r="I242" s="491">
        <v>530</v>
      </c>
      <c r="J242" s="492">
        <v>23.6</v>
      </c>
      <c r="K242" s="493">
        <v>3.0339999999999998</v>
      </c>
      <c r="L242" s="494">
        <v>0.83</v>
      </c>
      <c r="M242" s="494">
        <v>11.93</v>
      </c>
      <c r="N242" s="491">
        <v>24820</v>
      </c>
      <c r="O242" s="492">
        <v>4.0999999999999996</v>
      </c>
      <c r="P242" s="494">
        <v>9.76</v>
      </c>
      <c r="Q242" s="494">
        <v>9.7899999999999991</v>
      </c>
      <c r="R242" s="494">
        <v>11.06</v>
      </c>
      <c r="S242" s="494">
        <v>12.75</v>
      </c>
      <c r="T242" s="494">
        <v>16.7</v>
      </c>
      <c r="U242" s="491">
        <v>20290</v>
      </c>
      <c r="V242" s="491">
        <v>20350</v>
      </c>
      <c r="W242" s="491">
        <v>23010</v>
      </c>
      <c r="X242" s="491">
        <v>26510</v>
      </c>
      <c r="Y242" s="491">
        <v>34730</v>
      </c>
      <c r="Z242" s="490"/>
      <c r="AA242" s="490"/>
    </row>
    <row r="243" spans="7:27" x14ac:dyDescent="0.25">
      <c r="G243" s="489" t="s">
        <v>633</v>
      </c>
      <c r="H243" s="490" t="s">
        <v>399</v>
      </c>
      <c r="I243" s="491">
        <v>340</v>
      </c>
      <c r="J243" s="492">
        <v>12.7</v>
      </c>
      <c r="K243" s="493">
        <v>1.9379999999999999</v>
      </c>
      <c r="L243" s="494">
        <v>0.66</v>
      </c>
      <c r="M243" s="494">
        <v>16.77</v>
      </c>
      <c r="N243" s="491">
        <v>34890</v>
      </c>
      <c r="O243" s="492">
        <v>2.2000000000000002</v>
      </c>
      <c r="P243" s="494">
        <v>11.59</v>
      </c>
      <c r="Q243" s="494">
        <v>14.05</v>
      </c>
      <c r="R243" s="494">
        <v>16.59</v>
      </c>
      <c r="S243" s="494">
        <v>18.809999999999999</v>
      </c>
      <c r="T243" s="494">
        <v>22.81</v>
      </c>
      <c r="U243" s="491">
        <v>24100</v>
      </c>
      <c r="V243" s="491">
        <v>29230</v>
      </c>
      <c r="W243" s="491">
        <v>34500</v>
      </c>
      <c r="X243" s="491">
        <v>39120</v>
      </c>
      <c r="Y243" s="491">
        <v>47450</v>
      </c>
      <c r="Z243" s="490"/>
      <c r="AA243" s="490"/>
    </row>
    <row r="244" spans="7:27" x14ac:dyDescent="0.25">
      <c r="G244" s="489" t="s">
        <v>634</v>
      </c>
      <c r="H244" s="490" t="s">
        <v>399</v>
      </c>
      <c r="I244" s="491">
        <v>1120</v>
      </c>
      <c r="J244" s="492">
        <v>23</v>
      </c>
      <c r="K244" s="493">
        <v>6.3419999999999996</v>
      </c>
      <c r="L244" s="494">
        <v>0.73</v>
      </c>
      <c r="M244" s="494">
        <v>14.21</v>
      </c>
      <c r="N244" s="491">
        <v>29560</v>
      </c>
      <c r="O244" s="492">
        <v>2.6</v>
      </c>
      <c r="P244" s="494">
        <v>10.55</v>
      </c>
      <c r="Q244" s="494">
        <v>11.75</v>
      </c>
      <c r="R244" s="494">
        <v>13.57</v>
      </c>
      <c r="S244" s="494">
        <v>15.14</v>
      </c>
      <c r="T244" s="494">
        <v>18.989999999999998</v>
      </c>
      <c r="U244" s="491">
        <v>21940</v>
      </c>
      <c r="V244" s="491">
        <v>24430</v>
      </c>
      <c r="W244" s="491">
        <v>28220</v>
      </c>
      <c r="X244" s="491">
        <v>31490</v>
      </c>
      <c r="Y244" s="491">
        <v>39500</v>
      </c>
      <c r="Z244" s="490"/>
      <c r="AA244" s="490"/>
    </row>
    <row r="245" spans="7:27" x14ac:dyDescent="0.25">
      <c r="G245" s="489" t="s">
        <v>635</v>
      </c>
      <c r="H245" s="490" t="s">
        <v>399</v>
      </c>
      <c r="I245" s="491">
        <v>250</v>
      </c>
      <c r="J245" s="492">
        <v>48.6</v>
      </c>
      <c r="K245" s="493">
        <v>1.397</v>
      </c>
      <c r="L245" s="494">
        <v>1.07</v>
      </c>
      <c r="M245" s="494">
        <v>14.62</v>
      </c>
      <c r="N245" s="491">
        <v>30400</v>
      </c>
      <c r="O245" s="492">
        <v>7.9</v>
      </c>
      <c r="P245" s="494">
        <v>10.33</v>
      </c>
      <c r="Q245" s="494">
        <v>11.32</v>
      </c>
      <c r="R245" s="494">
        <v>15.45</v>
      </c>
      <c r="S245" s="494">
        <v>17.649999999999999</v>
      </c>
      <c r="T245" s="494">
        <v>18.97</v>
      </c>
      <c r="U245" s="491">
        <v>21490</v>
      </c>
      <c r="V245" s="491">
        <v>23540</v>
      </c>
      <c r="W245" s="491">
        <v>32130</v>
      </c>
      <c r="X245" s="491">
        <v>36710</v>
      </c>
      <c r="Y245" s="491">
        <v>39450</v>
      </c>
      <c r="Z245" s="490"/>
      <c r="AA245" s="490"/>
    </row>
    <row r="246" spans="7:27" x14ac:dyDescent="0.25">
      <c r="G246" s="489" t="s">
        <v>636</v>
      </c>
      <c r="H246" s="490" t="s">
        <v>399</v>
      </c>
      <c r="I246" s="491">
        <v>80</v>
      </c>
      <c r="J246" s="492">
        <v>16.100000000000001</v>
      </c>
      <c r="K246" s="493">
        <v>0.44900000000000001</v>
      </c>
      <c r="L246" s="494">
        <v>4.07</v>
      </c>
      <c r="M246" s="494">
        <v>17.989999999999998</v>
      </c>
      <c r="N246" s="491">
        <v>37420</v>
      </c>
      <c r="O246" s="492">
        <v>6.2</v>
      </c>
      <c r="P246" s="494">
        <v>12.75</v>
      </c>
      <c r="Q246" s="494">
        <v>15</v>
      </c>
      <c r="R246" s="494">
        <v>17.3</v>
      </c>
      <c r="S246" s="494">
        <v>19.41</v>
      </c>
      <c r="T246" s="494">
        <v>26.52</v>
      </c>
      <c r="U246" s="491">
        <v>26510</v>
      </c>
      <c r="V246" s="491">
        <v>31210</v>
      </c>
      <c r="W246" s="491">
        <v>35980</v>
      </c>
      <c r="X246" s="491">
        <v>40370</v>
      </c>
      <c r="Y246" s="491">
        <v>55150</v>
      </c>
      <c r="Z246" s="490"/>
      <c r="AA246" s="490"/>
    </row>
    <row r="247" spans="7:27" x14ac:dyDescent="0.25">
      <c r="G247" s="489" t="s">
        <v>637</v>
      </c>
      <c r="H247" s="490" t="s">
        <v>399</v>
      </c>
      <c r="I247" s="491">
        <v>2520</v>
      </c>
      <c r="J247" s="492">
        <v>13.7</v>
      </c>
      <c r="K247" s="493">
        <v>14.287000000000001</v>
      </c>
      <c r="L247" s="494">
        <v>2.36</v>
      </c>
      <c r="M247" s="494">
        <v>12.35</v>
      </c>
      <c r="N247" s="491">
        <v>25690</v>
      </c>
      <c r="O247" s="492">
        <v>3.5</v>
      </c>
      <c r="P247" s="494">
        <v>9.76</v>
      </c>
      <c r="Q247" s="494">
        <v>9.8699999999999992</v>
      </c>
      <c r="R247" s="494">
        <v>11.2</v>
      </c>
      <c r="S247" s="494">
        <v>13.95</v>
      </c>
      <c r="T247" s="494">
        <v>17.079999999999998</v>
      </c>
      <c r="U247" s="491">
        <v>20290</v>
      </c>
      <c r="V247" s="491">
        <v>20520</v>
      </c>
      <c r="W247" s="491">
        <v>23300</v>
      </c>
      <c r="X247" s="491">
        <v>29010</v>
      </c>
      <c r="Y247" s="491">
        <v>35540</v>
      </c>
      <c r="Z247" s="490"/>
      <c r="AA247" s="490"/>
    </row>
    <row r="248" spans="7:27" x14ac:dyDescent="0.25">
      <c r="G248" s="489" t="s">
        <v>638</v>
      </c>
      <c r="H248" s="490" t="s">
        <v>399</v>
      </c>
      <c r="I248" s="491">
        <v>720</v>
      </c>
      <c r="J248" s="492">
        <v>17.899999999999999</v>
      </c>
      <c r="K248" s="493">
        <v>4.0970000000000004</v>
      </c>
      <c r="L248" s="494">
        <v>0.95</v>
      </c>
      <c r="M248" s="494">
        <v>16.29</v>
      </c>
      <c r="N248" s="491">
        <v>33880</v>
      </c>
      <c r="O248" s="492">
        <v>7.1</v>
      </c>
      <c r="P248" s="494">
        <v>9.8699999999999992</v>
      </c>
      <c r="Q248" s="494">
        <v>11.34</v>
      </c>
      <c r="R248" s="494">
        <v>15.01</v>
      </c>
      <c r="S248" s="494">
        <v>18.149999999999999</v>
      </c>
      <c r="T248" s="494">
        <v>24.96</v>
      </c>
      <c r="U248" s="491">
        <v>20530</v>
      </c>
      <c r="V248" s="491">
        <v>23580</v>
      </c>
      <c r="W248" s="491">
        <v>31220</v>
      </c>
      <c r="X248" s="491">
        <v>37750</v>
      </c>
      <c r="Y248" s="491">
        <v>51930</v>
      </c>
      <c r="Z248" s="490"/>
      <c r="AA248" s="490"/>
    </row>
    <row r="249" spans="7:27" x14ac:dyDescent="0.25">
      <c r="G249" s="489" t="s">
        <v>639</v>
      </c>
      <c r="H249" s="490" t="s">
        <v>399</v>
      </c>
      <c r="I249" s="491">
        <v>2830</v>
      </c>
      <c r="J249" s="492">
        <v>16.7</v>
      </c>
      <c r="K249" s="493">
        <v>16.084</v>
      </c>
      <c r="L249" s="494">
        <v>0.66</v>
      </c>
      <c r="M249" s="494">
        <v>11.18</v>
      </c>
      <c r="N249" s="491">
        <v>23260</v>
      </c>
      <c r="O249" s="492">
        <v>2.8</v>
      </c>
      <c r="P249" s="494">
        <v>9.75</v>
      </c>
      <c r="Q249" s="494">
        <v>9.76</v>
      </c>
      <c r="R249" s="494">
        <v>10.06</v>
      </c>
      <c r="S249" s="494">
        <v>11.48</v>
      </c>
      <c r="T249" s="494">
        <v>14.31</v>
      </c>
      <c r="U249" s="491">
        <v>20290</v>
      </c>
      <c r="V249" s="491">
        <v>20300</v>
      </c>
      <c r="W249" s="491">
        <v>20930</v>
      </c>
      <c r="X249" s="491">
        <v>23870</v>
      </c>
      <c r="Y249" s="491">
        <v>29770</v>
      </c>
      <c r="Z249" s="490"/>
      <c r="AA249" s="490"/>
    </row>
    <row r="250" spans="7:27" x14ac:dyDescent="0.25">
      <c r="G250" s="489" t="s">
        <v>640</v>
      </c>
      <c r="H250" s="490" t="s">
        <v>399</v>
      </c>
      <c r="I250" s="491">
        <v>1820</v>
      </c>
      <c r="J250" s="492">
        <v>12.8</v>
      </c>
      <c r="K250" s="493">
        <v>10.311</v>
      </c>
      <c r="L250" s="494">
        <v>2.9</v>
      </c>
      <c r="M250" s="494">
        <v>11.75</v>
      </c>
      <c r="N250" s="491">
        <v>24440</v>
      </c>
      <c r="O250" s="492">
        <v>2.8</v>
      </c>
      <c r="P250" s="494">
        <v>9.75</v>
      </c>
      <c r="Q250" s="494">
        <v>9.76</v>
      </c>
      <c r="R250" s="494">
        <v>10.56</v>
      </c>
      <c r="S250" s="494">
        <v>12.3</v>
      </c>
      <c r="T250" s="494">
        <v>15</v>
      </c>
      <c r="U250" s="491">
        <v>20290</v>
      </c>
      <c r="V250" s="491">
        <v>20300</v>
      </c>
      <c r="W250" s="491">
        <v>21960</v>
      </c>
      <c r="X250" s="491">
        <v>25590</v>
      </c>
      <c r="Y250" s="491">
        <v>31190</v>
      </c>
      <c r="Z250" s="490"/>
      <c r="AA250" s="490"/>
    </row>
    <row r="251" spans="7:27" x14ac:dyDescent="0.25">
      <c r="G251" s="489" t="s">
        <v>641</v>
      </c>
      <c r="H251" s="490" t="s">
        <v>399</v>
      </c>
      <c r="I251" s="491">
        <v>2760</v>
      </c>
      <c r="J251" s="492">
        <v>6.9</v>
      </c>
      <c r="K251" s="493">
        <v>15.69</v>
      </c>
      <c r="L251" s="494">
        <v>0.86</v>
      </c>
      <c r="M251" s="494">
        <v>16.18</v>
      </c>
      <c r="N251" s="491">
        <v>33650</v>
      </c>
      <c r="O251" s="492">
        <v>6.9</v>
      </c>
      <c r="P251" s="494">
        <v>9.7799999999999994</v>
      </c>
      <c r="Q251" s="494">
        <v>10.61</v>
      </c>
      <c r="R251" s="494">
        <v>14.14</v>
      </c>
      <c r="S251" s="494">
        <v>18.829999999999998</v>
      </c>
      <c r="T251" s="494">
        <v>28</v>
      </c>
      <c r="U251" s="491">
        <v>20340</v>
      </c>
      <c r="V251" s="491">
        <v>22060</v>
      </c>
      <c r="W251" s="491">
        <v>29410</v>
      </c>
      <c r="X251" s="491">
        <v>39160</v>
      </c>
      <c r="Y251" s="491">
        <v>58240</v>
      </c>
      <c r="Z251" s="490"/>
      <c r="AA251" s="490"/>
    </row>
    <row r="252" spans="7:27" x14ac:dyDescent="0.25">
      <c r="G252" s="489" t="s">
        <v>642</v>
      </c>
      <c r="H252" s="490" t="s">
        <v>399</v>
      </c>
      <c r="I252" s="491">
        <v>100</v>
      </c>
      <c r="J252" s="492">
        <v>7.4</v>
      </c>
      <c r="K252" s="493">
        <v>0.55400000000000005</v>
      </c>
      <c r="L252" s="494">
        <v>0.3</v>
      </c>
      <c r="M252" s="494">
        <v>12.54</v>
      </c>
      <c r="N252" s="491">
        <v>26090</v>
      </c>
      <c r="O252" s="492">
        <v>4.5</v>
      </c>
      <c r="P252" s="494">
        <v>9.75</v>
      </c>
      <c r="Q252" s="494">
        <v>9.76</v>
      </c>
      <c r="R252" s="494">
        <v>11.07</v>
      </c>
      <c r="S252" s="494">
        <v>15.22</v>
      </c>
      <c r="T252" s="494">
        <v>18.02</v>
      </c>
      <c r="U252" s="491">
        <v>20290</v>
      </c>
      <c r="V252" s="491">
        <v>20300</v>
      </c>
      <c r="W252" s="491">
        <v>23030</v>
      </c>
      <c r="X252" s="491">
        <v>31650</v>
      </c>
      <c r="Y252" s="491">
        <v>37480</v>
      </c>
      <c r="Z252" s="490"/>
      <c r="AA252" s="490"/>
    </row>
    <row r="253" spans="7:27" x14ac:dyDescent="0.25">
      <c r="G253" s="489" t="s">
        <v>643</v>
      </c>
      <c r="H253" s="490" t="s">
        <v>399</v>
      </c>
      <c r="I253" s="491">
        <v>530</v>
      </c>
      <c r="J253" s="492">
        <v>26.3</v>
      </c>
      <c r="K253" s="493">
        <v>3.0259999999999998</v>
      </c>
      <c r="L253" s="494">
        <v>1</v>
      </c>
      <c r="M253" s="494">
        <v>13.43</v>
      </c>
      <c r="N253" s="491">
        <v>27930</v>
      </c>
      <c r="O253" s="492">
        <v>5.7</v>
      </c>
      <c r="P253" s="494">
        <v>9.75</v>
      </c>
      <c r="Q253" s="494">
        <v>9.76</v>
      </c>
      <c r="R253" s="494">
        <v>11.15</v>
      </c>
      <c r="S253" s="494">
        <v>16.8</v>
      </c>
      <c r="T253" s="494">
        <v>19.61</v>
      </c>
      <c r="U253" s="491">
        <v>20290</v>
      </c>
      <c r="V253" s="491">
        <v>20300</v>
      </c>
      <c r="W253" s="491">
        <v>23200</v>
      </c>
      <c r="X253" s="491">
        <v>34940</v>
      </c>
      <c r="Y253" s="491">
        <v>40780</v>
      </c>
      <c r="Z253" s="490"/>
      <c r="AA253" s="490"/>
    </row>
    <row r="254" spans="7:27" x14ac:dyDescent="0.25">
      <c r="G254" s="489" t="s">
        <v>644</v>
      </c>
      <c r="H254" s="490" t="s">
        <v>399</v>
      </c>
      <c r="I254" s="491">
        <v>1090</v>
      </c>
      <c r="J254" s="492">
        <v>7.6</v>
      </c>
      <c r="K254" s="493">
        <v>6.1980000000000004</v>
      </c>
      <c r="L254" s="494">
        <v>1.72</v>
      </c>
      <c r="M254" s="494">
        <v>11.22</v>
      </c>
      <c r="N254" s="491">
        <v>23330</v>
      </c>
      <c r="O254" s="492">
        <v>3.3</v>
      </c>
      <c r="P254" s="494">
        <v>9.75</v>
      </c>
      <c r="Q254" s="494">
        <v>9.76</v>
      </c>
      <c r="R254" s="494">
        <v>10.1</v>
      </c>
      <c r="S254" s="494">
        <v>11.8</v>
      </c>
      <c r="T254" s="494">
        <v>14.69</v>
      </c>
      <c r="U254" s="491">
        <v>20290</v>
      </c>
      <c r="V254" s="491">
        <v>20290</v>
      </c>
      <c r="W254" s="491">
        <v>21000</v>
      </c>
      <c r="X254" s="491">
        <v>24550</v>
      </c>
      <c r="Y254" s="491">
        <v>30560</v>
      </c>
      <c r="Z254" s="490"/>
      <c r="AA254" s="490"/>
    </row>
    <row r="255" spans="7:27" x14ac:dyDescent="0.25">
      <c r="G255" s="489" t="s">
        <v>645</v>
      </c>
      <c r="H255" s="490" t="s">
        <v>399</v>
      </c>
      <c r="I255" s="491">
        <v>750</v>
      </c>
      <c r="J255" s="492">
        <v>22.6</v>
      </c>
      <c r="K255" s="493">
        <v>4.234</v>
      </c>
      <c r="L255" s="494">
        <v>1.47</v>
      </c>
      <c r="M255" s="494">
        <v>11.25</v>
      </c>
      <c r="N255" s="491">
        <v>23400</v>
      </c>
      <c r="O255" s="492">
        <v>6.8</v>
      </c>
      <c r="P255" s="494">
        <v>9.75</v>
      </c>
      <c r="Q255" s="494">
        <v>9.75</v>
      </c>
      <c r="R255" s="494">
        <v>9.76</v>
      </c>
      <c r="S255" s="494">
        <v>10.98</v>
      </c>
      <c r="T255" s="494">
        <v>15.96</v>
      </c>
      <c r="U255" s="491">
        <v>20280</v>
      </c>
      <c r="V255" s="491">
        <v>20290</v>
      </c>
      <c r="W255" s="491">
        <v>20300</v>
      </c>
      <c r="X255" s="491">
        <v>22850</v>
      </c>
      <c r="Y255" s="491">
        <v>33200</v>
      </c>
      <c r="Z255" s="490"/>
      <c r="AA255" s="490"/>
    </row>
    <row r="256" spans="7:27" x14ac:dyDescent="0.25">
      <c r="G256" s="489" t="s">
        <v>646</v>
      </c>
      <c r="H256" s="490" t="s">
        <v>399</v>
      </c>
      <c r="I256" s="491">
        <v>50</v>
      </c>
      <c r="J256" s="492">
        <v>11.9</v>
      </c>
      <c r="K256" s="493">
        <v>0.25800000000000001</v>
      </c>
      <c r="L256" s="494">
        <v>0.61</v>
      </c>
      <c r="M256" s="494">
        <v>14.02</v>
      </c>
      <c r="N256" s="491">
        <v>29170</v>
      </c>
      <c r="O256" s="492">
        <v>2.4</v>
      </c>
      <c r="P256" s="494">
        <v>10.45</v>
      </c>
      <c r="Q256" s="494">
        <v>11.48</v>
      </c>
      <c r="R256" s="494">
        <v>13.73</v>
      </c>
      <c r="S256" s="494">
        <v>16.46</v>
      </c>
      <c r="T256" s="494">
        <v>18.47</v>
      </c>
      <c r="U256" s="491">
        <v>21730</v>
      </c>
      <c r="V256" s="491">
        <v>23880</v>
      </c>
      <c r="W256" s="491">
        <v>28560</v>
      </c>
      <c r="X256" s="491">
        <v>34240</v>
      </c>
      <c r="Y256" s="491">
        <v>38420</v>
      </c>
      <c r="Z256" s="490"/>
      <c r="AA256" s="490"/>
    </row>
    <row r="257" spans="7:27" x14ac:dyDescent="0.25">
      <c r="G257" s="489" t="s">
        <v>194</v>
      </c>
      <c r="H257" s="490" t="s">
        <v>398</v>
      </c>
      <c r="I257" s="491">
        <v>5710</v>
      </c>
      <c r="J257" s="492">
        <v>7.2</v>
      </c>
      <c r="K257" s="493">
        <v>32.423999999999999</v>
      </c>
      <c r="L257" s="494">
        <v>1.03</v>
      </c>
      <c r="M257" s="494">
        <v>15.5</v>
      </c>
      <c r="N257" s="491">
        <v>32250</v>
      </c>
      <c r="O257" s="492">
        <v>3.3</v>
      </c>
      <c r="P257" s="494">
        <v>10.01</v>
      </c>
      <c r="Q257" s="494">
        <v>11.33</v>
      </c>
      <c r="R257" s="494">
        <v>14.31</v>
      </c>
      <c r="S257" s="494">
        <v>18.03</v>
      </c>
      <c r="T257" s="494">
        <v>22.89</v>
      </c>
      <c r="U257" s="491">
        <v>20810</v>
      </c>
      <c r="V257" s="491">
        <v>23570</v>
      </c>
      <c r="W257" s="491">
        <v>29750</v>
      </c>
      <c r="X257" s="491">
        <v>37510</v>
      </c>
      <c r="Y257" s="491">
        <v>47600</v>
      </c>
      <c r="Z257" s="490"/>
      <c r="AA257" s="490"/>
    </row>
    <row r="258" spans="7:27" x14ac:dyDescent="0.25">
      <c r="G258" s="489" t="s">
        <v>647</v>
      </c>
      <c r="H258" s="490" t="s">
        <v>399</v>
      </c>
      <c r="I258" s="491">
        <v>140</v>
      </c>
      <c r="J258" s="492">
        <v>10.8</v>
      </c>
      <c r="K258" s="493">
        <v>0.81599999999999995</v>
      </c>
      <c r="L258" s="494">
        <v>0.71</v>
      </c>
      <c r="M258" s="494">
        <v>21.22</v>
      </c>
      <c r="N258" s="491">
        <v>44140</v>
      </c>
      <c r="O258" s="492">
        <v>4.5999999999999996</v>
      </c>
      <c r="P258" s="494">
        <v>14.47</v>
      </c>
      <c r="Q258" s="494">
        <v>16.190000000000001</v>
      </c>
      <c r="R258" s="494">
        <v>18.239999999999998</v>
      </c>
      <c r="S258" s="494">
        <v>26.64</v>
      </c>
      <c r="T258" s="494">
        <v>33.96</v>
      </c>
      <c r="U258" s="491">
        <v>30100</v>
      </c>
      <c r="V258" s="491">
        <v>33670</v>
      </c>
      <c r="W258" s="491">
        <v>37940</v>
      </c>
      <c r="X258" s="491">
        <v>55410</v>
      </c>
      <c r="Y258" s="491">
        <v>70630</v>
      </c>
      <c r="Z258" s="490"/>
      <c r="AA258" s="490"/>
    </row>
    <row r="259" spans="7:27" x14ac:dyDescent="0.25">
      <c r="G259" s="489" t="s">
        <v>648</v>
      </c>
      <c r="H259" s="490" t="s">
        <v>399</v>
      </c>
      <c r="I259" s="491" t="s">
        <v>403</v>
      </c>
      <c r="J259" s="492" t="s">
        <v>403</v>
      </c>
      <c r="K259" s="493" t="s">
        <v>403</v>
      </c>
      <c r="L259" s="494" t="s">
        <v>403</v>
      </c>
      <c r="M259" s="494">
        <v>33.26</v>
      </c>
      <c r="N259" s="491">
        <v>69180</v>
      </c>
      <c r="O259" s="492">
        <v>9</v>
      </c>
      <c r="P259" s="494">
        <v>22.19</v>
      </c>
      <c r="Q259" s="494">
        <v>30.72</v>
      </c>
      <c r="R259" s="494">
        <v>33.659999999999997</v>
      </c>
      <c r="S259" s="494">
        <v>36.6</v>
      </c>
      <c r="T259" s="494">
        <v>38.36</v>
      </c>
      <c r="U259" s="491">
        <v>46160</v>
      </c>
      <c r="V259" s="491">
        <v>63900</v>
      </c>
      <c r="W259" s="491">
        <v>70010</v>
      </c>
      <c r="X259" s="491">
        <v>76120</v>
      </c>
      <c r="Y259" s="491">
        <v>79790</v>
      </c>
      <c r="Z259" s="490"/>
      <c r="AA259" s="490"/>
    </row>
    <row r="260" spans="7:27" x14ac:dyDescent="0.25">
      <c r="G260" s="489" t="s">
        <v>649</v>
      </c>
      <c r="H260" s="490" t="s">
        <v>399</v>
      </c>
      <c r="I260" s="491">
        <v>3430</v>
      </c>
      <c r="J260" s="492">
        <v>8.1</v>
      </c>
      <c r="K260" s="493">
        <v>19.486999999999998</v>
      </c>
      <c r="L260" s="494">
        <v>1.27</v>
      </c>
      <c r="M260" s="494">
        <v>15.02</v>
      </c>
      <c r="N260" s="491">
        <v>31240</v>
      </c>
      <c r="O260" s="492">
        <v>4.2</v>
      </c>
      <c r="P260" s="494">
        <v>9.8699999999999992</v>
      </c>
      <c r="Q260" s="494">
        <v>11.24</v>
      </c>
      <c r="R260" s="494">
        <v>14.2</v>
      </c>
      <c r="S260" s="494">
        <v>17.850000000000001</v>
      </c>
      <c r="T260" s="494">
        <v>21.97</v>
      </c>
      <c r="U260" s="491">
        <v>20520</v>
      </c>
      <c r="V260" s="491">
        <v>23390</v>
      </c>
      <c r="W260" s="491">
        <v>29540</v>
      </c>
      <c r="X260" s="491">
        <v>37120</v>
      </c>
      <c r="Y260" s="491">
        <v>45690</v>
      </c>
      <c r="Z260" s="490"/>
      <c r="AA260" s="490"/>
    </row>
    <row r="261" spans="7:27" x14ac:dyDescent="0.25">
      <c r="G261" s="489" t="s">
        <v>650</v>
      </c>
      <c r="H261" s="490" t="s">
        <v>399</v>
      </c>
      <c r="I261" s="491">
        <v>1070</v>
      </c>
      <c r="J261" s="492">
        <v>18.399999999999999</v>
      </c>
      <c r="K261" s="493">
        <v>6.0510000000000002</v>
      </c>
      <c r="L261" s="494">
        <v>0.92</v>
      </c>
      <c r="M261" s="494">
        <v>12.76</v>
      </c>
      <c r="N261" s="491">
        <v>26540</v>
      </c>
      <c r="O261" s="492">
        <v>3</v>
      </c>
      <c r="P261" s="494">
        <v>10.130000000000001</v>
      </c>
      <c r="Q261" s="494">
        <v>10.8</v>
      </c>
      <c r="R261" s="494">
        <v>11.98</v>
      </c>
      <c r="S261" s="494">
        <v>14.38</v>
      </c>
      <c r="T261" s="494">
        <v>16.98</v>
      </c>
      <c r="U261" s="491">
        <v>21070</v>
      </c>
      <c r="V261" s="491">
        <v>22460</v>
      </c>
      <c r="W261" s="491">
        <v>24920</v>
      </c>
      <c r="X261" s="491">
        <v>29910</v>
      </c>
      <c r="Y261" s="491">
        <v>35310</v>
      </c>
      <c r="Z261" s="490"/>
      <c r="AA261" s="490"/>
    </row>
    <row r="262" spans="7:27" x14ac:dyDescent="0.25">
      <c r="G262" s="489" t="s">
        <v>651</v>
      </c>
      <c r="H262" s="490" t="s">
        <v>399</v>
      </c>
      <c r="I262" s="491">
        <v>670</v>
      </c>
      <c r="J262" s="492">
        <v>16.100000000000001</v>
      </c>
      <c r="K262" s="493">
        <v>3.823</v>
      </c>
      <c r="L262" s="494">
        <v>0.59</v>
      </c>
      <c r="M262" s="494">
        <v>16.059999999999999</v>
      </c>
      <c r="N262" s="491">
        <v>33390</v>
      </c>
      <c r="O262" s="492">
        <v>4</v>
      </c>
      <c r="P262" s="494">
        <v>9.76</v>
      </c>
      <c r="Q262" s="494">
        <v>12.59</v>
      </c>
      <c r="R262" s="494">
        <v>15.86</v>
      </c>
      <c r="S262" s="494">
        <v>18.98</v>
      </c>
      <c r="T262" s="494">
        <v>22.96</v>
      </c>
      <c r="U262" s="491">
        <v>20300</v>
      </c>
      <c r="V262" s="491">
        <v>26200</v>
      </c>
      <c r="W262" s="491">
        <v>33000</v>
      </c>
      <c r="X262" s="491">
        <v>39470</v>
      </c>
      <c r="Y262" s="491">
        <v>47750</v>
      </c>
      <c r="Z262" s="490"/>
      <c r="AA262" s="490"/>
    </row>
    <row r="263" spans="7:27" x14ac:dyDescent="0.25">
      <c r="G263" s="489" t="s">
        <v>652</v>
      </c>
      <c r="H263" s="490" t="s">
        <v>399</v>
      </c>
      <c r="I263" s="491" t="s">
        <v>403</v>
      </c>
      <c r="J263" s="492" t="s">
        <v>403</v>
      </c>
      <c r="K263" s="493" t="s">
        <v>403</v>
      </c>
      <c r="L263" s="494" t="s">
        <v>403</v>
      </c>
      <c r="M263" s="494">
        <v>30</v>
      </c>
      <c r="N263" s="491">
        <v>62400</v>
      </c>
      <c r="O263" s="492">
        <v>10</v>
      </c>
      <c r="P263" s="494">
        <v>20.079999999999998</v>
      </c>
      <c r="Q263" s="494">
        <v>23.28</v>
      </c>
      <c r="R263" s="494">
        <v>29.8</v>
      </c>
      <c r="S263" s="494">
        <v>36.200000000000003</v>
      </c>
      <c r="T263" s="494">
        <v>42.57</v>
      </c>
      <c r="U263" s="491">
        <v>41760</v>
      </c>
      <c r="V263" s="491">
        <v>48420</v>
      </c>
      <c r="W263" s="491">
        <v>61990</v>
      </c>
      <c r="X263" s="491">
        <v>75290</v>
      </c>
      <c r="Y263" s="491">
        <v>88540</v>
      </c>
      <c r="Z263" s="490"/>
      <c r="AA263" s="490"/>
    </row>
    <row r="264" spans="7:27" x14ac:dyDescent="0.25">
      <c r="G264" s="489" t="s">
        <v>653</v>
      </c>
      <c r="H264" s="490" t="s">
        <v>399</v>
      </c>
      <c r="I264" s="491">
        <v>200</v>
      </c>
      <c r="J264" s="492">
        <v>49.8</v>
      </c>
      <c r="K264" s="493">
        <v>1.1479999999999999</v>
      </c>
      <c r="L264" s="494">
        <v>10.62</v>
      </c>
      <c r="M264" s="494">
        <v>18.399999999999999</v>
      </c>
      <c r="N264" s="491">
        <v>38280</v>
      </c>
      <c r="O264" s="492">
        <v>3.9</v>
      </c>
      <c r="P264" s="494">
        <v>13.03</v>
      </c>
      <c r="Q264" s="494">
        <v>14.55</v>
      </c>
      <c r="R264" s="494">
        <v>16.989999999999998</v>
      </c>
      <c r="S264" s="494">
        <v>19.510000000000002</v>
      </c>
      <c r="T264" s="494">
        <v>28.37</v>
      </c>
      <c r="U264" s="491">
        <v>27100</v>
      </c>
      <c r="V264" s="491">
        <v>30250</v>
      </c>
      <c r="W264" s="491">
        <v>35340</v>
      </c>
      <c r="X264" s="491">
        <v>40570</v>
      </c>
      <c r="Y264" s="491">
        <v>59020</v>
      </c>
      <c r="Z264" s="490"/>
      <c r="AA264" s="490"/>
    </row>
    <row r="265" spans="7:27" x14ac:dyDescent="0.25">
      <c r="G265" s="489" t="s">
        <v>195</v>
      </c>
      <c r="H265" s="490" t="s">
        <v>398</v>
      </c>
      <c r="I265" s="491">
        <v>8400</v>
      </c>
      <c r="J265" s="492">
        <v>8.9</v>
      </c>
      <c r="K265" s="493">
        <v>47.677999999999997</v>
      </c>
      <c r="L265" s="494">
        <v>1.48</v>
      </c>
      <c r="M265" s="494">
        <v>14.77</v>
      </c>
      <c r="N265" s="491">
        <v>30720</v>
      </c>
      <c r="O265" s="492">
        <v>1.8</v>
      </c>
      <c r="P265" s="494">
        <v>9.7799999999999994</v>
      </c>
      <c r="Q265" s="494">
        <v>11.31</v>
      </c>
      <c r="R265" s="494">
        <v>14.15</v>
      </c>
      <c r="S265" s="494">
        <v>17.3</v>
      </c>
      <c r="T265" s="494">
        <v>19.489999999999998</v>
      </c>
      <c r="U265" s="491">
        <v>20330</v>
      </c>
      <c r="V265" s="491">
        <v>23520</v>
      </c>
      <c r="W265" s="491">
        <v>29420</v>
      </c>
      <c r="X265" s="491">
        <v>35980</v>
      </c>
      <c r="Y265" s="491">
        <v>40530</v>
      </c>
      <c r="Z265" s="490"/>
      <c r="AA265" s="490"/>
    </row>
    <row r="266" spans="7:27" x14ac:dyDescent="0.25">
      <c r="G266" s="489" t="s">
        <v>654</v>
      </c>
      <c r="H266" s="490" t="s">
        <v>399</v>
      </c>
      <c r="I266" s="491">
        <v>220</v>
      </c>
      <c r="J266" s="492">
        <v>27.1</v>
      </c>
      <c r="K266" s="493">
        <v>1.272</v>
      </c>
      <c r="L266" s="494">
        <v>0.94</v>
      </c>
      <c r="M266" s="494">
        <v>19.27</v>
      </c>
      <c r="N266" s="491">
        <v>40080</v>
      </c>
      <c r="O266" s="492">
        <v>4.0999999999999996</v>
      </c>
      <c r="P266" s="494">
        <v>13.07</v>
      </c>
      <c r="Q266" s="494">
        <v>14.5</v>
      </c>
      <c r="R266" s="494">
        <v>19.09</v>
      </c>
      <c r="S266" s="494">
        <v>23.4</v>
      </c>
      <c r="T266" s="494">
        <v>27.36</v>
      </c>
      <c r="U266" s="491">
        <v>27180</v>
      </c>
      <c r="V266" s="491">
        <v>30170</v>
      </c>
      <c r="W266" s="491">
        <v>39700</v>
      </c>
      <c r="X266" s="491">
        <v>48670</v>
      </c>
      <c r="Y266" s="491">
        <v>56900</v>
      </c>
      <c r="Z266" s="490"/>
      <c r="AA266" s="490"/>
    </row>
    <row r="267" spans="7:27" x14ac:dyDescent="0.25">
      <c r="G267" s="489" t="s">
        <v>655</v>
      </c>
      <c r="H267" s="490" t="s">
        <v>399</v>
      </c>
      <c r="I267" s="491">
        <v>230</v>
      </c>
      <c r="J267" s="492">
        <v>15.8</v>
      </c>
      <c r="K267" s="493">
        <v>1.286</v>
      </c>
      <c r="L267" s="494">
        <v>0.96</v>
      </c>
      <c r="M267" s="494">
        <v>13.93</v>
      </c>
      <c r="N267" s="491">
        <v>28970</v>
      </c>
      <c r="O267" s="492">
        <v>5.6</v>
      </c>
      <c r="P267" s="494">
        <v>9.76</v>
      </c>
      <c r="Q267" s="494">
        <v>10.37</v>
      </c>
      <c r="R267" s="494">
        <v>12.09</v>
      </c>
      <c r="S267" s="494">
        <v>15.83</v>
      </c>
      <c r="T267" s="494">
        <v>21.17</v>
      </c>
      <c r="U267" s="491">
        <v>20310</v>
      </c>
      <c r="V267" s="491">
        <v>21560</v>
      </c>
      <c r="W267" s="491">
        <v>25150</v>
      </c>
      <c r="X267" s="491">
        <v>32930</v>
      </c>
      <c r="Y267" s="491">
        <v>44040</v>
      </c>
      <c r="Z267" s="490"/>
      <c r="AA267" s="490"/>
    </row>
    <row r="268" spans="7:27" x14ac:dyDescent="0.25">
      <c r="G268" s="489" t="s">
        <v>656</v>
      </c>
      <c r="H268" s="490" t="s">
        <v>399</v>
      </c>
      <c r="I268" s="491" t="s">
        <v>403</v>
      </c>
      <c r="J268" s="492" t="s">
        <v>403</v>
      </c>
      <c r="K268" s="493" t="s">
        <v>403</v>
      </c>
      <c r="L268" s="494" t="s">
        <v>403</v>
      </c>
      <c r="M268" s="494">
        <v>12.35</v>
      </c>
      <c r="N268" s="491">
        <v>25680</v>
      </c>
      <c r="O268" s="492">
        <v>5.7</v>
      </c>
      <c r="P268" s="494">
        <v>10.08</v>
      </c>
      <c r="Q268" s="494">
        <v>10.56</v>
      </c>
      <c r="R268" s="494">
        <v>11.35</v>
      </c>
      <c r="S268" s="494">
        <v>13.05</v>
      </c>
      <c r="T268" s="494">
        <v>16.77</v>
      </c>
      <c r="U268" s="491">
        <v>20960</v>
      </c>
      <c r="V268" s="491">
        <v>21960</v>
      </c>
      <c r="W268" s="491">
        <v>23610</v>
      </c>
      <c r="X268" s="491">
        <v>27130</v>
      </c>
      <c r="Y268" s="491">
        <v>34890</v>
      </c>
      <c r="Z268" s="490"/>
      <c r="AA268" s="490"/>
    </row>
    <row r="269" spans="7:27" x14ac:dyDescent="0.25">
      <c r="G269" s="489" t="s">
        <v>657</v>
      </c>
      <c r="H269" s="490" t="s">
        <v>399</v>
      </c>
      <c r="I269" s="491" t="s">
        <v>403</v>
      </c>
      <c r="J269" s="492" t="s">
        <v>403</v>
      </c>
      <c r="K269" s="493" t="s">
        <v>403</v>
      </c>
      <c r="L269" s="494" t="s">
        <v>403</v>
      </c>
      <c r="M269" s="494">
        <v>10.210000000000001</v>
      </c>
      <c r="N269" s="491">
        <v>21240</v>
      </c>
      <c r="O269" s="492">
        <v>3.5</v>
      </c>
      <c r="P269" s="494">
        <v>9.75</v>
      </c>
      <c r="Q269" s="494">
        <v>9.75</v>
      </c>
      <c r="R269" s="494">
        <v>9.76</v>
      </c>
      <c r="S269" s="494">
        <v>9.7799999999999994</v>
      </c>
      <c r="T269" s="494">
        <v>11.66</v>
      </c>
      <c r="U269" s="491">
        <v>20280</v>
      </c>
      <c r="V269" s="491">
        <v>20290</v>
      </c>
      <c r="W269" s="491">
        <v>20300</v>
      </c>
      <c r="X269" s="491">
        <v>20340</v>
      </c>
      <c r="Y269" s="491">
        <v>24250</v>
      </c>
      <c r="Z269" s="490"/>
      <c r="AA269" s="490"/>
    </row>
    <row r="270" spans="7:27" x14ac:dyDescent="0.25">
      <c r="G270" s="489" t="s">
        <v>658</v>
      </c>
      <c r="H270" s="490" t="s">
        <v>399</v>
      </c>
      <c r="I270" s="491">
        <v>410</v>
      </c>
      <c r="J270" s="492">
        <v>39.1</v>
      </c>
      <c r="K270" s="493">
        <v>2.3290000000000002</v>
      </c>
      <c r="L270" s="494">
        <v>1.1399999999999999</v>
      </c>
      <c r="M270" s="494">
        <v>13.25</v>
      </c>
      <c r="N270" s="491">
        <v>27570</v>
      </c>
      <c r="O270" s="492">
        <v>4.4000000000000004</v>
      </c>
      <c r="P270" s="494">
        <v>9.93</v>
      </c>
      <c r="Q270" s="494">
        <v>10.87</v>
      </c>
      <c r="R270" s="494">
        <v>12.73</v>
      </c>
      <c r="S270" s="494">
        <v>15.32</v>
      </c>
      <c r="T270" s="494">
        <v>17.920000000000002</v>
      </c>
      <c r="U270" s="491">
        <v>20650</v>
      </c>
      <c r="V270" s="491">
        <v>22610</v>
      </c>
      <c r="W270" s="491">
        <v>26470</v>
      </c>
      <c r="X270" s="491">
        <v>31880</v>
      </c>
      <c r="Y270" s="491">
        <v>37280</v>
      </c>
      <c r="Z270" s="490"/>
      <c r="AA270" s="490"/>
    </row>
    <row r="271" spans="7:27" x14ac:dyDescent="0.25">
      <c r="G271" s="489" t="s">
        <v>659</v>
      </c>
      <c r="H271" s="490" t="s">
        <v>399</v>
      </c>
      <c r="I271" s="491" t="s">
        <v>403</v>
      </c>
      <c r="J271" s="492" t="s">
        <v>403</v>
      </c>
      <c r="K271" s="493" t="s">
        <v>403</v>
      </c>
      <c r="L271" s="494" t="s">
        <v>403</v>
      </c>
      <c r="M271" s="494">
        <v>10.77</v>
      </c>
      <c r="N271" s="491">
        <v>22410</v>
      </c>
      <c r="O271" s="492">
        <v>4.3</v>
      </c>
      <c r="P271" s="494">
        <v>9.75</v>
      </c>
      <c r="Q271" s="494">
        <v>9.75</v>
      </c>
      <c r="R271" s="494">
        <v>9.76</v>
      </c>
      <c r="S271" s="494">
        <v>11.13</v>
      </c>
      <c r="T271" s="494">
        <v>13.84</v>
      </c>
      <c r="U271" s="491">
        <v>20280</v>
      </c>
      <c r="V271" s="491">
        <v>20290</v>
      </c>
      <c r="W271" s="491">
        <v>20300</v>
      </c>
      <c r="X271" s="491">
        <v>23140</v>
      </c>
      <c r="Y271" s="491">
        <v>28790</v>
      </c>
      <c r="Z271" s="490"/>
      <c r="AA271" s="490"/>
    </row>
    <row r="272" spans="7:27" x14ac:dyDescent="0.25">
      <c r="G272" s="489" t="s">
        <v>660</v>
      </c>
      <c r="H272" s="490" t="s">
        <v>399</v>
      </c>
      <c r="I272" s="491">
        <v>390</v>
      </c>
      <c r="J272" s="492">
        <v>43.5</v>
      </c>
      <c r="K272" s="493">
        <v>2.2370000000000001</v>
      </c>
      <c r="L272" s="494">
        <v>0.89</v>
      </c>
      <c r="M272" s="494">
        <v>16.260000000000002</v>
      </c>
      <c r="N272" s="491">
        <v>33830</v>
      </c>
      <c r="O272" s="492">
        <v>4.0999999999999996</v>
      </c>
      <c r="P272" s="494">
        <v>9.76</v>
      </c>
      <c r="Q272" s="494">
        <v>12.69</v>
      </c>
      <c r="R272" s="494">
        <v>14.75</v>
      </c>
      <c r="S272" s="494">
        <v>18.559999999999999</v>
      </c>
      <c r="T272" s="494">
        <v>24.81</v>
      </c>
      <c r="U272" s="491">
        <v>20300</v>
      </c>
      <c r="V272" s="491">
        <v>26390</v>
      </c>
      <c r="W272" s="491">
        <v>30670</v>
      </c>
      <c r="X272" s="491">
        <v>38600</v>
      </c>
      <c r="Y272" s="491">
        <v>51600</v>
      </c>
      <c r="Z272" s="490"/>
      <c r="AA272" s="490"/>
    </row>
    <row r="273" spans="7:27" x14ac:dyDescent="0.25">
      <c r="G273" s="489" t="s">
        <v>661</v>
      </c>
      <c r="H273" s="490" t="s">
        <v>399</v>
      </c>
      <c r="I273" s="491">
        <v>80</v>
      </c>
      <c r="J273" s="492">
        <v>47.1</v>
      </c>
      <c r="K273" s="493">
        <v>0.47299999999999998</v>
      </c>
      <c r="L273" s="494">
        <v>0.73</v>
      </c>
      <c r="M273" s="494">
        <v>13.12</v>
      </c>
      <c r="N273" s="491">
        <v>27280</v>
      </c>
      <c r="O273" s="492">
        <v>3.9</v>
      </c>
      <c r="P273" s="494">
        <v>9.76</v>
      </c>
      <c r="Q273" s="494">
        <v>11.12</v>
      </c>
      <c r="R273" s="494">
        <v>13.17</v>
      </c>
      <c r="S273" s="494">
        <v>14.48</v>
      </c>
      <c r="T273" s="494">
        <v>16.010000000000002</v>
      </c>
      <c r="U273" s="491">
        <v>20290</v>
      </c>
      <c r="V273" s="491">
        <v>23130</v>
      </c>
      <c r="W273" s="491">
        <v>27400</v>
      </c>
      <c r="X273" s="491">
        <v>30120</v>
      </c>
      <c r="Y273" s="491">
        <v>33290</v>
      </c>
      <c r="Z273" s="490"/>
      <c r="AA273" s="490"/>
    </row>
    <row r="274" spans="7:27" x14ac:dyDescent="0.25">
      <c r="G274" s="489" t="s">
        <v>662</v>
      </c>
      <c r="H274" s="490" t="s">
        <v>399</v>
      </c>
      <c r="I274" s="491" t="s">
        <v>403</v>
      </c>
      <c r="J274" s="492" t="s">
        <v>403</v>
      </c>
      <c r="K274" s="493" t="s">
        <v>403</v>
      </c>
      <c r="L274" s="494" t="s">
        <v>403</v>
      </c>
      <c r="M274" s="494">
        <v>15.02</v>
      </c>
      <c r="N274" s="491">
        <v>31230</v>
      </c>
      <c r="O274" s="492">
        <v>7.1</v>
      </c>
      <c r="P274" s="494">
        <v>12.69</v>
      </c>
      <c r="Q274" s="494">
        <v>13.59</v>
      </c>
      <c r="R274" s="494">
        <v>14.94</v>
      </c>
      <c r="S274" s="494">
        <v>16.71</v>
      </c>
      <c r="T274" s="494">
        <v>17.97</v>
      </c>
      <c r="U274" s="491">
        <v>26400</v>
      </c>
      <c r="V274" s="491">
        <v>28260</v>
      </c>
      <c r="W274" s="491">
        <v>31080</v>
      </c>
      <c r="X274" s="491">
        <v>34760</v>
      </c>
      <c r="Y274" s="491">
        <v>37370</v>
      </c>
      <c r="Z274" s="490"/>
      <c r="AA274" s="490"/>
    </row>
    <row r="275" spans="7:27" x14ac:dyDescent="0.25">
      <c r="G275" s="489" t="s">
        <v>663</v>
      </c>
      <c r="H275" s="490" t="s">
        <v>399</v>
      </c>
      <c r="I275" s="491">
        <v>70</v>
      </c>
      <c r="J275" s="492">
        <v>11.4</v>
      </c>
      <c r="K275" s="493">
        <v>0.40699999999999997</v>
      </c>
      <c r="L275" s="494">
        <v>1.28</v>
      </c>
      <c r="M275" s="494">
        <v>10.27</v>
      </c>
      <c r="N275" s="491">
        <v>21360</v>
      </c>
      <c r="O275" s="492">
        <v>2.9</v>
      </c>
      <c r="P275" s="494">
        <v>9.75</v>
      </c>
      <c r="Q275" s="494">
        <v>9.75</v>
      </c>
      <c r="R275" s="494">
        <v>9.76</v>
      </c>
      <c r="S275" s="494">
        <v>9.76</v>
      </c>
      <c r="T275" s="494">
        <v>11.64</v>
      </c>
      <c r="U275" s="491">
        <v>20280</v>
      </c>
      <c r="V275" s="491">
        <v>20290</v>
      </c>
      <c r="W275" s="491">
        <v>20290</v>
      </c>
      <c r="X275" s="491">
        <v>20300</v>
      </c>
      <c r="Y275" s="491">
        <v>24220</v>
      </c>
      <c r="Z275" s="490"/>
      <c r="AA275" s="490"/>
    </row>
    <row r="276" spans="7:27" x14ac:dyDescent="0.25">
      <c r="G276" s="489" t="s">
        <v>664</v>
      </c>
      <c r="H276" s="490" t="s">
        <v>399</v>
      </c>
      <c r="I276" s="491">
        <v>40</v>
      </c>
      <c r="J276" s="492">
        <v>19.600000000000001</v>
      </c>
      <c r="K276" s="493">
        <v>0.22800000000000001</v>
      </c>
      <c r="L276" s="494">
        <v>1</v>
      </c>
      <c r="M276" s="494">
        <v>17.22</v>
      </c>
      <c r="N276" s="491">
        <v>35810</v>
      </c>
      <c r="O276" s="492">
        <v>4.9000000000000004</v>
      </c>
      <c r="P276" s="494">
        <v>11.19</v>
      </c>
      <c r="Q276" s="494">
        <v>13.59</v>
      </c>
      <c r="R276" s="494">
        <v>17.010000000000002</v>
      </c>
      <c r="S276" s="494">
        <v>20.74</v>
      </c>
      <c r="T276" s="494">
        <v>23.7</v>
      </c>
      <c r="U276" s="491">
        <v>23280</v>
      </c>
      <c r="V276" s="491">
        <v>28260</v>
      </c>
      <c r="W276" s="491">
        <v>35390</v>
      </c>
      <c r="X276" s="491">
        <v>43140</v>
      </c>
      <c r="Y276" s="491">
        <v>49300</v>
      </c>
      <c r="Z276" s="490"/>
      <c r="AA276" s="490"/>
    </row>
    <row r="277" spans="7:27" x14ac:dyDescent="0.25">
      <c r="G277" s="489" t="s">
        <v>665</v>
      </c>
      <c r="H277" s="490" t="s">
        <v>399</v>
      </c>
      <c r="I277" s="491">
        <v>140</v>
      </c>
      <c r="J277" s="492">
        <v>48.6</v>
      </c>
      <c r="K277" s="493">
        <v>0.81200000000000006</v>
      </c>
      <c r="L277" s="494">
        <v>2.95</v>
      </c>
      <c r="M277" s="494">
        <v>21.42</v>
      </c>
      <c r="N277" s="491">
        <v>44550</v>
      </c>
      <c r="O277" s="492">
        <v>7.2</v>
      </c>
      <c r="P277" s="494">
        <v>13.26</v>
      </c>
      <c r="Q277" s="494">
        <v>15.93</v>
      </c>
      <c r="R277" s="494">
        <v>21.6</v>
      </c>
      <c r="S277" s="494">
        <v>27.4</v>
      </c>
      <c r="T277" s="494">
        <v>30.03</v>
      </c>
      <c r="U277" s="491">
        <v>27580</v>
      </c>
      <c r="V277" s="491">
        <v>33140</v>
      </c>
      <c r="W277" s="491">
        <v>44930</v>
      </c>
      <c r="X277" s="491">
        <v>57000</v>
      </c>
      <c r="Y277" s="491">
        <v>62460</v>
      </c>
      <c r="Z277" s="490"/>
      <c r="AA277" s="490"/>
    </row>
    <row r="278" spans="7:27" x14ac:dyDescent="0.25">
      <c r="G278" s="489" t="s">
        <v>666</v>
      </c>
      <c r="H278" s="490" t="s">
        <v>399</v>
      </c>
      <c r="I278" s="491">
        <v>1960</v>
      </c>
      <c r="J278" s="492">
        <v>21.1</v>
      </c>
      <c r="K278" s="493">
        <v>11.135999999999999</v>
      </c>
      <c r="L278" s="494">
        <v>2.75</v>
      </c>
      <c r="M278" s="494">
        <v>12.51</v>
      </c>
      <c r="N278" s="491">
        <v>26010</v>
      </c>
      <c r="O278" s="492">
        <v>2.7</v>
      </c>
      <c r="P278" s="494">
        <v>9.94</v>
      </c>
      <c r="Q278" s="494">
        <v>10.76</v>
      </c>
      <c r="R278" s="494">
        <v>12.14</v>
      </c>
      <c r="S278" s="494">
        <v>14.09</v>
      </c>
      <c r="T278" s="494">
        <v>15.23</v>
      </c>
      <c r="U278" s="491">
        <v>20670</v>
      </c>
      <c r="V278" s="491">
        <v>22380</v>
      </c>
      <c r="W278" s="491">
        <v>25250</v>
      </c>
      <c r="X278" s="491">
        <v>29310</v>
      </c>
      <c r="Y278" s="491">
        <v>31670</v>
      </c>
      <c r="Z278" s="490"/>
      <c r="AA278" s="490"/>
    </row>
    <row r="279" spans="7:27" x14ac:dyDescent="0.25">
      <c r="G279" s="489" t="s">
        <v>667</v>
      </c>
      <c r="H279" s="490" t="s">
        <v>399</v>
      </c>
      <c r="I279" s="491">
        <v>3620</v>
      </c>
      <c r="J279" s="492">
        <v>14.5</v>
      </c>
      <c r="K279" s="493">
        <v>20.552</v>
      </c>
      <c r="L279" s="494">
        <v>1.93</v>
      </c>
      <c r="M279" s="494">
        <v>14.95</v>
      </c>
      <c r="N279" s="491">
        <v>31100</v>
      </c>
      <c r="O279" s="492">
        <v>2.2999999999999998</v>
      </c>
      <c r="P279" s="494">
        <v>10.029999999999999</v>
      </c>
      <c r="Q279" s="494">
        <v>12.57</v>
      </c>
      <c r="R279" s="494">
        <v>15.6</v>
      </c>
      <c r="S279" s="494">
        <v>17.670000000000002</v>
      </c>
      <c r="T279" s="494">
        <v>18.91</v>
      </c>
      <c r="U279" s="491">
        <v>20870</v>
      </c>
      <c r="V279" s="491">
        <v>26150</v>
      </c>
      <c r="W279" s="491">
        <v>32450</v>
      </c>
      <c r="X279" s="491">
        <v>36760</v>
      </c>
      <c r="Y279" s="491">
        <v>39340</v>
      </c>
      <c r="Z279" s="490"/>
      <c r="AA279" s="490"/>
    </row>
    <row r="280" spans="7:27" x14ac:dyDescent="0.25">
      <c r="G280" s="489" t="s">
        <v>668</v>
      </c>
      <c r="H280" s="490" t="s">
        <v>399</v>
      </c>
      <c r="I280" s="491">
        <v>360</v>
      </c>
      <c r="J280" s="492">
        <v>16.7</v>
      </c>
      <c r="K280" s="493">
        <v>2.0590000000000002</v>
      </c>
      <c r="L280" s="494">
        <v>1.1200000000000001</v>
      </c>
      <c r="M280" s="494">
        <v>18.07</v>
      </c>
      <c r="N280" s="491">
        <v>37580</v>
      </c>
      <c r="O280" s="492">
        <v>6.5</v>
      </c>
      <c r="P280" s="494">
        <v>9.91</v>
      </c>
      <c r="Q280" s="494">
        <v>11.47</v>
      </c>
      <c r="R280" s="494">
        <v>17.920000000000002</v>
      </c>
      <c r="S280" s="494">
        <v>22.64</v>
      </c>
      <c r="T280" s="494">
        <v>27.9</v>
      </c>
      <c r="U280" s="491">
        <v>20620</v>
      </c>
      <c r="V280" s="491">
        <v>23870</v>
      </c>
      <c r="W280" s="491">
        <v>37270</v>
      </c>
      <c r="X280" s="491">
        <v>47100</v>
      </c>
      <c r="Y280" s="491">
        <v>58040</v>
      </c>
      <c r="Z280" s="490"/>
      <c r="AA280" s="490"/>
    </row>
    <row r="281" spans="7:27" x14ac:dyDescent="0.25">
      <c r="G281" s="489" t="s">
        <v>669</v>
      </c>
      <c r="H281" s="490" t="s">
        <v>399</v>
      </c>
      <c r="I281" s="491">
        <v>280</v>
      </c>
      <c r="J281" s="492">
        <v>15.4</v>
      </c>
      <c r="K281" s="493">
        <v>1.595</v>
      </c>
      <c r="L281" s="494">
        <v>0.66</v>
      </c>
      <c r="M281" s="494">
        <v>22.33</v>
      </c>
      <c r="N281" s="491">
        <v>46450</v>
      </c>
      <c r="O281" s="492">
        <v>3.9</v>
      </c>
      <c r="P281" s="494">
        <v>13.79</v>
      </c>
      <c r="Q281" s="494">
        <v>16.559999999999999</v>
      </c>
      <c r="R281" s="494">
        <v>19.93</v>
      </c>
      <c r="S281" s="494">
        <v>25.76</v>
      </c>
      <c r="T281" s="494">
        <v>35.5</v>
      </c>
      <c r="U281" s="491">
        <v>28680</v>
      </c>
      <c r="V281" s="491">
        <v>34440</v>
      </c>
      <c r="W281" s="491">
        <v>41460</v>
      </c>
      <c r="X281" s="491">
        <v>53580</v>
      </c>
      <c r="Y281" s="491">
        <v>73830</v>
      </c>
      <c r="Z281" s="490"/>
      <c r="AA281" s="490"/>
    </row>
    <row r="282" spans="7:27" x14ac:dyDescent="0.25">
      <c r="G282" s="489" t="s">
        <v>670</v>
      </c>
      <c r="H282" s="490" t="s">
        <v>399</v>
      </c>
      <c r="I282" s="491">
        <v>50</v>
      </c>
      <c r="J282" s="492">
        <v>38</v>
      </c>
      <c r="K282" s="493">
        <v>0.28499999999999998</v>
      </c>
      <c r="L282" s="494">
        <v>0.36</v>
      </c>
      <c r="M282" s="494">
        <v>17.510000000000002</v>
      </c>
      <c r="N282" s="491">
        <v>36430</v>
      </c>
      <c r="O282" s="492">
        <v>11.7</v>
      </c>
      <c r="P282" s="494">
        <v>12.22</v>
      </c>
      <c r="Q282" s="494">
        <v>13.28</v>
      </c>
      <c r="R282" s="494">
        <v>15.22</v>
      </c>
      <c r="S282" s="494">
        <v>21.02</v>
      </c>
      <c r="T282" s="494">
        <v>27.66</v>
      </c>
      <c r="U282" s="491">
        <v>25420</v>
      </c>
      <c r="V282" s="491">
        <v>27630</v>
      </c>
      <c r="W282" s="491">
        <v>31670</v>
      </c>
      <c r="X282" s="491">
        <v>43720</v>
      </c>
      <c r="Y282" s="491">
        <v>57540</v>
      </c>
      <c r="Z282" s="490"/>
      <c r="AA282" s="490"/>
    </row>
    <row r="283" spans="7:27" x14ac:dyDescent="0.25">
      <c r="G283" s="489" t="s">
        <v>196</v>
      </c>
      <c r="H283" s="490" t="s">
        <v>398</v>
      </c>
      <c r="I283" s="491">
        <v>16320</v>
      </c>
      <c r="J283" s="492">
        <v>3.4</v>
      </c>
      <c r="K283" s="493">
        <v>92.637</v>
      </c>
      <c r="L283" s="494">
        <v>0.89</v>
      </c>
      <c r="M283" s="494">
        <v>19.100000000000001</v>
      </c>
      <c r="N283" s="491">
        <v>39720</v>
      </c>
      <c r="O283" s="492">
        <v>2.2999999999999998</v>
      </c>
      <c r="P283" s="494">
        <v>10.210000000000001</v>
      </c>
      <c r="Q283" s="494">
        <v>11.39</v>
      </c>
      <c r="R283" s="494">
        <v>14.45</v>
      </c>
      <c r="S283" s="494">
        <v>22.19</v>
      </c>
      <c r="T283" s="494">
        <v>33.67</v>
      </c>
      <c r="U283" s="491">
        <v>21230</v>
      </c>
      <c r="V283" s="491">
        <v>23680</v>
      </c>
      <c r="W283" s="491">
        <v>30050</v>
      </c>
      <c r="X283" s="491">
        <v>46150</v>
      </c>
      <c r="Y283" s="491">
        <v>70040</v>
      </c>
      <c r="Z283" s="490"/>
      <c r="AA283" s="490"/>
    </row>
    <row r="284" spans="7:27" x14ac:dyDescent="0.25">
      <c r="G284" s="489" t="s">
        <v>671</v>
      </c>
      <c r="H284" s="490" t="s">
        <v>399</v>
      </c>
      <c r="I284" s="491">
        <v>1460</v>
      </c>
      <c r="J284" s="492">
        <v>7.2</v>
      </c>
      <c r="K284" s="493">
        <v>8.2919999999999998</v>
      </c>
      <c r="L284" s="494">
        <v>0.97</v>
      </c>
      <c r="M284" s="494">
        <v>23.11</v>
      </c>
      <c r="N284" s="491">
        <v>48060</v>
      </c>
      <c r="O284" s="492">
        <v>2.9</v>
      </c>
      <c r="P284" s="494">
        <v>13.95</v>
      </c>
      <c r="Q284" s="494">
        <v>16.829999999999998</v>
      </c>
      <c r="R284" s="494">
        <v>20.420000000000002</v>
      </c>
      <c r="S284" s="494">
        <v>27.1</v>
      </c>
      <c r="T284" s="494">
        <v>34.53</v>
      </c>
      <c r="U284" s="491">
        <v>29010</v>
      </c>
      <c r="V284" s="491">
        <v>35010</v>
      </c>
      <c r="W284" s="491">
        <v>42480</v>
      </c>
      <c r="X284" s="491">
        <v>56380</v>
      </c>
      <c r="Y284" s="491">
        <v>71810</v>
      </c>
      <c r="Z284" s="490"/>
      <c r="AA284" s="490"/>
    </row>
    <row r="285" spans="7:27" x14ac:dyDescent="0.25">
      <c r="G285" s="489" t="s">
        <v>672</v>
      </c>
      <c r="H285" s="490" t="s">
        <v>399</v>
      </c>
      <c r="I285" s="491">
        <v>130</v>
      </c>
      <c r="J285" s="492">
        <v>22.4</v>
      </c>
      <c r="K285" s="493">
        <v>0.749</v>
      </c>
      <c r="L285" s="494">
        <v>0.42</v>
      </c>
      <c r="M285" s="494">
        <v>37.549999999999997</v>
      </c>
      <c r="N285" s="491">
        <v>78100</v>
      </c>
      <c r="O285" s="492">
        <v>7.7</v>
      </c>
      <c r="P285" s="494">
        <v>20.07</v>
      </c>
      <c r="Q285" s="494">
        <v>23.02</v>
      </c>
      <c r="R285" s="494">
        <v>31.23</v>
      </c>
      <c r="S285" s="494">
        <v>55.15</v>
      </c>
      <c r="T285" s="494">
        <v>61.93</v>
      </c>
      <c r="U285" s="491">
        <v>41750</v>
      </c>
      <c r="V285" s="491">
        <v>47880</v>
      </c>
      <c r="W285" s="491">
        <v>64950</v>
      </c>
      <c r="X285" s="491">
        <v>114700</v>
      </c>
      <c r="Y285" s="491">
        <v>128800</v>
      </c>
      <c r="Z285" s="490"/>
      <c r="AA285" s="490"/>
    </row>
    <row r="286" spans="7:27" x14ac:dyDescent="0.25">
      <c r="G286" s="489" t="s">
        <v>673</v>
      </c>
      <c r="H286" s="490" t="s">
        <v>399</v>
      </c>
      <c r="I286" s="491">
        <v>3170</v>
      </c>
      <c r="J286" s="492">
        <v>5.7</v>
      </c>
      <c r="K286" s="493">
        <v>18.009</v>
      </c>
      <c r="L286" s="494">
        <v>0.71</v>
      </c>
      <c r="M286" s="494">
        <v>12.65</v>
      </c>
      <c r="N286" s="491">
        <v>26300</v>
      </c>
      <c r="O286" s="492">
        <v>1.4</v>
      </c>
      <c r="P286" s="494">
        <v>10.01</v>
      </c>
      <c r="Q286" s="494">
        <v>10.68</v>
      </c>
      <c r="R286" s="494">
        <v>11.79</v>
      </c>
      <c r="S286" s="494">
        <v>14</v>
      </c>
      <c r="T286" s="494">
        <v>16.75</v>
      </c>
      <c r="U286" s="491">
        <v>20830</v>
      </c>
      <c r="V286" s="491">
        <v>22210</v>
      </c>
      <c r="W286" s="491">
        <v>24520</v>
      </c>
      <c r="X286" s="491">
        <v>29110</v>
      </c>
      <c r="Y286" s="491">
        <v>34840</v>
      </c>
      <c r="Z286" s="490"/>
      <c r="AA286" s="490"/>
    </row>
    <row r="287" spans="7:27" x14ac:dyDescent="0.25">
      <c r="G287" s="489" t="s">
        <v>674</v>
      </c>
      <c r="H287" s="490" t="s">
        <v>399</v>
      </c>
      <c r="I287" s="491">
        <v>650</v>
      </c>
      <c r="J287" s="492">
        <v>18.5</v>
      </c>
      <c r="K287" s="493">
        <v>3.7080000000000002</v>
      </c>
      <c r="L287" s="494">
        <v>1.1599999999999999</v>
      </c>
      <c r="M287" s="494">
        <v>14.57</v>
      </c>
      <c r="N287" s="491">
        <v>30310</v>
      </c>
      <c r="O287" s="492">
        <v>3.3</v>
      </c>
      <c r="P287" s="494">
        <v>10.26</v>
      </c>
      <c r="Q287" s="494">
        <v>11.6</v>
      </c>
      <c r="R287" s="494">
        <v>13.84</v>
      </c>
      <c r="S287" s="494">
        <v>16.75</v>
      </c>
      <c r="T287" s="494">
        <v>19.93</v>
      </c>
      <c r="U287" s="491">
        <v>21340</v>
      </c>
      <c r="V287" s="491">
        <v>24120</v>
      </c>
      <c r="W287" s="491">
        <v>28790</v>
      </c>
      <c r="X287" s="491">
        <v>34850</v>
      </c>
      <c r="Y287" s="491">
        <v>41450</v>
      </c>
      <c r="Z287" s="490"/>
      <c r="AA287" s="490"/>
    </row>
    <row r="288" spans="7:27" x14ac:dyDescent="0.25">
      <c r="G288" s="489" t="s">
        <v>675</v>
      </c>
      <c r="H288" s="490" t="s">
        <v>399</v>
      </c>
      <c r="I288" s="491">
        <v>500</v>
      </c>
      <c r="J288" s="492">
        <v>14.9</v>
      </c>
      <c r="K288" s="493">
        <v>2.82</v>
      </c>
      <c r="L288" s="494">
        <v>1.59</v>
      </c>
      <c r="M288" s="494">
        <v>19.57</v>
      </c>
      <c r="N288" s="491">
        <v>40710</v>
      </c>
      <c r="O288" s="492">
        <v>5.4</v>
      </c>
      <c r="P288" s="494">
        <v>11.15</v>
      </c>
      <c r="Q288" s="494">
        <v>14.22</v>
      </c>
      <c r="R288" s="494">
        <v>18.829999999999998</v>
      </c>
      <c r="S288" s="494">
        <v>24.05</v>
      </c>
      <c r="T288" s="494">
        <v>29.53</v>
      </c>
      <c r="U288" s="491">
        <v>23190</v>
      </c>
      <c r="V288" s="491">
        <v>29570</v>
      </c>
      <c r="W288" s="491">
        <v>39180</v>
      </c>
      <c r="X288" s="491">
        <v>50020</v>
      </c>
      <c r="Y288" s="491">
        <v>61420</v>
      </c>
      <c r="Z288" s="490"/>
      <c r="AA288" s="490"/>
    </row>
    <row r="289" spans="7:27" x14ac:dyDescent="0.25">
      <c r="G289" s="489" t="s">
        <v>676</v>
      </c>
      <c r="H289" s="490" t="s">
        <v>399</v>
      </c>
      <c r="I289" s="491">
        <v>6320</v>
      </c>
      <c r="J289" s="492">
        <v>5.9</v>
      </c>
      <c r="K289" s="493">
        <v>35.863999999999997</v>
      </c>
      <c r="L289" s="494">
        <v>1.1100000000000001</v>
      </c>
      <c r="M289" s="494">
        <v>13.87</v>
      </c>
      <c r="N289" s="491">
        <v>28860</v>
      </c>
      <c r="O289" s="492">
        <v>2.1</v>
      </c>
      <c r="P289" s="494">
        <v>9.91</v>
      </c>
      <c r="Q289" s="494">
        <v>10.77</v>
      </c>
      <c r="R289" s="494">
        <v>12.33</v>
      </c>
      <c r="S289" s="494">
        <v>14.94</v>
      </c>
      <c r="T289" s="494">
        <v>19.16</v>
      </c>
      <c r="U289" s="491">
        <v>20620</v>
      </c>
      <c r="V289" s="491">
        <v>22390</v>
      </c>
      <c r="W289" s="491">
        <v>25640</v>
      </c>
      <c r="X289" s="491">
        <v>31060</v>
      </c>
      <c r="Y289" s="491">
        <v>39850</v>
      </c>
      <c r="Z289" s="490"/>
      <c r="AA289" s="490"/>
    </row>
    <row r="290" spans="7:27" x14ac:dyDescent="0.25">
      <c r="G290" s="489" t="s">
        <v>677</v>
      </c>
      <c r="H290" s="490" t="s">
        <v>399</v>
      </c>
      <c r="I290" s="491">
        <v>150</v>
      </c>
      <c r="J290" s="492">
        <v>13.2</v>
      </c>
      <c r="K290" s="493">
        <v>0.876</v>
      </c>
      <c r="L290" s="494">
        <v>0.87</v>
      </c>
      <c r="M290" s="494">
        <v>26.73</v>
      </c>
      <c r="N290" s="491">
        <v>55590</v>
      </c>
      <c r="O290" s="492">
        <v>4.3</v>
      </c>
      <c r="P290" s="494">
        <v>12.94</v>
      </c>
      <c r="Q290" s="494">
        <v>19.059999999999999</v>
      </c>
      <c r="R290" s="494">
        <v>25.82</v>
      </c>
      <c r="S290" s="494">
        <v>32.479999999999997</v>
      </c>
      <c r="T290" s="494">
        <v>41.67</v>
      </c>
      <c r="U290" s="491">
        <v>26920</v>
      </c>
      <c r="V290" s="491">
        <v>39640</v>
      </c>
      <c r="W290" s="491">
        <v>53710</v>
      </c>
      <c r="X290" s="491">
        <v>67570</v>
      </c>
      <c r="Y290" s="491">
        <v>86670</v>
      </c>
      <c r="Z290" s="490"/>
      <c r="AA290" s="490"/>
    </row>
    <row r="291" spans="7:27" x14ac:dyDescent="0.25">
      <c r="G291" s="489" t="s">
        <v>678</v>
      </c>
      <c r="H291" s="490" t="s">
        <v>399</v>
      </c>
      <c r="I291" s="491">
        <v>440</v>
      </c>
      <c r="J291" s="492">
        <v>8.9</v>
      </c>
      <c r="K291" s="493">
        <v>2.4929999999999999</v>
      </c>
      <c r="L291" s="494">
        <v>0.91</v>
      </c>
      <c r="M291" s="494">
        <v>28.88</v>
      </c>
      <c r="N291" s="491">
        <v>60070</v>
      </c>
      <c r="O291" s="492">
        <v>15.3</v>
      </c>
      <c r="P291" s="494">
        <v>15.36</v>
      </c>
      <c r="Q291" s="494">
        <v>17.27</v>
      </c>
      <c r="R291" s="494">
        <v>21.54</v>
      </c>
      <c r="S291" s="494">
        <v>28.55</v>
      </c>
      <c r="T291" s="494">
        <v>42.36</v>
      </c>
      <c r="U291" s="491">
        <v>31940</v>
      </c>
      <c r="V291" s="491">
        <v>35920</v>
      </c>
      <c r="W291" s="491">
        <v>44810</v>
      </c>
      <c r="X291" s="491">
        <v>59390</v>
      </c>
      <c r="Y291" s="491">
        <v>88120</v>
      </c>
      <c r="Z291" s="490"/>
      <c r="AA291" s="490"/>
    </row>
    <row r="292" spans="7:27" x14ac:dyDescent="0.25">
      <c r="G292" s="489" t="s">
        <v>679</v>
      </c>
      <c r="H292" s="490" t="s">
        <v>399</v>
      </c>
      <c r="I292" s="491">
        <v>140</v>
      </c>
      <c r="J292" s="492">
        <v>15.3</v>
      </c>
      <c r="K292" s="493">
        <v>0.76800000000000002</v>
      </c>
      <c r="L292" s="494">
        <v>0.3</v>
      </c>
      <c r="M292" s="494">
        <v>49.27</v>
      </c>
      <c r="N292" s="491">
        <v>102470</v>
      </c>
      <c r="O292" s="492">
        <v>10</v>
      </c>
      <c r="P292" s="494">
        <v>17.79</v>
      </c>
      <c r="Q292" s="494">
        <v>24.53</v>
      </c>
      <c r="R292" s="494">
        <v>35.1</v>
      </c>
      <c r="S292" s="494">
        <v>59.54</v>
      </c>
      <c r="T292" s="494" t="s">
        <v>400</v>
      </c>
      <c r="U292" s="491">
        <v>36990</v>
      </c>
      <c r="V292" s="491">
        <v>51030</v>
      </c>
      <c r="W292" s="491">
        <v>73010</v>
      </c>
      <c r="X292" s="491">
        <v>123850</v>
      </c>
      <c r="Y292" s="491" t="s">
        <v>400</v>
      </c>
      <c r="Z292" s="490"/>
      <c r="AA292" s="490"/>
    </row>
    <row r="293" spans="7:27" x14ac:dyDescent="0.25">
      <c r="G293" s="489" t="s">
        <v>680</v>
      </c>
      <c r="H293" s="490" t="s">
        <v>399</v>
      </c>
      <c r="I293" s="491">
        <v>100</v>
      </c>
      <c r="J293" s="492">
        <v>12.2</v>
      </c>
      <c r="K293" s="493">
        <v>0.55700000000000005</v>
      </c>
      <c r="L293" s="494">
        <v>1.1399999999999999</v>
      </c>
      <c r="M293" s="494">
        <v>19.05</v>
      </c>
      <c r="N293" s="491">
        <v>39630</v>
      </c>
      <c r="O293" s="492">
        <v>5.4</v>
      </c>
      <c r="P293" s="494">
        <v>13.4</v>
      </c>
      <c r="Q293" s="494">
        <v>15.41</v>
      </c>
      <c r="R293" s="494">
        <v>17.829999999999998</v>
      </c>
      <c r="S293" s="494">
        <v>21.77</v>
      </c>
      <c r="T293" s="494">
        <v>26.87</v>
      </c>
      <c r="U293" s="491">
        <v>27880</v>
      </c>
      <c r="V293" s="491">
        <v>32050</v>
      </c>
      <c r="W293" s="491">
        <v>37080</v>
      </c>
      <c r="X293" s="491">
        <v>45280</v>
      </c>
      <c r="Y293" s="491">
        <v>55880</v>
      </c>
      <c r="Z293" s="490"/>
      <c r="AA293" s="490"/>
    </row>
    <row r="294" spans="7:27" x14ac:dyDescent="0.25">
      <c r="G294" s="489" t="s">
        <v>681</v>
      </c>
      <c r="H294" s="490" t="s">
        <v>399</v>
      </c>
      <c r="I294" s="491">
        <v>820</v>
      </c>
      <c r="J294" s="492">
        <v>12.7</v>
      </c>
      <c r="K294" s="493">
        <v>4.657</v>
      </c>
      <c r="L294" s="494">
        <v>0.69</v>
      </c>
      <c r="M294" s="494">
        <v>29.44</v>
      </c>
      <c r="N294" s="491">
        <v>61220</v>
      </c>
      <c r="O294" s="492">
        <v>4.5999999999999996</v>
      </c>
      <c r="P294" s="494">
        <v>13.96</v>
      </c>
      <c r="Q294" s="494">
        <v>19.47</v>
      </c>
      <c r="R294" s="494">
        <v>26.89</v>
      </c>
      <c r="S294" s="494">
        <v>36.630000000000003</v>
      </c>
      <c r="T294" s="494">
        <v>47.98</v>
      </c>
      <c r="U294" s="491">
        <v>29040</v>
      </c>
      <c r="V294" s="491">
        <v>40500</v>
      </c>
      <c r="W294" s="491">
        <v>55940</v>
      </c>
      <c r="X294" s="491">
        <v>76190</v>
      </c>
      <c r="Y294" s="491">
        <v>99810</v>
      </c>
      <c r="Z294" s="490"/>
      <c r="AA294" s="490"/>
    </row>
    <row r="295" spans="7:27" x14ac:dyDescent="0.25">
      <c r="G295" s="489" t="s">
        <v>682</v>
      </c>
      <c r="H295" s="490" t="s">
        <v>399</v>
      </c>
      <c r="I295" s="491">
        <v>470</v>
      </c>
      <c r="J295" s="492">
        <v>21.2</v>
      </c>
      <c r="K295" s="493">
        <v>2.645</v>
      </c>
      <c r="L295" s="494">
        <v>1.1299999999999999</v>
      </c>
      <c r="M295" s="494">
        <v>40.31</v>
      </c>
      <c r="N295" s="491">
        <v>83840</v>
      </c>
      <c r="O295" s="492">
        <v>8.5</v>
      </c>
      <c r="P295" s="494">
        <v>15.83</v>
      </c>
      <c r="Q295" s="494">
        <v>26.6</v>
      </c>
      <c r="R295" s="494">
        <v>37.869999999999997</v>
      </c>
      <c r="S295" s="494">
        <v>56.33</v>
      </c>
      <c r="T295" s="494">
        <v>64.97</v>
      </c>
      <c r="U295" s="491">
        <v>32930</v>
      </c>
      <c r="V295" s="491">
        <v>55320</v>
      </c>
      <c r="W295" s="491">
        <v>78770</v>
      </c>
      <c r="X295" s="491">
        <v>117170</v>
      </c>
      <c r="Y295" s="491">
        <v>135140</v>
      </c>
      <c r="Z295" s="490"/>
      <c r="AA295" s="490"/>
    </row>
    <row r="296" spans="7:27" x14ac:dyDescent="0.25">
      <c r="G296" s="489" t="s">
        <v>683</v>
      </c>
      <c r="H296" s="490" t="s">
        <v>399</v>
      </c>
      <c r="I296" s="491">
        <v>1300</v>
      </c>
      <c r="J296" s="492">
        <v>10.5</v>
      </c>
      <c r="K296" s="493">
        <v>7.3959999999999999</v>
      </c>
      <c r="L296" s="494">
        <v>0.74</v>
      </c>
      <c r="M296" s="494">
        <v>31.38</v>
      </c>
      <c r="N296" s="491">
        <v>65260</v>
      </c>
      <c r="O296" s="492">
        <v>3</v>
      </c>
      <c r="P296" s="494">
        <v>17.02</v>
      </c>
      <c r="Q296" s="494">
        <v>22.85</v>
      </c>
      <c r="R296" s="494">
        <v>28.97</v>
      </c>
      <c r="S296" s="494">
        <v>36.979999999999997</v>
      </c>
      <c r="T296" s="494">
        <v>46.98</v>
      </c>
      <c r="U296" s="491">
        <v>35390</v>
      </c>
      <c r="V296" s="491">
        <v>47530</v>
      </c>
      <c r="W296" s="491">
        <v>60260</v>
      </c>
      <c r="X296" s="491">
        <v>76910</v>
      </c>
      <c r="Y296" s="491">
        <v>97730</v>
      </c>
      <c r="Z296" s="490"/>
      <c r="AA296" s="490"/>
    </row>
    <row r="297" spans="7:27" x14ac:dyDescent="0.25">
      <c r="G297" s="489" t="s">
        <v>684</v>
      </c>
      <c r="H297" s="490" t="s">
        <v>399</v>
      </c>
      <c r="I297" s="491">
        <v>180</v>
      </c>
      <c r="J297" s="492">
        <v>22.4</v>
      </c>
      <c r="K297" s="493">
        <v>1.02</v>
      </c>
      <c r="L297" s="494">
        <v>1.66</v>
      </c>
      <c r="M297" s="494">
        <v>13.27</v>
      </c>
      <c r="N297" s="491">
        <v>27590</v>
      </c>
      <c r="O297" s="492">
        <v>5.3</v>
      </c>
      <c r="P297" s="494">
        <v>10.14</v>
      </c>
      <c r="Q297" s="494">
        <v>10.75</v>
      </c>
      <c r="R297" s="494">
        <v>11.76</v>
      </c>
      <c r="S297" s="494">
        <v>14.26</v>
      </c>
      <c r="T297" s="494">
        <v>18.77</v>
      </c>
      <c r="U297" s="491">
        <v>21100</v>
      </c>
      <c r="V297" s="491">
        <v>22360</v>
      </c>
      <c r="W297" s="491">
        <v>24460</v>
      </c>
      <c r="X297" s="491">
        <v>29670</v>
      </c>
      <c r="Y297" s="491">
        <v>39050</v>
      </c>
      <c r="Z297" s="490"/>
      <c r="AA297" s="490"/>
    </row>
    <row r="298" spans="7:27" x14ac:dyDescent="0.25">
      <c r="G298" s="489" t="s">
        <v>685</v>
      </c>
      <c r="H298" s="490" t="s">
        <v>399</v>
      </c>
      <c r="I298" s="491" t="s">
        <v>403</v>
      </c>
      <c r="J298" s="492" t="s">
        <v>403</v>
      </c>
      <c r="K298" s="493" t="s">
        <v>403</v>
      </c>
      <c r="L298" s="494" t="s">
        <v>403</v>
      </c>
      <c r="M298" s="494">
        <v>38.11</v>
      </c>
      <c r="N298" s="491">
        <v>79260</v>
      </c>
      <c r="O298" s="492">
        <v>9.1999999999999993</v>
      </c>
      <c r="P298" s="494">
        <v>23.68</v>
      </c>
      <c r="Q298" s="494">
        <v>31.32</v>
      </c>
      <c r="R298" s="494">
        <v>34.01</v>
      </c>
      <c r="S298" s="494">
        <v>37.15</v>
      </c>
      <c r="T298" s="494">
        <v>39.270000000000003</v>
      </c>
      <c r="U298" s="491">
        <v>49260</v>
      </c>
      <c r="V298" s="491">
        <v>65130</v>
      </c>
      <c r="W298" s="491">
        <v>70750</v>
      </c>
      <c r="X298" s="491">
        <v>77260</v>
      </c>
      <c r="Y298" s="491">
        <v>81690</v>
      </c>
      <c r="Z298" s="490"/>
      <c r="AA298" s="490"/>
    </row>
    <row r="299" spans="7:27" x14ac:dyDescent="0.25">
      <c r="G299" s="489" t="s">
        <v>686</v>
      </c>
      <c r="H299" s="490" t="s">
        <v>399</v>
      </c>
      <c r="I299" s="491">
        <v>130</v>
      </c>
      <c r="J299" s="492">
        <v>24.9</v>
      </c>
      <c r="K299" s="493">
        <v>0.755</v>
      </c>
      <c r="L299" s="494">
        <v>0.7</v>
      </c>
      <c r="M299" s="494">
        <v>31.58</v>
      </c>
      <c r="N299" s="491">
        <v>65690</v>
      </c>
      <c r="O299" s="492">
        <v>9.1</v>
      </c>
      <c r="P299" s="494">
        <v>13.28</v>
      </c>
      <c r="Q299" s="494">
        <v>25.8</v>
      </c>
      <c r="R299" s="494">
        <v>32.21</v>
      </c>
      <c r="S299" s="494">
        <v>38.61</v>
      </c>
      <c r="T299" s="494">
        <v>47.33</v>
      </c>
      <c r="U299" s="491">
        <v>27620</v>
      </c>
      <c r="V299" s="491">
        <v>53660</v>
      </c>
      <c r="W299" s="491">
        <v>67000</v>
      </c>
      <c r="X299" s="491">
        <v>80310</v>
      </c>
      <c r="Y299" s="491">
        <v>98450</v>
      </c>
      <c r="Z299" s="490"/>
      <c r="AA299" s="490"/>
    </row>
    <row r="300" spans="7:27" x14ac:dyDescent="0.25">
      <c r="G300" s="489" t="s">
        <v>687</v>
      </c>
      <c r="H300" s="490" t="s">
        <v>399</v>
      </c>
      <c r="I300" s="491">
        <v>60</v>
      </c>
      <c r="J300" s="492">
        <v>31.9</v>
      </c>
      <c r="K300" s="493">
        <v>0.33900000000000002</v>
      </c>
      <c r="L300" s="494">
        <v>0.64</v>
      </c>
      <c r="M300" s="494">
        <v>50.26</v>
      </c>
      <c r="N300" s="491">
        <v>104540</v>
      </c>
      <c r="O300" s="492">
        <v>4.8</v>
      </c>
      <c r="P300" s="494">
        <v>31.14</v>
      </c>
      <c r="Q300" s="494">
        <v>38.07</v>
      </c>
      <c r="R300" s="494">
        <v>50.17</v>
      </c>
      <c r="S300" s="494">
        <v>61.25</v>
      </c>
      <c r="T300" s="494">
        <v>73.73</v>
      </c>
      <c r="U300" s="491">
        <v>64780</v>
      </c>
      <c r="V300" s="491">
        <v>79180</v>
      </c>
      <c r="W300" s="491">
        <v>104360</v>
      </c>
      <c r="X300" s="491">
        <v>127400</v>
      </c>
      <c r="Y300" s="491">
        <v>153360</v>
      </c>
      <c r="Z300" s="490"/>
      <c r="AA300" s="490"/>
    </row>
    <row r="301" spans="7:27" x14ac:dyDescent="0.25">
      <c r="G301" s="489" t="s">
        <v>688</v>
      </c>
      <c r="H301" s="490" t="s">
        <v>399</v>
      </c>
      <c r="I301" s="491" t="s">
        <v>403</v>
      </c>
      <c r="J301" s="492" t="s">
        <v>403</v>
      </c>
      <c r="K301" s="493" t="s">
        <v>403</v>
      </c>
      <c r="L301" s="494" t="s">
        <v>403</v>
      </c>
      <c r="M301" s="494">
        <v>14.11</v>
      </c>
      <c r="N301" s="491">
        <v>29350</v>
      </c>
      <c r="O301" s="492">
        <v>22.4</v>
      </c>
      <c r="P301" s="494">
        <v>9.75</v>
      </c>
      <c r="Q301" s="494">
        <v>9.75</v>
      </c>
      <c r="R301" s="494">
        <v>9.76</v>
      </c>
      <c r="S301" s="494">
        <v>12.03</v>
      </c>
      <c r="T301" s="494">
        <v>28.7</v>
      </c>
      <c r="U301" s="491">
        <v>20280</v>
      </c>
      <c r="V301" s="491">
        <v>20290</v>
      </c>
      <c r="W301" s="491">
        <v>20300</v>
      </c>
      <c r="X301" s="491">
        <v>25030</v>
      </c>
      <c r="Y301" s="491">
        <v>59690</v>
      </c>
      <c r="Z301" s="490"/>
      <c r="AA301" s="490"/>
    </row>
    <row r="302" spans="7:27" x14ac:dyDescent="0.25">
      <c r="G302" s="489" t="s">
        <v>689</v>
      </c>
      <c r="H302" s="490" t="s">
        <v>399</v>
      </c>
      <c r="I302" s="491">
        <v>150</v>
      </c>
      <c r="J302" s="492">
        <v>11.4</v>
      </c>
      <c r="K302" s="493">
        <v>0.83499999999999996</v>
      </c>
      <c r="L302" s="494">
        <v>1.45</v>
      </c>
      <c r="M302" s="494">
        <v>23.04</v>
      </c>
      <c r="N302" s="491">
        <v>47910</v>
      </c>
      <c r="O302" s="492">
        <v>6.2</v>
      </c>
      <c r="P302" s="494">
        <v>10.39</v>
      </c>
      <c r="Q302" s="494">
        <v>11.98</v>
      </c>
      <c r="R302" s="494">
        <v>19.21</v>
      </c>
      <c r="S302" s="494">
        <v>28.73</v>
      </c>
      <c r="T302" s="494">
        <v>44.27</v>
      </c>
      <c r="U302" s="491">
        <v>21610</v>
      </c>
      <c r="V302" s="491">
        <v>24920</v>
      </c>
      <c r="W302" s="491">
        <v>39950</v>
      </c>
      <c r="X302" s="491">
        <v>59760</v>
      </c>
      <c r="Y302" s="491">
        <v>92070</v>
      </c>
      <c r="Z302" s="490"/>
      <c r="AA302" s="490"/>
    </row>
    <row r="303" spans="7:27" x14ac:dyDescent="0.25">
      <c r="G303" s="489" t="s">
        <v>197</v>
      </c>
      <c r="H303" s="490" t="s">
        <v>398</v>
      </c>
      <c r="I303" s="491">
        <v>29310</v>
      </c>
      <c r="J303" s="492">
        <v>2.1</v>
      </c>
      <c r="K303" s="493">
        <v>166.37100000000001</v>
      </c>
      <c r="L303" s="494">
        <v>1.06</v>
      </c>
      <c r="M303" s="494">
        <v>20.71</v>
      </c>
      <c r="N303" s="491">
        <v>43080</v>
      </c>
      <c r="O303" s="492">
        <v>0.9</v>
      </c>
      <c r="P303" s="494">
        <v>11.77</v>
      </c>
      <c r="Q303" s="494">
        <v>14.95</v>
      </c>
      <c r="R303" s="494">
        <v>19.39</v>
      </c>
      <c r="S303" s="494">
        <v>25.22</v>
      </c>
      <c r="T303" s="494">
        <v>30.41</v>
      </c>
      <c r="U303" s="491">
        <v>24490</v>
      </c>
      <c r="V303" s="491">
        <v>31100</v>
      </c>
      <c r="W303" s="491">
        <v>40330</v>
      </c>
      <c r="X303" s="491">
        <v>52460</v>
      </c>
      <c r="Y303" s="491">
        <v>63250</v>
      </c>
      <c r="Z303" s="490"/>
      <c r="AA303" s="490"/>
    </row>
    <row r="304" spans="7:27" x14ac:dyDescent="0.25">
      <c r="G304" s="489" t="s">
        <v>690</v>
      </c>
      <c r="H304" s="490" t="s">
        <v>399</v>
      </c>
      <c r="I304" s="491">
        <v>1860</v>
      </c>
      <c r="J304" s="492">
        <v>4.5999999999999996</v>
      </c>
      <c r="K304" s="493">
        <v>10.544</v>
      </c>
      <c r="L304" s="494">
        <v>1.03</v>
      </c>
      <c r="M304" s="494">
        <v>31.46</v>
      </c>
      <c r="N304" s="491">
        <v>65430</v>
      </c>
      <c r="O304" s="492">
        <v>1.8</v>
      </c>
      <c r="P304" s="494">
        <v>20.059999999999999</v>
      </c>
      <c r="Q304" s="494">
        <v>24.57</v>
      </c>
      <c r="R304" s="494">
        <v>29.71</v>
      </c>
      <c r="S304" s="494">
        <v>37.159999999999997</v>
      </c>
      <c r="T304" s="494">
        <v>46.18</v>
      </c>
      <c r="U304" s="491">
        <v>41730</v>
      </c>
      <c r="V304" s="491">
        <v>51100</v>
      </c>
      <c r="W304" s="491">
        <v>61800</v>
      </c>
      <c r="X304" s="491">
        <v>77290</v>
      </c>
      <c r="Y304" s="491">
        <v>96050</v>
      </c>
      <c r="Z304" s="490"/>
      <c r="AA304" s="490"/>
    </row>
    <row r="305" spans="7:27" x14ac:dyDescent="0.25">
      <c r="G305" s="489" t="s">
        <v>691</v>
      </c>
      <c r="H305" s="490" t="s">
        <v>399</v>
      </c>
      <c r="I305" s="491">
        <v>110</v>
      </c>
      <c r="J305" s="492">
        <v>16.3</v>
      </c>
      <c r="K305" s="493">
        <v>0.63700000000000001</v>
      </c>
      <c r="L305" s="494">
        <v>0.98</v>
      </c>
      <c r="M305" s="494">
        <v>15.27</v>
      </c>
      <c r="N305" s="491">
        <v>31750</v>
      </c>
      <c r="O305" s="492">
        <v>4.5999999999999996</v>
      </c>
      <c r="P305" s="494">
        <v>9.76</v>
      </c>
      <c r="Q305" s="494">
        <v>12.76</v>
      </c>
      <c r="R305" s="494">
        <v>14.75</v>
      </c>
      <c r="S305" s="494">
        <v>17.739999999999998</v>
      </c>
      <c r="T305" s="494">
        <v>19.64</v>
      </c>
      <c r="U305" s="491">
        <v>20300</v>
      </c>
      <c r="V305" s="491">
        <v>26540</v>
      </c>
      <c r="W305" s="491">
        <v>30680</v>
      </c>
      <c r="X305" s="491">
        <v>36890</v>
      </c>
      <c r="Y305" s="491">
        <v>40840</v>
      </c>
      <c r="Z305" s="490"/>
      <c r="AA305" s="490"/>
    </row>
    <row r="306" spans="7:27" x14ac:dyDescent="0.25">
      <c r="G306" s="489" t="s">
        <v>692</v>
      </c>
      <c r="H306" s="490" t="s">
        <v>399</v>
      </c>
      <c r="I306" s="491">
        <v>260</v>
      </c>
      <c r="J306" s="492">
        <v>16.600000000000001</v>
      </c>
      <c r="K306" s="493">
        <v>1.492</v>
      </c>
      <c r="L306" s="494">
        <v>0.7</v>
      </c>
      <c r="M306" s="494">
        <v>20.46</v>
      </c>
      <c r="N306" s="491">
        <v>42560</v>
      </c>
      <c r="O306" s="492">
        <v>5.0999999999999996</v>
      </c>
      <c r="P306" s="494">
        <v>11.56</v>
      </c>
      <c r="Q306" s="494">
        <v>14.24</v>
      </c>
      <c r="R306" s="494">
        <v>19.18</v>
      </c>
      <c r="S306" s="494">
        <v>24.96</v>
      </c>
      <c r="T306" s="494">
        <v>30.76</v>
      </c>
      <c r="U306" s="491">
        <v>24050</v>
      </c>
      <c r="V306" s="491">
        <v>29620</v>
      </c>
      <c r="W306" s="491">
        <v>39890</v>
      </c>
      <c r="X306" s="491">
        <v>51910</v>
      </c>
      <c r="Y306" s="491">
        <v>63990</v>
      </c>
      <c r="Z306" s="490"/>
      <c r="AA306" s="490"/>
    </row>
    <row r="307" spans="7:27" x14ac:dyDescent="0.25">
      <c r="G307" s="489" t="s">
        <v>693</v>
      </c>
      <c r="H307" s="490" t="s">
        <v>399</v>
      </c>
      <c r="I307" s="491">
        <v>600</v>
      </c>
      <c r="J307" s="492">
        <v>9.1999999999999993</v>
      </c>
      <c r="K307" s="493">
        <v>3.4260000000000002</v>
      </c>
      <c r="L307" s="494">
        <v>0.99</v>
      </c>
      <c r="M307" s="494">
        <v>19.77</v>
      </c>
      <c r="N307" s="491">
        <v>41110</v>
      </c>
      <c r="O307" s="492">
        <v>1.7</v>
      </c>
      <c r="P307" s="494">
        <v>15.1</v>
      </c>
      <c r="Q307" s="494">
        <v>16.850000000000001</v>
      </c>
      <c r="R307" s="494">
        <v>19.37</v>
      </c>
      <c r="S307" s="494">
        <v>22.68</v>
      </c>
      <c r="T307" s="494">
        <v>25.42</v>
      </c>
      <c r="U307" s="491">
        <v>31410</v>
      </c>
      <c r="V307" s="491">
        <v>35050</v>
      </c>
      <c r="W307" s="491">
        <v>40290</v>
      </c>
      <c r="X307" s="491">
        <v>47180</v>
      </c>
      <c r="Y307" s="491">
        <v>52870</v>
      </c>
      <c r="Z307" s="490"/>
      <c r="AA307" s="490"/>
    </row>
    <row r="308" spans="7:27" x14ac:dyDescent="0.25">
      <c r="G308" s="489" t="s">
        <v>694</v>
      </c>
      <c r="H308" s="490" t="s">
        <v>399</v>
      </c>
      <c r="I308" s="491">
        <v>2430</v>
      </c>
      <c r="J308" s="492">
        <v>5.7</v>
      </c>
      <c r="K308" s="493">
        <v>13.811</v>
      </c>
      <c r="L308" s="494">
        <v>1.24</v>
      </c>
      <c r="M308" s="494">
        <v>23.19</v>
      </c>
      <c r="N308" s="491">
        <v>48240</v>
      </c>
      <c r="O308" s="492">
        <v>1.6</v>
      </c>
      <c r="P308" s="494">
        <v>15.44</v>
      </c>
      <c r="Q308" s="494">
        <v>18.190000000000001</v>
      </c>
      <c r="R308" s="494">
        <v>22.57</v>
      </c>
      <c r="S308" s="494">
        <v>27.65</v>
      </c>
      <c r="T308" s="494">
        <v>32.57</v>
      </c>
      <c r="U308" s="491">
        <v>32110</v>
      </c>
      <c r="V308" s="491">
        <v>37830</v>
      </c>
      <c r="W308" s="491">
        <v>46940</v>
      </c>
      <c r="X308" s="491">
        <v>57500</v>
      </c>
      <c r="Y308" s="491">
        <v>67740</v>
      </c>
      <c r="Z308" s="490"/>
      <c r="AA308" s="490"/>
    </row>
    <row r="309" spans="7:27" x14ac:dyDescent="0.25">
      <c r="G309" s="489" t="s">
        <v>695</v>
      </c>
      <c r="H309" s="490" t="s">
        <v>399</v>
      </c>
      <c r="I309" s="491">
        <v>250</v>
      </c>
      <c r="J309" s="492">
        <v>10.4</v>
      </c>
      <c r="K309" s="493">
        <v>1.3959999999999999</v>
      </c>
      <c r="L309" s="494">
        <v>1.23</v>
      </c>
      <c r="M309" s="494">
        <v>23.26</v>
      </c>
      <c r="N309" s="491">
        <v>48390</v>
      </c>
      <c r="O309" s="492">
        <v>2.8</v>
      </c>
      <c r="P309" s="494">
        <v>14.63</v>
      </c>
      <c r="Q309" s="494">
        <v>18.63</v>
      </c>
      <c r="R309" s="494">
        <v>23.37</v>
      </c>
      <c r="S309" s="494">
        <v>27.85</v>
      </c>
      <c r="T309" s="494">
        <v>31.44</v>
      </c>
      <c r="U309" s="491">
        <v>30420</v>
      </c>
      <c r="V309" s="491">
        <v>38750</v>
      </c>
      <c r="W309" s="491">
        <v>48620</v>
      </c>
      <c r="X309" s="491">
        <v>57940</v>
      </c>
      <c r="Y309" s="491">
        <v>65400</v>
      </c>
      <c r="Z309" s="490"/>
      <c r="AA309" s="490"/>
    </row>
    <row r="310" spans="7:27" x14ac:dyDescent="0.25">
      <c r="G310" s="489" t="s">
        <v>696</v>
      </c>
      <c r="H310" s="490" t="s">
        <v>399</v>
      </c>
      <c r="I310" s="491">
        <v>160</v>
      </c>
      <c r="J310" s="492">
        <v>6.7</v>
      </c>
      <c r="K310" s="493">
        <v>0.92300000000000004</v>
      </c>
      <c r="L310" s="494">
        <v>1.8</v>
      </c>
      <c r="M310" s="494">
        <v>22.96</v>
      </c>
      <c r="N310" s="491">
        <v>47760</v>
      </c>
      <c r="O310" s="492">
        <v>2.2999999999999998</v>
      </c>
      <c r="P310" s="494">
        <v>17.059999999999999</v>
      </c>
      <c r="Q310" s="494">
        <v>19.53</v>
      </c>
      <c r="R310" s="494">
        <v>22.48</v>
      </c>
      <c r="S310" s="494">
        <v>26.54</v>
      </c>
      <c r="T310" s="494">
        <v>28.86</v>
      </c>
      <c r="U310" s="491">
        <v>35490</v>
      </c>
      <c r="V310" s="491">
        <v>40630</v>
      </c>
      <c r="W310" s="491">
        <v>46760</v>
      </c>
      <c r="X310" s="491">
        <v>55200</v>
      </c>
      <c r="Y310" s="491">
        <v>60030</v>
      </c>
      <c r="Z310" s="490"/>
      <c r="AA310" s="490"/>
    </row>
    <row r="311" spans="7:27" x14ac:dyDescent="0.25">
      <c r="G311" s="489" t="s">
        <v>697</v>
      </c>
      <c r="H311" s="490" t="s">
        <v>399</v>
      </c>
      <c r="I311" s="491">
        <v>760</v>
      </c>
      <c r="J311" s="492">
        <v>16.2</v>
      </c>
      <c r="K311" s="493">
        <v>4.34</v>
      </c>
      <c r="L311" s="494">
        <v>1.23</v>
      </c>
      <c r="M311" s="494">
        <v>12.6</v>
      </c>
      <c r="N311" s="491">
        <v>26210</v>
      </c>
      <c r="O311" s="492">
        <v>3.9</v>
      </c>
      <c r="P311" s="494">
        <v>9.75</v>
      </c>
      <c r="Q311" s="494">
        <v>9.76</v>
      </c>
      <c r="R311" s="494">
        <v>12.08</v>
      </c>
      <c r="S311" s="494">
        <v>14.43</v>
      </c>
      <c r="T311" s="494">
        <v>17.010000000000002</v>
      </c>
      <c r="U311" s="491">
        <v>20290</v>
      </c>
      <c r="V311" s="491">
        <v>20300</v>
      </c>
      <c r="W311" s="491">
        <v>25130</v>
      </c>
      <c r="X311" s="491">
        <v>30010</v>
      </c>
      <c r="Y311" s="491">
        <v>35380</v>
      </c>
      <c r="Z311" s="490"/>
      <c r="AA311" s="490"/>
    </row>
    <row r="312" spans="7:27" x14ac:dyDescent="0.25">
      <c r="G312" s="489" t="s">
        <v>698</v>
      </c>
      <c r="H312" s="490" t="s">
        <v>399</v>
      </c>
      <c r="I312" s="491">
        <v>220</v>
      </c>
      <c r="J312" s="492">
        <v>12.5</v>
      </c>
      <c r="K312" s="493">
        <v>1.23</v>
      </c>
      <c r="L312" s="494">
        <v>5</v>
      </c>
      <c r="M312" s="494">
        <v>20.62</v>
      </c>
      <c r="N312" s="491">
        <v>42880</v>
      </c>
      <c r="O312" s="492">
        <v>6.5</v>
      </c>
      <c r="P312" s="494">
        <v>9.76</v>
      </c>
      <c r="Q312" s="494">
        <v>11.02</v>
      </c>
      <c r="R312" s="494">
        <v>16.21</v>
      </c>
      <c r="S312" s="494">
        <v>26.05</v>
      </c>
      <c r="T312" s="494">
        <v>43.85</v>
      </c>
      <c r="U312" s="491">
        <v>20300</v>
      </c>
      <c r="V312" s="491">
        <v>22920</v>
      </c>
      <c r="W312" s="491">
        <v>33730</v>
      </c>
      <c r="X312" s="491">
        <v>54190</v>
      </c>
      <c r="Y312" s="491">
        <v>91210</v>
      </c>
      <c r="Z312" s="490"/>
      <c r="AA312" s="490"/>
    </row>
    <row r="313" spans="7:27" x14ac:dyDescent="0.25">
      <c r="G313" s="489" t="s">
        <v>699</v>
      </c>
      <c r="H313" s="490" t="s">
        <v>399</v>
      </c>
      <c r="I313" s="491">
        <v>50</v>
      </c>
      <c r="J313" s="492">
        <v>45.6</v>
      </c>
      <c r="K313" s="493">
        <v>0.28499999999999998</v>
      </c>
      <c r="L313" s="494">
        <v>0.67</v>
      </c>
      <c r="M313" s="494">
        <v>24.25</v>
      </c>
      <c r="N313" s="491">
        <v>50440</v>
      </c>
      <c r="O313" s="492">
        <v>3.4</v>
      </c>
      <c r="P313" s="494">
        <v>19.68</v>
      </c>
      <c r="Q313" s="494">
        <v>21.14</v>
      </c>
      <c r="R313" s="494">
        <v>23.58</v>
      </c>
      <c r="S313" s="494">
        <v>27.24</v>
      </c>
      <c r="T313" s="494">
        <v>31.31</v>
      </c>
      <c r="U313" s="491">
        <v>40930</v>
      </c>
      <c r="V313" s="491">
        <v>43970</v>
      </c>
      <c r="W313" s="491">
        <v>49050</v>
      </c>
      <c r="X313" s="491">
        <v>56670</v>
      </c>
      <c r="Y313" s="491">
        <v>65120</v>
      </c>
      <c r="Z313" s="490"/>
      <c r="AA313" s="490"/>
    </row>
    <row r="314" spans="7:27" x14ac:dyDescent="0.25">
      <c r="G314" s="489" t="s">
        <v>700</v>
      </c>
      <c r="H314" s="490" t="s">
        <v>399</v>
      </c>
      <c r="I314" s="491">
        <v>230</v>
      </c>
      <c r="J314" s="492">
        <v>2.7</v>
      </c>
      <c r="K314" s="493">
        <v>1.3169999999999999</v>
      </c>
      <c r="L314" s="494">
        <v>1.44</v>
      </c>
      <c r="M314" s="494">
        <v>21.72</v>
      </c>
      <c r="N314" s="491">
        <v>45180</v>
      </c>
      <c r="O314" s="492">
        <v>2.9</v>
      </c>
      <c r="P314" s="494">
        <v>17.45</v>
      </c>
      <c r="Q314" s="494">
        <v>18.14</v>
      </c>
      <c r="R314" s="494">
        <v>20.73</v>
      </c>
      <c r="S314" s="494">
        <v>23.92</v>
      </c>
      <c r="T314" s="494">
        <v>26.92</v>
      </c>
      <c r="U314" s="491">
        <v>36300</v>
      </c>
      <c r="V314" s="491">
        <v>37730</v>
      </c>
      <c r="W314" s="491">
        <v>43110</v>
      </c>
      <c r="X314" s="491">
        <v>49750</v>
      </c>
      <c r="Y314" s="491">
        <v>55990</v>
      </c>
      <c r="Z314" s="490"/>
      <c r="AA314" s="490"/>
    </row>
    <row r="315" spans="7:27" x14ac:dyDescent="0.25">
      <c r="G315" s="489" t="s">
        <v>701</v>
      </c>
      <c r="H315" s="490" t="s">
        <v>399</v>
      </c>
      <c r="I315" s="491">
        <v>40</v>
      </c>
      <c r="J315" s="492">
        <v>47.8</v>
      </c>
      <c r="K315" s="493">
        <v>0.20499999999999999</v>
      </c>
      <c r="L315" s="494">
        <v>0.77</v>
      </c>
      <c r="M315" s="494">
        <v>19.45</v>
      </c>
      <c r="N315" s="491">
        <v>40450</v>
      </c>
      <c r="O315" s="492">
        <v>3.7</v>
      </c>
      <c r="P315" s="494">
        <v>13.46</v>
      </c>
      <c r="Q315" s="494">
        <v>15.81</v>
      </c>
      <c r="R315" s="494">
        <v>19.84</v>
      </c>
      <c r="S315" s="494">
        <v>22.86</v>
      </c>
      <c r="T315" s="494">
        <v>24.93</v>
      </c>
      <c r="U315" s="491">
        <v>28000</v>
      </c>
      <c r="V315" s="491">
        <v>32890</v>
      </c>
      <c r="W315" s="491">
        <v>41260</v>
      </c>
      <c r="X315" s="491">
        <v>47560</v>
      </c>
      <c r="Y315" s="491">
        <v>51860</v>
      </c>
      <c r="Z315" s="490"/>
      <c r="AA315" s="490"/>
    </row>
    <row r="316" spans="7:27" x14ac:dyDescent="0.25">
      <c r="G316" s="489" t="s">
        <v>702</v>
      </c>
      <c r="H316" s="490" t="s">
        <v>399</v>
      </c>
      <c r="I316" s="491">
        <v>2260</v>
      </c>
      <c r="J316" s="492">
        <v>8.6</v>
      </c>
      <c r="K316" s="493">
        <v>12.824999999999999</v>
      </c>
      <c r="L316" s="494">
        <v>0.67</v>
      </c>
      <c r="M316" s="494">
        <v>17.59</v>
      </c>
      <c r="N316" s="491">
        <v>36590</v>
      </c>
      <c r="O316" s="492">
        <v>2.5</v>
      </c>
      <c r="P316" s="494">
        <v>10.77</v>
      </c>
      <c r="Q316" s="494">
        <v>12.98</v>
      </c>
      <c r="R316" s="494">
        <v>16.440000000000001</v>
      </c>
      <c r="S316" s="494">
        <v>21.38</v>
      </c>
      <c r="T316" s="494">
        <v>26.51</v>
      </c>
      <c r="U316" s="491">
        <v>22390</v>
      </c>
      <c r="V316" s="491">
        <v>27000</v>
      </c>
      <c r="W316" s="491">
        <v>34190</v>
      </c>
      <c r="X316" s="491">
        <v>44480</v>
      </c>
      <c r="Y316" s="491">
        <v>55130</v>
      </c>
      <c r="Z316" s="490"/>
      <c r="AA316" s="490"/>
    </row>
    <row r="317" spans="7:27" x14ac:dyDescent="0.25">
      <c r="G317" s="489" t="s">
        <v>703</v>
      </c>
      <c r="H317" s="490" t="s">
        <v>399</v>
      </c>
      <c r="I317" s="491">
        <v>260</v>
      </c>
      <c r="J317" s="492">
        <v>1.9</v>
      </c>
      <c r="K317" s="493">
        <v>1.4730000000000001</v>
      </c>
      <c r="L317" s="494">
        <v>1.52</v>
      </c>
      <c r="M317" s="494">
        <v>24.94</v>
      </c>
      <c r="N317" s="491">
        <v>51870</v>
      </c>
      <c r="O317" s="492">
        <v>2.6</v>
      </c>
      <c r="P317" s="494">
        <v>21.23</v>
      </c>
      <c r="Q317" s="494">
        <v>21.95</v>
      </c>
      <c r="R317" s="494">
        <v>24.39</v>
      </c>
      <c r="S317" s="494">
        <v>27.21</v>
      </c>
      <c r="T317" s="494">
        <v>30.38</v>
      </c>
      <c r="U317" s="491">
        <v>44160</v>
      </c>
      <c r="V317" s="491">
        <v>45660</v>
      </c>
      <c r="W317" s="491">
        <v>50740</v>
      </c>
      <c r="X317" s="491">
        <v>56590</v>
      </c>
      <c r="Y317" s="491">
        <v>63200</v>
      </c>
      <c r="Z317" s="490"/>
      <c r="AA317" s="490"/>
    </row>
    <row r="318" spans="7:27" x14ac:dyDescent="0.25">
      <c r="G318" s="489" t="s">
        <v>704</v>
      </c>
      <c r="H318" s="490" t="s">
        <v>399</v>
      </c>
      <c r="I318" s="491">
        <v>170</v>
      </c>
      <c r="J318" s="492">
        <v>11.4</v>
      </c>
      <c r="K318" s="493">
        <v>0.94599999999999995</v>
      </c>
      <c r="L318" s="494">
        <v>1.01</v>
      </c>
      <c r="M318" s="494">
        <v>17.170000000000002</v>
      </c>
      <c r="N318" s="491">
        <v>35710</v>
      </c>
      <c r="O318" s="492">
        <v>3.7</v>
      </c>
      <c r="P318" s="494">
        <v>11.97</v>
      </c>
      <c r="Q318" s="494">
        <v>14.39</v>
      </c>
      <c r="R318" s="494">
        <v>17.07</v>
      </c>
      <c r="S318" s="494">
        <v>19.84</v>
      </c>
      <c r="T318" s="494">
        <v>23.35</v>
      </c>
      <c r="U318" s="491">
        <v>24900</v>
      </c>
      <c r="V318" s="491">
        <v>29920</v>
      </c>
      <c r="W318" s="491">
        <v>35510</v>
      </c>
      <c r="X318" s="491">
        <v>41280</v>
      </c>
      <c r="Y318" s="491">
        <v>48570</v>
      </c>
      <c r="Z318" s="490"/>
      <c r="AA318" s="490"/>
    </row>
    <row r="319" spans="7:27" x14ac:dyDescent="0.25">
      <c r="G319" s="489" t="s">
        <v>705</v>
      </c>
      <c r="H319" s="490" t="s">
        <v>399</v>
      </c>
      <c r="I319" s="491">
        <v>240</v>
      </c>
      <c r="J319" s="492">
        <v>21.6</v>
      </c>
      <c r="K319" s="493">
        <v>1.369</v>
      </c>
      <c r="L319" s="494">
        <v>0.77</v>
      </c>
      <c r="M319" s="494">
        <v>13.65</v>
      </c>
      <c r="N319" s="491">
        <v>28380</v>
      </c>
      <c r="O319" s="492">
        <v>5</v>
      </c>
      <c r="P319" s="494">
        <v>10.33</v>
      </c>
      <c r="Q319" s="494">
        <v>11.52</v>
      </c>
      <c r="R319" s="494">
        <v>13.52</v>
      </c>
      <c r="S319" s="494">
        <v>15.65</v>
      </c>
      <c r="T319" s="494">
        <v>17.68</v>
      </c>
      <c r="U319" s="491">
        <v>21490</v>
      </c>
      <c r="V319" s="491">
        <v>23970</v>
      </c>
      <c r="W319" s="491">
        <v>28120</v>
      </c>
      <c r="X319" s="491">
        <v>32550</v>
      </c>
      <c r="Y319" s="491">
        <v>36770</v>
      </c>
      <c r="Z319" s="490"/>
      <c r="AA319" s="490"/>
    </row>
    <row r="320" spans="7:27" x14ac:dyDescent="0.25">
      <c r="G320" s="489" t="s">
        <v>706</v>
      </c>
      <c r="H320" s="490" t="s">
        <v>399</v>
      </c>
      <c r="I320" s="491">
        <v>80</v>
      </c>
      <c r="J320" s="492">
        <v>22</v>
      </c>
      <c r="K320" s="493">
        <v>0.45600000000000002</v>
      </c>
      <c r="L320" s="494">
        <v>0.34</v>
      </c>
      <c r="M320" s="494">
        <v>18.850000000000001</v>
      </c>
      <c r="N320" s="491">
        <v>39200</v>
      </c>
      <c r="O320" s="492">
        <v>5.8</v>
      </c>
      <c r="P320" s="494">
        <v>13.83</v>
      </c>
      <c r="Q320" s="494">
        <v>15.74</v>
      </c>
      <c r="R320" s="494">
        <v>18.100000000000001</v>
      </c>
      <c r="S320" s="494">
        <v>21.13</v>
      </c>
      <c r="T320" s="494">
        <v>23.54</v>
      </c>
      <c r="U320" s="491">
        <v>28770</v>
      </c>
      <c r="V320" s="491">
        <v>32730</v>
      </c>
      <c r="W320" s="491">
        <v>37660</v>
      </c>
      <c r="X320" s="491">
        <v>43940</v>
      </c>
      <c r="Y320" s="491">
        <v>48960</v>
      </c>
      <c r="Z320" s="490"/>
      <c r="AA320" s="490"/>
    </row>
    <row r="321" spans="7:27" x14ac:dyDescent="0.25">
      <c r="G321" s="489" t="s">
        <v>707</v>
      </c>
      <c r="H321" s="490" t="s">
        <v>399</v>
      </c>
      <c r="I321" s="491">
        <v>100</v>
      </c>
      <c r="J321" s="492">
        <v>13.9</v>
      </c>
      <c r="K321" s="493">
        <v>0.56899999999999995</v>
      </c>
      <c r="L321" s="494">
        <v>0.81</v>
      </c>
      <c r="M321" s="494">
        <v>18.22</v>
      </c>
      <c r="N321" s="491">
        <v>37900</v>
      </c>
      <c r="O321" s="492">
        <v>2.5</v>
      </c>
      <c r="P321" s="494">
        <v>13.61</v>
      </c>
      <c r="Q321" s="494">
        <v>15.97</v>
      </c>
      <c r="R321" s="494">
        <v>18.28</v>
      </c>
      <c r="S321" s="494">
        <v>21.08</v>
      </c>
      <c r="T321" s="494">
        <v>23.35</v>
      </c>
      <c r="U321" s="491">
        <v>28310</v>
      </c>
      <c r="V321" s="491">
        <v>33210</v>
      </c>
      <c r="W321" s="491">
        <v>38020</v>
      </c>
      <c r="X321" s="491">
        <v>43840</v>
      </c>
      <c r="Y321" s="491">
        <v>48580</v>
      </c>
      <c r="Z321" s="490"/>
      <c r="AA321" s="490"/>
    </row>
    <row r="322" spans="7:27" x14ac:dyDescent="0.25">
      <c r="G322" s="489" t="s">
        <v>708</v>
      </c>
      <c r="H322" s="490" t="s">
        <v>399</v>
      </c>
      <c r="I322" s="491">
        <v>310</v>
      </c>
      <c r="J322" s="492">
        <v>10.5</v>
      </c>
      <c r="K322" s="493">
        <v>1.784</v>
      </c>
      <c r="L322" s="494">
        <v>1.1200000000000001</v>
      </c>
      <c r="M322" s="494">
        <v>21.41</v>
      </c>
      <c r="N322" s="491">
        <v>44540</v>
      </c>
      <c r="O322" s="492">
        <v>10.5</v>
      </c>
      <c r="P322" s="494">
        <v>9.76</v>
      </c>
      <c r="Q322" s="494">
        <v>11.7</v>
      </c>
      <c r="R322" s="494">
        <v>18.32</v>
      </c>
      <c r="S322" s="494">
        <v>24.03</v>
      </c>
      <c r="T322" s="494">
        <v>35.15</v>
      </c>
      <c r="U322" s="491">
        <v>20300</v>
      </c>
      <c r="V322" s="491">
        <v>24340</v>
      </c>
      <c r="W322" s="491">
        <v>38110</v>
      </c>
      <c r="X322" s="491">
        <v>49970</v>
      </c>
      <c r="Y322" s="491">
        <v>73110</v>
      </c>
      <c r="Z322" s="490"/>
      <c r="AA322" s="490"/>
    </row>
    <row r="323" spans="7:27" x14ac:dyDescent="0.25">
      <c r="G323" s="489" t="s">
        <v>709</v>
      </c>
      <c r="H323" s="490" t="s">
        <v>399</v>
      </c>
      <c r="I323" s="491">
        <v>140</v>
      </c>
      <c r="J323" s="492">
        <v>14.2</v>
      </c>
      <c r="K323" s="493">
        <v>0.81799999999999995</v>
      </c>
      <c r="L323" s="494">
        <v>0.65</v>
      </c>
      <c r="M323" s="494">
        <v>17.309999999999999</v>
      </c>
      <c r="N323" s="491">
        <v>35990</v>
      </c>
      <c r="O323" s="492">
        <v>2.9</v>
      </c>
      <c r="P323" s="494">
        <v>12.39</v>
      </c>
      <c r="Q323" s="494">
        <v>13.68</v>
      </c>
      <c r="R323" s="494">
        <v>16.23</v>
      </c>
      <c r="S323" s="494">
        <v>20.68</v>
      </c>
      <c r="T323" s="494">
        <v>24.48</v>
      </c>
      <c r="U323" s="491">
        <v>25780</v>
      </c>
      <c r="V323" s="491">
        <v>28460</v>
      </c>
      <c r="W323" s="491">
        <v>33750</v>
      </c>
      <c r="X323" s="491">
        <v>43010</v>
      </c>
      <c r="Y323" s="491">
        <v>50920</v>
      </c>
      <c r="Z323" s="490"/>
      <c r="AA323" s="490"/>
    </row>
    <row r="324" spans="7:27" x14ac:dyDescent="0.25">
      <c r="G324" s="489" t="s">
        <v>710</v>
      </c>
      <c r="H324" s="490" t="s">
        <v>399</v>
      </c>
      <c r="I324" s="491">
        <v>220</v>
      </c>
      <c r="J324" s="492">
        <v>4.4000000000000004</v>
      </c>
      <c r="K324" s="493">
        <v>1.2410000000000001</v>
      </c>
      <c r="L324" s="494">
        <v>1.27</v>
      </c>
      <c r="M324" s="494">
        <v>21.57</v>
      </c>
      <c r="N324" s="491">
        <v>44870</v>
      </c>
      <c r="O324" s="492">
        <v>2.2000000000000002</v>
      </c>
      <c r="P324" s="494">
        <v>14.56</v>
      </c>
      <c r="Q324" s="494">
        <v>17.579999999999998</v>
      </c>
      <c r="R324" s="494">
        <v>21.23</v>
      </c>
      <c r="S324" s="494">
        <v>25.08</v>
      </c>
      <c r="T324" s="494">
        <v>29.16</v>
      </c>
      <c r="U324" s="491">
        <v>30290</v>
      </c>
      <c r="V324" s="491">
        <v>36560</v>
      </c>
      <c r="W324" s="491">
        <v>44150</v>
      </c>
      <c r="X324" s="491">
        <v>52160</v>
      </c>
      <c r="Y324" s="491">
        <v>60650</v>
      </c>
      <c r="Z324" s="490"/>
      <c r="AA324" s="490"/>
    </row>
    <row r="325" spans="7:27" x14ac:dyDescent="0.25">
      <c r="G325" s="489" t="s">
        <v>711</v>
      </c>
      <c r="H325" s="490" t="s">
        <v>399</v>
      </c>
      <c r="I325" s="491">
        <v>1580</v>
      </c>
      <c r="J325" s="492">
        <v>8.3000000000000007</v>
      </c>
      <c r="K325" s="493">
        <v>8.9770000000000003</v>
      </c>
      <c r="L325" s="494">
        <v>1.26</v>
      </c>
      <c r="M325" s="494">
        <v>15.87</v>
      </c>
      <c r="N325" s="491">
        <v>33000</v>
      </c>
      <c r="O325" s="492">
        <v>1.9</v>
      </c>
      <c r="P325" s="494">
        <v>10.11</v>
      </c>
      <c r="Q325" s="494">
        <v>12.66</v>
      </c>
      <c r="R325" s="494">
        <v>15.53</v>
      </c>
      <c r="S325" s="494">
        <v>18.690000000000001</v>
      </c>
      <c r="T325" s="494">
        <v>22.41</v>
      </c>
      <c r="U325" s="491">
        <v>21030</v>
      </c>
      <c r="V325" s="491">
        <v>26320</v>
      </c>
      <c r="W325" s="491">
        <v>32300</v>
      </c>
      <c r="X325" s="491">
        <v>38870</v>
      </c>
      <c r="Y325" s="491">
        <v>46600</v>
      </c>
      <c r="Z325" s="490"/>
      <c r="AA325" s="490"/>
    </row>
    <row r="326" spans="7:27" x14ac:dyDescent="0.25">
      <c r="G326" s="489" t="s">
        <v>712</v>
      </c>
      <c r="H326" s="490" t="s">
        <v>399</v>
      </c>
      <c r="I326" s="491">
        <v>180</v>
      </c>
      <c r="J326" s="492">
        <v>6.6</v>
      </c>
      <c r="K326" s="493">
        <v>1.0109999999999999</v>
      </c>
      <c r="L326" s="494">
        <v>0.97</v>
      </c>
      <c r="M326" s="494">
        <v>16.39</v>
      </c>
      <c r="N326" s="491">
        <v>34090</v>
      </c>
      <c r="O326" s="492">
        <v>3.4</v>
      </c>
      <c r="P326" s="494">
        <v>12.52</v>
      </c>
      <c r="Q326" s="494">
        <v>13.36</v>
      </c>
      <c r="R326" s="494">
        <v>14.76</v>
      </c>
      <c r="S326" s="494">
        <v>18.66</v>
      </c>
      <c r="T326" s="494">
        <v>23.82</v>
      </c>
      <c r="U326" s="491">
        <v>26050</v>
      </c>
      <c r="V326" s="491">
        <v>27790</v>
      </c>
      <c r="W326" s="491">
        <v>30700</v>
      </c>
      <c r="X326" s="491">
        <v>38800</v>
      </c>
      <c r="Y326" s="491">
        <v>49550</v>
      </c>
      <c r="Z326" s="490"/>
      <c r="AA326" s="490"/>
    </row>
    <row r="327" spans="7:27" x14ac:dyDescent="0.25">
      <c r="G327" s="489" t="s">
        <v>713</v>
      </c>
      <c r="H327" s="490" t="s">
        <v>399</v>
      </c>
      <c r="I327" s="491">
        <v>470</v>
      </c>
      <c r="J327" s="492">
        <v>1.9</v>
      </c>
      <c r="K327" s="493">
        <v>2.6520000000000001</v>
      </c>
      <c r="L327" s="494">
        <v>2.23</v>
      </c>
      <c r="M327" s="494">
        <v>20.43</v>
      </c>
      <c r="N327" s="491">
        <v>42500</v>
      </c>
      <c r="O327" s="492">
        <v>4.7</v>
      </c>
      <c r="P327" s="494">
        <v>13.54</v>
      </c>
      <c r="Q327" s="494">
        <v>16.22</v>
      </c>
      <c r="R327" s="494">
        <v>20.23</v>
      </c>
      <c r="S327" s="494">
        <v>24.43</v>
      </c>
      <c r="T327" s="494">
        <v>27.5</v>
      </c>
      <c r="U327" s="491">
        <v>28170</v>
      </c>
      <c r="V327" s="491">
        <v>33740</v>
      </c>
      <c r="W327" s="491">
        <v>42070</v>
      </c>
      <c r="X327" s="491">
        <v>50810</v>
      </c>
      <c r="Y327" s="491">
        <v>57190</v>
      </c>
      <c r="Z327" s="490"/>
      <c r="AA327" s="490"/>
    </row>
    <row r="328" spans="7:27" x14ac:dyDescent="0.25">
      <c r="G328" s="489" t="s">
        <v>714</v>
      </c>
      <c r="H328" s="490" t="s">
        <v>399</v>
      </c>
      <c r="I328" s="491">
        <v>420</v>
      </c>
      <c r="J328" s="492">
        <v>17.7</v>
      </c>
      <c r="K328" s="493">
        <v>2.3980000000000001</v>
      </c>
      <c r="L328" s="494">
        <v>3.79</v>
      </c>
      <c r="M328" s="494">
        <v>17.48</v>
      </c>
      <c r="N328" s="491">
        <v>36350</v>
      </c>
      <c r="O328" s="492">
        <v>6.7</v>
      </c>
      <c r="P328" s="494">
        <v>11.08</v>
      </c>
      <c r="Q328" s="494">
        <v>12.97</v>
      </c>
      <c r="R328" s="494">
        <v>15.01</v>
      </c>
      <c r="S328" s="494">
        <v>19.510000000000002</v>
      </c>
      <c r="T328" s="494">
        <v>26.44</v>
      </c>
      <c r="U328" s="491">
        <v>23040</v>
      </c>
      <c r="V328" s="491">
        <v>26980</v>
      </c>
      <c r="W328" s="491">
        <v>31220</v>
      </c>
      <c r="X328" s="491">
        <v>40580</v>
      </c>
      <c r="Y328" s="491">
        <v>54990</v>
      </c>
      <c r="Z328" s="490"/>
      <c r="AA328" s="490"/>
    </row>
    <row r="329" spans="7:27" x14ac:dyDescent="0.25">
      <c r="G329" s="489" t="s">
        <v>715</v>
      </c>
      <c r="H329" s="490" t="s">
        <v>399</v>
      </c>
      <c r="I329" s="491" t="s">
        <v>403</v>
      </c>
      <c r="J329" s="492" t="s">
        <v>403</v>
      </c>
      <c r="K329" s="493" t="s">
        <v>403</v>
      </c>
      <c r="L329" s="494" t="s">
        <v>403</v>
      </c>
      <c r="M329" s="494">
        <v>13.23</v>
      </c>
      <c r="N329" s="491">
        <v>27520</v>
      </c>
      <c r="O329" s="492">
        <v>7.9</v>
      </c>
      <c r="P329" s="494">
        <v>9.77</v>
      </c>
      <c r="Q329" s="494">
        <v>9.81</v>
      </c>
      <c r="R329" s="494">
        <v>12.09</v>
      </c>
      <c r="S329" s="494">
        <v>15.35</v>
      </c>
      <c r="T329" s="494">
        <v>19.12</v>
      </c>
      <c r="U329" s="491">
        <v>20320</v>
      </c>
      <c r="V329" s="491">
        <v>20410</v>
      </c>
      <c r="W329" s="491">
        <v>25140</v>
      </c>
      <c r="X329" s="491">
        <v>31920</v>
      </c>
      <c r="Y329" s="491">
        <v>39780</v>
      </c>
      <c r="Z329" s="490"/>
      <c r="AA329" s="490"/>
    </row>
    <row r="330" spans="7:27" x14ac:dyDescent="0.25">
      <c r="G330" s="489" t="s">
        <v>716</v>
      </c>
      <c r="H330" s="490" t="s">
        <v>399</v>
      </c>
      <c r="I330" s="491">
        <v>120</v>
      </c>
      <c r="J330" s="492">
        <v>6.9</v>
      </c>
      <c r="K330" s="493">
        <v>0.65500000000000003</v>
      </c>
      <c r="L330" s="494">
        <v>0.97</v>
      </c>
      <c r="M330" s="494">
        <v>27.2</v>
      </c>
      <c r="N330" s="491">
        <v>56570</v>
      </c>
      <c r="O330" s="492">
        <v>3.3</v>
      </c>
      <c r="P330" s="494">
        <v>23.53</v>
      </c>
      <c r="Q330" s="494">
        <v>25.54</v>
      </c>
      <c r="R330" s="494">
        <v>27.61</v>
      </c>
      <c r="S330" s="494">
        <v>29.6</v>
      </c>
      <c r="T330" s="494">
        <v>30.86</v>
      </c>
      <c r="U330" s="491">
        <v>48950</v>
      </c>
      <c r="V330" s="491">
        <v>53130</v>
      </c>
      <c r="W330" s="491">
        <v>57430</v>
      </c>
      <c r="X330" s="491">
        <v>61570</v>
      </c>
      <c r="Y330" s="491">
        <v>64190</v>
      </c>
      <c r="Z330" s="490"/>
      <c r="AA330" s="490"/>
    </row>
    <row r="331" spans="7:27" x14ac:dyDescent="0.25">
      <c r="G331" s="489" t="s">
        <v>717</v>
      </c>
      <c r="H331" s="490" t="s">
        <v>399</v>
      </c>
      <c r="I331" s="491">
        <v>340</v>
      </c>
      <c r="J331" s="492">
        <v>13.3</v>
      </c>
      <c r="K331" s="493">
        <v>1.9359999999999999</v>
      </c>
      <c r="L331" s="494">
        <v>1.37</v>
      </c>
      <c r="M331" s="494">
        <v>25.72</v>
      </c>
      <c r="N331" s="491">
        <v>53500</v>
      </c>
      <c r="O331" s="492">
        <v>5.2</v>
      </c>
      <c r="P331" s="494">
        <v>15.64</v>
      </c>
      <c r="Q331" s="494">
        <v>18.18</v>
      </c>
      <c r="R331" s="494">
        <v>23.02</v>
      </c>
      <c r="S331" s="494">
        <v>29.84</v>
      </c>
      <c r="T331" s="494">
        <v>37.99</v>
      </c>
      <c r="U331" s="491">
        <v>32520</v>
      </c>
      <c r="V331" s="491">
        <v>37820</v>
      </c>
      <c r="W331" s="491">
        <v>47880</v>
      </c>
      <c r="X331" s="491">
        <v>62080</v>
      </c>
      <c r="Y331" s="491">
        <v>79030</v>
      </c>
      <c r="Z331" s="490"/>
      <c r="AA331" s="490"/>
    </row>
    <row r="332" spans="7:27" x14ac:dyDescent="0.25">
      <c r="G332" s="489" t="s">
        <v>718</v>
      </c>
      <c r="H332" s="490" t="s">
        <v>399</v>
      </c>
      <c r="I332" s="491">
        <v>110</v>
      </c>
      <c r="J332" s="492">
        <v>0</v>
      </c>
      <c r="K332" s="493">
        <v>0.59599999999999997</v>
      </c>
      <c r="L332" s="494">
        <v>1.02</v>
      </c>
      <c r="M332" s="494">
        <v>24.82</v>
      </c>
      <c r="N332" s="491">
        <v>51630</v>
      </c>
      <c r="O332" s="492">
        <v>3.3</v>
      </c>
      <c r="P332" s="494">
        <v>18.38</v>
      </c>
      <c r="Q332" s="494">
        <v>19.600000000000001</v>
      </c>
      <c r="R332" s="494">
        <v>27.3</v>
      </c>
      <c r="S332" s="494">
        <v>27.31</v>
      </c>
      <c r="T332" s="494">
        <v>27.88</v>
      </c>
      <c r="U332" s="491">
        <v>38240</v>
      </c>
      <c r="V332" s="491">
        <v>40770</v>
      </c>
      <c r="W332" s="491">
        <v>56790</v>
      </c>
      <c r="X332" s="491">
        <v>56800</v>
      </c>
      <c r="Y332" s="491">
        <v>57980</v>
      </c>
      <c r="Z332" s="490"/>
      <c r="AA332" s="490"/>
    </row>
    <row r="333" spans="7:27" x14ac:dyDescent="0.25">
      <c r="G333" s="489" t="s">
        <v>719</v>
      </c>
      <c r="H333" s="490" t="s">
        <v>399</v>
      </c>
      <c r="I333" s="491">
        <v>350</v>
      </c>
      <c r="J333" s="492">
        <v>0</v>
      </c>
      <c r="K333" s="493">
        <v>1.958</v>
      </c>
      <c r="L333" s="494">
        <v>0.84</v>
      </c>
      <c r="M333" s="494">
        <v>24.35</v>
      </c>
      <c r="N333" s="491">
        <v>50640</v>
      </c>
      <c r="O333" s="492">
        <v>3.2</v>
      </c>
      <c r="P333" s="494">
        <v>16.07</v>
      </c>
      <c r="Q333" s="494">
        <v>17.7</v>
      </c>
      <c r="R333" s="494">
        <v>28.59</v>
      </c>
      <c r="S333" s="494">
        <v>28.78</v>
      </c>
      <c r="T333" s="494">
        <v>28.78</v>
      </c>
      <c r="U333" s="491">
        <v>33420</v>
      </c>
      <c r="V333" s="491">
        <v>36820</v>
      </c>
      <c r="W333" s="491">
        <v>59460</v>
      </c>
      <c r="X333" s="491">
        <v>59850</v>
      </c>
      <c r="Y333" s="491">
        <v>59860</v>
      </c>
      <c r="Z333" s="490"/>
      <c r="AA333" s="490"/>
    </row>
    <row r="334" spans="7:27" x14ac:dyDescent="0.25">
      <c r="G334" s="489" t="s">
        <v>720</v>
      </c>
      <c r="H334" s="490" t="s">
        <v>399</v>
      </c>
      <c r="I334" s="491">
        <v>220</v>
      </c>
      <c r="J334" s="492">
        <v>0</v>
      </c>
      <c r="K334" s="493">
        <v>1.22</v>
      </c>
      <c r="L334" s="494">
        <v>1.55</v>
      </c>
      <c r="M334" s="494">
        <v>22.57</v>
      </c>
      <c r="N334" s="491">
        <v>46940</v>
      </c>
      <c r="O334" s="492">
        <v>3.6</v>
      </c>
      <c r="P334" s="494">
        <v>15.53</v>
      </c>
      <c r="Q334" s="494">
        <v>15.64</v>
      </c>
      <c r="R334" s="494">
        <v>27.02</v>
      </c>
      <c r="S334" s="494">
        <v>27.31</v>
      </c>
      <c r="T334" s="494">
        <v>27.54</v>
      </c>
      <c r="U334" s="491">
        <v>32300</v>
      </c>
      <c r="V334" s="491">
        <v>32530</v>
      </c>
      <c r="W334" s="491">
        <v>56210</v>
      </c>
      <c r="X334" s="491">
        <v>56800</v>
      </c>
      <c r="Y334" s="491">
        <v>57290</v>
      </c>
      <c r="Z334" s="490"/>
      <c r="AA334" s="490"/>
    </row>
    <row r="335" spans="7:27" x14ac:dyDescent="0.25">
      <c r="G335" s="489" t="s">
        <v>721</v>
      </c>
      <c r="H335" s="490" t="s">
        <v>399</v>
      </c>
      <c r="I335" s="491">
        <v>340</v>
      </c>
      <c r="J335" s="492">
        <v>14.4</v>
      </c>
      <c r="K335" s="493">
        <v>1.9159999999999999</v>
      </c>
      <c r="L335" s="494">
        <v>0.84</v>
      </c>
      <c r="M335" s="494">
        <v>27</v>
      </c>
      <c r="N335" s="491">
        <v>56150</v>
      </c>
      <c r="O335" s="492">
        <v>4.4000000000000004</v>
      </c>
      <c r="P335" s="494">
        <v>13.29</v>
      </c>
      <c r="Q335" s="494">
        <v>20.309999999999999</v>
      </c>
      <c r="R335" s="494">
        <v>26.24</v>
      </c>
      <c r="S335" s="494">
        <v>33.5</v>
      </c>
      <c r="T335" s="494">
        <v>41.57</v>
      </c>
      <c r="U335" s="491">
        <v>27650</v>
      </c>
      <c r="V335" s="491">
        <v>42250</v>
      </c>
      <c r="W335" s="491">
        <v>54570</v>
      </c>
      <c r="X335" s="491">
        <v>69680</v>
      </c>
      <c r="Y335" s="491">
        <v>86470</v>
      </c>
      <c r="Z335" s="490"/>
      <c r="AA335" s="490"/>
    </row>
    <row r="336" spans="7:27" x14ac:dyDescent="0.25">
      <c r="G336" s="489" t="s">
        <v>722</v>
      </c>
      <c r="H336" s="490" t="s">
        <v>399</v>
      </c>
      <c r="I336" s="491">
        <v>800</v>
      </c>
      <c r="J336" s="492">
        <v>28.8</v>
      </c>
      <c r="K336" s="493">
        <v>4.548</v>
      </c>
      <c r="L336" s="494">
        <v>0.94</v>
      </c>
      <c r="M336" s="494">
        <v>19.100000000000001</v>
      </c>
      <c r="N336" s="491">
        <v>39730</v>
      </c>
      <c r="O336" s="492">
        <v>3</v>
      </c>
      <c r="P336" s="494">
        <v>12.85</v>
      </c>
      <c r="Q336" s="494">
        <v>15.16</v>
      </c>
      <c r="R336" s="494">
        <v>18.11</v>
      </c>
      <c r="S336" s="494">
        <v>23.33</v>
      </c>
      <c r="T336" s="494">
        <v>27.29</v>
      </c>
      <c r="U336" s="491">
        <v>26720</v>
      </c>
      <c r="V336" s="491">
        <v>31540</v>
      </c>
      <c r="W336" s="491">
        <v>37670</v>
      </c>
      <c r="X336" s="491">
        <v>48530</v>
      </c>
      <c r="Y336" s="491">
        <v>56760</v>
      </c>
      <c r="Z336" s="490"/>
      <c r="AA336" s="490"/>
    </row>
    <row r="337" spans="7:27" x14ac:dyDescent="0.25">
      <c r="G337" s="489" t="s">
        <v>723</v>
      </c>
      <c r="H337" s="490" t="s">
        <v>399</v>
      </c>
      <c r="I337" s="491">
        <v>2480</v>
      </c>
      <c r="J337" s="492">
        <v>8.6</v>
      </c>
      <c r="K337" s="493">
        <v>14.047000000000001</v>
      </c>
      <c r="L337" s="494">
        <v>0.98</v>
      </c>
      <c r="M337" s="494">
        <v>14.63</v>
      </c>
      <c r="N337" s="491">
        <v>30440</v>
      </c>
      <c r="O337" s="492">
        <v>2</v>
      </c>
      <c r="P337" s="494">
        <v>10.07</v>
      </c>
      <c r="Q337" s="494">
        <v>11.36</v>
      </c>
      <c r="R337" s="494">
        <v>13.47</v>
      </c>
      <c r="S337" s="494">
        <v>17.079999999999998</v>
      </c>
      <c r="T337" s="494">
        <v>21.74</v>
      </c>
      <c r="U337" s="491">
        <v>20950</v>
      </c>
      <c r="V337" s="491">
        <v>23620</v>
      </c>
      <c r="W337" s="491">
        <v>28020</v>
      </c>
      <c r="X337" s="491">
        <v>35520</v>
      </c>
      <c r="Y337" s="491">
        <v>45220</v>
      </c>
      <c r="Z337" s="490"/>
      <c r="AA337" s="490"/>
    </row>
    <row r="338" spans="7:27" x14ac:dyDescent="0.25">
      <c r="G338" s="489" t="s">
        <v>724</v>
      </c>
      <c r="H338" s="490" t="s">
        <v>399</v>
      </c>
      <c r="I338" s="491">
        <v>1100</v>
      </c>
      <c r="J338" s="492">
        <v>5</v>
      </c>
      <c r="K338" s="493">
        <v>6.2590000000000003</v>
      </c>
      <c r="L338" s="494">
        <v>1.39</v>
      </c>
      <c r="M338" s="494">
        <v>28.45</v>
      </c>
      <c r="N338" s="491">
        <v>59180</v>
      </c>
      <c r="O338" s="492">
        <v>2.6</v>
      </c>
      <c r="P338" s="494">
        <v>19.899999999999999</v>
      </c>
      <c r="Q338" s="494">
        <v>22.71</v>
      </c>
      <c r="R338" s="494">
        <v>27.02</v>
      </c>
      <c r="S338" s="494">
        <v>32.4</v>
      </c>
      <c r="T338" s="494">
        <v>38.35</v>
      </c>
      <c r="U338" s="491">
        <v>41380</v>
      </c>
      <c r="V338" s="491">
        <v>47240</v>
      </c>
      <c r="W338" s="491">
        <v>56210</v>
      </c>
      <c r="X338" s="491">
        <v>67400</v>
      </c>
      <c r="Y338" s="491">
        <v>79770</v>
      </c>
      <c r="Z338" s="490"/>
      <c r="AA338" s="490"/>
    </row>
    <row r="339" spans="7:27" x14ac:dyDescent="0.25">
      <c r="G339" s="489" t="s">
        <v>725</v>
      </c>
      <c r="H339" s="490" t="s">
        <v>399</v>
      </c>
      <c r="I339" s="491">
        <v>160</v>
      </c>
      <c r="J339" s="492">
        <v>24.7</v>
      </c>
      <c r="K339" s="493">
        <v>0.88900000000000001</v>
      </c>
      <c r="L339" s="494">
        <v>0.65</v>
      </c>
      <c r="M339" s="494">
        <v>25.27</v>
      </c>
      <c r="N339" s="491">
        <v>52550</v>
      </c>
      <c r="O339" s="492">
        <v>10.8</v>
      </c>
      <c r="P339" s="494">
        <v>18.670000000000002</v>
      </c>
      <c r="Q339" s="494">
        <v>19.25</v>
      </c>
      <c r="R339" s="494">
        <v>22.95</v>
      </c>
      <c r="S339" s="494">
        <v>31</v>
      </c>
      <c r="T339" s="494">
        <v>36.18</v>
      </c>
      <c r="U339" s="491">
        <v>38840</v>
      </c>
      <c r="V339" s="491">
        <v>40030</v>
      </c>
      <c r="W339" s="491">
        <v>47730</v>
      </c>
      <c r="X339" s="491">
        <v>64480</v>
      </c>
      <c r="Y339" s="491">
        <v>75250</v>
      </c>
      <c r="Z339" s="490"/>
      <c r="AA339" s="490"/>
    </row>
    <row r="340" spans="7:27" x14ac:dyDescent="0.25">
      <c r="G340" s="489" t="s">
        <v>726</v>
      </c>
      <c r="H340" s="490" t="s">
        <v>399</v>
      </c>
      <c r="I340" s="491">
        <v>1050</v>
      </c>
      <c r="J340" s="492">
        <v>18.399999999999999</v>
      </c>
      <c r="K340" s="493">
        <v>5.944</v>
      </c>
      <c r="L340" s="494">
        <v>1.5</v>
      </c>
      <c r="M340" s="494">
        <v>19.670000000000002</v>
      </c>
      <c r="N340" s="491">
        <v>40920</v>
      </c>
      <c r="O340" s="492">
        <v>4.5</v>
      </c>
      <c r="P340" s="494">
        <v>13.17</v>
      </c>
      <c r="Q340" s="494">
        <v>15.17</v>
      </c>
      <c r="R340" s="494">
        <v>18.55</v>
      </c>
      <c r="S340" s="494">
        <v>23.97</v>
      </c>
      <c r="T340" s="494">
        <v>28.6</v>
      </c>
      <c r="U340" s="491">
        <v>27400</v>
      </c>
      <c r="V340" s="491">
        <v>31550</v>
      </c>
      <c r="W340" s="491">
        <v>38590</v>
      </c>
      <c r="X340" s="491">
        <v>49860</v>
      </c>
      <c r="Y340" s="491">
        <v>59490</v>
      </c>
      <c r="Z340" s="490"/>
      <c r="AA340" s="490"/>
    </row>
    <row r="341" spans="7:27" x14ac:dyDescent="0.25">
      <c r="G341" s="489" t="s">
        <v>727</v>
      </c>
      <c r="H341" s="490" t="s">
        <v>399</v>
      </c>
      <c r="I341" s="491">
        <v>3590</v>
      </c>
      <c r="J341" s="492">
        <v>5.4</v>
      </c>
      <c r="K341" s="493">
        <v>20.373000000000001</v>
      </c>
      <c r="L341" s="494">
        <v>1.25</v>
      </c>
      <c r="M341" s="494">
        <v>18.64</v>
      </c>
      <c r="N341" s="491">
        <v>38760</v>
      </c>
      <c r="O341" s="492">
        <v>1.7</v>
      </c>
      <c r="P341" s="494">
        <v>11.83</v>
      </c>
      <c r="Q341" s="494">
        <v>14.83</v>
      </c>
      <c r="R341" s="494">
        <v>18.05</v>
      </c>
      <c r="S341" s="494">
        <v>22.64</v>
      </c>
      <c r="T341" s="494">
        <v>27.01</v>
      </c>
      <c r="U341" s="491">
        <v>24600</v>
      </c>
      <c r="V341" s="491">
        <v>30840</v>
      </c>
      <c r="W341" s="491">
        <v>37550</v>
      </c>
      <c r="X341" s="491">
        <v>47100</v>
      </c>
      <c r="Y341" s="491">
        <v>56190</v>
      </c>
      <c r="Z341" s="490"/>
      <c r="AA341" s="490"/>
    </row>
    <row r="342" spans="7:27" x14ac:dyDescent="0.25">
      <c r="G342" s="489" t="s">
        <v>728</v>
      </c>
      <c r="H342" s="490" t="s">
        <v>399</v>
      </c>
      <c r="I342" s="491">
        <v>80</v>
      </c>
      <c r="J342" s="492">
        <v>38.5</v>
      </c>
      <c r="K342" s="493">
        <v>0.437</v>
      </c>
      <c r="L342" s="494">
        <v>1.31</v>
      </c>
      <c r="M342" s="494">
        <v>26.76</v>
      </c>
      <c r="N342" s="491">
        <v>55670</v>
      </c>
      <c r="O342" s="492">
        <v>3.1</v>
      </c>
      <c r="P342" s="494">
        <v>19.87</v>
      </c>
      <c r="Q342" s="494">
        <v>22.95</v>
      </c>
      <c r="R342" s="494">
        <v>26.96</v>
      </c>
      <c r="S342" s="494">
        <v>29.63</v>
      </c>
      <c r="T342" s="494">
        <v>31.63</v>
      </c>
      <c r="U342" s="491">
        <v>41320</v>
      </c>
      <c r="V342" s="491">
        <v>47730</v>
      </c>
      <c r="W342" s="491">
        <v>56070</v>
      </c>
      <c r="X342" s="491">
        <v>61640</v>
      </c>
      <c r="Y342" s="491">
        <v>65800</v>
      </c>
      <c r="Z342" s="490"/>
      <c r="AA342" s="490"/>
    </row>
    <row r="343" spans="7:27" x14ac:dyDescent="0.25">
      <c r="G343" s="489" t="s">
        <v>729</v>
      </c>
      <c r="H343" s="490" t="s">
        <v>399</v>
      </c>
      <c r="I343" s="491">
        <v>160</v>
      </c>
      <c r="J343" s="492">
        <v>23.8</v>
      </c>
      <c r="K343" s="493">
        <v>0.89300000000000002</v>
      </c>
      <c r="L343" s="494">
        <v>0.64</v>
      </c>
      <c r="M343" s="494">
        <v>17.63</v>
      </c>
      <c r="N343" s="491">
        <v>36680</v>
      </c>
      <c r="O343" s="492">
        <v>3.8</v>
      </c>
      <c r="P343" s="494">
        <v>9.76</v>
      </c>
      <c r="Q343" s="494">
        <v>15.41</v>
      </c>
      <c r="R343" s="494">
        <v>17.649999999999999</v>
      </c>
      <c r="S343" s="494">
        <v>20.55</v>
      </c>
      <c r="T343" s="494">
        <v>23.75</v>
      </c>
      <c r="U343" s="491">
        <v>20300</v>
      </c>
      <c r="V343" s="491">
        <v>32050</v>
      </c>
      <c r="W343" s="491">
        <v>36710</v>
      </c>
      <c r="X343" s="491">
        <v>42750</v>
      </c>
      <c r="Y343" s="491">
        <v>49390</v>
      </c>
      <c r="Z343" s="490"/>
      <c r="AA343" s="490"/>
    </row>
    <row r="344" spans="7:27" x14ac:dyDescent="0.25">
      <c r="G344" s="489" t="s">
        <v>730</v>
      </c>
      <c r="H344" s="490" t="s">
        <v>399</v>
      </c>
      <c r="I344" s="491">
        <v>100</v>
      </c>
      <c r="J344" s="492">
        <v>49.5</v>
      </c>
      <c r="K344" s="493">
        <v>0.56799999999999995</v>
      </c>
      <c r="L344" s="494">
        <v>1.19</v>
      </c>
      <c r="M344" s="494">
        <v>19.11</v>
      </c>
      <c r="N344" s="491">
        <v>39760</v>
      </c>
      <c r="O344" s="492">
        <v>4.2</v>
      </c>
      <c r="P344" s="494">
        <v>13.73</v>
      </c>
      <c r="Q344" s="494">
        <v>17.010000000000002</v>
      </c>
      <c r="R344" s="494">
        <v>19.28</v>
      </c>
      <c r="S344" s="494">
        <v>21.77</v>
      </c>
      <c r="T344" s="494">
        <v>23.81</v>
      </c>
      <c r="U344" s="491">
        <v>28570</v>
      </c>
      <c r="V344" s="491">
        <v>35370</v>
      </c>
      <c r="W344" s="491">
        <v>40100</v>
      </c>
      <c r="X344" s="491">
        <v>45280</v>
      </c>
      <c r="Y344" s="491">
        <v>49520</v>
      </c>
      <c r="Z344" s="490"/>
      <c r="AA344" s="490"/>
    </row>
    <row r="345" spans="7:27" x14ac:dyDescent="0.25">
      <c r="G345" s="489" t="s">
        <v>731</v>
      </c>
      <c r="H345" s="490" t="s">
        <v>399</v>
      </c>
      <c r="I345" s="491">
        <v>130</v>
      </c>
      <c r="J345" s="492">
        <v>22.3</v>
      </c>
      <c r="K345" s="493">
        <v>0.72399999999999998</v>
      </c>
      <c r="L345" s="494">
        <v>0.37</v>
      </c>
      <c r="M345" s="494">
        <v>20.57</v>
      </c>
      <c r="N345" s="491">
        <v>42790</v>
      </c>
      <c r="O345" s="492">
        <v>3</v>
      </c>
      <c r="P345" s="494">
        <v>13.09</v>
      </c>
      <c r="Q345" s="494">
        <v>16.329999999999998</v>
      </c>
      <c r="R345" s="494">
        <v>20.13</v>
      </c>
      <c r="S345" s="494">
        <v>24.79</v>
      </c>
      <c r="T345" s="494">
        <v>28.76</v>
      </c>
      <c r="U345" s="491">
        <v>27220</v>
      </c>
      <c r="V345" s="491">
        <v>33960</v>
      </c>
      <c r="W345" s="491">
        <v>41870</v>
      </c>
      <c r="X345" s="491">
        <v>51570</v>
      </c>
      <c r="Y345" s="491">
        <v>59830</v>
      </c>
      <c r="Z345" s="490"/>
      <c r="AA345" s="490"/>
    </row>
    <row r="346" spans="7:27" x14ac:dyDescent="0.25">
      <c r="G346" s="489" t="s">
        <v>732</v>
      </c>
      <c r="H346" s="490" t="s">
        <v>399</v>
      </c>
      <c r="I346" s="491">
        <v>70</v>
      </c>
      <c r="J346" s="492">
        <v>22.4</v>
      </c>
      <c r="K346" s="493">
        <v>0.39600000000000002</v>
      </c>
      <c r="L346" s="494">
        <v>0.61</v>
      </c>
      <c r="M346" s="494">
        <v>17.62</v>
      </c>
      <c r="N346" s="491">
        <v>36640</v>
      </c>
      <c r="O346" s="492">
        <v>2.8</v>
      </c>
      <c r="P346" s="494">
        <v>11.61</v>
      </c>
      <c r="Q346" s="494">
        <v>15.47</v>
      </c>
      <c r="R346" s="494">
        <v>17.600000000000001</v>
      </c>
      <c r="S346" s="494">
        <v>20.18</v>
      </c>
      <c r="T346" s="494">
        <v>23.23</v>
      </c>
      <c r="U346" s="491">
        <v>24150</v>
      </c>
      <c r="V346" s="491">
        <v>32170</v>
      </c>
      <c r="W346" s="491">
        <v>36620</v>
      </c>
      <c r="X346" s="491">
        <v>41970</v>
      </c>
      <c r="Y346" s="491">
        <v>48310</v>
      </c>
      <c r="Z346" s="490"/>
      <c r="AA346" s="490"/>
    </row>
    <row r="347" spans="7:27" x14ac:dyDescent="0.25">
      <c r="G347" s="489" t="s">
        <v>733</v>
      </c>
      <c r="H347" s="490" t="s">
        <v>399</v>
      </c>
      <c r="I347" s="491">
        <v>3630</v>
      </c>
      <c r="J347" s="492">
        <v>4.9000000000000004</v>
      </c>
      <c r="K347" s="493">
        <v>20.597999999999999</v>
      </c>
      <c r="L347" s="494">
        <v>0.98</v>
      </c>
      <c r="M347" s="494">
        <v>22.84</v>
      </c>
      <c r="N347" s="491">
        <v>47500</v>
      </c>
      <c r="O347" s="492">
        <v>2</v>
      </c>
      <c r="P347" s="494">
        <v>15.65</v>
      </c>
      <c r="Q347" s="494">
        <v>18.02</v>
      </c>
      <c r="R347" s="494">
        <v>21.8</v>
      </c>
      <c r="S347" s="494">
        <v>26.54</v>
      </c>
      <c r="T347" s="494">
        <v>31.56</v>
      </c>
      <c r="U347" s="491">
        <v>32550</v>
      </c>
      <c r="V347" s="491">
        <v>37480</v>
      </c>
      <c r="W347" s="491">
        <v>45340</v>
      </c>
      <c r="X347" s="491">
        <v>55200</v>
      </c>
      <c r="Y347" s="491">
        <v>65650</v>
      </c>
      <c r="Z347" s="490"/>
      <c r="AA347" s="490"/>
    </row>
    <row r="348" spans="7:27" x14ac:dyDescent="0.25">
      <c r="G348" s="489" t="s">
        <v>734</v>
      </c>
      <c r="H348" s="490" t="s">
        <v>399</v>
      </c>
      <c r="I348" s="491">
        <v>50</v>
      </c>
      <c r="J348" s="492">
        <v>46.6</v>
      </c>
      <c r="K348" s="493">
        <v>0.26300000000000001</v>
      </c>
      <c r="L348" s="494">
        <v>0.64</v>
      </c>
      <c r="M348" s="494">
        <v>19.3</v>
      </c>
      <c r="N348" s="491">
        <v>40140</v>
      </c>
      <c r="O348" s="492">
        <v>5.6</v>
      </c>
      <c r="P348" s="494">
        <v>12.18</v>
      </c>
      <c r="Q348" s="494">
        <v>15.92</v>
      </c>
      <c r="R348" s="494">
        <v>20.45</v>
      </c>
      <c r="S348" s="494">
        <v>23.05</v>
      </c>
      <c r="T348" s="494">
        <v>24.61</v>
      </c>
      <c r="U348" s="491">
        <v>25330</v>
      </c>
      <c r="V348" s="491">
        <v>33110</v>
      </c>
      <c r="W348" s="491">
        <v>42530</v>
      </c>
      <c r="X348" s="491">
        <v>47940</v>
      </c>
      <c r="Y348" s="491">
        <v>51190</v>
      </c>
      <c r="Z348" s="490"/>
      <c r="AA348" s="490"/>
    </row>
    <row r="349" spans="7:27" x14ac:dyDescent="0.25">
      <c r="G349" s="489" t="s">
        <v>735</v>
      </c>
      <c r="H349" s="490" t="s">
        <v>399</v>
      </c>
      <c r="I349" s="491">
        <v>810</v>
      </c>
      <c r="J349" s="492">
        <v>10.7</v>
      </c>
      <c r="K349" s="493">
        <v>4.6079999999999997</v>
      </c>
      <c r="L349" s="494">
        <v>2.99</v>
      </c>
      <c r="M349" s="494">
        <v>22.64</v>
      </c>
      <c r="N349" s="491">
        <v>47080</v>
      </c>
      <c r="O349" s="492">
        <v>2.2999999999999998</v>
      </c>
      <c r="P349" s="494">
        <v>12.07</v>
      </c>
      <c r="Q349" s="494">
        <v>17.63</v>
      </c>
      <c r="R349" s="494">
        <v>22.67</v>
      </c>
      <c r="S349" s="494">
        <v>27.38</v>
      </c>
      <c r="T349" s="494">
        <v>30.84</v>
      </c>
      <c r="U349" s="491">
        <v>25100</v>
      </c>
      <c r="V349" s="491">
        <v>36670</v>
      </c>
      <c r="W349" s="491">
        <v>47160</v>
      </c>
      <c r="X349" s="491">
        <v>56950</v>
      </c>
      <c r="Y349" s="491">
        <v>64140</v>
      </c>
      <c r="Z349" s="490"/>
      <c r="AA349" s="490"/>
    </row>
    <row r="350" spans="7:27" x14ac:dyDescent="0.25">
      <c r="G350" s="489" t="s">
        <v>198</v>
      </c>
      <c r="H350" s="490" t="s">
        <v>398</v>
      </c>
      <c r="I350" s="491">
        <v>100</v>
      </c>
      <c r="J350" s="492">
        <v>29.8</v>
      </c>
      <c r="K350" s="493">
        <v>0.58499999999999996</v>
      </c>
      <c r="L350" s="494">
        <v>0.18</v>
      </c>
      <c r="M350" s="494">
        <v>19.489999999999998</v>
      </c>
      <c r="N350" s="491">
        <v>40530</v>
      </c>
      <c r="O350" s="492">
        <v>8.4</v>
      </c>
      <c r="P350" s="494">
        <v>10.82</v>
      </c>
      <c r="Q350" s="494">
        <v>13.48</v>
      </c>
      <c r="R350" s="494">
        <v>18.399999999999999</v>
      </c>
      <c r="S350" s="494">
        <v>24.5</v>
      </c>
      <c r="T350" s="494">
        <v>30.39</v>
      </c>
      <c r="U350" s="491">
        <v>22490</v>
      </c>
      <c r="V350" s="491">
        <v>28040</v>
      </c>
      <c r="W350" s="491">
        <v>38270</v>
      </c>
      <c r="X350" s="491">
        <v>50960</v>
      </c>
      <c r="Y350" s="491">
        <v>63210</v>
      </c>
      <c r="Z350" s="490"/>
      <c r="AA350" s="490"/>
    </row>
    <row r="351" spans="7:27" x14ac:dyDescent="0.25">
      <c r="G351" s="489" t="s">
        <v>199</v>
      </c>
      <c r="H351" s="490" t="s">
        <v>398</v>
      </c>
      <c r="I351" s="491">
        <v>8960</v>
      </c>
      <c r="J351" s="492">
        <v>3.8</v>
      </c>
      <c r="K351" s="493">
        <v>50.837000000000003</v>
      </c>
      <c r="L351" s="494">
        <v>1.28</v>
      </c>
      <c r="M351" s="494">
        <v>32.01</v>
      </c>
      <c r="N351" s="491">
        <v>66580</v>
      </c>
      <c r="O351" s="492">
        <v>1.5</v>
      </c>
      <c r="P351" s="494">
        <v>18.260000000000002</v>
      </c>
      <c r="Q351" s="494">
        <v>23.69</v>
      </c>
      <c r="R351" s="494">
        <v>30.97</v>
      </c>
      <c r="S351" s="494">
        <v>39.299999999999997</v>
      </c>
      <c r="T351" s="494">
        <v>47.43</v>
      </c>
      <c r="U351" s="491">
        <v>37980</v>
      </c>
      <c r="V351" s="491">
        <v>49270</v>
      </c>
      <c r="W351" s="491">
        <v>64420</v>
      </c>
      <c r="X351" s="491">
        <v>81740</v>
      </c>
      <c r="Y351" s="491">
        <v>98650</v>
      </c>
      <c r="Z351" s="490"/>
      <c r="AA351" s="490"/>
    </row>
    <row r="352" spans="7:27" x14ac:dyDescent="0.25">
      <c r="G352" s="489" t="s">
        <v>736</v>
      </c>
      <c r="H352" s="490" t="s">
        <v>399</v>
      </c>
      <c r="I352" s="491">
        <v>550</v>
      </c>
      <c r="J352" s="492">
        <v>11.2</v>
      </c>
      <c r="K352" s="493">
        <v>3.1219999999999999</v>
      </c>
      <c r="L352" s="494">
        <v>0.81</v>
      </c>
      <c r="M352" s="494">
        <v>47.23</v>
      </c>
      <c r="N352" s="491">
        <v>98250</v>
      </c>
      <c r="O352" s="492">
        <v>4.3</v>
      </c>
      <c r="P352" s="494">
        <v>25.23</v>
      </c>
      <c r="Q352" s="494">
        <v>31.82</v>
      </c>
      <c r="R352" s="494">
        <v>44.53</v>
      </c>
      <c r="S352" s="494">
        <v>60.51</v>
      </c>
      <c r="T352" s="494">
        <v>74.12</v>
      </c>
      <c r="U352" s="491">
        <v>52480</v>
      </c>
      <c r="V352" s="491">
        <v>66190</v>
      </c>
      <c r="W352" s="491">
        <v>92630</v>
      </c>
      <c r="X352" s="491">
        <v>125860</v>
      </c>
      <c r="Y352" s="491">
        <v>154170</v>
      </c>
      <c r="Z352" s="490"/>
      <c r="AA352" s="490"/>
    </row>
    <row r="353" spans="7:27" x14ac:dyDescent="0.25">
      <c r="G353" s="489" t="s">
        <v>737</v>
      </c>
      <c r="H353" s="490" t="s">
        <v>399</v>
      </c>
      <c r="I353" s="491">
        <v>1130</v>
      </c>
      <c r="J353" s="492">
        <v>9.3000000000000007</v>
      </c>
      <c r="K353" s="493">
        <v>6.423</v>
      </c>
      <c r="L353" s="494">
        <v>1.33</v>
      </c>
      <c r="M353" s="494">
        <v>33.18</v>
      </c>
      <c r="N353" s="491">
        <v>69020</v>
      </c>
      <c r="O353" s="492">
        <v>3.2</v>
      </c>
      <c r="P353" s="494">
        <v>19.91</v>
      </c>
      <c r="Q353" s="494">
        <v>26.48</v>
      </c>
      <c r="R353" s="494">
        <v>33.380000000000003</v>
      </c>
      <c r="S353" s="494">
        <v>38.97</v>
      </c>
      <c r="T353" s="494">
        <v>47.18</v>
      </c>
      <c r="U353" s="491">
        <v>41420</v>
      </c>
      <c r="V353" s="491">
        <v>55080</v>
      </c>
      <c r="W353" s="491">
        <v>69440</v>
      </c>
      <c r="X353" s="491">
        <v>81050</v>
      </c>
      <c r="Y353" s="491">
        <v>98130</v>
      </c>
      <c r="Z353" s="490"/>
      <c r="AA353" s="490"/>
    </row>
    <row r="354" spans="7:27" x14ac:dyDescent="0.25">
      <c r="G354" s="489" t="s">
        <v>738</v>
      </c>
      <c r="H354" s="490" t="s">
        <v>399</v>
      </c>
      <c r="I354" s="491">
        <v>70</v>
      </c>
      <c r="J354" s="492">
        <v>19.399999999999999</v>
      </c>
      <c r="K354" s="493">
        <v>0.36899999999999999</v>
      </c>
      <c r="L354" s="494">
        <v>0.3</v>
      </c>
      <c r="M354" s="494">
        <v>30.53</v>
      </c>
      <c r="N354" s="491">
        <v>63510</v>
      </c>
      <c r="O354" s="492">
        <v>13.1</v>
      </c>
      <c r="P354" s="494">
        <v>14.69</v>
      </c>
      <c r="Q354" s="494">
        <v>20.94</v>
      </c>
      <c r="R354" s="494">
        <v>31.12</v>
      </c>
      <c r="S354" s="494">
        <v>40.33</v>
      </c>
      <c r="T354" s="494">
        <v>45.68</v>
      </c>
      <c r="U354" s="491">
        <v>30550</v>
      </c>
      <c r="V354" s="491">
        <v>43550</v>
      </c>
      <c r="W354" s="491">
        <v>64730</v>
      </c>
      <c r="X354" s="491">
        <v>83890</v>
      </c>
      <c r="Y354" s="491">
        <v>95020</v>
      </c>
      <c r="Z354" s="490"/>
      <c r="AA354" s="490"/>
    </row>
    <row r="355" spans="7:27" x14ac:dyDescent="0.25">
      <c r="G355" s="489" t="s">
        <v>739</v>
      </c>
      <c r="H355" s="490" t="s">
        <v>399</v>
      </c>
      <c r="I355" s="491">
        <v>1160</v>
      </c>
      <c r="J355" s="492">
        <v>11.4</v>
      </c>
      <c r="K355" s="493">
        <v>6.5609999999999999</v>
      </c>
      <c r="L355" s="494">
        <v>1.01</v>
      </c>
      <c r="M355" s="494">
        <v>23.95</v>
      </c>
      <c r="N355" s="491">
        <v>49820</v>
      </c>
      <c r="O355" s="492">
        <v>2.2999999999999998</v>
      </c>
      <c r="P355" s="494">
        <v>14.53</v>
      </c>
      <c r="Q355" s="494">
        <v>19.190000000000001</v>
      </c>
      <c r="R355" s="494">
        <v>24</v>
      </c>
      <c r="S355" s="494">
        <v>28.97</v>
      </c>
      <c r="T355" s="494">
        <v>33.26</v>
      </c>
      <c r="U355" s="491">
        <v>30230</v>
      </c>
      <c r="V355" s="491">
        <v>39910</v>
      </c>
      <c r="W355" s="491">
        <v>49920</v>
      </c>
      <c r="X355" s="491">
        <v>60250</v>
      </c>
      <c r="Y355" s="491">
        <v>69170</v>
      </c>
      <c r="Z355" s="490"/>
      <c r="AA355" s="490"/>
    </row>
    <row r="356" spans="7:27" x14ac:dyDescent="0.25">
      <c r="G356" s="489" t="s">
        <v>740</v>
      </c>
      <c r="H356" s="490" t="s">
        <v>399</v>
      </c>
      <c r="I356" s="491">
        <v>30</v>
      </c>
      <c r="J356" s="492">
        <v>29.5</v>
      </c>
      <c r="K356" s="493">
        <v>0.19800000000000001</v>
      </c>
      <c r="L356" s="494">
        <v>7.78</v>
      </c>
      <c r="M356" s="494">
        <v>33.299999999999997</v>
      </c>
      <c r="N356" s="491">
        <v>69270</v>
      </c>
      <c r="O356" s="492">
        <v>5</v>
      </c>
      <c r="P356" s="494">
        <v>20.65</v>
      </c>
      <c r="Q356" s="494">
        <v>25.77</v>
      </c>
      <c r="R356" s="494">
        <v>33.31</v>
      </c>
      <c r="S356" s="494">
        <v>41.5</v>
      </c>
      <c r="T356" s="494">
        <v>47.24</v>
      </c>
      <c r="U356" s="491">
        <v>42940</v>
      </c>
      <c r="V356" s="491">
        <v>53600</v>
      </c>
      <c r="W356" s="491">
        <v>69280</v>
      </c>
      <c r="X356" s="491">
        <v>86330</v>
      </c>
      <c r="Y356" s="491">
        <v>98260</v>
      </c>
      <c r="Z356" s="490"/>
      <c r="AA356" s="490"/>
    </row>
    <row r="357" spans="7:27" x14ac:dyDescent="0.25">
      <c r="G357" s="489" t="s">
        <v>741</v>
      </c>
      <c r="H357" s="490" t="s">
        <v>399</v>
      </c>
      <c r="I357" s="491">
        <v>1040</v>
      </c>
      <c r="J357" s="492">
        <v>10.3</v>
      </c>
      <c r="K357" s="493">
        <v>5.9089999999999998</v>
      </c>
      <c r="L357" s="494">
        <v>2.33</v>
      </c>
      <c r="M357" s="494">
        <v>35.409999999999997</v>
      </c>
      <c r="N357" s="491">
        <v>73650</v>
      </c>
      <c r="O357" s="492">
        <v>2.5</v>
      </c>
      <c r="P357" s="494">
        <v>24.52</v>
      </c>
      <c r="Q357" s="494">
        <v>29.81</v>
      </c>
      <c r="R357" s="494">
        <v>35.57</v>
      </c>
      <c r="S357" s="494">
        <v>42.3</v>
      </c>
      <c r="T357" s="494">
        <v>46.87</v>
      </c>
      <c r="U357" s="491">
        <v>51010</v>
      </c>
      <c r="V357" s="491">
        <v>62010</v>
      </c>
      <c r="W357" s="491">
        <v>73980</v>
      </c>
      <c r="X357" s="491">
        <v>87990</v>
      </c>
      <c r="Y357" s="491">
        <v>97490</v>
      </c>
      <c r="Z357" s="490"/>
      <c r="AA357" s="490"/>
    </row>
    <row r="358" spans="7:27" x14ac:dyDescent="0.25">
      <c r="G358" s="489" t="s">
        <v>742</v>
      </c>
      <c r="H358" s="490" t="s">
        <v>399</v>
      </c>
      <c r="I358" s="491">
        <v>760</v>
      </c>
      <c r="J358" s="492">
        <v>9.6999999999999993</v>
      </c>
      <c r="K358" s="493">
        <v>4.3070000000000004</v>
      </c>
      <c r="L358" s="494">
        <v>1</v>
      </c>
      <c r="M358" s="494">
        <v>36.99</v>
      </c>
      <c r="N358" s="491">
        <v>76930</v>
      </c>
      <c r="O358" s="492">
        <v>4.2</v>
      </c>
      <c r="P358" s="494">
        <v>25.43</v>
      </c>
      <c r="Q358" s="494">
        <v>31.64</v>
      </c>
      <c r="R358" s="494">
        <v>36.74</v>
      </c>
      <c r="S358" s="494">
        <v>43.58</v>
      </c>
      <c r="T358" s="494">
        <v>49.23</v>
      </c>
      <c r="U358" s="491">
        <v>52900</v>
      </c>
      <c r="V358" s="491">
        <v>65810</v>
      </c>
      <c r="W358" s="491">
        <v>76420</v>
      </c>
      <c r="X358" s="491">
        <v>90640</v>
      </c>
      <c r="Y358" s="491">
        <v>102390</v>
      </c>
      <c r="Z358" s="490"/>
      <c r="AA358" s="490"/>
    </row>
    <row r="359" spans="7:27" x14ac:dyDescent="0.25">
      <c r="G359" s="489" t="s">
        <v>743</v>
      </c>
      <c r="H359" s="490" t="s">
        <v>399</v>
      </c>
      <c r="I359" s="491">
        <v>60</v>
      </c>
      <c r="J359" s="492">
        <v>24.6</v>
      </c>
      <c r="K359" s="493">
        <v>0.35199999999999998</v>
      </c>
      <c r="L359" s="494">
        <v>1.05</v>
      </c>
      <c r="M359" s="494">
        <v>29.78</v>
      </c>
      <c r="N359" s="491">
        <v>61940</v>
      </c>
      <c r="O359" s="492">
        <v>4.7</v>
      </c>
      <c r="P359" s="494">
        <v>20.13</v>
      </c>
      <c r="Q359" s="494">
        <v>24.07</v>
      </c>
      <c r="R359" s="494">
        <v>30.12</v>
      </c>
      <c r="S359" s="494">
        <v>35.69</v>
      </c>
      <c r="T359" s="494">
        <v>39.409999999999997</v>
      </c>
      <c r="U359" s="491">
        <v>41870</v>
      </c>
      <c r="V359" s="491">
        <v>50070</v>
      </c>
      <c r="W359" s="491">
        <v>62650</v>
      </c>
      <c r="X359" s="491">
        <v>74230</v>
      </c>
      <c r="Y359" s="491">
        <v>81970</v>
      </c>
      <c r="Z359" s="490"/>
      <c r="AA359" s="490"/>
    </row>
    <row r="360" spans="7:27" x14ac:dyDescent="0.25">
      <c r="G360" s="489" t="s">
        <v>744</v>
      </c>
      <c r="H360" s="490" t="s">
        <v>399</v>
      </c>
      <c r="I360" s="491" t="s">
        <v>403</v>
      </c>
      <c r="J360" s="492" t="s">
        <v>403</v>
      </c>
      <c r="K360" s="493" t="s">
        <v>403</v>
      </c>
      <c r="L360" s="494" t="s">
        <v>403</v>
      </c>
      <c r="M360" s="494">
        <v>28.53</v>
      </c>
      <c r="N360" s="491">
        <v>59340</v>
      </c>
      <c r="O360" s="492">
        <v>17</v>
      </c>
      <c r="P360" s="494">
        <v>15.17</v>
      </c>
      <c r="Q360" s="494">
        <v>18.75</v>
      </c>
      <c r="R360" s="494">
        <v>28.78</v>
      </c>
      <c r="S360" s="494">
        <v>37.700000000000003</v>
      </c>
      <c r="T360" s="494">
        <v>44.67</v>
      </c>
      <c r="U360" s="491">
        <v>31540</v>
      </c>
      <c r="V360" s="491">
        <v>38990</v>
      </c>
      <c r="W360" s="491">
        <v>59860</v>
      </c>
      <c r="X360" s="491">
        <v>78420</v>
      </c>
      <c r="Y360" s="491">
        <v>92910</v>
      </c>
      <c r="Z360" s="490"/>
      <c r="AA360" s="490"/>
    </row>
    <row r="361" spans="7:27" x14ac:dyDescent="0.25">
      <c r="G361" s="489" t="s">
        <v>745</v>
      </c>
      <c r="H361" s="490" t="s">
        <v>399</v>
      </c>
      <c r="I361" s="491" t="s">
        <v>403</v>
      </c>
      <c r="J361" s="492" t="s">
        <v>403</v>
      </c>
      <c r="K361" s="493" t="s">
        <v>403</v>
      </c>
      <c r="L361" s="494" t="s">
        <v>403</v>
      </c>
      <c r="M361" s="494">
        <v>37.33</v>
      </c>
      <c r="N361" s="491">
        <v>77640</v>
      </c>
      <c r="O361" s="492">
        <v>6</v>
      </c>
      <c r="P361" s="494">
        <v>28.99</v>
      </c>
      <c r="Q361" s="494">
        <v>32.75</v>
      </c>
      <c r="R361" s="494">
        <v>37.130000000000003</v>
      </c>
      <c r="S361" s="494">
        <v>43.17</v>
      </c>
      <c r="T361" s="494">
        <v>47.52</v>
      </c>
      <c r="U361" s="491">
        <v>60290</v>
      </c>
      <c r="V361" s="491">
        <v>68120</v>
      </c>
      <c r="W361" s="491">
        <v>77230</v>
      </c>
      <c r="X361" s="491">
        <v>89800</v>
      </c>
      <c r="Y361" s="491">
        <v>98830</v>
      </c>
      <c r="Z361" s="490"/>
      <c r="AA361" s="490"/>
    </row>
    <row r="362" spans="7:27" x14ac:dyDescent="0.25">
      <c r="G362" s="489" t="s">
        <v>746</v>
      </c>
      <c r="H362" s="490" t="s">
        <v>399</v>
      </c>
      <c r="I362" s="491">
        <v>260</v>
      </c>
      <c r="J362" s="492">
        <v>24.4</v>
      </c>
      <c r="K362" s="493">
        <v>1.4850000000000001</v>
      </c>
      <c r="L362" s="494">
        <v>0.96</v>
      </c>
      <c r="M362" s="494">
        <v>27.11</v>
      </c>
      <c r="N362" s="491">
        <v>56380</v>
      </c>
      <c r="O362" s="492">
        <v>6.4</v>
      </c>
      <c r="P362" s="494">
        <v>16.78</v>
      </c>
      <c r="Q362" s="494">
        <v>19.18</v>
      </c>
      <c r="R362" s="494">
        <v>27</v>
      </c>
      <c r="S362" s="494">
        <v>32.159999999999997</v>
      </c>
      <c r="T362" s="494">
        <v>39.61</v>
      </c>
      <c r="U362" s="491">
        <v>34890</v>
      </c>
      <c r="V362" s="491">
        <v>39890</v>
      </c>
      <c r="W362" s="491">
        <v>56160</v>
      </c>
      <c r="X362" s="491">
        <v>66900</v>
      </c>
      <c r="Y362" s="491">
        <v>82390</v>
      </c>
      <c r="Z362" s="490"/>
      <c r="AA362" s="490"/>
    </row>
    <row r="363" spans="7:27" x14ac:dyDescent="0.25">
      <c r="G363" s="489" t="s">
        <v>747</v>
      </c>
      <c r="H363" s="490" t="s">
        <v>399</v>
      </c>
      <c r="I363" s="491">
        <v>940</v>
      </c>
      <c r="J363" s="492">
        <v>15.1</v>
      </c>
      <c r="K363" s="493">
        <v>5.3339999999999996</v>
      </c>
      <c r="L363" s="494">
        <v>1.82</v>
      </c>
      <c r="M363" s="494">
        <v>32.54</v>
      </c>
      <c r="N363" s="491">
        <v>67690</v>
      </c>
      <c r="O363" s="492">
        <v>5.7</v>
      </c>
      <c r="P363" s="494">
        <v>20</v>
      </c>
      <c r="Q363" s="494">
        <v>25.1</v>
      </c>
      <c r="R363" s="494">
        <v>31.3</v>
      </c>
      <c r="S363" s="494">
        <v>40.18</v>
      </c>
      <c r="T363" s="494">
        <v>47.96</v>
      </c>
      <c r="U363" s="491">
        <v>41610</v>
      </c>
      <c r="V363" s="491">
        <v>52210</v>
      </c>
      <c r="W363" s="491">
        <v>65100</v>
      </c>
      <c r="X363" s="491">
        <v>83570</v>
      </c>
      <c r="Y363" s="491">
        <v>99760</v>
      </c>
      <c r="Z363" s="490"/>
      <c r="AA363" s="490"/>
    </row>
    <row r="364" spans="7:27" x14ac:dyDescent="0.25">
      <c r="G364" s="489" t="s">
        <v>748</v>
      </c>
      <c r="H364" s="490" t="s">
        <v>399</v>
      </c>
      <c r="I364" s="491">
        <v>180</v>
      </c>
      <c r="J364" s="492">
        <v>25.5</v>
      </c>
      <c r="K364" s="493">
        <v>0.999</v>
      </c>
      <c r="L364" s="494">
        <v>1.21</v>
      </c>
      <c r="M364" s="494">
        <v>23.51</v>
      </c>
      <c r="N364" s="491">
        <v>48910</v>
      </c>
      <c r="O364" s="492">
        <v>5.2</v>
      </c>
      <c r="P364" s="494">
        <v>16.23</v>
      </c>
      <c r="Q364" s="494">
        <v>18.399999999999999</v>
      </c>
      <c r="R364" s="494">
        <v>22.49</v>
      </c>
      <c r="S364" s="494">
        <v>28.56</v>
      </c>
      <c r="T364" s="494">
        <v>33.08</v>
      </c>
      <c r="U364" s="491">
        <v>33760</v>
      </c>
      <c r="V364" s="491">
        <v>38270</v>
      </c>
      <c r="W364" s="491">
        <v>46780</v>
      </c>
      <c r="X364" s="491">
        <v>59410</v>
      </c>
      <c r="Y364" s="491">
        <v>68800</v>
      </c>
      <c r="Z364" s="490"/>
      <c r="AA364" s="490"/>
    </row>
    <row r="365" spans="7:27" x14ac:dyDescent="0.25">
      <c r="G365" s="489" t="s">
        <v>749</v>
      </c>
      <c r="H365" s="490" t="s">
        <v>399</v>
      </c>
      <c r="I365" s="491">
        <v>270</v>
      </c>
      <c r="J365" s="492">
        <v>23.3</v>
      </c>
      <c r="K365" s="493">
        <v>1.5469999999999999</v>
      </c>
      <c r="L365" s="494">
        <v>1.62</v>
      </c>
      <c r="M365" s="494">
        <v>39.619999999999997</v>
      </c>
      <c r="N365" s="491">
        <v>82420</v>
      </c>
      <c r="O365" s="492">
        <v>3.6</v>
      </c>
      <c r="P365" s="494">
        <v>25.1</v>
      </c>
      <c r="Q365" s="494">
        <v>33.869999999999997</v>
      </c>
      <c r="R365" s="494">
        <v>42.26</v>
      </c>
      <c r="S365" s="494">
        <v>46.85</v>
      </c>
      <c r="T365" s="494">
        <v>49.64</v>
      </c>
      <c r="U365" s="491">
        <v>52210</v>
      </c>
      <c r="V365" s="491">
        <v>70450</v>
      </c>
      <c r="W365" s="491">
        <v>87910</v>
      </c>
      <c r="X365" s="491">
        <v>97450</v>
      </c>
      <c r="Y365" s="491">
        <v>103250</v>
      </c>
      <c r="Z365" s="490"/>
      <c r="AA365" s="490"/>
    </row>
    <row r="366" spans="7:27" x14ac:dyDescent="0.25">
      <c r="G366" s="489" t="s">
        <v>750</v>
      </c>
      <c r="H366" s="490" t="s">
        <v>399</v>
      </c>
      <c r="I366" s="491">
        <v>60</v>
      </c>
      <c r="J366" s="492">
        <v>32.200000000000003</v>
      </c>
      <c r="K366" s="493">
        <v>0.34899999999999998</v>
      </c>
      <c r="L366" s="494">
        <v>0.71</v>
      </c>
      <c r="M366" s="494">
        <v>28.81</v>
      </c>
      <c r="N366" s="491">
        <v>59920</v>
      </c>
      <c r="O366" s="492">
        <v>9.8000000000000007</v>
      </c>
      <c r="P366" s="494">
        <v>15.36</v>
      </c>
      <c r="Q366" s="494">
        <v>19.63</v>
      </c>
      <c r="R366" s="494">
        <v>33.06</v>
      </c>
      <c r="S366" s="494">
        <v>36.409999999999997</v>
      </c>
      <c r="T366" s="494">
        <v>38.409999999999997</v>
      </c>
      <c r="U366" s="491">
        <v>31960</v>
      </c>
      <c r="V366" s="491">
        <v>40830</v>
      </c>
      <c r="W366" s="491">
        <v>68760</v>
      </c>
      <c r="X366" s="491">
        <v>75720</v>
      </c>
      <c r="Y366" s="491">
        <v>79900</v>
      </c>
      <c r="Z366" s="490"/>
      <c r="AA366" s="490"/>
    </row>
    <row r="367" spans="7:27" x14ac:dyDescent="0.25">
      <c r="G367" s="489" t="s">
        <v>751</v>
      </c>
      <c r="H367" s="490" t="s">
        <v>399</v>
      </c>
      <c r="I367" s="491">
        <v>170</v>
      </c>
      <c r="J367" s="492">
        <v>26.9</v>
      </c>
      <c r="K367" s="493">
        <v>0.97899999999999998</v>
      </c>
      <c r="L367" s="494">
        <v>3.83</v>
      </c>
      <c r="M367" s="494">
        <v>18.12</v>
      </c>
      <c r="N367" s="491">
        <v>37700</v>
      </c>
      <c r="O367" s="492">
        <v>5.8</v>
      </c>
      <c r="P367" s="494">
        <v>12.5</v>
      </c>
      <c r="Q367" s="494">
        <v>14.87</v>
      </c>
      <c r="R367" s="494">
        <v>18.04</v>
      </c>
      <c r="S367" s="494">
        <v>21.46</v>
      </c>
      <c r="T367" s="494">
        <v>24.22</v>
      </c>
      <c r="U367" s="491">
        <v>26000</v>
      </c>
      <c r="V367" s="491">
        <v>30940</v>
      </c>
      <c r="W367" s="491">
        <v>37530</v>
      </c>
      <c r="X367" s="491">
        <v>44630</v>
      </c>
      <c r="Y367" s="491">
        <v>50370</v>
      </c>
      <c r="Z367" s="490"/>
      <c r="AA367" s="490"/>
    </row>
    <row r="368" spans="7:27" x14ac:dyDescent="0.25">
      <c r="G368" s="489" t="s">
        <v>752</v>
      </c>
      <c r="H368" s="490" t="s">
        <v>399</v>
      </c>
      <c r="I368" s="491">
        <v>150</v>
      </c>
      <c r="J368" s="492">
        <v>42.5</v>
      </c>
      <c r="K368" s="493">
        <v>0.86599999999999999</v>
      </c>
      <c r="L368" s="494">
        <v>1.69</v>
      </c>
      <c r="M368" s="494">
        <v>20.16</v>
      </c>
      <c r="N368" s="491">
        <v>41930</v>
      </c>
      <c r="O368" s="492">
        <v>3</v>
      </c>
      <c r="P368" s="494">
        <v>13.3</v>
      </c>
      <c r="Q368" s="494">
        <v>15.38</v>
      </c>
      <c r="R368" s="494">
        <v>19.28</v>
      </c>
      <c r="S368" s="494">
        <v>25.12</v>
      </c>
      <c r="T368" s="494">
        <v>28.87</v>
      </c>
      <c r="U368" s="491">
        <v>27670</v>
      </c>
      <c r="V368" s="491">
        <v>32000</v>
      </c>
      <c r="W368" s="491">
        <v>40100</v>
      </c>
      <c r="X368" s="491">
        <v>52250</v>
      </c>
      <c r="Y368" s="491">
        <v>60040</v>
      </c>
      <c r="Z368" s="490"/>
      <c r="AA368" s="490"/>
    </row>
    <row r="369" spans="7:27" x14ac:dyDescent="0.25">
      <c r="G369" s="489" t="s">
        <v>753</v>
      </c>
      <c r="H369" s="490" t="s">
        <v>399</v>
      </c>
      <c r="I369" s="491" t="s">
        <v>403</v>
      </c>
      <c r="J369" s="492" t="s">
        <v>403</v>
      </c>
      <c r="K369" s="493" t="s">
        <v>403</v>
      </c>
      <c r="L369" s="494" t="s">
        <v>403</v>
      </c>
      <c r="M369" s="494">
        <v>23.46</v>
      </c>
      <c r="N369" s="491">
        <v>48790</v>
      </c>
      <c r="O369" s="492">
        <v>7.4</v>
      </c>
      <c r="P369" s="494">
        <v>17.77</v>
      </c>
      <c r="Q369" s="494">
        <v>20.81</v>
      </c>
      <c r="R369" s="494">
        <v>24.4</v>
      </c>
      <c r="S369" s="494">
        <v>27.32</v>
      </c>
      <c r="T369" s="494">
        <v>29.08</v>
      </c>
      <c r="U369" s="491">
        <v>36960</v>
      </c>
      <c r="V369" s="491">
        <v>43290</v>
      </c>
      <c r="W369" s="491">
        <v>50750</v>
      </c>
      <c r="X369" s="491">
        <v>56830</v>
      </c>
      <c r="Y369" s="491">
        <v>60490</v>
      </c>
      <c r="Z369" s="490"/>
      <c r="AA369" s="490"/>
    </row>
    <row r="370" spans="7:27" x14ac:dyDescent="0.25">
      <c r="G370" s="489" t="s">
        <v>754</v>
      </c>
      <c r="H370" s="490" t="s">
        <v>399</v>
      </c>
      <c r="I370" s="491" t="s">
        <v>403</v>
      </c>
      <c r="J370" s="492" t="s">
        <v>403</v>
      </c>
      <c r="K370" s="493" t="s">
        <v>403</v>
      </c>
      <c r="L370" s="494" t="s">
        <v>403</v>
      </c>
      <c r="M370" s="494">
        <v>19.16</v>
      </c>
      <c r="N370" s="491">
        <v>39850</v>
      </c>
      <c r="O370" s="492">
        <v>4.3</v>
      </c>
      <c r="P370" s="494">
        <v>15.42</v>
      </c>
      <c r="Q370" s="494">
        <v>17.14</v>
      </c>
      <c r="R370" s="494">
        <v>19.739999999999998</v>
      </c>
      <c r="S370" s="494">
        <v>22.13</v>
      </c>
      <c r="T370" s="494">
        <v>23.56</v>
      </c>
      <c r="U370" s="491">
        <v>32070</v>
      </c>
      <c r="V370" s="491">
        <v>35650</v>
      </c>
      <c r="W370" s="491">
        <v>41060</v>
      </c>
      <c r="X370" s="491">
        <v>46020</v>
      </c>
      <c r="Y370" s="491">
        <v>49000</v>
      </c>
      <c r="Z370" s="490"/>
      <c r="AA370" s="490"/>
    </row>
    <row r="371" spans="7:27" x14ac:dyDescent="0.25">
      <c r="G371" s="489" t="s">
        <v>755</v>
      </c>
      <c r="H371" s="490" t="s">
        <v>399</v>
      </c>
      <c r="I371" s="491" t="s">
        <v>403</v>
      </c>
      <c r="J371" s="492" t="s">
        <v>403</v>
      </c>
      <c r="K371" s="493" t="s">
        <v>403</v>
      </c>
      <c r="L371" s="494" t="s">
        <v>403</v>
      </c>
      <c r="M371" s="494">
        <v>42.59</v>
      </c>
      <c r="N371" s="491">
        <v>88580</v>
      </c>
      <c r="O371" s="492">
        <v>3.6</v>
      </c>
      <c r="P371" s="494">
        <v>31.5</v>
      </c>
      <c r="Q371" s="494">
        <v>37.42</v>
      </c>
      <c r="R371" s="494">
        <v>43.45</v>
      </c>
      <c r="S371" s="494">
        <v>48.57</v>
      </c>
      <c r="T371" s="494">
        <v>51.74</v>
      </c>
      <c r="U371" s="491">
        <v>65520</v>
      </c>
      <c r="V371" s="491">
        <v>77830</v>
      </c>
      <c r="W371" s="491">
        <v>90380</v>
      </c>
      <c r="X371" s="491">
        <v>101030</v>
      </c>
      <c r="Y371" s="491">
        <v>107620</v>
      </c>
      <c r="Z371" s="490"/>
      <c r="AA371" s="490"/>
    </row>
    <row r="372" spans="7:27" x14ac:dyDescent="0.25">
      <c r="G372" s="489" t="s">
        <v>756</v>
      </c>
      <c r="H372" s="490" t="s">
        <v>399</v>
      </c>
      <c r="I372" s="491">
        <v>290</v>
      </c>
      <c r="J372" s="492">
        <v>35.1</v>
      </c>
      <c r="K372" s="493">
        <v>1.6459999999999999</v>
      </c>
      <c r="L372" s="494">
        <v>5.22</v>
      </c>
      <c r="M372" s="494">
        <v>24.53</v>
      </c>
      <c r="N372" s="491">
        <v>51020</v>
      </c>
      <c r="O372" s="492">
        <v>2.9</v>
      </c>
      <c r="P372" s="494">
        <v>19.940000000000001</v>
      </c>
      <c r="Q372" s="494">
        <v>21.41</v>
      </c>
      <c r="R372" s="494">
        <v>23.86</v>
      </c>
      <c r="S372" s="494">
        <v>27.81</v>
      </c>
      <c r="T372" s="494">
        <v>30.35</v>
      </c>
      <c r="U372" s="491">
        <v>41470</v>
      </c>
      <c r="V372" s="491">
        <v>44530</v>
      </c>
      <c r="W372" s="491">
        <v>49630</v>
      </c>
      <c r="X372" s="491">
        <v>57850</v>
      </c>
      <c r="Y372" s="491">
        <v>63130</v>
      </c>
      <c r="Z372" s="490"/>
      <c r="AA372" s="490"/>
    </row>
    <row r="373" spans="7:27" x14ac:dyDescent="0.25">
      <c r="G373" s="489" t="s">
        <v>757</v>
      </c>
      <c r="H373" s="490" t="s">
        <v>399</v>
      </c>
      <c r="I373" s="491">
        <v>90</v>
      </c>
      <c r="J373" s="492">
        <v>4.8</v>
      </c>
      <c r="K373" s="493">
        <v>0.48899999999999999</v>
      </c>
      <c r="L373" s="494">
        <v>1.94</v>
      </c>
      <c r="M373" s="494">
        <v>32.83</v>
      </c>
      <c r="N373" s="491">
        <v>68280</v>
      </c>
      <c r="O373" s="492">
        <v>4.2</v>
      </c>
      <c r="P373" s="494">
        <v>17.739999999999998</v>
      </c>
      <c r="Q373" s="494">
        <v>28.45</v>
      </c>
      <c r="R373" s="494">
        <v>34.520000000000003</v>
      </c>
      <c r="S373" s="494">
        <v>38.78</v>
      </c>
      <c r="T373" s="494">
        <v>44.78</v>
      </c>
      <c r="U373" s="491">
        <v>36890</v>
      </c>
      <c r="V373" s="491">
        <v>59180</v>
      </c>
      <c r="W373" s="491">
        <v>71810</v>
      </c>
      <c r="X373" s="491">
        <v>80660</v>
      </c>
      <c r="Y373" s="491">
        <v>93150</v>
      </c>
      <c r="Z373" s="490"/>
      <c r="AA373" s="490"/>
    </row>
    <row r="374" spans="7:27" x14ac:dyDescent="0.25">
      <c r="G374" s="489" t="s">
        <v>758</v>
      </c>
      <c r="H374" s="490" t="s">
        <v>399</v>
      </c>
      <c r="I374" s="491">
        <v>110</v>
      </c>
      <c r="J374" s="492">
        <v>18</v>
      </c>
      <c r="K374" s="493">
        <v>0.64800000000000002</v>
      </c>
      <c r="L374" s="494">
        <v>5.23</v>
      </c>
      <c r="M374" s="494">
        <v>38.049999999999997</v>
      </c>
      <c r="N374" s="491">
        <v>79140</v>
      </c>
      <c r="O374" s="492">
        <v>6.6</v>
      </c>
      <c r="P374" s="494">
        <v>24.33</v>
      </c>
      <c r="Q374" s="494">
        <v>28.79</v>
      </c>
      <c r="R374" s="494">
        <v>40.11</v>
      </c>
      <c r="S374" s="494">
        <v>46.7</v>
      </c>
      <c r="T374" s="494">
        <v>50.63</v>
      </c>
      <c r="U374" s="491">
        <v>50620</v>
      </c>
      <c r="V374" s="491">
        <v>59880</v>
      </c>
      <c r="W374" s="491">
        <v>83430</v>
      </c>
      <c r="X374" s="491">
        <v>97140</v>
      </c>
      <c r="Y374" s="491">
        <v>105320</v>
      </c>
      <c r="Z374" s="490"/>
      <c r="AA374" s="490"/>
    </row>
    <row r="375" spans="7:27" x14ac:dyDescent="0.25">
      <c r="G375" s="489" t="s">
        <v>759</v>
      </c>
      <c r="H375" s="490" t="s">
        <v>399</v>
      </c>
      <c r="I375" s="491">
        <v>340</v>
      </c>
      <c r="J375" s="492">
        <v>14.6</v>
      </c>
      <c r="K375" s="493">
        <v>1.944</v>
      </c>
      <c r="L375" s="494">
        <v>6.37</v>
      </c>
      <c r="M375" s="494">
        <v>30.69</v>
      </c>
      <c r="N375" s="491">
        <v>63830</v>
      </c>
      <c r="O375" s="492">
        <v>6.8</v>
      </c>
      <c r="P375" s="494">
        <v>17.98</v>
      </c>
      <c r="Q375" s="494">
        <v>22.18</v>
      </c>
      <c r="R375" s="494">
        <v>30.16</v>
      </c>
      <c r="S375" s="494">
        <v>38.49</v>
      </c>
      <c r="T375" s="494">
        <v>46.04</v>
      </c>
      <c r="U375" s="491">
        <v>37400</v>
      </c>
      <c r="V375" s="491">
        <v>46140</v>
      </c>
      <c r="W375" s="491">
        <v>62730</v>
      </c>
      <c r="X375" s="491">
        <v>80050</v>
      </c>
      <c r="Y375" s="491">
        <v>95760</v>
      </c>
      <c r="Z375" s="490"/>
      <c r="AA375" s="490"/>
    </row>
    <row r="376" spans="7:27" x14ac:dyDescent="0.25">
      <c r="G376" s="489" t="s">
        <v>760</v>
      </c>
      <c r="H376" s="490" t="s">
        <v>399</v>
      </c>
      <c r="I376" s="491">
        <v>60</v>
      </c>
      <c r="J376" s="492">
        <v>35.200000000000003</v>
      </c>
      <c r="K376" s="493">
        <v>0.35399999999999998</v>
      </c>
      <c r="L376" s="494">
        <v>2.68</v>
      </c>
      <c r="M376" s="494">
        <v>26.9</v>
      </c>
      <c r="N376" s="491">
        <v>55960</v>
      </c>
      <c r="O376" s="492">
        <v>4.4000000000000004</v>
      </c>
      <c r="P376" s="494">
        <v>21.06</v>
      </c>
      <c r="Q376" s="494">
        <v>23.76</v>
      </c>
      <c r="R376" s="494">
        <v>26.78</v>
      </c>
      <c r="S376" s="494">
        <v>29.26</v>
      </c>
      <c r="T376" s="494">
        <v>30.98</v>
      </c>
      <c r="U376" s="491">
        <v>43790</v>
      </c>
      <c r="V376" s="491">
        <v>49430</v>
      </c>
      <c r="W376" s="491">
        <v>55690</v>
      </c>
      <c r="X376" s="491">
        <v>60860</v>
      </c>
      <c r="Y376" s="491">
        <v>64430</v>
      </c>
      <c r="Z376" s="490"/>
      <c r="AA376" s="490"/>
    </row>
    <row r="377" spans="7:27" x14ac:dyDescent="0.25">
      <c r="G377" s="489" t="s">
        <v>761</v>
      </c>
      <c r="H377" s="490" t="s">
        <v>399</v>
      </c>
      <c r="I377" s="491">
        <v>160</v>
      </c>
      <c r="J377" s="492">
        <v>26.9</v>
      </c>
      <c r="K377" s="493">
        <v>0.89400000000000002</v>
      </c>
      <c r="L377" s="494">
        <v>2.4500000000000002</v>
      </c>
      <c r="M377" s="494">
        <v>30.26</v>
      </c>
      <c r="N377" s="491">
        <v>62940</v>
      </c>
      <c r="O377" s="492">
        <v>4</v>
      </c>
      <c r="P377" s="494">
        <v>22.18</v>
      </c>
      <c r="Q377" s="494">
        <v>25.91</v>
      </c>
      <c r="R377" s="494">
        <v>31.15</v>
      </c>
      <c r="S377" s="494">
        <v>35.450000000000003</v>
      </c>
      <c r="T377" s="494">
        <v>37.99</v>
      </c>
      <c r="U377" s="491">
        <v>46130</v>
      </c>
      <c r="V377" s="491">
        <v>53890</v>
      </c>
      <c r="W377" s="491">
        <v>64790</v>
      </c>
      <c r="X377" s="491">
        <v>73740</v>
      </c>
      <c r="Y377" s="491">
        <v>79010</v>
      </c>
      <c r="Z377" s="490"/>
      <c r="AA377" s="490"/>
    </row>
    <row r="378" spans="7:27" x14ac:dyDescent="0.25">
      <c r="G378" s="489" t="s">
        <v>762</v>
      </c>
      <c r="H378" s="490" t="s">
        <v>399</v>
      </c>
      <c r="I378" s="491" t="s">
        <v>403</v>
      </c>
      <c r="J378" s="492" t="s">
        <v>403</v>
      </c>
      <c r="K378" s="493" t="s">
        <v>403</v>
      </c>
      <c r="L378" s="494" t="s">
        <v>403</v>
      </c>
      <c r="M378" s="494">
        <v>15.48</v>
      </c>
      <c r="N378" s="491">
        <v>32190</v>
      </c>
      <c r="O378" s="492">
        <v>9.6999999999999993</v>
      </c>
      <c r="P378" s="494">
        <v>12.67</v>
      </c>
      <c r="Q378" s="494">
        <v>13.53</v>
      </c>
      <c r="R378" s="494">
        <v>14.97</v>
      </c>
      <c r="S378" s="494">
        <v>17.37</v>
      </c>
      <c r="T378" s="494">
        <v>18.940000000000001</v>
      </c>
      <c r="U378" s="491">
        <v>26350</v>
      </c>
      <c r="V378" s="491">
        <v>28140</v>
      </c>
      <c r="W378" s="491">
        <v>31140</v>
      </c>
      <c r="X378" s="491">
        <v>36140</v>
      </c>
      <c r="Y378" s="491">
        <v>39400</v>
      </c>
      <c r="Z378" s="490"/>
      <c r="AA378" s="490"/>
    </row>
    <row r="379" spans="7:27" x14ac:dyDescent="0.25">
      <c r="G379" s="489" t="s">
        <v>200</v>
      </c>
      <c r="H379" s="490" t="s">
        <v>398</v>
      </c>
      <c r="I379" s="491">
        <v>7880</v>
      </c>
      <c r="J379" s="492">
        <v>4.0999999999999996</v>
      </c>
      <c r="K379" s="493">
        <v>44.735999999999997</v>
      </c>
      <c r="L379" s="494">
        <v>1.1499999999999999</v>
      </c>
      <c r="M379" s="494">
        <v>28.85</v>
      </c>
      <c r="N379" s="491">
        <v>60020</v>
      </c>
      <c r="O379" s="492">
        <v>2</v>
      </c>
      <c r="P379" s="494">
        <v>15.58</v>
      </c>
      <c r="Q379" s="494">
        <v>20.78</v>
      </c>
      <c r="R379" s="494">
        <v>28.33</v>
      </c>
      <c r="S379" s="494">
        <v>36.29</v>
      </c>
      <c r="T379" s="494">
        <v>44.21</v>
      </c>
      <c r="U379" s="491">
        <v>32410</v>
      </c>
      <c r="V379" s="491">
        <v>43210</v>
      </c>
      <c r="W379" s="491">
        <v>58920</v>
      </c>
      <c r="X379" s="491">
        <v>75490</v>
      </c>
      <c r="Y379" s="491">
        <v>91950</v>
      </c>
      <c r="Z379" s="490"/>
      <c r="AA379" s="490"/>
    </row>
    <row r="380" spans="7:27" x14ac:dyDescent="0.25">
      <c r="G380" s="489" t="s">
        <v>763</v>
      </c>
      <c r="H380" s="490" t="s">
        <v>399</v>
      </c>
      <c r="I380" s="491">
        <v>600</v>
      </c>
      <c r="J380" s="492">
        <v>7.7</v>
      </c>
      <c r="K380" s="493">
        <v>3.4089999999999998</v>
      </c>
      <c r="L380" s="494">
        <v>1.06</v>
      </c>
      <c r="M380" s="494">
        <v>40.049999999999997</v>
      </c>
      <c r="N380" s="491">
        <v>83310</v>
      </c>
      <c r="O380" s="492">
        <v>3.2</v>
      </c>
      <c r="P380" s="494">
        <v>23.52</v>
      </c>
      <c r="Q380" s="494">
        <v>32.909999999999997</v>
      </c>
      <c r="R380" s="494">
        <v>41.06</v>
      </c>
      <c r="S380" s="494">
        <v>47.81</v>
      </c>
      <c r="T380" s="494">
        <v>55.61</v>
      </c>
      <c r="U380" s="491">
        <v>48920</v>
      </c>
      <c r="V380" s="491">
        <v>68440</v>
      </c>
      <c r="W380" s="491">
        <v>85410</v>
      </c>
      <c r="X380" s="491">
        <v>99450</v>
      </c>
      <c r="Y380" s="491">
        <v>115660</v>
      </c>
      <c r="Z380" s="490"/>
      <c r="AA380" s="490"/>
    </row>
    <row r="381" spans="7:27" x14ac:dyDescent="0.25">
      <c r="G381" s="489" t="s">
        <v>764</v>
      </c>
      <c r="H381" s="490" t="s">
        <v>399</v>
      </c>
      <c r="I381" s="491">
        <v>100</v>
      </c>
      <c r="J381" s="492">
        <v>24.6</v>
      </c>
      <c r="K381" s="493">
        <v>0.58599999999999997</v>
      </c>
      <c r="L381" s="494">
        <v>0.8</v>
      </c>
      <c r="M381" s="494">
        <v>21.67</v>
      </c>
      <c r="N381" s="491">
        <v>45080</v>
      </c>
      <c r="O381" s="492">
        <v>4.4000000000000004</v>
      </c>
      <c r="P381" s="494">
        <v>14.97</v>
      </c>
      <c r="Q381" s="494">
        <v>17.809999999999999</v>
      </c>
      <c r="R381" s="494">
        <v>21.29</v>
      </c>
      <c r="S381" s="494">
        <v>24.45</v>
      </c>
      <c r="T381" s="494">
        <v>28.42</v>
      </c>
      <c r="U381" s="491">
        <v>31140</v>
      </c>
      <c r="V381" s="491">
        <v>37050</v>
      </c>
      <c r="W381" s="491">
        <v>44290</v>
      </c>
      <c r="X381" s="491">
        <v>50850</v>
      </c>
      <c r="Y381" s="491">
        <v>59110</v>
      </c>
      <c r="Z381" s="490"/>
      <c r="AA381" s="490"/>
    </row>
    <row r="382" spans="7:27" x14ac:dyDescent="0.25">
      <c r="G382" s="489" t="s">
        <v>765</v>
      </c>
      <c r="H382" s="490" t="s">
        <v>399</v>
      </c>
      <c r="I382" s="491">
        <v>40</v>
      </c>
      <c r="J382" s="492">
        <v>10.5</v>
      </c>
      <c r="K382" s="493">
        <v>0.245</v>
      </c>
      <c r="L382" s="494">
        <v>2.44</v>
      </c>
      <c r="M382" s="494">
        <v>28.07</v>
      </c>
      <c r="N382" s="491">
        <v>58390</v>
      </c>
      <c r="O382" s="492">
        <v>6.8</v>
      </c>
      <c r="P382" s="494">
        <v>19.63</v>
      </c>
      <c r="Q382" s="494">
        <v>22.83</v>
      </c>
      <c r="R382" s="494">
        <v>27.21</v>
      </c>
      <c r="S382" s="494">
        <v>33</v>
      </c>
      <c r="T382" s="494">
        <v>38.67</v>
      </c>
      <c r="U382" s="491">
        <v>40830</v>
      </c>
      <c r="V382" s="491">
        <v>47500</v>
      </c>
      <c r="W382" s="491">
        <v>56600</v>
      </c>
      <c r="X382" s="491">
        <v>68640</v>
      </c>
      <c r="Y382" s="491">
        <v>80430</v>
      </c>
      <c r="Z382" s="490"/>
      <c r="AA382" s="490"/>
    </row>
    <row r="383" spans="7:27" x14ac:dyDescent="0.25">
      <c r="G383" s="489" t="s">
        <v>766</v>
      </c>
      <c r="H383" s="490" t="s">
        <v>399</v>
      </c>
      <c r="I383" s="491">
        <v>360</v>
      </c>
      <c r="J383" s="492">
        <v>19</v>
      </c>
      <c r="K383" s="493">
        <v>2.028</v>
      </c>
      <c r="L383" s="494">
        <v>1.25</v>
      </c>
      <c r="M383" s="494">
        <v>34.14</v>
      </c>
      <c r="N383" s="491">
        <v>71000</v>
      </c>
      <c r="O383" s="492">
        <v>8.6999999999999993</v>
      </c>
      <c r="P383" s="494">
        <v>17.010000000000002</v>
      </c>
      <c r="Q383" s="494">
        <v>25.74</v>
      </c>
      <c r="R383" s="494">
        <v>35.11</v>
      </c>
      <c r="S383" s="494">
        <v>43.73</v>
      </c>
      <c r="T383" s="494">
        <v>48.92</v>
      </c>
      <c r="U383" s="491">
        <v>35380</v>
      </c>
      <c r="V383" s="491">
        <v>53540</v>
      </c>
      <c r="W383" s="491">
        <v>73030</v>
      </c>
      <c r="X383" s="491">
        <v>90950</v>
      </c>
      <c r="Y383" s="491">
        <v>101750</v>
      </c>
      <c r="Z383" s="490"/>
      <c r="AA383" s="490"/>
    </row>
    <row r="384" spans="7:27" x14ac:dyDescent="0.25">
      <c r="G384" s="489" t="s">
        <v>767</v>
      </c>
      <c r="H384" s="490" t="s">
        <v>399</v>
      </c>
      <c r="I384" s="491">
        <v>50</v>
      </c>
      <c r="J384" s="492">
        <v>8.5</v>
      </c>
      <c r="K384" s="493">
        <v>0.26900000000000002</v>
      </c>
      <c r="L384" s="494">
        <v>2.1800000000000002</v>
      </c>
      <c r="M384" s="494">
        <v>34.1</v>
      </c>
      <c r="N384" s="491">
        <v>70940</v>
      </c>
      <c r="O384" s="492">
        <v>3.7</v>
      </c>
      <c r="P384" s="494">
        <v>26.83</v>
      </c>
      <c r="Q384" s="494">
        <v>31.61</v>
      </c>
      <c r="R384" s="494">
        <v>34.29</v>
      </c>
      <c r="S384" s="494">
        <v>37.520000000000003</v>
      </c>
      <c r="T384" s="494">
        <v>40.07</v>
      </c>
      <c r="U384" s="491">
        <v>55810</v>
      </c>
      <c r="V384" s="491">
        <v>65750</v>
      </c>
      <c r="W384" s="491">
        <v>71330</v>
      </c>
      <c r="X384" s="491">
        <v>78050</v>
      </c>
      <c r="Y384" s="491">
        <v>83350</v>
      </c>
      <c r="Z384" s="490"/>
      <c r="AA384" s="490"/>
    </row>
    <row r="385" spans="7:27" x14ac:dyDescent="0.25">
      <c r="G385" s="489" t="s">
        <v>768</v>
      </c>
      <c r="H385" s="490" t="s">
        <v>399</v>
      </c>
      <c r="I385" s="491">
        <v>90</v>
      </c>
      <c r="J385" s="492">
        <v>13.7</v>
      </c>
      <c r="K385" s="493">
        <v>0.52800000000000002</v>
      </c>
      <c r="L385" s="494">
        <v>1.1000000000000001</v>
      </c>
      <c r="M385" s="494" t="s">
        <v>401</v>
      </c>
      <c r="N385" s="491" t="s">
        <v>401</v>
      </c>
      <c r="O385" s="492" t="s">
        <v>401</v>
      </c>
      <c r="P385" s="494" t="s">
        <v>401</v>
      </c>
      <c r="Q385" s="494" t="s">
        <v>401</v>
      </c>
      <c r="R385" s="494" t="s">
        <v>401</v>
      </c>
      <c r="S385" s="494" t="s">
        <v>401</v>
      </c>
      <c r="T385" s="494" t="s">
        <v>401</v>
      </c>
      <c r="U385" s="491" t="s">
        <v>401</v>
      </c>
      <c r="V385" s="491" t="s">
        <v>401</v>
      </c>
      <c r="W385" s="491" t="s">
        <v>401</v>
      </c>
      <c r="X385" s="491" t="s">
        <v>401</v>
      </c>
      <c r="Y385" s="491" t="s">
        <v>401</v>
      </c>
      <c r="Z385" s="490"/>
      <c r="AA385" s="490"/>
    </row>
    <row r="386" spans="7:27" x14ac:dyDescent="0.25">
      <c r="G386" s="489" t="s">
        <v>769</v>
      </c>
      <c r="H386" s="490" t="s">
        <v>399</v>
      </c>
      <c r="I386" s="491">
        <v>70</v>
      </c>
      <c r="J386" s="492">
        <v>31.6</v>
      </c>
      <c r="K386" s="493">
        <v>0.41899999999999998</v>
      </c>
      <c r="L386" s="494">
        <v>0.87</v>
      </c>
      <c r="M386" s="494">
        <v>31.57</v>
      </c>
      <c r="N386" s="491">
        <v>65660</v>
      </c>
      <c r="O386" s="492">
        <v>11.6</v>
      </c>
      <c r="P386" s="494">
        <v>13.03</v>
      </c>
      <c r="Q386" s="494">
        <v>23.12</v>
      </c>
      <c r="R386" s="494">
        <v>33.93</v>
      </c>
      <c r="S386" s="494">
        <v>40.619999999999997</v>
      </c>
      <c r="T386" s="494">
        <v>47.03</v>
      </c>
      <c r="U386" s="491">
        <v>27090</v>
      </c>
      <c r="V386" s="491">
        <v>48080</v>
      </c>
      <c r="W386" s="491">
        <v>70570</v>
      </c>
      <c r="X386" s="491">
        <v>84480</v>
      </c>
      <c r="Y386" s="491">
        <v>97820</v>
      </c>
      <c r="Z386" s="490"/>
      <c r="AA386" s="490"/>
    </row>
    <row r="387" spans="7:27" x14ac:dyDescent="0.25">
      <c r="G387" s="489" t="s">
        <v>770</v>
      </c>
      <c r="H387" s="490" t="s">
        <v>399</v>
      </c>
      <c r="I387" s="491">
        <v>760</v>
      </c>
      <c r="J387" s="492">
        <v>7.6</v>
      </c>
      <c r="K387" s="493">
        <v>4.3010000000000002</v>
      </c>
      <c r="L387" s="494">
        <v>4.7</v>
      </c>
      <c r="M387" s="494">
        <v>31.95</v>
      </c>
      <c r="N387" s="491">
        <v>66450</v>
      </c>
      <c r="O387" s="492">
        <v>1.9</v>
      </c>
      <c r="P387" s="494">
        <v>21.9</v>
      </c>
      <c r="Q387" s="494">
        <v>26.06</v>
      </c>
      <c r="R387" s="494">
        <v>31.62</v>
      </c>
      <c r="S387" s="494">
        <v>36.729999999999997</v>
      </c>
      <c r="T387" s="494">
        <v>42.49</v>
      </c>
      <c r="U387" s="491">
        <v>45550</v>
      </c>
      <c r="V387" s="491">
        <v>54210</v>
      </c>
      <c r="W387" s="491">
        <v>65760</v>
      </c>
      <c r="X387" s="491">
        <v>76390</v>
      </c>
      <c r="Y387" s="491">
        <v>88380</v>
      </c>
      <c r="Z387" s="490"/>
      <c r="AA387" s="490"/>
    </row>
    <row r="388" spans="7:27" x14ac:dyDescent="0.25">
      <c r="G388" s="489" t="s">
        <v>771</v>
      </c>
      <c r="H388" s="490" t="s">
        <v>399</v>
      </c>
      <c r="I388" s="491">
        <v>170</v>
      </c>
      <c r="J388" s="492">
        <v>41</v>
      </c>
      <c r="K388" s="493">
        <v>0.99199999999999999</v>
      </c>
      <c r="L388" s="494">
        <v>0.97</v>
      </c>
      <c r="M388" s="494">
        <v>26.41</v>
      </c>
      <c r="N388" s="491">
        <v>54920</v>
      </c>
      <c r="O388" s="492">
        <v>5.6</v>
      </c>
      <c r="P388" s="494">
        <v>16.96</v>
      </c>
      <c r="Q388" s="494">
        <v>24.62</v>
      </c>
      <c r="R388" s="494">
        <v>27.29</v>
      </c>
      <c r="S388" s="494">
        <v>29.81</v>
      </c>
      <c r="T388" s="494">
        <v>34.08</v>
      </c>
      <c r="U388" s="491">
        <v>35290</v>
      </c>
      <c r="V388" s="491">
        <v>51210</v>
      </c>
      <c r="W388" s="491">
        <v>56760</v>
      </c>
      <c r="X388" s="491">
        <v>62010</v>
      </c>
      <c r="Y388" s="491">
        <v>70880</v>
      </c>
      <c r="Z388" s="490"/>
      <c r="AA388" s="490"/>
    </row>
    <row r="389" spans="7:27" x14ac:dyDescent="0.25">
      <c r="G389" s="489" t="s">
        <v>772</v>
      </c>
      <c r="H389" s="490" t="s">
        <v>399</v>
      </c>
      <c r="I389" s="491">
        <v>920</v>
      </c>
      <c r="J389" s="492">
        <v>11.3</v>
      </c>
      <c r="K389" s="493">
        <v>5.2149999999999999</v>
      </c>
      <c r="L389" s="494">
        <v>1.1299999999999999</v>
      </c>
      <c r="M389" s="494">
        <v>25.74</v>
      </c>
      <c r="N389" s="491">
        <v>53530</v>
      </c>
      <c r="O389" s="492">
        <v>4.0999999999999996</v>
      </c>
      <c r="P389" s="494">
        <v>14.42</v>
      </c>
      <c r="Q389" s="494">
        <v>19.059999999999999</v>
      </c>
      <c r="R389" s="494">
        <v>25.13</v>
      </c>
      <c r="S389" s="494">
        <v>32.08</v>
      </c>
      <c r="T389" s="494">
        <v>38.39</v>
      </c>
      <c r="U389" s="491">
        <v>30000</v>
      </c>
      <c r="V389" s="491">
        <v>39640</v>
      </c>
      <c r="W389" s="491">
        <v>52260</v>
      </c>
      <c r="X389" s="491">
        <v>66740</v>
      </c>
      <c r="Y389" s="491">
        <v>79860</v>
      </c>
      <c r="Z389" s="490"/>
      <c r="AA389" s="490"/>
    </row>
    <row r="390" spans="7:27" x14ac:dyDescent="0.25">
      <c r="G390" s="489" t="s">
        <v>773</v>
      </c>
      <c r="H390" s="490" t="s">
        <v>399</v>
      </c>
      <c r="I390" s="491">
        <v>420</v>
      </c>
      <c r="J390" s="492">
        <v>16.899999999999999</v>
      </c>
      <c r="K390" s="493">
        <v>2.39</v>
      </c>
      <c r="L390" s="494">
        <v>1.32</v>
      </c>
      <c r="M390" s="494">
        <v>29.81</v>
      </c>
      <c r="N390" s="491">
        <v>62000</v>
      </c>
      <c r="O390" s="492">
        <v>3.2</v>
      </c>
      <c r="P390" s="494">
        <v>20.27</v>
      </c>
      <c r="Q390" s="494">
        <v>22.8</v>
      </c>
      <c r="R390" s="494">
        <v>29.55</v>
      </c>
      <c r="S390" s="494">
        <v>36.369999999999997</v>
      </c>
      <c r="T390" s="494">
        <v>43.01</v>
      </c>
      <c r="U390" s="491">
        <v>42150</v>
      </c>
      <c r="V390" s="491">
        <v>47420</v>
      </c>
      <c r="W390" s="491">
        <v>61470</v>
      </c>
      <c r="X390" s="491">
        <v>75650</v>
      </c>
      <c r="Y390" s="491">
        <v>89450</v>
      </c>
      <c r="Z390" s="490"/>
      <c r="AA390" s="490"/>
    </row>
    <row r="391" spans="7:27" x14ac:dyDescent="0.25">
      <c r="G391" s="489" t="s">
        <v>774</v>
      </c>
      <c r="H391" s="490" t="s">
        <v>399</v>
      </c>
      <c r="I391" s="491">
        <v>390</v>
      </c>
      <c r="J391" s="492">
        <v>22.1</v>
      </c>
      <c r="K391" s="493">
        <v>2.2000000000000002</v>
      </c>
      <c r="L391" s="494">
        <v>2.5</v>
      </c>
      <c r="M391" s="494">
        <v>32.119999999999997</v>
      </c>
      <c r="N391" s="491">
        <v>66800</v>
      </c>
      <c r="O391" s="492">
        <v>4.7</v>
      </c>
      <c r="P391" s="494">
        <v>17.829999999999998</v>
      </c>
      <c r="Q391" s="494">
        <v>27.13</v>
      </c>
      <c r="R391" s="494">
        <v>33.58</v>
      </c>
      <c r="S391" s="494">
        <v>37.75</v>
      </c>
      <c r="T391" s="494">
        <v>43.89</v>
      </c>
      <c r="U391" s="491">
        <v>37080</v>
      </c>
      <c r="V391" s="491">
        <v>56420</v>
      </c>
      <c r="W391" s="491">
        <v>69850</v>
      </c>
      <c r="X391" s="491">
        <v>78530</v>
      </c>
      <c r="Y391" s="491">
        <v>91290</v>
      </c>
      <c r="Z391" s="490"/>
      <c r="AA391" s="490"/>
    </row>
    <row r="392" spans="7:27" x14ac:dyDescent="0.25">
      <c r="G392" s="489" t="s">
        <v>775</v>
      </c>
      <c r="H392" s="490" t="s">
        <v>399</v>
      </c>
      <c r="I392" s="491">
        <v>50</v>
      </c>
      <c r="J392" s="492">
        <v>28.1</v>
      </c>
      <c r="K392" s="493">
        <v>0.26800000000000002</v>
      </c>
      <c r="L392" s="494">
        <v>1.86</v>
      </c>
      <c r="M392" s="494">
        <v>23.95</v>
      </c>
      <c r="N392" s="491">
        <v>49820</v>
      </c>
      <c r="O392" s="492">
        <v>8.8000000000000007</v>
      </c>
      <c r="P392" s="494">
        <v>12.08</v>
      </c>
      <c r="Q392" s="494">
        <v>18.97</v>
      </c>
      <c r="R392" s="494">
        <v>24.34</v>
      </c>
      <c r="S392" s="494">
        <v>30.52</v>
      </c>
      <c r="T392" s="494">
        <v>35.51</v>
      </c>
      <c r="U392" s="491">
        <v>25120</v>
      </c>
      <c r="V392" s="491">
        <v>39460</v>
      </c>
      <c r="W392" s="491">
        <v>50630</v>
      </c>
      <c r="X392" s="491">
        <v>63480</v>
      </c>
      <c r="Y392" s="491">
        <v>73860</v>
      </c>
      <c r="Z392" s="490"/>
      <c r="AA392" s="490"/>
    </row>
    <row r="393" spans="7:27" x14ac:dyDescent="0.25">
      <c r="G393" s="489" t="s">
        <v>776</v>
      </c>
      <c r="H393" s="490" t="s">
        <v>399</v>
      </c>
      <c r="I393" s="491">
        <v>40</v>
      </c>
      <c r="J393" s="492">
        <v>10.8</v>
      </c>
      <c r="K393" s="493">
        <v>0.21199999999999999</v>
      </c>
      <c r="L393" s="494">
        <v>1.86</v>
      </c>
      <c r="M393" s="494">
        <v>24.28</v>
      </c>
      <c r="N393" s="491">
        <v>50510</v>
      </c>
      <c r="O393" s="492">
        <v>8.1</v>
      </c>
      <c r="P393" s="494">
        <v>17.059999999999999</v>
      </c>
      <c r="Q393" s="494">
        <v>19.36</v>
      </c>
      <c r="R393" s="494">
        <v>23.54</v>
      </c>
      <c r="S393" s="494">
        <v>28.85</v>
      </c>
      <c r="T393" s="494">
        <v>33.72</v>
      </c>
      <c r="U393" s="491">
        <v>35490</v>
      </c>
      <c r="V393" s="491">
        <v>40270</v>
      </c>
      <c r="W393" s="491">
        <v>48960</v>
      </c>
      <c r="X393" s="491">
        <v>60010</v>
      </c>
      <c r="Y393" s="491">
        <v>70140</v>
      </c>
      <c r="Z393" s="490"/>
      <c r="AA393" s="490"/>
    </row>
    <row r="394" spans="7:27" x14ac:dyDescent="0.25">
      <c r="G394" s="489" t="s">
        <v>777</v>
      </c>
      <c r="H394" s="490" t="s">
        <v>399</v>
      </c>
      <c r="I394" s="491">
        <v>150</v>
      </c>
      <c r="J394" s="492">
        <v>25</v>
      </c>
      <c r="K394" s="493">
        <v>0.875</v>
      </c>
      <c r="L394" s="494">
        <v>1.1200000000000001</v>
      </c>
      <c r="M394" s="494">
        <v>14.4</v>
      </c>
      <c r="N394" s="491">
        <v>29950</v>
      </c>
      <c r="O394" s="492">
        <v>3.2</v>
      </c>
      <c r="P394" s="494">
        <v>11.31</v>
      </c>
      <c r="Q394" s="494">
        <v>12.48</v>
      </c>
      <c r="R394" s="494">
        <v>13.92</v>
      </c>
      <c r="S394" s="494">
        <v>16.190000000000001</v>
      </c>
      <c r="T394" s="494">
        <v>18.46</v>
      </c>
      <c r="U394" s="491">
        <v>23530</v>
      </c>
      <c r="V394" s="491">
        <v>25970</v>
      </c>
      <c r="W394" s="491">
        <v>28950</v>
      </c>
      <c r="X394" s="491">
        <v>33670</v>
      </c>
      <c r="Y394" s="491">
        <v>38390</v>
      </c>
      <c r="Z394" s="490"/>
      <c r="AA394" s="490"/>
    </row>
    <row r="395" spans="7:27" x14ac:dyDescent="0.25">
      <c r="G395" s="489" t="s">
        <v>778</v>
      </c>
      <c r="H395" s="490" t="s">
        <v>399</v>
      </c>
      <c r="I395" s="491">
        <v>30</v>
      </c>
      <c r="J395" s="492">
        <v>34.9</v>
      </c>
      <c r="K395" s="493">
        <v>0.193</v>
      </c>
      <c r="L395" s="494">
        <v>0.59</v>
      </c>
      <c r="M395" s="494">
        <v>35.44</v>
      </c>
      <c r="N395" s="491">
        <v>73720</v>
      </c>
      <c r="O395" s="492">
        <v>18</v>
      </c>
      <c r="P395" s="494">
        <v>16.54</v>
      </c>
      <c r="Q395" s="494">
        <v>20.22</v>
      </c>
      <c r="R395" s="494">
        <v>41.52</v>
      </c>
      <c r="S395" s="494">
        <v>49.63</v>
      </c>
      <c r="T395" s="494">
        <v>56.86</v>
      </c>
      <c r="U395" s="491">
        <v>34410</v>
      </c>
      <c r="V395" s="491">
        <v>42070</v>
      </c>
      <c r="W395" s="491">
        <v>86360</v>
      </c>
      <c r="X395" s="491">
        <v>103230</v>
      </c>
      <c r="Y395" s="491">
        <v>118280</v>
      </c>
      <c r="Z395" s="490"/>
      <c r="AA395" s="490"/>
    </row>
    <row r="396" spans="7:27" x14ac:dyDescent="0.25">
      <c r="G396" s="489" t="s">
        <v>779</v>
      </c>
      <c r="H396" s="490" t="s">
        <v>399</v>
      </c>
      <c r="I396" s="491">
        <v>170</v>
      </c>
      <c r="J396" s="492">
        <v>20.9</v>
      </c>
      <c r="K396" s="493">
        <v>0.97599999999999998</v>
      </c>
      <c r="L396" s="494">
        <v>0.47</v>
      </c>
      <c r="M396" s="494">
        <v>30.11</v>
      </c>
      <c r="N396" s="491">
        <v>62630</v>
      </c>
      <c r="O396" s="492">
        <v>2.7</v>
      </c>
      <c r="P396" s="494">
        <v>21.06</v>
      </c>
      <c r="Q396" s="494">
        <v>26.59</v>
      </c>
      <c r="R396" s="494">
        <v>30.27</v>
      </c>
      <c r="S396" s="494">
        <v>34.96</v>
      </c>
      <c r="T396" s="494">
        <v>37.94</v>
      </c>
      <c r="U396" s="491">
        <v>43800</v>
      </c>
      <c r="V396" s="491">
        <v>55320</v>
      </c>
      <c r="W396" s="491">
        <v>62970</v>
      </c>
      <c r="X396" s="491">
        <v>72710</v>
      </c>
      <c r="Y396" s="491">
        <v>78920</v>
      </c>
      <c r="Z396" s="490"/>
      <c r="AA396" s="490"/>
    </row>
    <row r="397" spans="7:27" x14ac:dyDescent="0.25">
      <c r="G397" s="489" t="s">
        <v>780</v>
      </c>
      <c r="H397" s="490" t="s">
        <v>399</v>
      </c>
      <c r="I397" s="491">
        <v>160</v>
      </c>
      <c r="J397" s="492">
        <v>32.299999999999997</v>
      </c>
      <c r="K397" s="493">
        <v>0.92100000000000004</v>
      </c>
      <c r="L397" s="494">
        <v>0.39</v>
      </c>
      <c r="M397" s="494">
        <v>31.99</v>
      </c>
      <c r="N397" s="491">
        <v>66540</v>
      </c>
      <c r="O397" s="492">
        <v>7.2</v>
      </c>
      <c r="P397" s="494">
        <v>18.579999999999998</v>
      </c>
      <c r="Q397" s="494">
        <v>24.46</v>
      </c>
      <c r="R397" s="494">
        <v>32.880000000000003</v>
      </c>
      <c r="S397" s="494">
        <v>38.299999999999997</v>
      </c>
      <c r="T397" s="494">
        <v>46.31</v>
      </c>
      <c r="U397" s="491">
        <v>38650</v>
      </c>
      <c r="V397" s="491">
        <v>50890</v>
      </c>
      <c r="W397" s="491">
        <v>68400</v>
      </c>
      <c r="X397" s="491">
        <v>79660</v>
      </c>
      <c r="Y397" s="491">
        <v>96320</v>
      </c>
      <c r="Z397" s="490"/>
      <c r="AA397" s="490"/>
    </row>
    <row r="398" spans="7:27" x14ac:dyDescent="0.25">
      <c r="G398" s="489" t="s">
        <v>781</v>
      </c>
      <c r="H398" s="490" t="s">
        <v>399</v>
      </c>
      <c r="I398" s="491">
        <v>90</v>
      </c>
      <c r="J398" s="492">
        <v>15.9</v>
      </c>
      <c r="K398" s="493">
        <v>0.499</v>
      </c>
      <c r="L398" s="494">
        <v>0.78</v>
      </c>
      <c r="M398" s="494">
        <v>22.34</v>
      </c>
      <c r="N398" s="491">
        <v>46470</v>
      </c>
      <c r="O398" s="492">
        <v>4</v>
      </c>
      <c r="P398" s="494">
        <v>15.9</v>
      </c>
      <c r="Q398" s="494">
        <v>18.010000000000002</v>
      </c>
      <c r="R398" s="494">
        <v>21.8</v>
      </c>
      <c r="S398" s="494">
        <v>25.02</v>
      </c>
      <c r="T398" s="494">
        <v>30.65</v>
      </c>
      <c r="U398" s="491">
        <v>33060</v>
      </c>
      <c r="V398" s="491">
        <v>37460</v>
      </c>
      <c r="W398" s="491">
        <v>45340</v>
      </c>
      <c r="X398" s="491">
        <v>52040</v>
      </c>
      <c r="Y398" s="491">
        <v>63750</v>
      </c>
      <c r="Z398" s="490"/>
      <c r="AA398" s="490"/>
    </row>
    <row r="399" spans="7:27" x14ac:dyDescent="0.25">
      <c r="G399" s="489" t="s">
        <v>782</v>
      </c>
      <c r="H399" s="490" t="s">
        <v>399</v>
      </c>
      <c r="I399" s="491" t="s">
        <v>403</v>
      </c>
      <c r="J399" s="492" t="s">
        <v>403</v>
      </c>
      <c r="K399" s="493" t="s">
        <v>403</v>
      </c>
      <c r="L399" s="494" t="s">
        <v>403</v>
      </c>
      <c r="M399" s="494">
        <v>23.49</v>
      </c>
      <c r="N399" s="491">
        <v>48860</v>
      </c>
      <c r="O399" s="492">
        <v>8.6999999999999993</v>
      </c>
      <c r="P399" s="494">
        <v>15.15</v>
      </c>
      <c r="Q399" s="494">
        <v>18.04</v>
      </c>
      <c r="R399" s="494">
        <v>22.13</v>
      </c>
      <c r="S399" s="494">
        <v>28.65</v>
      </c>
      <c r="T399" s="494">
        <v>35.229999999999997</v>
      </c>
      <c r="U399" s="491">
        <v>31500</v>
      </c>
      <c r="V399" s="491">
        <v>37520</v>
      </c>
      <c r="W399" s="491">
        <v>46040</v>
      </c>
      <c r="X399" s="491">
        <v>59590</v>
      </c>
      <c r="Y399" s="491">
        <v>73290</v>
      </c>
      <c r="Z399" s="490"/>
      <c r="AA399" s="490"/>
    </row>
    <row r="400" spans="7:27" x14ac:dyDescent="0.25">
      <c r="G400" s="489" t="s">
        <v>783</v>
      </c>
      <c r="H400" s="490" t="s">
        <v>399</v>
      </c>
      <c r="I400" s="491">
        <v>220</v>
      </c>
      <c r="J400" s="492">
        <v>34</v>
      </c>
      <c r="K400" s="493">
        <v>1.272</v>
      </c>
      <c r="L400" s="494">
        <v>1.52</v>
      </c>
      <c r="M400" s="494">
        <v>40.47</v>
      </c>
      <c r="N400" s="491">
        <v>84180</v>
      </c>
      <c r="O400" s="492">
        <v>2.7</v>
      </c>
      <c r="P400" s="494">
        <v>30.93</v>
      </c>
      <c r="Q400" s="494">
        <v>36.549999999999997</v>
      </c>
      <c r="R400" s="494">
        <v>42.27</v>
      </c>
      <c r="S400" s="494">
        <v>46.25</v>
      </c>
      <c r="T400" s="494">
        <v>48.63</v>
      </c>
      <c r="U400" s="491">
        <v>64330</v>
      </c>
      <c r="V400" s="491">
        <v>76020</v>
      </c>
      <c r="W400" s="491">
        <v>87920</v>
      </c>
      <c r="X400" s="491">
        <v>96190</v>
      </c>
      <c r="Y400" s="491">
        <v>101150</v>
      </c>
      <c r="Z400" s="490"/>
      <c r="AA400" s="490"/>
    </row>
    <row r="401" spans="7:27" x14ac:dyDescent="0.25">
      <c r="G401" s="489" t="s">
        <v>784</v>
      </c>
      <c r="H401" s="490" t="s">
        <v>399</v>
      </c>
      <c r="I401" s="491">
        <v>330</v>
      </c>
      <c r="J401" s="492">
        <v>30.3</v>
      </c>
      <c r="K401" s="493">
        <v>1.8540000000000001</v>
      </c>
      <c r="L401" s="494">
        <v>2.6</v>
      </c>
      <c r="M401" s="494">
        <v>36.47</v>
      </c>
      <c r="N401" s="491">
        <v>75860</v>
      </c>
      <c r="O401" s="492">
        <v>3</v>
      </c>
      <c r="P401" s="494">
        <v>24.55</v>
      </c>
      <c r="Q401" s="494">
        <v>31.74</v>
      </c>
      <c r="R401" s="494">
        <v>37.65</v>
      </c>
      <c r="S401" s="494">
        <v>43.51</v>
      </c>
      <c r="T401" s="494">
        <v>47.39</v>
      </c>
      <c r="U401" s="491">
        <v>51060</v>
      </c>
      <c r="V401" s="491">
        <v>66010</v>
      </c>
      <c r="W401" s="491">
        <v>78300</v>
      </c>
      <c r="X401" s="491">
        <v>90500</v>
      </c>
      <c r="Y401" s="491">
        <v>98570</v>
      </c>
      <c r="Z401" s="490"/>
      <c r="AA401" s="490"/>
    </row>
    <row r="402" spans="7:27" x14ac:dyDescent="0.25">
      <c r="G402" s="489" t="s">
        <v>785</v>
      </c>
      <c r="H402" s="490" t="s">
        <v>399</v>
      </c>
      <c r="I402" s="491">
        <v>70</v>
      </c>
      <c r="J402" s="492">
        <v>31.4</v>
      </c>
      <c r="K402" s="493">
        <v>0.40200000000000002</v>
      </c>
      <c r="L402" s="494">
        <v>1.3</v>
      </c>
      <c r="M402" s="494">
        <v>31.27</v>
      </c>
      <c r="N402" s="491">
        <v>65050</v>
      </c>
      <c r="O402" s="492">
        <v>4.5</v>
      </c>
      <c r="P402" s="494">
        <v>21.11</v>
      </c>
      <c r="Q402" s="494">
        <v>26.17</v>
      </c>
      <c r="R402" s="494">
        <v>30.68</v>
      </c>
      <c r="S402" s="494">
        <v>36.53</v>
      </c>
      <c r="T402" s="494">
        <v>40.200000000000003</v>
      </c>
      <c r="U402" s="491">
        <v>43910</v>
      </c>
      <c r="V402" s="491">
        <v>54440</v>
      </c>
      <c r="W402" s="491">
        <v>63820</v>
      </c>
      <c r="X402" s="491">
        <v>75980</v>
      </c>
      <c r="Y402" s="491">
        <v>83620</v>
      </c>
      <c r="Z402" s="490"/>
      <c r="AA402" s="490"/>
    </row>
    <row r="403" spans="7:27" x14ac:dyDescent="0.25">
      <c r="G403" s="489" t="s">
        <v>786</v>
      </c>
      <c r="H403" s="490" t="s">
        <v>399</v>
      </c>
      <c r="I403" s="491">
        <v>1600</v>
      </c>
      <c r="J403" s="492">
        <v>6.4</v>
      </c>
      <c r="K403" s="493">
        <v>9.0760000000000005</v>
      </c>
      <c r="L403" s="494">
        <v>0.96</v>
      </c>
      <c r="M403" s="494">
        <v>24.16</v>
      </c>
      <c r="N403" s="491">
        <v>50240</v>
      </c>
      <c r="O403" s="492">
        <v>2.2000000000000002</v>
      </c>
      <c r="P403" s="494">
        <v>15.11</v>
      </c>
      <c r="Q403" s="494">
        <v>18.43</v>
      </c>
      <c r="R403" s="494">
        <v>23.46</v>
      </c>
      <c r="S403" s="494">
        <v>29.25</v>
      </c>
      <c r="T403" s="494">
        <v>35.42</v>
      </c>
      <c r="U403" s="491">
        <v>31430</v>
      </c>
      <c r="V403" s="491">
        <v>38330</v>
      </c>
      <c r="W403" s="491">
        <v>48790</v>
      </c>
      <c r="X403" s="491">
        <v>60850</v>
      </c>
      <c r="Y403" s="491">
        <v>73660</v>
      </c>
      <c r="Z403" s="490"/>
      <c r="AA403" s="490"/>
    </row>
    <row r="404" spans="7:27" x14ac:dyDescent="0.25">
      <c r="G404" s="489" t="s">
        <v>787</v>
      </c>
      <c r="H404" s="490" t="s">
        <v>399</v>
      </c>
      <c r="I404" s="491">
        <v>40</v>
      </c>
      <c r="J404" s="492">
        <v>36.9</v>
      </c>
      <c r="K404" s="493">
        <v>0.21099999999999999</v>
      </c>
      <c r="L404" s="494">
        <v>1.41</v>
      </c>
      <c r="M404" s="494">
        <v>23.5</v>
      </c>
      <c r="N404" s="491">
        <v>48880</v>
      </c>
      <c r="O404" s="492">
        <v>13</v>
      </c>
      <c r="P404" s="494">
        <v>14.29</v>
      </c>
      <c r="Q404" s="494">
        <v>18.739999999999998</v>
      </c>
      <c r="R404" s="494">
        <v>25.43</v>
      </c>
      <c r="S404" s="494">
        <v>28.41</v>
      </c>
      <c r="T404" s="494">
        <v>30.19</v>
      </c>
      <c r="U404" s="491">
        <v>29720</v>
      </c>
      <c r="V404" s="491">
        <v>38970</v>
      </c>
      <c r="W404" s="491">
        <v>52900</v>
      </c>
      <c r="X404" s="491">
        <v>59080</v>
      </c>
      <c r="Y404" s="491">
        <v>62800</v>
      </c>
      <c r="Z404" s="490"/>
      <c r="AA404" s="490"/>
    </row>
    <row r="405" spans="7:27" x14ac:dyDescent="0.25">
      <c r="G405" s="489" t="s">
        <v>788</v>
      </c>
      <c r="H405" s="490" t="s">
        <v>399</v>
      </c>
      <c r="I405" s="491">
        <v>190</v>
      </c>
      <c r="J405" s="492">
        <v>23.7</v>
      </c>
      <c r="K405" s="493">
        <v>1.0900000000000001</v>
      </c>
      <c r="L405" s="494">
        <v>1.29</v>
      </c>
      <c r="M405" s="494">
        <v>15.32</v>
      </c>
      <c r="N405" s="491">
        <v>31870</v>
      </c>
      <c r="O405" s="492">
        <v>4.9000000000000004</v>
      </c>
      <c r="P405" s="494">
        <v>10.3</v>
      </c>
      <c r="Q405" s="494">
        <v>12.15</v>
      </c>
      <c r="R405" s="494">
        <v>14.75</v>
      </c>
      <c r="S405" s="494">
        <v>17.84</v>
      </c>
      <c r="T405" s="494">
        <v>21.92</v>
      </c>
      <c r="U405" s="491">
        <v>21420</v>
      </c>
      <c r="V405" s="491">
        <v>25280</v>
      </c>
      <c r="W405" s="491">
        <v>30680</v>
      </c>
      <c r="X405" s="491">
        <v>37120</v>
      </c>
      <c r="Y405" s="491">
        <v>45600</v>
      </c>
      <c r="Z405" s="490"/>
      <c r="AA405" s="490"/>
    </row>
    <row r="406" spans="7:27" x14ac:dyDescent="0.25">
      <c r="G406" s="489" t="s">
        <v>789</v>
      </c>
      <c r="H406" s="490" t="s">
        <v>399</v>
      </c>
      <c r="I406" s="491">
        <v>150</v>
      </c>
      <c r="J406" s="492">
        <v>11.7</v>
      </c>
      <c r="K406" s="493">
        <v>0.872</v>
      </c>
      <c r="L406" s="494">
        <v>0.84</v>
      </c>
      <c r="M406" s="494">
        <v>30.56</v>
      </c>
      <c r="N406" s="491">
        <v>63560</v>
      </c>
      <c r="O406" s="492">
        <v>5.3</v>
      </c>
      <c r="P406" s="494">
        <v>14.13</v>
      </c>
      <c r="Q406" s="494">
        <v>25.7</v>
      </c>
      <c r="R406" s="494">
        <v>31.62</v>
      </c>
      <c r="S406" s="494">
        <v>36.369999999999997</v>
      </c>
      <c r="T406" s="494">
        <v>39.659999999999997</v>
      </c>
      <c r="U406" s="491">
        <v>29390</v>
      </c>
      <c r="V406" s="491">
        <v>53460</v>
      </c>
      <c r="W406" s="491">
        <v>65770</v>
      </c>
      <c r="X406" s="491">
        <v>75660</v>
      </c>
      <c r="Y406" s="491">
        <v>82500</v>
      </c>
      <c r="Z406" s="490"/>
      <c r="AA406" s="490"/>
    </row>
    <row r="407" spans="7:27" x14ac:dyDescent="0.25">
      <c r="G407" s="489" t="s">
        <v>201</v>
      </c>
      <c r="H407" s="490" t="s">
        <v>398</v>
      </c>
      <c r="I407" s="491">
        <v>3590</v>
      </c>
      <c r="J407" s="492">
        <v>5.6</v>
      </c>
      <c r="K407" s="493">
        <v>20.364999999999998</v>
      </c>
      <c r="L407" s="494">
        <v>0.31</v>
      </c>
      <c r="M407" s="494">
        <v>22.82</v>
      </c>
      <c r="N407" s="491">
        <v>47460</v>
      </c>
      <c r="O407" s="492">
        <v>3.1</v>
      </c>
      <c r="P407" s="494">
        <v>11.18</v>
      </c>
      <c r="Q407" s="494">
        <v>14.31</v>
      </c>
      <c r="R407" s="494">
        <v>20.13</v>
      </c>
      <c r="S407" s="494">
        <v>29.13</v>
      </c>
      <c r="T407" s="494">
        <v>39.130000000000003</v>
      </c>
      <c r="U407" s="491">
        <v>23250</v>
      </c>
      <c r="V407" s="491">
        <v>29760</v>
      </c>
      <c r="W407" s="491">
        <v>41870</v>
      </c>
      <c r="X407" s="491">
        <v>60590</v>
      </c>
      <c r="Y407" s="491">
        <v>81390</v>
      </c>
      <c r="Z407" s="490"/>
      <c r="AA407" s="490"/>
    </row>
    <row r="408" spans="7:27" x14ac:dyDescent="0.25">
      <c r="G408" s="489" t="s">
        <v>790</v>
      </c>
      <c r="H408" s="490" t="s">
        <v>399</v>
      </c>
      <c r="I408" s="491">
        <v>240</v>
      </c>
      <c r="J408" s="492">
        <v>12.8</v>
      </c>
      <c r="K408" s="493">
        <v>1.3640000000000001</v>
      </c>
      <c r="L408" s="494">
        <v>0.31</v>
      </c>
      <c r="M408" s="494">
        <v>31.82</v>
      </c>
      <c r="N408" s="491">
        <v>66190</v>
      </c>
      <c r="O408" s="492">
        <v>6.7</v>
      </c>
      <c r="P408" s="494">
        <v>14.29</v>
      </c>
      <c r="Q408" s="494">
        <v>20.83</v>
      </c>
      <c r="R408" s="494">
        <v>28.23</v>
      </c>
      <c r="S408" s="494">
        <v>41.44</v>
      </c>
      <c r="T408" s="494">
        <v>54.6</v>
      </c>
      <c r="U408" s="491">
        <v>29730</v>
      </c>
      <c r="V408" s="491">
        <v>43320</v>
      </c>
      <c r="W408" s="491">
        <v>58720</v>
      </c>
      <c r="X408" s="491">
        <v>86190</v>
      </c>
      <c r="Y408" s="491">
        <v>113570</v>
      </c>
      <c r="Z408" s="490"/>
      <c r="AA408" s="490"/>
    </row>
    <row r="409" spans="7:27" x14ac:dyDescent="0.25">
      <c r="G409" s="489" t="s">
        <v>791</v>
      </c>
      <c r="H409" s="490" t="s">
        <v>399</v>
      </c>
      <c r="I409" s="491">
        <v>30</v>
      </c>
      <c r="J409" s="492">
        <v>34.4</v>
      </c>
      <c r="K409" s="493">
        <v>0.19600000000000001</v>
      </c>
      <c r="L409" s="494">
        <v>0.36</v>
      </c>
      <c r="M409" s="494">
        <v>23.48</v>
      </c>
      <c r="N409" s="491">
        <v>48840</v>
      </c>
      <c r="O409" s="492">
        <v>7.9</v>
      </c>
      <c r="P409" s="494">
        <v>13.93</v>
      </c>
      <c r="Q409" s="494">
        <v>16.7</v>
      </c>
      <c r="R409" s="494">
        <v>21.52</v>
      </c>
      <c r="S409" s="494">
        <v>31.12</v>
      </c>
      <c r="T409" s="494">
        <v>36.520000000000003</v>
      </c>
      <c r="U409" s="491">
        <v>28970</v>
      </c>
      <c r="V409" s="491">
        <v>34740</v>
      </c>
      <c r="W409" s="491">
        <v>44770</v>
      </c>
      <c r="X409" s="491">
        <v>64740</v>
      </c>
      <c r="Y409" s="491">
        <v>75970</v>
      </c>
      <c r="Z409" s="490"/>
      <c r="AA409" s="490"/>
    </row>
    <row r="410" spans="7:27" x14ac:dyDescent="0.25">
      <c r="G410" s="489" t="s">
        <v>792</v>
      </c>
      <c r="H410" s="490" t="s">
        <v>399</v>
      </c>
      <c r="I410" s="491">
        <v>220</v>
      </c>
      <c r="J410" s="492">
        <v>38.299999999999997</v>
      </c>
      <c r="K410" s="493">
        <v>1.268</v>
      </c>
      <c r="L410" s="494">
        <v>0.16</v>
      </c>
      <c r="M410" s="494">
        <v>15.55</v>
      </c>
      <c r="N410" s="491">
        <v>32350</v>
      </c>
      <c r="O410" s="492">
        <v>4.0999999999999996</v>
      </c>
      <c r="P410" s="494">
        <v>10.93</v>
      </c>
      <c r="Q410" s="494">
        <v>12.39</v>
      </c>
      <c r="R410" s="494">
        <v>14.64</v>
      </c>
      <c r="S410" s="494">
        <v>17.899999999999999</v>
      </c>
      <c r="T410" s="494">
        <v>22.18</v>
      </c>
      <c r="U410" s="491">
        <v>22730</v>
      </c>
      <c r="V410" s="491">
        <v>25770</v>
      </c>
      <c r="W410" s="491">
        <v>30450</v>
      </c>
      <c r="X410" s="491">
        <v>37240</v>
      </c>
      <c r="Y410" s="491">
        <v>46130</v>
      </c>
      <c r="Z410" s="490"/>
      <c r="AA410" s="490"/>
    </row>
    <row r="411" spans="7:27" x14ac:dyDescent="0.25">
      <c r="G411" s="489" t="s">
        <v>793</v>
      </c>
      <c r="H411" s="490" t="s">
        <v>399</v>
      </c>
      <c r="I411" s="491">
        <v>120</v>
      </c>
      <c r="J411" s="492">
        <v>26.8</v>
      </c>
      <c r="K411" s="493">
        <v>0.69099999999999995</v>
      </c>
      <c r="L411" s="494">
        <v>0.42</v>
      </c>
      <c r="M411" s="494">
        <v>18.11</v>
      </c>
      <c r="N411" s="491">
        <v>37670</v>
      </c>
      <c r="O411" s="492">
        <v>2.8</v>
      </c>
      <c r="P411" s="494">
        <v>12.73</v>
      </c>
      <c r="Q411" s="494">
        <v>15.61</v>
      </c>
      <c r="R411" s="494">
        <v>17.84</v>
      </c>
      <c r="S411" s="494">
        <v>21</v>
      </c>
      <c r="T411" s="494">
        <v>24.11</v>
      </c>
      <c r="U411" s="491">
        <v>26480</v>
      </c>
      <c r="V411" s="491">
        <v>32460</v>
      </c>
      <c r="W411" s="491">
        <v>37120</v>
      </c>
      <c r="X411" s="491">
        <v>43670</v>
      </c>
      <c r="Y411" s="491">
        <v>50150</v>
      </c>
      <c r="Z411" s="490"/>
      <c r="AA411" s="490"/>
    </row>
    <row r="412" spans="7:27" x14ac:dyDescent="0.25">
      <c r="G412" s="489" t="s">
        <v>794</v>
      </c>
      <c r="H412" s="490" t="s">
        <v>399</v>
      </c>
      <c r="I412" s="491">
        <v>120</v>
      </c>
      <c r="J412" s="492">
        <v>15.3</v>
      </c>
      <c r="K412" s="493">
        <v>0.68600000000000005</v>
      </c>
      <c r="L412" s="494">
        <v>0.53</v>
      </c>
      <c r="M412" s="494">
        <v>18.059999999999999</v>
      </c>
      <c r="N412" s="491">
        <v>37560</v>
      </c>
      <c r="O412" s="492">
        <v>2.7</v>
      </c>
      <c r="P412" s="494">
        <v>11.61</v>
      </c>
      <c r="Q412" s="494">
        <v>15.39</v>
      </c>
      <c r="R412" s="494">
        <v>18.329999999999998</v>
      </c>
      <c r="S412" s="494">
        <v>21.44</v>
      </c>
      <c r="T412" s="494">
        <v>23.59</v>
      </c>
      <c r="U412" s="491">
        <v>24140</v>
      </c>
      <c r="V412" s="491">
        <v>32000</v>
      </c>
      <c r="W412" s="491">
        <v>38130</v>
      </c>
      <c r="X412" s="491">
        <v>44590</v>
      </c>
      <c r="Y412" s="491">
        <v>49060</v>
      </c>
      <c r="Z412" s="490"/>
      <c r="AA412" s="490"/>
    </row>
    <row r="413" spans="7:27" x14ac:dyDescent="0.25">
      <c r="G413" s="489" t="s">
        <v>795</v>
      </c>
      <c r="H413" s="490" t="s">
        <v>399</v>
      </c>
      <c r="I413" s="491">
        <v>150</v>
      </c>
      <c r="J413" s="492">
        <v>10.3</v>
      </c>
      <c r="K413" s="493">
        <v>0.876</v>
      </c>
      <c r="L413" s="494">
        <v>0.92</v>
      </c>
      <c r="M413" s="494">
        <v>21.4</v>
      </c>
      <c r="N413" s="491">
        <v>44500</v>
      </c>
      <c r="O413" s="492">
        <v>3.5</v>
      </c>
      <c r="P413" s="494">
        <v>13.54</v>
      </c>
      <c r="Q413" s="494">
        <v>16.510000000000002</v>
      </c>
      <c r="R413" s="494">
        <v>21.81</v>
      </c>
      <c r="S413" s="494">
        <v>26.6</v>
      </c>
      <c r="T413" s="494">
        <v>29.26</v>
      </c>
      <c r="U413" s="491">
        <v>28160</v>
      </c>
      <c r="V413" s="491">
        <v>34340</v>
      </c>
      <c r="W413" s="491">
        <v>45370</v>
      </c>
      <c r="X413" s="491">
        <v>55330</v>
      </c>
      <c r="Y413" s="491">
        <v>60860</v>
      </c>
      <c r="Z413" s="490"/>
      <c r="AA413" s="490"/>
    </row>
    <row r="414" spans="7:27" x14ac:dyDescent="0.25">
      <c r="G414" s="489" t="s">
        <v>796</v>
      </c>
      <c r="H414" s="490" t="s">
        <v>399</v>
      </c>
      <c r="I414" s="491">
        <v>40</v>
      </c>
      <c r="J414" s="492">
        <v>44.2</v>
      </c>
      <c r="K414" s="493">
        <v>0.20899999999999999</v>
      </c>
      <c r="L414" s="494">
        <v>1.46</v>
      </c>
      <c r="M414" s="494">
        <v>11.85</v>
      </c>
      <c r="N414" s="491">
        <v>24640</v>
      </c>
      <c r="O414" s="492">
        <v>3.7</v>
      </c>
      <c r="P414" s="494">
        <v>10.029999999999999</v>
      </c>
      <c r="Q414" s="494">
        <v>10.61</v>
      </c>
      <c r="R414" s="494">
        <v>11.58</v>
      </c>
      <c r="S414" s="494">
        <v>13.01</v>
      </c>
      <c r="T414" s="494">
        <v>14.29</v>
      </c>
      <c r="U414" s="491">
        <v>20870</v>
      </c>
      <c r="V414" s="491">
        <v>22080</v>
      </c>
      <c r="W414" s="491">
        <v>24090</v>
      </c>
      <c r="X414" s="491">
        <v>27070</v>
      </c>
      <c r="Y414" s="491">
        <v>29710</v>
      </c>
      <c r="Z414" s="490"/>
      <c r="AA414" s="490"/>
    </row>
    <row r="415" spans="7:27" x14ac:dyDescent="0.25">
      <c r="G415" s="489" t="s">
        <v>797</v>
      </c>
      <c r="H415" s="490" t="s">
        <v>399</v>
      </c>
      <c r="I415" s="491">
        <v>70</v>
      </c>
      <c r="J415" s="492">
        <v>41.2</v>
      </c>
      <c r="K415" s="493">
        <v>0.37</v>
      </c>
      <c r="L415" s="494">
        <v>0.35</v>
      </c>
      <c r="M415" s="494">
        <v>13.66</v>
      </c>
      <c r="N415" s="491">
        <v>28420</v>
      </c>
      <c r="O415" s="492">
        <v>7.1</v>
      </c>
      <c r="P415" s="494">
        <v>9.76</v>
      </c>
      <c r="Q415" s="494">
        <v>10.16</v>
      </c>
      <c r="R415" s="494">
        <v>13.57</v>
      </c>
      <c r="S415" s="494">
        <v>16.79</v>
      </c>
      <c r="T415" s="494">
        <v>18.32</v>
      </c>
      <c r="U415" s="491">
        <v>20290</v>
      </c>
      <c r="V415" s="491">
        <v>21130</v>
      </c>
      <c r="W415" s="491">
        <v>28220</v>
      </c>
      <c r="X415" s="491">
        <v>34930</v>
      </c>
      <c r="Y415" s="491">
        <v>38110</v>
      </c>
      <c r="Z415" s="490"/>
      <c r="AA415" s="490"/>
    </row>
    <row r="416" spans="7:27" x14ac:dyDescent="0.25">
      <c r="G416" s="489" t="s">
        <v>798</v>
      </c>
      <c r="H416" s="490" t="s">
        <v>399</v>
      </c>
      <c r="I416" s="491">
        <v>40</v>
      </c>
      <c r="J416" s="492">
        <v>33.299999999999997</v>
      </c>
      <c r="K416" s="493">
        <v>0.22600000000000001</v>
      </c>
      <c r="L416" s="494">
        <v>0.16</v>
      </c>
      <c r="M416" s="494">
        <v>17.36</v>
      </c>
      <c r="N416" s="491">
        <v>36100</v>
      </c>
      <c r="O416" s="492">
        <v>5.3</v>
      </c>
      <c r="P416" s="494">
        <v>11.06</v>
      </c>
      <c r="Q416" s="494">
        <v>14.97</v>
      </c>
      <c r="R416" s="494">
        <v>17.57</v>
      </c>
      <c r="S416" s="494">
        <v>20.77</v>
      </c>
      <c r="T416" s="494">
        <v>23.17</v>
      </c>
      <c r="U416" s="491">
        <v>23000</v>
      </c>
      <c r="V416" s="491">
        <v>31140</v>
      </c>
      <c r="W416" s="491">
        <v>36550</v>
      </c>
      <c r="X416" s="491">
        <v>43210</v>
      </c>
      <c r="Y416" s="491">
        <v>48190</v>
      </c>
      <c r="Z416" s="490"/>
      <c r="AA416" s="490"/>
    </row>
    <row r="417" spans="7:27" x14ac:dyDescent="0.25">
      <c r="G417" s="489" t="s">
        <v>799</v>
      </c>
      <c r="H417" s="490" t="s">
        <v>399</v>
      </c>
      <c r="I417" s="491">
        <v>50</v>
      </c>
      <c r="J417" s="492">
        <v>26.6</v>
      </c>
      <c r="K417" s="493">
        <v>0.308</v>
      </c>
      <c r="L417" s="494">
        <v>0.11</v>
      </c>
      <c r="M417" s="494">
        <v>29.52</v>
      </c>
      <c r="N417" s="491">
        <v>61410</v>
      </c>
      <c r="O417" s="492">
        <v>3.7</v>
      </c>
      <c r="P417" s="494">
        <v>23.09</v>
      </c>
      <c r="Q417" s="494">
        <v>26.38</v>
      </c>
      <c r="R417" s="494">
        <v>29.36</v>
      </c>
      <c r="S417" s="494">
        <v>33.43</v>
      </c>
      <c r="T417" s="494">
        <v>37.44</v>
      </c>
      <c r="U417" s="491">
        <v>48030</v>
      </c>
      <c r="V417" s="491">
        <v>54870</v>
      </c>
      <c r="W417" s="491">
        <v>61070</v>
      </c>
      <c r="X417" s="491">
        <v>69540</v>
      </c>
      <c r="Y417" s="491">
        <v>77870</v>
      </c>
      <c r="Z417" s="490"/>
      <c r="AA417" s="490"/>
    </row>
    <row r="418" spans="7:27" x14ac:dyDescent="0.25">
      <c r="G418" s="489" t="s">
        <v>800</v>
      </c>
      <c r="H418" s="490" t="s">
        <v>399</v>
      </c>
      <c r="I418" s="491">
        <v>250</v>
      </c>
      <c r="J418" s="492">
        <v>13.5</v>
      </c>
      <c r="K418" s="493">
        <v>1.4119999999999999</v>
      </c>
      <c r="L418" s="494">
        <v>0.52</v>
      </c>
      <c r="M418" s="494">
        <v>34.78</v>
      </c>
      <c r="N418" s="491">
        <v>72350</v>
      </c>
      <c r="O418" s="492">
        <v>3.3</v>
      </c>
      <c r="P418" s="494">
        <v>21.75</v>
      </c>
      <c r="Q418" s="494">
        <v>27.76</v>
      </c>
      <c r="R418" s="494">
        <v>35.42</v>
      </c>
      <c r="S418" s="494">
        <v>43.2</v>
      </c>
      <c r="T418" s="494">
        <v>47.49</v>
      </c>
      <c r="U418" s="491">
        <v>45240</v>
      </c>
      <c r="V418" s="491">
        <v>57740</v>
      </c>
      <c r="W418" s="491">
        <v>73670</v>
      </c>
      <c r="X418" s="491">
        <v>89860</v>
      </c>
      <c r="Y418" s="491">
        <v>98770</v>
      </c>
      <c r="Z418" s="490"/>
      <c r="AA418" s="490"/>
    </row>
    <row r="419" spans="7:27" x14ac:dyDescent="0.25">
      <c r="G419" s="489" t="s">
        <v>801</v>
      </c>
      <c r="H419" s="490" t="s">
        <v>399</v>
      </c>
      <c r="I419" s="491">
        <v>100</v>
      </c>
      <c r="J419" s="492">
        <v>34.6</v>
      </c>
      <c r="K419" s="493">
        <v>0.54200000000000004</v>
      </c>
      <c r="L419" s="494">
        <v>0.45</v>
      </c>
      <c r="M419" s="494">
        <v>23.21</v>
      </c>
      <c r="N419" s="491">
        <v>48280</v>
      </c>
      <c r="O419" s="492">
        <v>6.2</v>
      </c>
      <c r="P419" s="494">
        <v>13.55</v>
      </c>
      <c r="Q419" s="494">
        <v>19.55</v>
      </c>
      <c r="R419" s="494">
        <v>23.85</v>
      </c>
      <c r="S419" s="494">
        <v>28.31</v>
      </c>
      <c r="T419" s="494">
        <v>31.01</v>
      </c>
      <c r="U419" s="491">
        <v>28190</v>
      </c>
      <c r="V419" s="491">
        <v>40670</v>
      </c>
      <c r="W419" s="491">
        <v>49610</v>
      </c>
      <c r="X419" s="491">
        <v>58890</v>
      </c>
      <c r="Y419" s="491">
        <v>64490</v>
      </c>
      <c r="Z419" s="490"/>
      <c r="AA419" s="490"/>
    </row>
    <row r="420" spans="7:27" x14ac:dyDescent="0.25">
      <c r="G420" s="489" t="s">
        <v>802</v>
      </c>
      <c r="H420" s="490" t="s">
        <v>399</v>
      </c>
      <c r="I420" s="491">
        <v>50</v>
      </c>
      <c r="J420" s="492">
        <v>13.1</v>
      </c>
      <c r="K420" s="493">
        <v>0.27900000000000003</v>
      </c>
      <c r="L420" s="494">
        <v>0.74</v>
      </c>
      <c r="M420" s="494">
        <v>26.16</v>
      </c>
      <c r="N420" s="491">
        <v>54420</v>
      </c>
      <c r="O420" s="492">
        <v>5.9</v>
      </c>
      <c r="P420" s="494">
        <v>19.98</v>
      </c>
      <c r="Q420" s="494">
        <v>25.17</v>
      </c>
      <c r="R420" s="494">
        <v>27.36</v>
      </c>
      <c r="S420" s="494">
        <v>29.5</v>
      </c>
      <c r="T420" s="494">
        <v>30.84</v>
      </c>
      <c r="U420" s="491">
        <v>41570</v>
      </c>
      <c r="V420" s="491">
        <v>52360</v>
      </c>
      <c r="W420" s="491">
        <v>56910</v>
      </c>
      <c r="X420" s="491">
        <v>61350</v>
      </c>
      <c r="Y420" s="491">
        <v>64150</v>
      </c>
      <c r="Z420" s="490"/>
      <c r="AA420" s="490"/>
    </row>
    <row r="421" spans="7:27" x14ac:dyDescent="0.25">
      <c r="G421" s="489" t="s">
        <v>803</v>
      </c>
      <c r="H421" s="490" t="s">
        <v>399</v>
      </c>
      <c r="I421" s="491">
        <v>260</v>
      </c>
      <c r="J421" s="492">
        <v>19.7</v>
      </c>
      <c r="K421" s="493">
        <v>1.4510000000000001</v>
      </c>
      <c r="L421" s="494">
        <v>0.98</v>
      </c>
      <c r="M421" s="494">
        <v>13.61</v>
      </c>
      <c r="N421" s="491">
        <v>28320</v>
      </c>
      <c r="O421" s="492">
        <v>6.3</v>
      </c>
      <c r="P421" s="494">
        <v>9.76</v>
      </c>
      <c r="Q421" s="494">
        <v>9.85</v>
      </c>
      <c r="R421" s="494">
        <v>11.71</v>
      </c>
      <c r="S421" s="494">
        <v>17</v>
      </c>
      <c r="T421" s="494">
        <v>19.05</v>
      </c>
      <c r="U421" s="491">
        <v>20290</v>
      </c>
      <c r="V421" s="491">
        <v>20490</v>
      </c>
      <c r="W421" s="491">
        <v>24350</v>
      </c>
      <c r="X421" s="491">
        <v>35370</v>
      </c>
      <c r="Y421" s="491">
        <v>39620</v>
      </c>
      <c r="Z421" s="490"/>
      <c r="AA421" s="490"/>
    </row>
    <row r="422" spans="7:27" x14ac:dyDescent="0.25">
      <c r="G422" s="489" t="s">
        <v>804</v>
      </c>
      <c r="H422" s="490" t="s">
        <v>399</v>
      </c>
      <c r="I422" s="491">
        <v>70</v>
      </c>
      <c r="J422" s="492">
        <v>23.5</v>
      </c>
      <c r="K422" s="493">
        <v>0.41899999999999998</v>
      </c>
      <c r="L422" s="494">
        <v>0.6</v>
      </c>
      <c r="M422" s="494">
        <v>20.12</v>
      </c>
      <c r="N422" s="491">
        <v>41850</v>
      </c>
      <c r="O422" s="492">
        <v>5.7</v>
      </c>
      <c r="P422" s="494">
        <v>12.15</v>
      </c>
      <c r="Q422" s="494">
        <v>15.76</v>
      </c>
      <c r="R422" s="494">
        <v>19.71</v>
      </c>
      <c r="S422" s="494">
        <v>23.14</v>
      </c>
      <c r="T422" s="494">
        <v>32.44</v>
      </c>
      <c r="U422" s="491">
        <v>25280</v>
      </c>
      <c r="V422" s="491">
        <v>32790</v>
      </c>
      <c r="W422" s="491">
        <v>41010</v>
      </c>
      <c r="X422" s="491">
        <v>48140</v>
      </c>
      <c r="Y422" s="491">
        <v>67480</v>
      </c>
      <c r="Z422" s="490"/>
      <c r="AA422" s="490"/>
    </row>
    <row r="423" spans="7:27" x14ac:dyDescent="0.25">
      <c r="G423" s="489" t="s">
        <v>805</v>
      </c>
      <c r="H423" s="490" t="s">
        <v>399</v>
      </c>
      <c r="I423" s="491">
        <v>80</v>
      </c>
      <c r="J423" s="492">
        <v>20.8</v>
      </c>
      <c r="K423" s="493">
        <v>0.47599999999999998</v>
      </c>
      <c r="L423" s="494">
        <v>1.91</v>
      </c>
      <c r="M423" s="494">
        <v>39.96</v>
      </c>
      <c r="N423" s="491">
        <v>83110</v>
      </c>
      <c r="O423" s="492">
        <v>2.9</v>
      </c>
      <c r="P423" s="494">
        <v>33.03</v>
      </c>
      <c r="Q423" s="494">
        <v>35.950000000000003</v>
      </c>
      <c r="R423" s="494">
        <v>40.4</v>
      </c>
      <c r="S423" s="494">
        <v>45.51</v>
      </c>
      <c r="T423" s="494">
        <v>48.61</v>
      </c>
      <c r="U423" s="491">
        <v>68700</v>
      </c>
      <c r="V423" s="491">
        <v>74780</v>
      </c>
      <c r="W423" s="491">
        <v>84030</v>
      </c>
      <c r="X423" s="491">
        <v>94660</v>
      </c>
      <c r="Y423" s="491">
        <v>101110</v>
      </c>
      <c r="Z423" s="490"/>
      <c r="AA423" s="490"/>
    </row>
    <row r="424" spans="7:27" x14ac:dyDescent="0.25">
      <c r="G424" s="489" t="s">
        <v>806</v>
      </c>
      <c r="H424" s="490" t="s">
        <v>399</v>
      </c>
      <c r="I424" s="491">
        <v>110</v>
      </c>
      <c r="J424" s="492">
        <v>18.100000000000001</v>
      </c>
      <c r="K424" s="493">
        <v>0.64700000000000002</v>
      </c>
      <c r="L424" s="494">
        <v>0.78</v>
      </c>
      <c r="M424" s="494">
        <v>34.01</v>
      </c>
      <c r="N424" s="491">
        <v>70740</v>
      </c>
      <c r="O424" s="492">
        <v>6</v>
      </c>
      <c r="P424" s="494">
        <v>18.78</v>
      </c>
      <c r="Q424" s="494">
        <v>28.53</v>
      </c>
      <c r="R424" s="494">
        <v>35.51</v>
      </c>
      <c r="S424" s="494">
        <v>41.3</v>
      </c>
      <c r="T424" s="494">
        <v>46.83</v>
      </c>
      <c r="U424" s="491">
        <v>39050</v>
      </c>
      <c r="V424" s="491">
        <v>59340</v>
      </c>
      <c r="W424" s="491">
        <v>73850</v>
      </c>
      <c r="X424" s="491">
        <v>85900</v>
      </c>
      <c r="Y424" s="491">
        <v>97410</v>
      </c>
      <c r="Z424" s="490"/>
      <c r="AA424" s="490"/>
    </row>
    <row r="425" spans="7:27" x14ac:dyDescent="0.25">
      <c r="G425" s="489" t="s">
        <v>807</v>
      </c>
      <c r="H425" s="490" t="s">
        <v>399</v>
      </c>
      <c r="I425" s="491">
        <v>70</v>
      </c>
      <c r="J425" s="492">
        <v>45</v>
      </c>
      <c r="K425" s="493">
        <v>0.38800000000000001</v>
      </c>
      <c r="L425" s="494">
        <v>3.14</v>
      </c>
      <c r="M425" s="494">
        <v>35.729999999999997</v>
      </c>
      <c r="N425" s="491">
        <v>74330</v>
      </c>
      <c r="O425" s="492">
        <v>2.9</v>
      </c>
      <c r="P425" s="494">
        <v>25.5</v>
      </c>
      <c r="Q425" s="494">
        <v>30.48</v>
      </c>
      <c r="R425" s="494">
        <v>36.07</v>
      </c>
      <c r="S425" s="494">
        <v>43.29</v>
      </c>
      <c r="T425" s="494">
        <v>47.34</v>
      </c>
      <c r="U425" s="491">
        <v>53040</v>
      </c>
      <c r="V425" s="491">
        <v>63390</v>
      </c>
      <c r="W425" s="491">
        <v>75040</v>
      </c>
      <c r="X425" s="491">
        <v>90050</v>
      </c>
      <c r="Y425" s="491">
        <v>98460</v>
      </c>
      <c r="Z425" s="490"/>
      <c r="AA425" s="490"/>
    </row>
    <row r="426" spans="7:27" x14ac:dyDescent="0.25">
      <c r="G426" s="489" t="s">
        <v>808</v>
      </c>
      <c r="H426" s="490" t="s">
        <v>399</v>
      </c>
      <c r="I426" s="491">
        <v>40</v>
      </c>
      <c r="J426" s="492">
        <v>14.6</v>
      </c>
      <c r="K426" s="493">
        <v>0.23200000000000001</v>
      </c>
      <c r="L426" s="494">
        <v>0.78</v>
      </c>
      <c r="M426" s="494">
        <v>37.92</v>
      </c>
      <c r="N426" s="491">
        <v>78870</v>
      </c>
      <c r="O426" s="492">
        <v>4.3</v>
      </c>
      <c r="P426" s="494">
        <v>27.96</v>
      </c>
      <c r="Q426" s="494">
        <v>30.27</v>
      </c>
      <c r="R426" s="494">
        <v>39.21</v>
      </c>
      <c r="S426" s="494">
        <v>45.11</v>
      </c>
      <c r="T426" s="494">
        <v>48.58</v>
      </c>
      <c r="U426" s="491">
        <v>58160</v>
      </c>
      <c r="V426" s="491">
        <v>62960</v>
      </c>
      <c r="W426" s="491">
        <v>81560</v>
      </c>
      <c r="X426" s="491">
        <v>93830</v>
      </c>
      <c r="Y426" s="491">
        <v>101040</v>
      </c>
      <c r="Z426" s="490"/>
      <c r="AA426" s="490"/>
    </row>
    <row r="427" spans="7:27" x14ac:dyDescent="0.25">
      <c r="G427" s="489" t="s">
        <v>809</v>
      </c>
      <c r="H427" s="490" t="s">
        <v>399</v>
      </c>
      <c r="I427" s="491">
        <v>60</v>
      </c>
      <c r="J427" s="492">
        <v>47.3</v>
      </c>
      <c r="K427" s="493">
        <v>0.36499999999999999</v>
      </c>
      <c r="L427" s="494">
        <v>1.0900000000000001</v>
      </c>
      <c r="M427" s="494">
        <v>17.34</v>
      </c>
      <c r="N427" s="491">
        <v>36060</v>
      </c>
      <c r="O427" s="492">
        <v>7.9</v>
      </c>
      <c r="P427" s="494">
        <v>10.44</v>
      </c>
      <c r="Q427" s="494">
        <v>11.89</v>
      </c>
      <c r="R427" s="494">
        <v>16.170000000000002</v>
      </c>
      <c r="S427" s="494">
        <v>21.55</v>
      </c>
      <c r="T427" s="494">
        <v>26.83</v>
      </c>
      <c r="U427" s="491">
        <v>21720</v>
      </c>
      <c r="V427" s="491">
        <v>24740</v>
      </c>
      <c r="W427" s="491">
        <v>33630</v>
      </c>
      <c r="X427" s="491">
        <v>44830</v>
      </c>
      <c r="Y427" s="491">
        <v>55800</v>
      </c>
      <c r="Z427" s="490"/>
      <c r="AA427" s="490"/>
    </row>
    <row r="428" spans="7:27" x14ac:dyDescent="0.25">
      <c r="G428" s="489" t="s">
        <v>810</v>
      </c>
      <c r="H428" s="490" t="s">
        <v>399</v>
      </c>
      <c r="I428" s="491">
        <v>170</v>
      </c>
      <c r="J428" s="492">
        <v>17.5</v>
      </c>
      <c r="K428" s="493">
        <v>0.97799999999999998</v>
      </c>
      <c r="L428" s="494">
        <v>0.26</v>
      </c>
      <c r="M428" s="494">
        <v>30.35</v>
      </c>
      <c r="N428" s="491">
        <v>63120</v>
      </c>
      <c r="O428" s="492">
        <v>3.9</v>
      </c>
      <c r="P428" s="494">
        <v>19.579999999999998</v>
      </c>
      <c r="Q428" s="494">
        <v>23.02</v>
      </c>
      <c r="R428" s="494">
        <v>27.86</v>
      </c>
      <c r="S428" s="494">
        <v>35.42</v>
      </c>
      <c r="T428" s="494">
        <v>43.08</v>
      </c>
      <c r="U428" s="491">
        <v>40720</v>
      </c>
      <c r="V428" s="491">
        <v>47890</v>
      </c>
      <c r="W428" s="491">
        <v>57960</v>
      </c>
      <c r="X428" s="491">
        <v>73670</v>
      </c>
      <c r="Y428" s="491">
        <v>89600</v>
      </c>
      <c r="Z428" s="490"/>
      <c r="AA428" s="490"/>
    </row>
    <row r="429" spans="7:27" x14ac:dyDescent="0.25">
      <c r="G429" s="489" t="s">
        <v>811</v>
      </c>
      <c r="H429" s="490" t="s">
        <v>399</v>
      </c>
      <c r="I429" s="491" t="s">
        <v>403</v>
      </c>
      <c r="J429" s="492" t="s">
        <v>403</v>
      </c>
      <c r="K429" s="493" t="s">
        <v>403</v>
      </c>
      <c r="L429" s="494" t="s">
        <v>403</v>
      </c>
      <c r="M429" s="494">
        <v>25.21</v>
      </c>
      <c r="N429" s="491">
        <v>52430</v>
      </c>
      <c r="O429" s="492">
        <v>17.600000000000001</v>
      </c>
      <c r="P429" s="494">
        <v>15.66</v>
      </c>
      <c r="Q429" s="494">
        <v>21.04</v>
      </c>
      <c r="R429" s="494">
        <v>26.46</v>
      </c>
      <c r="S429" s="494">
        <v>30.32</v>
      </c>
      <c r="T429" s="494">
        <v>33.86</v>
      </c>
      <c r="U429" s="491">
        <v>32580</v>
      </c>
      <c r="V429" s="491">
        <v>43760</v>
      </c>
      <c r="W429" s="491">
        <v>55040</v>
      </c>
      <c r="X429" s="491">
        <v>63060</v>
      </c>
      <c r="Y429" s="491">
        <v>70430</v>
      </c>
      <c r="Z429" s="490"/>
      <c r="AA429" s="490"/>
    </row>
    <row r="430" spans="7:27" x14ac:dyDescent="0.25">
      <c r="G430" s="489" t="s">
        <v>812</v>
      </c>
      <c r="H430" s="490" t="s">
        <v>399</v>
      </c>
      <c r="I430" s="491">
        <v>180</v>
      </c>
      <c r="J430" s="492">
        <v>20.100000000000001</v>
      </c>
      <c r="K430" s="493">
        <v>1.0289999999999999</v>
      </c>
      <c r="L430" s="494">
        <v>0.37</v>
      </c>
      <c r="M430" s="494">
        <v>16.97</v>
      </c>
      <c r="N430" s="491">
        <v>35290</v>
      </c>
      <c r="O430" s="492">
        <v>9</v>
      </c>
      <c r="P430" s="494">
        <v>10.72</v>
      </c>
      <c r="Q430" s="494">
        <v>12.62</v>
      </c>
      <c r="R430" s="494">
        <v>14.51</v>
      </c>
      <c r="S430" s="494">
        <v>19.91</v>
      </c>
      <c r="T430" s="494">
        <v>28.05</v>
      </c>
      <c r="U430" s="491">
        <v>22300</v>
      </c>
      <c r="V430" s="491">
        <v>26250</v>
      </c>
      <c r="W430" s="491">
        <v>30180</v>
      </c>
      <c r="X430" s="491">
        <v>41400</v>
      </c>
      <c r="Y430" s="491">
        <v>58340</v>
      </c>
      <c r="Z430" s="490"/>
      <c r="AA430" s="490"/>
    </row>
    <row r="431" spans="7:27" x14ac:dyDescent="0.25">
      <c r="G431" s="489" t="s">
        <v>813</v>
      </c>
      <c r="H431" s="490" t="s">
        <v>399</v>
      </c>
      <c r="I431" s="491">
        <v>100</v>
      </c>
      <c r="J431" s="492">
        <v>40.9</v>
      </c>
      <c r="K431" s="493">
        <v>0.57399999999999995</v>
      </c>
      <c r="L431" s="494">
        <v>3.05</v>
      </c>
      <c r="M431" s="494">
        <v>18.46</v>
      </c>
      <c r="N431" s="491">
        <v>38400</v>
      </c>
      <c r="O431" s="492">
        <v>6.6</v>
      </c>
      <c r="P431" s="494">
        <v>12.37</v>
      </c>
      <c r="Q431" s="494">
        <v>16.190000000000001</v>
      </c>
      <c r="R431" s="494">
        <v>18.12</v>
      </c>
      <c r="S431" s="494">
        <v>21.5</v>
      </c>
      <c r="T431" s="494">
        <v>24.52</v>
      </c>
      <c r="U431" s="491">
        <v>25740</v>
      </c>
      <c r="V431" s="491">
        <v>33680</v>
      </c>
      <c r="W431" s="491">
        <v>37690</v>
      </c>
      <c r="X431" s="491">
        <v>44720</v>
      </c>
      <c r="Y431" s="491">
        <v>51000</v>
      </c>
      <c r="Z431" s="490"/>
      <c r="AA431" s="490"/>
    </row>
    <row r="432" spans="7:27" x14ac:dyDescent="0.25">
      <c r="G432" s="489" t="s">
        <v>814</v>
      </c>
      <c r="H432" s="490" t="s">
        <v>399</v>
      </c>
      <c r="I432" s="491">
        <v>40</v>
      </c>
      <c r="J432" s="492">
        <v>49.3</v>
      </c>
      <c r="K432" s="493">
        <v>0.20899999999999999</v>
      </c>
      <c r="L432" s="494">
        <v>0.74</v>
      </c>
      <c r="M432" s="494">
        <v>20.45</v>
      </c>
      <c r="N432" s="491">
        <v>42540</v>
      </c>
      <c r="O432" s="492">
        <v>15.5</v>
      </c>
      <c r="P432" s="494">
        <v>13.67</v>
      </c>
      <c r="Q432" s="494">
        <v>15.61</v>
      </c>
      <c r="R432" s="494">
        <v>19.46</v>
      </c>
      <c r="S432" s="494">
        <v>25.76</v>
      </c>
      <c r="T432" s="494">
        <v>29.1</v>
      </c>
      <c r="U432" s="491">
        <v>28420</v>
      </c>
      <c r="V432" s="491">
        <v>32470</v>
      </c>
      <c r="W432" s="491">
        <v>40480</v>
      </c>
      <c r="X432" s="491">
        <v>53580</v>
      </c>
      <c r="Y432" s="491">
        <v>60540</v>
      </c>
      <c r="Z432" s="490"/>
      <c r="AA432" s="490"/>
    </row>
    <row r="433" spans="7:27" x14ac:dyDescent="0.25">
      <c r="G433" s="489" t="s">
        <v>815</v>
      </c>
      <c r="H433" s="490" t="s">
        <v>399</v>
      </c>
      <c r="I433" s="491">
        <v>70</v>
      </c>
      <c r="J433" s="492">
        <v>17.8</v>
      </c>
      <c r="K433" s="493">
        <v>0.39600000000000002</v>
      </c>
      <c r="L433" s="494">
        <v>0.13</v>
      </c>
      <c r="M433" s="494">
        <v>18.260000000000002</v>
      </c>
      <c r="N433" s="491">
        <v>37990</v>
      </c>
      <c r="O433" s="492">
        <v>8.8000000000000007</v>
      </c>
      <c r="P433" s="494">
        <v>11.54</v>
      </c>
      <c r="Q433" s="494">
        <v>13.22</v>
      </c>
      <c r="R433" s="494">
        <v>16.68</v>
      </c>
      <c r="S433" s="494">
        <v>22.29</v>
      </c>
      <c r="T433" s="494">
        <v>25.63</v>
      </c>
      <c r="U433" s="491">
        <v>23990</v>
      </c>
      <c r="V433" s="491">
        <v>27510</v>
      </c>
      <c r="W433" s="491">
        <v>34700</v>
      </c>
      <c r="X433" s="491">
        <v>46360</v>
      </c>
      <c r="Y433" s="491">
        <v>53300</v>
      </c>
      <c r="Z433" s="490"/>
      <c r="AA433" s="490"/>
    </row>
    <row r="434" spans="7:27" x14ac:dyDescent="0.25">
      <c r="G434" s="489" t="s">
        <v>816</v>
      </c>
      <c r="H434" s="490" t="s">
        <v>399</v>
      </c>
      <c r="I434" s="491">
        <v>40</v>
      </c>
      <c r="J434" s="492">
        <v>23.7</v>
      </c>
      <c r="K434" s="493">
        <v>0.21099999999999999</v>
      </c>
      <c r="L434" s="494">
        <v>0.12</v>
      </c>
      <c r="M434" s="494">
        <v>24.72</v>
      </c>
      <c r="N434" s="491">
        <v>51410</v>
      </c>
      <c r="O434" s="492">
        <v>11.1</v>
      </c>
      <c r="P434" s="494">
        <v>11.39</v>
      </c>
      <c r="Q434" s="494">
        <v>16.96</v>
      </c>
      <c r="R434" s="494">
        <v>23.97</v>
      </c>
      <c r="S434" s="494">
        <v>30.94</v>
      </c>
      <c r="T434" s="494">
        <v>39.28</v>
      </c>
      <c r="U434" s="491">
        <v>23700</v>
      </c>
      <c r="V434" s="491">
        <v>35280</v>
      </c>
      <c r="W434" s="491">
        <v>49860</v>
      </c>
      <c r="X434" s="491">
        <v>64350</v>
      </c>
      <c r="Y434" s="491">
        <v>81710</v>
      </c>
      <c r="Z434" s="490"/>
      <c r="AA434" s="490"/>
    </row>
    <row r="435" spans="7:27" x14ac:dyDescent="0.25">
      <c r="G435" s="489" t="s">
        <v>202</v>
      </c>
      <c r="H435" s="490" t="s">
        <v>398</v>
      </c>
      <c r="I435" s="491">
        <v>13220</v>
      </c>
      <c r="J435" s="492">
        <v>10</v>
      </c>
      <c r="K435" s="493">
        <v>75.036000000000001</v>
      </c>
      <c r="L435" s="494">
        <v>1.08</v>
      </c>
      <c r="M435" s="494">
        <v>26.81</v>
      </c>
      <c r="N435" s="491">
        <v>55760</v>
      </c>
      <c r="O435" s="492">
        <v>5</v>
      </c>
      <c r="P435" s="494">
        <v>11.52</v>
      </c>
      <c r="Q435" s="494">
        <v>14.54</v>
      </c>
      <c r="R435" s="494">
        <v>20.34</v>
      </c>
      <c r="S435" s="494">
        <v>30.49</v>
      </c>
      <c r="T435" s="494">
        <v>50.86</v>
      </c>
      <c r="U435" s="491">
        <v>23960</v>
      </c>
      <c r="V435" s="491">
        <v>30250</v>
      </c>
      <c r="W435" s="491">
        <v>42320</v>
      </c>
      <c r="X435" s="491">
        <v>63420</v>
      </c>
      <c r="Y435" s="491">
        <v>105800</v>
      </c>
      <c r="Z435" s="490"/>
      <c r="AA435" s="490"/>
    </row>
    <row r="436" spans="7:27" x14ac:dyDescent="0.25">
      <c r="G436" s="489" t="s">
        <v>817</v>
      </c>
      <c r="H436" s="490" t="s">
        <v>399</v>
      </c>
      <c r="I436" s="491" t="s">
        <v>403</v>
      </c>
      <c r="J436" s="492" t="s">
        <v>403</v>
      </c>
      <c r="K436" s="493" t="s">
        <v>403</v>
      </c>
      <c r="L436" s="494" t="s">
        <v>403</v>
      </c>
      <c r="M436" s="494">
        <v>30.05</v>
      </c>
      <c r="N436" s="491">
        <v>62500</v>
      </c>
      <c r="O436" s="492">
        <v>9.1</v>
      </c>
      <c r="P436" s="494">
        <v>19.03</v>
      </c>
      <c r="Q436" s="494">
        <v>20.98</v>
      </c>
      <c r="R436" s="494">
        <v>23.87</v>
      </c>
      <c r="S436" s="494">
        <v>41.92</v>
      </c>
      <c r="T436" s="494">
        <v>47.79</v>
      </c>
      <c r="U436" s="491">
        <v>39590</v>
      </c>
      <c r="V436" s="491">
        <v>43630</v>
      </c>
      <c r="W436" s="491">
        <v>49650</v>
      </c>
      <c r="X436" s="491">
        <v>87180</v>
      </c>
      <c r="Y436" s="491">
        <v>99400</v>
      </c>
      <c r="Z436" s="490"/>
      <c r="AA436" s="490"/>
    </row>
    <row r="437" spans="7:27" x14ac:dyDescent="0.25">
      <c r="G437" s="489" t="s">
        <v>818</v>
      </c>
      <c r="H437" s="490" t="s">
        <v>399</v>
      </c>
      <c r="I437" s="491">
        <v>160</v>
      </c>
      <c r="J437" s="492">
        <v>13.3</v>
      </c>
      <c r="K437" s="493">
        <v>0.91800000000000004</v>
      </c>
      <c r="L437" s="494">
        <v>0.7</v>
      </c>
      <c r="M437" s="494">
        <v>32.43</v>
      </c>
      <c r="N437" s="491">
        <v>67450</v>
      </c>
      <c r="O437" s="492">
        <v>9.1</v>
      </c>
      <c r="P437" s="494">
        <v>17.38</v>
      </c>
      <c r="Q437" s="494">
        <v>20.5</v>
      </c>
      <c r="R437" s="494">
        <v>27.97</v>
      </c>
      <c r="S437" s="494">
        <v>41.07</v>
      </c>
      <c r="T437" s="494">
        <v>47.74</v>
      </c>
      <c r="U437" s="491">
        <v>36140</v>
      </c>
      <c r="V437" s="491">
        <v>42650</v>
      </c>
      <c r="W437" s="491">
        <v>58180</v>
      </c>
      <c r="X437" s="491">
        <v>85420</v>
      </c>
      <c r="Y437" s="491">
        <v>99310</v>
      </c>
      <c r="Z437" s="490"/>
      <c r="AA437" s="490"/>
    </row>
    <row r="438" spans="7:27" x14ac:dyDescent="0.25">
      <c r="G438" s="489" t="s">
        <v>819</v>
      </c>
      <c r="H438" s="490" t="s">
        <v>399</v>
      </c>
      <c r="I438" s="491">
        <v>210</v>
      </c>
      <c r="J438" s="492">
        <v>12.8</v>
      </c>
      <c r="K438" s="493">
        <v>1.181</v>
      </c>
      <c r="L438" s="494">
        <v>0.82</v>
      </c>
      <c r="M438" s="494">
        <v>37.380000000000003</v>
      </c>
      <c r="N438" s="491">
        <v>77740</v>
      </c>
      <c r="O438" s="492">
        <v>4.4000000000000004</v>
      </c>
      <c r="P438" s="494">
        <v>18.170000000000002</v>
      </c>
      <c r="Q438" s="494">
        <v>23.86</v>
      </c>
      <c r="R438" s="494">
        <v>35.6</v>
      </c>
      <c r="S438" s="494">
        <v>46.95</v>
      </c>
      <c r="T438" s="494">
        <v>65.66</v>
      </c>
      <c r="U438" s="491">
        <v>37790</v>
      </c>
      <c r="V438" s="491">
        <v>49640</v>
      </c>
      <c r="W438" s="491">
        <v>74040</v>
      </c>
      <c r="X438" s="491">
        <v>97660</v>
      </c>
      <c r="Y438" s="491">
        <v>136570</v>
      </c>
      <c r="Z438" s="490"/>
      <c r="AA438" s="490"/>
    </row>
    <row r="439" spans="7:27" x14ac:dyDescent="0.25">
      <c r="G439" s="489" t="s">
        <v>820</v>
      </c>
      <c r="H439" s="490" t="s">
        <v>399</v>
      </c>
      <c r="I439" s="491">
        <v>1810</v>
      </c>
      <c r="J439" s="492">
        <v>37.799999999999997</v>
      </c>
      <c r="K439" s="493">
        <v>10.257999999999999</v>
      </c>
      <c r="L439" s="494">
        <v>17.670000000000002</v>
      </c>
      <c r="M439" s="494" t="s">
        <v>401</v>
      </c>
      <c r="N439" s="491" t="s">
        <v>401</v>
      </c>
      <c r="O439" s="492" t="s">
        <v>401</v>
      </c>
      <c r="P439" s="494" t="s">
        <v>401</v>
      </c>
      <c r="Q439" s="494" t="s">
        <v>401</v>
      </c>
      <c r="R439" s="494" t="s">
        <v>401</v>
      </c>
      <c r="S439" s="494" t="s">
        <v>401</v>
      </c>
      <c r="T439" s="494" t="s">
        <v>401</v>
      </c>
      <c r="U439" s="491" t="s">
        <v>401</v>
      </c>
      <c r="V439" s="491" t="s">
        <v>401</v>
      </c>
      <c r="W439" s="491" t="s">
        <v>401</v>
      </c>
      <c r="X439" s="491" t="s">
        <v>401</v>
      </c>
      <c r="Y439" s="491" t="s">
        <v>401</v>
      </c>
      <c r="Z439" s="490" t="s">
        <v>402</v>
      </c>
      <c r="AA439" s="490"/>
    </row>
    <row r="440" spans="7:27" x14ac:dyDescent="0.25">
      <c r="G440" s="489" t="s">
        <v>821</v>
      </c>
      <c r="H440" s="490" t="s">
        <v>399</v>
      </c>
      <c r="I440" s="491">
        <v>160</v>
      </c>
      <c r="J440" s="492">
        <v>12.9</v>
      </c>
      <c r="K440" s="493">
        <v>0.93</v>
      </c>
      <c r="L440" s="494">
        <v>3.35</v>
      </c>
      <c r="M440" s="494" t="s">
        <v>401</v>
      </c>
      <c r="N440" s="491">
        <v>96830</v>
      </c>
      <c r="O440" s="492">
        <v>11.7</v>
      </c>
      <c r="P440" s="494" t="s">
        <v>401</v>
      </c>
      <c r="Q440" s="494" t="s">
        <v>401</v>
      </c>
      <c r="R440" s="494" t="s">
        <v>401</v>
      </c>
      <c r="S440" s="494" t="s">
        <v>401</v>
      </c>
      <c r="T440" s="494" t="s">
        <v>401</v>
      </c>
      <c r="U440" s="491">
        <v>38150</v>
      </c>
      <c r="V440" s="491">
        <v>47550</v>
      </c>
      <c r="W440" s="491">
        <v>66070</v>
      </c>
      <c r="X440" s="491">
        <v>139820</v>
      </c>
      <c r="Y440" s="491">
        <v>185170</v>
      </c>
      <c r="Z440" s="490" t="s">
        <v>402</v>
      </c>
      <c r="AA440" s="490"/>
    </row>
    <row r="441" spans="7:27" x14ac:dyDescent="0.25">
      <c r="G441" s="489" t="s">
        <v>822</v>
      </c>
      <c r="H441" s="490" t="s">
        <v>399</v>
      </c>
      <c r="I441" s="491">
        <v>70</v>
      </c>
      <c r="J441" s="492">
        <v>12.4</v>
      </c>
      <c r="K441" s="493">
        <v>0.39700000000000002</v>
      </c>
      <c r="L441" s="494">
        <v>6.37</v>
      </c>
      <c r="M441" s="494">
        <v>32.64</v>
      </c>
      <c r="N441" s="491">
        <v>67890</v>
      </c>
      <c r="O441" s="492">
        <v>10.5</v>
      </c>
      <c r="P441" s="494">
        <v>16.260000000000002</v>
      </c>
      <c r="Q441" s="494">
        <v>20.78</v>
      </c>
      <c r="R441" s="494">
        <v>29.71</v>
      </c>
      <c r="S441" s="494">
        <v>36.74</v>
      </c>
      <c r="T441" s="494">
        <v>48.28</v>
      </c>
      <c r="U441" s="491">
        <v>33810</v>
      </c>
      <c r="V441" s="491">
        <v>43220</v>
      </c>
      <c r="W441" s="491">
        <v>61790</v>
      </c>
      <c r="X441" s="491">
        <v>76420</v>
      </c>
      <c r="Y441" s="491">
        <v>100420</v>
      </c>
      <c r="Z441" s="490"/>
      <c r="AA441" s="490"/>
    </row>
    <row r="442" spans="7:27" x14ac:dyDescent="0.25">
      <c r="G442" s="489" t="s">
        <v>823</v>
      </c>
      <c r="H442" s="490" t="s">
        <v>399</v>
      </c>
      <c r="I442" s="491">
        <v>140</v>
      </c>
      <c r="J442" s="492">
        <v>18.7</v>
      </c>
      <c r="K442" s="493">
        <v>0.78700000000000003</v>
      </c>
      <c r="L442" s="494">
        <v>0.65</v>
      </c>
      <c r="M442" s="494">
        <v>25.77</v>
      </c>
      <c r="N442" s="491">
        <v>53600</v>
      </c>
      <c r="O442" s="492">
        <v>7.8</v>
      </c>
      <c r="P442" s="494">
        <v>15.4</v>
      </c>
      <c r="Q442" s="494">
        <v>20.95</v>
      </c>
      <c r="R442" s="494">
        <v>27.01</v>
      </c>
      <c r="S442" s="494">
        <v>30.34</v>
      </c>
      <c r="T442" s="494">
        <v>35.11</v>
      </c>
      <c r="U442" s="491">
        <v>32030</v>
      </c>
      <c r="V442" s="491">
        <v>43580</v>
      </c>
      <c r="W442" s="491">
        <v>56190</v>
      </c>
      <c r="X442" s="491">
        <v>63110</v>
      </c>
      <c r="Y442" s="491">
        <v>73020</v>
      </c>
      <c r="Z442" s="490"/>
      <c r="AA442" s="490"/>
    </row>
    <row r="443" spans="7:27" x14ac:dyDescent="0.25">
      <c r="G443" s="489" t="s">
        <v>824</v>
      </c>
      <c r="H443" s="490" t="s">
        <v>399</v>
      </c>
      <c r="I443" s="491">
        <v>510</v>
      </c>
      <c r="J443" s="492">
        <v>7.1</v>
      </c>
      <c r="K443" s="493">
        <v>2.9</v>
      </c>
      <c r="L443" s="494">
        <v>0.79</v>
      </c>
      <c r="M443" s="494">
        <v>18.62</v>
      </c>
      <c r="N443" s="491">
        <v>38730</v>
      </c>
      <c r="O443" s="492">
        <v>4.7</v>
      </c>
      <c r="P443" s="494">
        <v>15.12</v>
      </c>
      <c r="Q443" s="494">
        <v>16.350000000000001</v>
      </c>
      <c r="R443" s="494">
        <v>18.02</v>
      </c>
      <c r="S443" s="494">
        <v>20.260000000000002</v>
      </c>
      <c r="T443" s="494">
        <v>24.73</v>
      </c>
      <c r="U443" s="491">
        <v>31450</v>
      </c>
      <c r="V443" s="491">
        <v>34000</v>
      </c>
      <c r="W443" s="491">
        <v>37480</v>
      </c>
      <c r="X443" s="491">
        <v>42140</v>
      </c>
      <c r="Y443" s="491">
        <v>51440</v>
      </c>
      <c r="Z443" s="490"/>
      <c r="AA443" s="490"/>
    </row>
    <row r="444" spans="7:27" x14ac:dyDescent="0.25">
      <c r="G444" s="489" t="s">
        <v>825</v>
      </c>
      <c r="H444" s="490" t="s">
        <v>399</v>
      </c>
      <c r="I444" s="491">
        <v>480</v>
      </c>
      <c r="J444" s="492">
        <v>26.1</v>
      </c>
      <c r="K444" s="493">
        <v>2.7240000000000002</v>
      </c>
      <c r="L444" s="494">
        <v>0.9</v>
      </c>
      <c r="M444" s="494">
        <v>15.02</v>
      </c>
      <c r="N444" s="491">
        <v>31230</v>
      </c>
      <c r="O444" s="492">
        <v>3</v>
      </c>
      <c r="P444" s="494">
        <v>10.29</v>
      </c>
      <c r="Q444" s="494">
        <v>11.35</v>
      </c>
      <c r="R444" s="494">
        <v>14.09</v>
      </c>
      <c r="S444" s="494">
        <v>17.62</v>
      </c>
      <c r="T444" s="494">
        <v>20.68</v>
      </c>
      <c r="U444" s="491">
        <v>21400</v>
      </c>
      <c r="V444" s="491">
        <v>23600</v>
      </c>
      <c r="W444" s="491">
        <v>29320</v>
      </c>
      <c r="X444" s="491">
        <v>36660</v>
      </c>
      <c r="Y444" s="491">
        <v>43020</v>
      </c>
      <c r="Z444" s="490"/>
      <c r="AA444" s="490"/>
    </row>
    <row r="445" spans="7:27" x14ac:dyDescent="0.25">
      <c r="G445" s="489" t="s">
        <v>826</v>
      </c>
      <c r="H445" s="490" t="s">
        <v>399</v>
      </c>
      <c r="I445" s="491">
        <v>1520</v>
      </c>
      <c r="J445" s="492">
        <v>11.6</v>
      </c>
      <c r="K445" s="493">
        <v>8.6080000000000005</v>
      </c>
      <c r="L445" s="494">
        <v>0.71</v>
      </c>
      <c r="M445" s="494">
        <v>25.85</v>
      </c>
      <c r="N445" s="491">
        <v>53760</v>
      </c>
      <c r="O445" s="492">
        <v>3.1</v>
      </c>
      <c r="P445" s="494">
        <v>15.98</v>
      </c>
      <c r="Q445" s="494">
        <v>19.52</v>
      </c>
      <c r="R445" s="494">
        <v>25.53</v>
      </c>
      <c r="S445" s="494">
        <v>30.71</v>
      </c>
      <c r="T445" s="494">
        <v>37.58</v>
      </c>
      <c r="U445" s="491">
        <v>33230</v>
      </c>
      <c r="V445" s="491">
        <v>40600</v>
      </c>
      <c r="W445" s="491">
        <v>53100</v>
      </c>
      <c r="X445" s="491">
        <v>63880</v>
      </c>
      <c r="Y445" s="491">
        <v>78160</v>
      </c>
      <c r="Z445" s="490"/>
      <c r="AA445" s="490"/>
    </row>
    <row r="446" spans="7:27" x14ac:dyDescent="0.25">
      <c r="G446" s="489" t="s">
        <v>827</v>
      </c>
      <c r="H446" s="490" t="s">
        <v>399</v>
      </c>
      <c r="I446" s="491">
        <v>1100</v>
      </c>
      <c r="J446" s="492">
        <v>23.7</v>
      </c>
      <c r="K446" s="493">
        <v>6.2450000000000001</v>
      </c>
      <c r="L446" s="494">
        <v>1.02</v>
      </c>
      <c r="M446" s="494">
        <v>19.32</v>
      </c>
      <c r="N446" s="491">
        <v>40190</v>
      </c>
      <c r="O446" s="492">
        <v>4.3</v>
      </c>
      <c r="P446" s="494">
        <v>11.82</v>
      </c>
      <c r="Q446" s="494">
        <v>14.58</v>
      </c>
      <c r="R446" s="494">
        <v>17.89</v>
      </c>
      <c r="S446" s="494">
        <v>23.2</v>
      </c>
      <c r="T446" s="494">
        <v>29.47</v>
      </c>
      <c r="U446" s="491">
        <v>24580</v>
      </c>
      <c r="V446" s="491">
        <v>30330</v>
      </c>
      <c r="W446" s="491">
        <v>37220</v>
      </c>
      <c r="X446" s="491">
        <v>48250</v>
      </c>
      <c r="Y446" s="491">
        <v>61300</v>
      </c>
      <c r="Z446" s="490"/>
      <c r="AA446" s="490"/>
    </row>
    <row r="447" spans="7:27" x14ac:dyDescent="0.25">
      <c r="G447" s="489" t="s">
        <v>828</v>
      </c>
      <c r="H447" s="490" t="s">
        <v>399</v>
      </c>
      <c r="I447" s="491">
        <v>230</v>
      </c>
      <c r="J447" s="492">
        <v>27.4</v>
      </c>
      <c r="K447" s="493">
        <v>1.3009999999999999</v>
      </c>
      <c r="L447" s="494">
        <v>0.97</v>
      </c>
      <c r="M447" s="494">
        <v>13.03</v>
      </c>
      <c r="N447" s="491">
        <v>27110</v>
      </c>
      <c r="O447" s="492">
        <v>2.7</v>
      </c>
      <c r="P447" s="494">
        <v>10.4</v>
      </c>
      <c r="Q447" s="494">
        <v>11.6</v>
      </c>
      <c r="R447" s="494">
        <v>12.98</v>
      </c>
      <c r="S447" s="494">
        <v>14.32</v>
      </c>
      <c r="T447" s="494">
        <v>15.52</v>
      </c>
      <c r="U447" s="491">
        <v>21640</v>
      </c>
      <c r="V447" s="491">
        <v>24130</v>
      </c>
      <c r="W447" s="491">
        <v>27000</v>
      </c>
      <c r="X447" s="491">
        <v>29790</v>
      </c>
      <c r="Y447" s="491">
        <v>32280</v>
      </c>
      <c r="Z447" s="490"/>
      <c r="AA447" s="490"/>
    </row>
    <row r="448" spans="7:27" x14ac:dyDescent="0.25">
      <c r="G448" s="489" t="s">
        <v>829</v>
      </c>
      <c r="H448" s="490" t="s">
        <v>399</v>
      </c>
      <c r="I448" s="491">
        <v>90</v>
      </c>
      <c r="J448" s="492">
        <v>18.7</v>
      </c>
      <c r="K448" s="493">
        <v>0.505</v>
      </c>
      <c r="L448" s="494">
        <v>2.1800000000000002</v>
      </c>
      <c r="M448" s="494">
        <v>25.24</v>
      </c>
      <c r="N448" s="491">
        <v>52500</v>
      </c>
      <c r="O448" s="492">
        <v>2.9</v>
      </c>
      <c r="P448" s="494">
        <v>20.57</v>
      </c>
      <c r="Q448" s="494">
        <v>22.69</v>
      </c>
      <c r="R448" s="494">
        <v>25.77</v>
      </c>
      <c r="S448" s="494">
        <v>28.64</v>
      </c>
      <c r="T448" s="494">
        <v>30.37</v>
      </c>
      <c r="U448" s="491">
        <v>42790</v>
      </c>
      <c r="V448" s="491">
        <v>47190</v>
      </c>
      <c r="W448" s="491">
        <v>53600</v>
      </c>
      <c r="X448" s="491">
        <v>59570</v>
      </c>
      <c r="Y448" s="491">
        <v>63160</v>
      </c>
      <c r="Z448" s="490"/>
      <c r="AA448" s="490"/>
    </row>
    <row r="449" spans="7:27" x14ac:dyDescent="0.25">
      <c r="G449" s="489" t="s">
        <v>830</v>
      </c>
      <c r="H449" s="490" t="s">
        <v>399</v>
      </c>
      <c r="I449" s="491">
        <v>70</v>
      </c>
      <c r="J449" s="492">
        <v>19.8</v>
      </c>
      <c r="K449" s="493">
        <v>0.42499999999999999</v>
      </c>
      <c r="L449" s="494">
        <v>1.63</v>
      </c>
      <c r="M449" s="494">
        <v>43.45</v>
      </c>
      <c r="N449" s="491">
        <v>90370</v>
      </c>
      <c r="O449" s="492">
        <v>5.0999999999999996</v>
      </c>
      <c r="P449" s="494">
        <v>28.39</v>
      </c>
      <c r="Q449" s="494">
        <v>37.090000000000003</v>
      </c>
      <c r="R449" s="494">
        <v>44.04</v>
      </c>
      <c r="S449" s="494">
        <v>49.38</v>
      </c>
      <c r="T449" s="494">
        <v>58.84</v>
      </c>
      <c r="U449" s="491">
        <v>59050</v>
      </c>
      <c r="V449" s="491">
        <v>77140</v>
      </c>
      <c r="W449" s="491">
        <v>91600</v>
      </c>
      <c r="X449" s="491">
        <v>102700</v>
      </c>
      <c r="Y449" s="491">
        <v>122390</v>
      </c>
      <c r="Z449" s="490"/>
      <c r="AA449" s="490"/>
    </row>
    <row r="450" spans="7:27" x14ac:dyDescent="0.25">
      <c r="G450" s="489" t="s">
        <v>831</v>
      </c>
      <c r="H450" s="490" t="s">
        <v>399</v>
      </c>
      <c r="I450" s="491">
        <v>150</v>
      </c>
      <c r="J450" s="492">
        <v>34.6</v>
      </c>
      <c r="K450" s="493">
        <v>0.86899999999999999</v>
      </c>
      <c r="L450" s="494">
        <v>0.83</v>
      </c>
      <c r="M450" s="494">
        <v>11.77</v>
      </c>
      <c r="N450" s="491">
        <v>24490</v>
      </c>
      <c r="O450" s="492">
        <v>3.2</v>
      </c>
      <c r="P450" s="494">
        <v>9.75</v>
      </c>
      <c r="Q450" s="494">
        <v>9.76</v>
      </c>
      <c r="R450" s="494">
        <v>11.07</v>
      </c>
      <c r="S450" s="494">
        <v>13.08</v>
      </c>
      <c r="T450" s="494">
        <v>14.8</v>
      </c>
      <c r="U450" s="491">
        <v>20290</v>
      </c>
      <c r="V450" s="491">
        <v>20300</v>
      </c>
      <c r="W450" s="491">
        <v>23030</v>
      </c>
      <c r="X450" s="491">
        <v>27200</v>
      </c>
      <c r="Y450" s="491">
        <v>30790</v>
      </c>
      <c r="Z450" s="490"/>
      <c r="AA450" s="490"/>
    </row>
    <row r="451" spans="7:27" x14ac:dyDescent="0.25">
      <c r="G451" s="489" t="s">
        <v>832</v>
      </c>
      <c r="H451" s="490" t="s">
        <v>399</v>
      </c>
      <c r="I451" s="491">
        <v>100</v>
      </c>
      <c r="J451" s="492">
        <v>24.7</v>
      </c>
      <c r="K451" s="493">
        <v>0.55300000000000005</v>
      </c>
      <c r="L451" s="494">
        <v>0.71</v>
      </c>
      <c r="M451" s="494">
        <v>13.59</v>
      </c>
      <c r="N451" s="491">
        <v>28270</v>
      </c>
      <c r="O451" s="492">
        <v>3.5</v>
      </c>
      <c r="P451" s="494">
        <v>9.9</v>
      </c>
      <c r="Q451" s="494">
        <v>11.64</v>
      </c>
      <c r="R451" s="494">
        <v>13.32</v>
      </c>
      <c r="S451" s="494">
        <v>14.82</v>
      </c>
      <c r="T451" s="494">
        <v>17.97</v>
      </c>
      <c r="U451" s="491">
        <v>20600</v>
      </c>
      <c r="V451" s="491">
        <v>24200</v>
      </c>
      <c r="W451" s="491">
        <v>27710</v>
      </c>
      <c r="X451" s="491">
        <v>30820</v>
      </c>
      <c r="Y451" s="491">
        <v>37380</v>
      </c>
      <c r="Z451" s="490"/>
      <c r="AA451" s="490"/>
    </row>
    <row r="452" spans="7:27" x14ac:dyDescent="0.25">
      <c r="G452" s="489" t="s">
        <v>833</v>
      </c>
      <c r="H452" s="490" t="s">
        <v>399</v>
      </c>
      <c r="I452" s="491">
        <v>140</v>
      </c>
      <c r="J452" s="492">
        <v>4.2</v>
      </c>
      <c r="K452" s="493">
        <v>0.81899999999999995</v>
      </c>
      <c r="L452" s="494">
        <v>4.1900000000000004</v>
      </c>
      <c r="M452" s="494">
        <v>47.14</v>
      </c>
      <c r="N452" s="491">
        <v>98050</v>
      </c>
      <c r="O452" s="492">
        <v>3.8</v>
      </c>
      <c r="P452" s="494">
        <v>28.61</v>
      </c>
      <c r="Q452" s="494">
        <v>37.369999999999997</v>
      </c>
      <c r="R452" s="494">
        <v>48.87</v>
      </c>
      <c r="S452" s="494">
        <v>57.76</v>
      </c>
      <c r="T452" s="494">
        <v>63.02</v>
      </c>
      <c r="U452" s="491">
        <v>59510</v>
      </c>
      <c r="V452" s="491">
        <v>77730</v>
      </c>
      <c r="W452" s="491">
        <v>101650</v>
      </c>
      <c r="X452" s="491">
        <v>120140</v>
      </c>
      <c r="Y452" s="491">
        <v>131080</v>
      </c>
      <c r="Z452" s="490"/>
      <c r="AA452" s="490"/>
    </row>
    <row r="453" spans="7:27" x14ac:dyDescent="0.25">
      <c r="G453" s="489" t="s">
        <v>834</v>
      </c>
      <c r="H453" s="490" t="s">
        <v>399</v>
      </c>
      <c r="I453" s="491">
        <v>760</v>
      </c>
      <c r="J453" s="492">
        <v>15.9</v>
      </c>
      <c r="K453" s="493">
        <v>4.3280000000000003</v>
      </c>
      <c r="L453" s="494">
        <v>16.13</v>
      </c>
      <c r="M453" s="494">
        <v>18.670000000000002</v>
      </c>
      <c r="N453" s="491">
        <v>38840</v>
      </c>
      <c r="O453" s="492">
        <v>4.0999999999999996</v>
      </c>
      <c r="P453" s="494">
        <v>11.96</v>
      </c>
      <c r="Q453" s="494">
        <v>13.69</v>
      </c>
      <c r="R453" s="494">
        <v>17.07</v>
      </c>
      <c r="S453" s="494">
        <v>23.72</v>
      </c>
      <c r="T453" s="494">
        <v>28.67</v>
      </c>
      <c r="U453" s="491">
        <v>24870</v>
      </c>
      <c r="V453" s="491">
        <v>28470</v>
      </c>
      <c r="W453" s="491">
        <v>35500</v>
      </c>
      <c r="X453" s="491">
        <v>49340</v>
      </c>
      <c r="Y453" s="491">
        <v>59630</v>
      </c>
      <c r="Z453" s="490"/>
      <c r="AA453" s="490"/>
    </row>
    <row r="454" spans="7:27" x14ac:dyDescent="0.25">
      <c r="G454" s="489" t="s">
        <v>835</v>
      </c>
      <c r="H454" s="490" t="s">
        <v>399</v>
      </c>
      <c r="I454" s="491" t="s">
        <v>403</v>
      </c>
      <c r="J454" s="492" t="s">
        <v>403</v>
      </c>
      <c r="K454" s="493" t="s">
        <v>403</v>
      </c>
      <c r="L454" s="494" t="s">
        <v>403</v>
      </c>
      <c r="M454" s="494">
        <v>43.09</v>
      </c>
      <c r="N454" s="491">
        <v>89630</v>
      </c>
      <c r="O454" s="492">
        <v>3.5</v>
      </c>
      <c r="P454" s="494">
        <v>37.26</v>
      </c>
      <c r="Q454" s="494">
        <v>40.770000000000003</v>
      </c>
      <c r="R454" s="494">
        <v>43.98</v>
      </c>
      <c r="S454" s="494">
        <v>47.14</v>
      </c>
      <c r="T454" s="494">
        <v>49.04</v>
      </c>
      <c r="U454" s="491">
        <v>77510</v>
      </c>
      <c r="V454" s="491">
        <v>84800</v>
      </c>
      <c r="W454" s="491">
        <v>91480</v>
      </c>
      <c r="X454" s="491">
        <v>98050</v>
      </c>
      <c r="Y454" s="491">
        <v>102000</v>
      </c>
      <c r="Z454" s="490"/>
      <c r="AA454" s="490"/>
    </row>
    <row r="455" spans="7:27" x14ac:dyDescent="0.25">
      <c r="G455" s="489" t="s">
        <v>836</v>
      </c>
      <c r="H455" s="490" t="s">
        <v>399</v>
      </c>
      <c r="I455" s="491">
        <v>70</v>
      </c>
      <c r="J455" s="492">
        <v>34.4</v>
      </c>
      <c r="K455" s="493">
        <v>0.41699999999999998</v>
      </c>
      <c r="L455" s="494">
        <v>1.21</v>
      </c>
      <c r="M455" s="494">
        <v>27.79</v>
      </c>
      <c r="N455" s="491">
        <v>57790</v>
      </c>
      <c r="O455" s="492">
        <v>10.199999999999999</v>
      </c>
      <c r="P455" s="494">
        <v>20.34</v>
      </c>
      <c r="Q455" s="494">
        <v>22.21</v>
      </c>
      <c r="R455" s="494">
        <v>25.39</v>
      </c>
      <c r="S455" s="494">
        <v>34.01</v>
      </c>
      <c r="T455" s="494">
        <v>37.479999999999997</v>
      </c>
      <c r="U455" s="491">
        <v>42310</v>
      </c>
      <c r="V455" s="491">
        <v>46190</v>
      </c>
      <c r="W455" s="491">
        <v>52810</v>
      </c>
      <c r="X455" s="491">
        <v>70740</v>
      </c>
      <c r="Y455" s="491">
        <v>77960</v>
      </c>
      <c r="Z455" s="490"/>
      <c r="AA455" s="490"/>
    </row>
    <row r="456" spans="7:27" x14ac:dyDescent="0.25">
      <c r="G456" s="489" t="s">
        <v>837</v>
      </c>
      <c r="H456" s="490" t="s">
        <v>399</v>
      </c>
      <c r="I456" s="491">
        <v>370</v>
      </c>
      <c r="J456" s="492">
        <v>16.8</v>
      </c>
      <c r="K456" s="493">
        <v>2.1230000000000002</v>
      </c>
      <c r="L456" s="494">
        <v>0.55000000000000004</v>
      </c>
      <c r="M456" s="494">
        <v>22.88</v>
      </c>
      <c r="N456" s="491">
        <v>47580</v>
      </c>
      <c r="O456" s="492">
        <v>4.2</v>
      </c>
      <c r="P456" s="494">
        <v>13.29</v>
      </c>
      <c r="Q456" s="494">
        <v>18.89</v>
      </c>
      <c r="R456" s="494">
        <v>22.38</v>
      </c>
      <c r="S456" s="494">
        <v>27.2</v>
      </c>
      <c r="T456" s="494">
        <v>33.85</v>
      </c>
      <c r="U456" s="491">
        <v>27630</v>
      </c>
      <c r="V456" s="491">
        <v>39280</v>
      </c>
      <c r="W456" s="491">
        <v>46550</v>
      </c>
      <c r="X456" s="491">
        <v>56580</v>
      </c>
      <c r="Y456" s="491">
        <v>70400</v>
      </c>
      <c r="Z456" s="490"/>
      <c r="AA456" s="490"/>
    </row>
    <row r="457" spans="7:27" x14ac:dyDescent="0.25">
      <c r="G457" s="489" t="s">
        <v>838</v>
      </c>
      <c r="H457" s="490" t="s">
        <v>399</v>
      </c>
      <c r="I457" s="491">
        <v>340</v>
      </c>
      <c r="J457" s="492">
        <v>17.3</v>
      </c>
      <c r="K457" s="493">
        <v>1.9019999999999999</v>
      </c>
      <c r="L457" s="494">
        <v>0.77</v>
      </c>
      <c r="M457" s="494">
        <v>12.69</v>
      </c>
      <c r="N457" s="491">
        <v>26390</v>
      </c>
      <c r="O457" s="492">
        <v>3.8</v>
      </c>
      <c r="P457" s="494">
        <v>9.7799999999999994</v>
      </c>
      <c r="Q457" s="494">
        <v>10.27</v>
      </c>
      <c r="R457" s="494">
        <v>11.7</v>
      </c>
      <c r="S457" s="494">
        <v>14.12</v>
      </c>
      <c r="T457" s="494">
        <v>17.32</v>
      </c>
      <c r="U457" s="491">
        <v>20350</v>
      </c>
      <c r="V457" s="491">
        <v>21360</v>
      </c>
      <c r="W457" s="491">
        <v>24350</v>
      </c>
      <c r="X457" s="491">
        <v>29380</v>
      </c>
      <c r="Y457" s="491">
        <v>36030</v>
      </c>
      <c r="Z457" s="490"/>
      <c r="AA457" s="490"/>
    </row>
    <row r="458" spans="7:27" x14ac:dyDescent="0.25">
      <c r="G458" s="489" t="s">
        <v>839</v>
      </c>
      <c r="H458" s="490" t="s">
        <v>399</v>
      </c>
      <c r="I458" s="491">
        <v>2700</v>
      </c>
      <c r="J458" s="492">
        <v>11.7</v>
      </c>
      <c r="K458" s="493">
        <v>15.298999999999999</v>
      </c>
      <c r="L458" s="494">
        <v>0.83</v>
      </c>
      <c r="M458" s="494">
        <v>16.96</v>
      </c>
      <c r="N458" s="491">
        <v>35280</v>
      </c>
      <c r="O458" s="492">
        <v>2.5</v>
      </c>
      <c r="P458" s="494">
        <v>10.64</v>
      </c>
      <c r="Q458" s="494">
        <v>12.49</v>
      </c>
      <c r="R458" s="494">
        <v>15.06</v>
      </c>
      <c r="S458" s="494">
        <v>19.899999999999999</v>
      </c>
      <c r="T458" s="494">
        <v>26.85</v>
      </c>
      <c r="U458" s="491">
        <v>22130</v>
      </c>
      <c r="V458" s="491">
        <v>25970</v>
      </c>
      <c r="W458" s="491">
        <v>31320</v>
      </c>
      <c r="X458" s="491">
        <v>41400</v>
      </c>
      <c r="Y458" s="491">
        <v>55850</v>
      </c>
      <c r="Z458" s="490"/>
      <c r="AA458" s="490"/>
    </row>
    <row r="459" spans="7:27" x14ac:dyDescent="0.25">
      <c r="G459" s="489" t="s">
        <v>840</v>
      </c>
      <c r="H459" s="490" t="s">
        <v>399</v>
      </c>
      <c r="I459" s="491">
        <v>570</v>
      </c>
      <c r="J459" s="492">
        <v>11.7</v>
      </c>
      <c r="K459" s="493">
        <v>3.226</v>
      </c>
      <c r="L459" s="494">
        <v>0.64</v>
      </c>
      <c r="M459" s="494">
        <v>15.2</v>
      </c>
      <c r="N459" s="491">
        <v>31620</v>
      </c>
      <c r="O459" s="492">
        <v>3.2</v>
      </c>
      <c r="P459" s="494">
        <v>9.76</v>
      </c>
      <c r="Q459" s="494">
        <v>11.4</v>
      </c>
      <c r="R459" s="494">
        <v>13.85</v>
      </c>
      <c r="S459" s="494">
        <v>18.7</v>
      </c>
      <c r="T459" s="494">
        <v>22.95</v>
      </c>
      <c r="U459" s="491">
        <v>20290</v>
      </c>
      <c r="V459" s="491">
        <v>23710</v>
      </c>
      <c r="W459" s="491">
        <v>28800</v>
      </c>
      <c r="X459" s="491">
        <v>38890</v>
      </c>
      <c r="Y459" s="491">
        <v>47730</v>
      </c>
      <c r="Z459" s="490"/>
      <c r="AA459" s="490"/>
    </row>
    <row r="460" spans="7:27" x14ac:dyDescent="0.25">
      <c r="G460" s="489" t="s">
        <v>841</v>
      </c>
      <c r="H460" s="490" t="s">
        <v>399</v>
      </c>
      <c r="I460" s="491">
        <v>60</v>
      </c>
      <c r="J460" s="492">
        <v>24.7</v>
      </c>
      <c r="K460" s="493">
        <v>0.32400000000000001</v>
      </c>
      <c r="L460" s="494">
        <v>0.4</v>
      </c>
      <c r="M460" s="494">
        <v>23.55</v>
      </c>
      <c r="N460" s="491">
        <v>48980</v>
      </c>
      <c r="O460" s="492">
        <v>4</v>
      </c>
      <c r="P460" s="494">
        <v>15.54</v>
      </c>
      <c r="Q460" s="494">
        <v>19.420000000000002</v>
      </c>
      <c r="R460" s="494">
        <v>25.24</v>
      </c>
      <c r="S460" s="494">
        <v>28.21</v>
      </c>
      <c r="T460" s="494">
        <v>30</v>
      </c>
      <c r="U460" s="491">
        <v>32320</v>
      </c>
      <c r="V460" s="491">
        <v>40390</v>
      </c>
      <c r="W460" s="491">
        <v>52490</v>
      </c>
      <c r="X460" s="491">
        <v>58680</v>
      </c>
      <c r="Y460" s="491">
        <v>62400</v>
      </c>
      <c r="Z460" s="490"/>
      <c r="AA460" s="490"/>
    </row>
    <row r="461" spans="7:27" x14ac:dyDescent="0.25">
      <c r="G461" s="489" t="s">
        <v>842</v>
      </c>
      <c r="H461" s="490" t="s">
        <v>399</v>
      </c>
      <c r="I461" s="491">
        <v>290</v>
      </c>
      <c r="J461" s="492">
        <v>28.2</v>
      </c>
      <c r="K461" s="493">
        <v>1.655</v>
      </c>
      <c r="L461" s="494">
        <v>9.73</v>
      </c>
      <c r="M461" s="494">
        <v>20.74</v>
      </c>
      <c r="N461" s="491">
        <v>43150</v>
      </c>
      <c r="O461" s="492">
        <v>10.7</v>
      </c>
      <c r="P461" s="494">
        <v>10.01</v>
      </c>
      <c r="Q461" s="494">
        <v>12.17</v>
      </c>
      <c r="R461" s="494">
        <v>16.170000000000002</v>
      </c>
      <c r="S461" s="494">
        <v>31.69</v>
      </c>
      <c r="T461" s="494">
        <v>36.54</v>
      </c>
      <c r="U461" s="491">
        <v>20820</v>
      </c>
      <c r="V461" s="491">
        <v>25310</v>
      </c>
      <c r="W461" s="491">
        <v>33640</v>
      </c>
      <c r="X461" s="491">
        <v>65920</v>
      </c>
      <c r="Y461" s="491">
        <v>76000</v>
      </c>
      <c r="Z461" s="490"/>
      <c r="AA461" s="490"/>
    </row>
    <row r="462" spans="7:27" x14ac:dyDescent="0.25">
      <c r="I462" s="390"/>
      <c r="J462" s="390"/>
      <c r="K462" s="387"/>
      <c r="M462" s="388"/>
      <c r="N462" s="388"/>
      <c r="O462" s="389"/>
      <c r="P462" s="389"/>
      <c r="Q462" s="387"/>
    </row>
    <row r="463" spans="7:27" x14ac:dyDescent="0.25">
      <c r="M463" s="388"/>
      <c r="N463" s="388"/>
      <c r="O463" s="389"/>
      <c r="P463" s="389"/>
      <c r="Q463" s="387"/>
    </row>
    <row r="464" spans="7:27" x14ac:dyDescent="0.25">
      <c r="J464" s="390"/>
      <c r="K464" s="387"/>
      <c r="M464" s="388"/>
      <c r="N464" s="388"/>
      <c r="O464" s="389"/>
      <c r="P464" s="389"/>
      <c r="Q464" s="387"/>
    </row>
    <row r="465" spans="9:17" x14ac:dyDescent="0.25">
      <c r="K465" s="387"/>
      <c r="M465" s="388"/>
      <c r="N465" s="388"/>
      <c r="O465" s="389"/>
      <c r="P465" s="389"/>
      <c r="Q465" s="387"/>
    </row>
    <row r="466" spans="9:17" x14ac:dyDescent="0.25">
      <c r="K466" s="387"/>
      <c r="M466" s="388"/>
      <c r="N466" s="388"/>
      <c r="O466" s="389"/>
      <c r="P466" s="389"/>
      <c r="Q466" s="387"/>
    </row>
    <row r="467" spans="9:17" x14ac:dyDescent="0.25">
      <c r="I467" s="390"/>
      <c r="K467" s="387"/>
      <c r="M467" s="388"/>
      <c r="N467" s="388"/>
      <c r="O467" s="389"/>
      <c r="P467" s="389"/>
      <c r="Q467" s="387"/>
    </row>
    <row r="468" spans="9:17" x14ac:dyDescent="0.25">
      <c r="I468" s="390"/>
      <c r="K468" s="387"/>
      <c r="M468" s="388"/>
      <c r="N468" s="388"/>
      <c r="O468" s="389"/>
      <c r="P468" s="389"/>
      <c r="Q468" s="387"/>
    </row>
    <row r="469" spans="9:17" x14ac:dyDescent="0.25">
      <c r="K469" s="387"/>
      <c r="M469" s="388"/>
      <c r="N469" s="388"/>
      <c r="O469" s="389"/>
      <c r="P469" s="389"/>
      <c r="Q469" s="387"/>
    </row>
    <row r="470" spans="9:17" x14ac:dyDescent="0.25">
      <c r="K470" s="387"/>
      <c r="M470" s="388"/>
      <c r="N470" s="388"/>
      <c r="O470" s="389"/>
      <c r="P470" s="389"/>
      <c r="Q470" s="387"/>
    </row>
    <row r="471" spans="9:17" x14ac:dyDescent="0.25">
      <c r="K471" s="387"/>
      <c r="M471" s="388"/>
      <c r="N471" s="388"/>
      <c r="O471" s="389"/>
      <c r="P471" s="389"/>
      <c r="Q471" s="387"/>
    </row>
    <row r="472" spans="9:17" x14ac:dyDescent="0.25">
      <c r="J472" s="390"/>
      <c r="K472" s="387"/>
      <c r="M472" s="388"/>
      <c r="N472" s="388"/>
      <c r="O472" s="389"/>
      <c r="P472" s="389"/>
      <c r="Q472" s="387"/>
    </row>
    <row r="473" spans="9:17" x14ac:dyDescent="0.25">
      <c r="K473" s="387"/>
      <c r="M473" s="388"/>
      <c r="N473" s="388"/>
      <c r="O473" s="389"/>
      <c r="P473" s="389"/>
      <c r="Q473" s="387"/>
    </row>
    <row r="474" spans="9:17" x14ac:dyDescent="0.25">
      <c r="K474" s="387"/>
      <c r="M474" s="388"/>
      <c r="N474" s="388"/>
      <c r="O474" s="389"/>
      <c r="P474" s="389"/>
      <c r="Q474" s="387"/>
    </row>
    <row r="475" spans="9:17" x14ac:dyDescent="0.25">
      <c r="J475" s="390"/>
      <c r="K475" s="387"/>
      <c r="M475" s="388"/>
      <c r="N475" s="388"/>
      <c r="O475" s="389"/>
      <c r="P475" s="389"/>
      <c r="Q475" s="387"/>
    </row>
    <row r="476" spans="9:17" x14ac:dyDescent="0.25">
      <c r="K476" s="387"/>
      <c r="M476" s="388"/>
      <c r="N476" s="388"/>
      <c r="O476" s="389"/>
      <c r="P476" s="389"/>
      <c r="Q476" s="387"/>
    </row>
    <row r="477" spans="9:17" x14ac:dyDescent="0.25">
      <c r="J477" s="390"/>
      <c r="K477" s="387"/>
      <c r="M477" s="388"/>
      <c r="N477" s="388"/>
      <c r="O477" s="389"/>
      <c r="P477" s="389"/>
      <c r="Q477" s="387"/>
    </row>
    <row r="478" spans="9:17" x14ac:dyDescent="0.25">
      <c r="J478" s="390"/>
      <c r="K478" s="387"/>
      <c r="M478" s="388"/>
      <c r="N478" s="388"/>
      <c r="O478" s="389"/>
      <c r="P478" s="389"/>
      <c r="Q478" s="387"/>
    </row>
    <row r="479" spans="9:17" x14ac:dyDescent="0.25">
      <c r="K479" s="387"/>
      <c r="M479" s="388"/>
      <c r="N479" s="388"/>
      <c r="O479" s="389"/>
      <c r="P479" s="389"/>
      <c r="Q479" s="387"/>
    </row>
    <row r="480" spans="9:17" x14ac:dyDescent="0.25">
      <c r="K480" s="387"/>
      <c r="M480" s="388"/>
      <c r="N480" s="388"/>
      <c r="O480" s="389"/>
      <c r="P480" s="389"/>
      <c r="Q480" s="387"/>
    </row>
    <row r="481" spans="9:17" x14ac:dyDescent="0.25">
      <c r="I481" s="390"/>
      <c r="K481" s="387"/>
      <c r="M481" s="388"/>
      <c r="N481" s="388"/>
      <c r="O481" s="389"/>
      <c r="P481" s="389"/>
      <c r="Q481" s="387"/>
    </row>
    <row r="482" spans="9:17" x14ac:dyDescent="0.25">
      <c r="K482" s="387"/>
      <c r="M482" s="388"/>
      <c r="N482" s="388"/>
      <c r="O482" s="389"/>
      <c r="P482" s="389"/>
      <c r="Q482" s="387"/>
    </row>
    <row r="483" spans="9:17" x14ac:dyDescent="0.25">
      <c r="K483" s="387"/>
      <c r="M483" s="388"/>
      <c r="N483" s="388"/>
      <c r="O483" s="389"/>
      <c r="P483" s="389"/>
      <c r="Q483" s="387"/>
    </row>
    <row r="484" spans="9:17" x14ac:dyDescent="0.25">
      <c r="J484" s="390"/>
      <c r="K484" s="387"/>
      <c r="M484" s="388"/>
      <c r="N484" s="388"/>
      <c r="O484" s="389"/>
      <c r="P484" s="389"/>
      <c r="Q484" s="387"/>
    </row>
    <row r="485" spans="9:17" x14ac:dyDescent="0.25">
      <c r="K485" s="387"/>
      <c r="M485" s="388"/>
      <c r="N485" s="388"/>
      <c r="O485" s="389"/>
      <c r="P485" s="389"/>
      <c r="Q485" s="387"/>
    </row>
    <row r="486" spans="9:17" x14ac:dyDescent="0.25">
      <c r="K486" s="387"/>
      <c r="M486" s="388"/>
      <c r="N486" s="388"/>
      <c r="O486" s="389"/>
      <c r="P486" s="389"/>
      <c r="Q486" s="387"/>
    </row>
    <row r="487" spans="9:17" x14ac:dyDescent="0.25">
      <c r="K487" s="387"/>
      <c r="M487" s="388"/>
      <c r="N487" s="388"/>
      <c r="O487" s="389"/>
      <c r="P487" s="389"/>
      <c r="Q487" s="387"/>
    </row>
    <row r="488" spans="9:17" x14ac:dyDescent="0.25">
      <c r="M488" s="388"/>
      <c r="N488" s="388"/>
      <c r="O488" s="389"/>
      <c r="P488" s="389"/>
      <c r="Q488" s="387"/>
    </row>
    <row r="489" spans="9:17" x14ac:dyDescent="0.25">
      <c r="K489" s="387"/>
      <c r="M489" s="388"/>
      <c r="N489" s="388"/>
      <c r="O489" s="389"/>
      <c r="P489" s="389"/>
      <c r="Q489" s="387"/>
    </row>
    <row r="490" spans="9:17" x14ac:dyDescent="0.25">
      <c r="K490" s="387"/>
      <c r="M490" s="388"/>
      <c r="N490" s="388"/>
      <c r="O490" s="389"/>
      <c r="P490" s="389"/>
      <c r="Q490" s="387"/>
    </row>
    <row r="491" spans="9:17" x14ac:dyDescent="0.25">
      <c r="K491" s="387"/>
      <c r="M491" s="388"/>
      <c r="N491" s="388"/>
      <c r="O491" s="389"/>
      <c r="P491" s="389"/>
      <c r="Q491" s="387"/>
    </row>
    <row r="492" spans="9:17" x14ac:dyDescent="0.25">
      <c r="K492" s="387"/>
      <c r="M492" s="388"/>
      <c r="N492" s="388"/>
      <c r="O492" s="389"/>
      <c r="P492" s="389"/>
      <c r="Q492" s="387"/>
    </row>
    <row r="493" spans="9:17" x14ac:dyDescent="0.25">
      <c r="K493" s="387"/>
      <c r="M493" s="388"/>
      <c r="N493" s="388"/>
      <c r="O493" s="389"/>
      <c r="P493" s="389"/>
      <c r="Q493" s="387"/>
    </row>
    <row r="494" spans="9:17" x14ac:dyDescent="0.25">
      <c r="K494" s="387"/>
      <c r="M494" s="388"/>
      <c r="N494" s="388"/>
      <c r="O494" s="389"/>
      <c r="P494" s="389"/>
      <c r="Q494" s="387"/>
    </row>
    <row r="495" spans="9:17" x14ac:dyDescent="0.25">
      <c r="K495" s="387"/>
      <c r="M495" s="388"/>
      <c r="N495" s="388"/>
      <c r="O495" s="389"/>
      <c r="P495" s="389"/>
      <c r="Q495" s="387"/>
    </row>
    <row r="496" spans="9:17" x14ac:dyDescent="0.25">
      <c r="K496" s="387"/>
      <c r="M496" s="388"/>
      <c r="N496" s="388"/>
      <c r="O496" s="389"/>
      <c r="P496" s="389"/>
      <c r="Q496" s="387"/>
    </row>
    <row r="497" spans="9:17" x14ac:dyDescent="0.25">
      <c r="M497" s="388"/>
      <c r="N497" s="388"/>
      <c r="O497" s="389"/>
      <c r="P497" s="389"/>
      <c r="Q497" s="387"/>
    </row>
    <row r="498" spans="9:17" x14ac:dyDescent="0.25">
      <c r="K498" s="387"/>
      <c r="M498" s="388"/>
      <c r="N498" s="388"/>
      <c r="O498" s="389"/>
      <c r="P498" s="389"/>
      <c r="Q498" s="387"/>
    </row>
    <row r="499" spans="9:17" x14ac:dyDescent="0.25">
      <c r="K499" s="387"/>
      <c r="M499" s="388"/>
      <c r="N499" s="388"/>
      <c r="O499" s="389"/>
      <c r="P499" s="389"/>
      <c r="Q499" s="387"/>
    </row>
    <row r="500" spans="9:17" x14ac:dyDescent="0.25">
      <c r="K500" s="387"/>
      <c r="M500" s="388"/>
      <c r="N500" s="388"/>
      <c r="O500" s="389"/>
      <c r="P500" s="389"/>
      <c r="Q500" s="387"/>
    </row>
    <row r="501" spans="9:17" x14ac:dyDescent="0.25">
      <c r="K501" s="387"/>
      <c r="M501" s="388"/>
      <c r="N501" s="388"/>
      <c r="O501" s="389"/>
      <c r="P501" s="389"/>
      <c r="Q501" s="387"/>
    </row>
    <row r="502" spans="9:17" x14ac:dyDescent="0.25">
      <c r="K502" s="387"/>
      <c r="M502" s="388"/>
      <c r="N502" s="388"/>
      <c r="O502" s="389"/>
      <c r="P502" s="389"/>
      <c r="Q502" s="387"/>
    </row>
    <row r="503" spans="9:17" x14ac:dyDescent="0.25">
      <c r="J503" s="390"/>
      <c r="K503" s="387"/>
      <c r="M503" s="388"/>
      <c r="N503" s="388"/>
      <c r="O503" s="389"/>
      <c r="P503" s="389"/>
      <c r="Q503" s="387"/>
    </row>
    <row r="504" spans="9:17" x14ac:dyDescent="0.25">
      <c r="K504" s="387"/>
      <c r="M504" s="388"/>
      <c r="N504" s="388"/>
      <c r="O504" s="389"/>
      <c r="P504" s="389"/>
      <c r="Q504" s="387"/>
    </row>
    <row r="505" spans="9:17" x14ac:dyDescent="0.25">
      <c r="K505" s="387"/>
      <c r="M505" s="388"/>
      <c r="N505" s="388"/>
      <c r="O505" s="389"/>
      <c r="P505" s="389"/>
      <c r="Q505" s="387"/>
    </row>
    <row r="506" spans="9:17" x14ac:dyDescent="0.25">
      <c r="K506" s="387"/>
      <c r="M506" s="388"/>
      <c r="N506" s="388"/>
      <c r="O506" s="389"/>
      <c r="P506" s="389"/>
      <c r="Q506" s="387"/>
    </row>
    <row r="507" spans="9:17" x14ac:dyDescent="0.25">
      <c r="K507" s="387"/>
      <c r="M507" s="388"/>
      <c r="N507" s="388"/>
      <c r="O507" s="389"/>
      <c r="P507" s="389"/>
      <c r="Q507" s="387"/>
    </row>
    <row r="508" spans="9:17" x14ac:dyDescent="0.25">
      <c r="K508" s="387"/>
      <c r="M508" s="388"/>
      <c r="N508" s="388"/>
      <c r="O508" s="389"/>
      <c r="P508" s="389"/>
      <c r="Q508" s="387"/>
    </row>
    <row r="509" spans="9:17" x14ac:dyDescent="0.25">
      <c r="K509" s="387"/>
      <c r="M509" s="388"/>
      <c r="N509" s="388"/>
      <c r="O509" s="389"/>
      <c r="P509" s="389"/>
      <c r="Q509" s="387"/>
    </row>
    <row r="510" spans="9:17" x14ac:dyDescent="0.25">
      <c r="K510" s="387"/>
      <c r="M510" s="388"/>
      <c r="N510" s="388"/>
      <c r="O510" s="389"/>
      <c r="P510" s="389"/>
      <c r="Q510" s="387"/>
    </row>
    <row r="511" spans="9:17" x14ac:dyDescent="0.25">
      <c r="I511" s="390"/>
      <c r="J511" s="390"/>
      <c r="K511" s="387"/>
      <c r="M511" s="388"/>
      <c r="N511" s="388"/>
      <c r="O511" s="389"/>
      <c r="P511" s="389"/>
      <c r="Q511" s="387"/>
    </row>
    <row r="512" spans="9:17" x14ac:dyDescent="0.25">
      <c r="K512" s="387"/>
      <c r="M512" s="388"/>
      <c r="N512" s="388"/>
      <c r="O512" s="389"/>
      <c r="P512" s="389"/>
      <c r="Q512" s="387"/>
    </row>
    <row r="513" spans="9:17" x14ac:dyDescent="0.25">
      <c r="M513" s="388"/>
      <c r="N513" s="388"/>
      <c r="O513" s="389"/>
      <c r="P513" s="389"/>
      <c r="Q513" s="387"/>
    </row>
    <row r="514" spans="9:17" x14ac:dyDescent="0.25">
      <c r="K514" s="387"/>
      <c r="M514" s="388"/>
      <c r="N514" s="388"/>
      <c r="O514" s="389"/>
      <c r="P514" s="389"/>
      <c r="Q514" s="387"/>
    </row>
    <row r="515" spans="9:17" x14ac:dyDescent="0.25">
      <c r="K515" s="387"/>
      <c r="M515" s="388"/>
      <c r="N515" s="388"/>
      <c r="O515" s="389"/>
      <c r="P515" s="389"/>
      <c r="Q515" s="387"/>
    </row>
    <row r="516" spans="9:17" x14ac:dyDescent="0.25">
      <c r="K516" s="387"/>
      <c r="M516" s="388"/>
      <c r="N516" s="388"/>
      <c r="O516" s="389"/>
      <c r="P516" s="389"/>
      <c r="Q516" s="387"/>
    </row>
    <row r="517" spans="9:17" x14ac:dyDescent="0.25">
      <c r="K517" s="387"/>
      <c r="M517" s="388"/>
      <c r="N517" s="388"/>
      <c r="O517" s="389"/>
      <c r="P517" s="389"/>
      <c r="Q517" s="387"/>
    </row>
    <row r="518" spans="9:17" x14ac:dyDescent="0.25">
      <c r="K518" s="387"/>
      <c r="M518" s="388"/>
      <c r="N518" s="388"/>
      <c r="O518" s="389"/>
      <c r="P518" s="389"/>
      <c r="Q518" s="387"/>
    </row>
    <row r="519" spans="9:17" x14ac:dyDescent="0.25">
      <c r="K519" s="387"/>
      <c r="M519" s="388"/>
      <c r="N519" s="388"/>
      <c r="O519" s="389"/>
      <c r="P519" s="389"/>
      <c r="Q519" s="387"/>
    </row>
    <row r="520" spans="9:17" x14ac:dyDescent="0.25">
      <c r="K520" s="387"/>
      <c r="M520" s="388"/>
      <c r="N520" s="388"/>
      <c r="O520" s="389"/>
      <c r="P520" s="389"/>
      <c r="Q520" s="387"/>
    </row>
    <row r="521" spans="9:17" x14ac:dyDescent="0.25">
      <c r="I521" s="390"/>
      <c r="K521" s="387"/>
      <c r="M521" s="388"/>
      <c r="N521" s="388"/>
      <c r="O521" s="389"/>
      <c r="P521" s="389"/>
      <c r="Q521" s="387"/>
    </row>
    <row r="522" spans="9:17" x14ac:dyDescent="0.25">
      <c r="K522" s="387"/>
      <c r="N522" s="388"/>
      <c r="O522" s="388"/>
      <c r="P522" s="389"/>
      <c r="Q522" s="387"/>
    </row>
    <row r="523" spans="9:17" x14ac:dyDescent="0.25">
      <c r="K523" s="387"/>
      <c r="N523" s="388"/>
      <c r="O523" s="388"/>
      <c r="P523" s="389"/>
      <c r="Q523" s="387"/>
    </row>
    <row r="524" spans="9:17" x14ac:dyDescent="0.25">
      <c r="K524" s="387"/>
      <c r="N524" s="388"/>
      <c r="O524" s="388"/>
      <c r="P524" s="389"/>
      <c r="Q524" s="387"/>
    </row>
    <row r="525" spans="9:17" x14ac:dyDescent="0.25">
      <c r="K525" s="387"/>
      <c r="N525" s="388"/>
      <c r="O525" s="388"/>
      <c r="P525" s="389"/>
      <c r="Q525" s="387"/>
    </row>
    <row r="526" spans="9:17" x14ac:dyDescent="0.25">
      <c r="K526" s="387"/>
      <c r="N526" s="388"/>
      <c r="O526" s="388"/>
      <c r="P526" s="389"/>
      <c r="Q526" s="387"/>
    </row>
    <row r="527" spans="9:17" x14ac:dyDescent="0.25">
      <c r="I527" s="390"/>
      <c r="K527" s="387"/>
      <c r="M527" s="388"/>
      <c r="N527" s="388"/>
      <c r="O527" s="389"/>
      <c r="P527" s="389"/>
      <c r="Q527" s="387"/>
    </row>
    <row r="528" spans="9:17" x14ac:dyDescent="0.25">
      <c r="K528" s="387"/>
      <c r="M528" s="388"/>
      <c r="N528" s="388"/>
      <c r="O528" s="389"/>
      <c r="P528" s="389"/>
      <c r="Q528" s="387"/>
    </row>
    <row r="529" spans="9:17" x14ac:dyDescent="0.25">
      <c r="K529" s="387"/>
      <c r="M529" s="388"/>
      <c r="N529" s="388"/>
      <c r="O529" s="389"/>
      <c r="P529" s="389"/>
      <c r="Q529" s="387"/>
    </row>
    <row r="530" spans="9:17" x14ac:dyDescent="0.25">
      <c r="K530" s="387"/>
      <c r="M530" s="388"/>
      <c r="N530" s="388"/>
      <c r="O530" s="389"/>
      <c r="P530" s="389"/>
      <c r="Q530" s="387"/>
    </row>
    <row r="531" spans="9:17" x14ac:dyDescent="0.25">
      <c r="K531" s="387"/>
      <c r="M531" s="388"/>
      <c r="N531" s="388"/>
      <c r="O531" s="389"/>
      <c r="P531" s="389"/>
      <c r="Q531" s="387"/>
    </row>
    <row r="532" spans="9:17" x14ac:dyDescent="0.25">
      <c r="I532" s="390"/>
      <c r="K532" s="387"/>
      <c r="M532" s="388"/>
      <c r="N532" s="388"/>
      <c r="O532" s="389"/>
      <c r="P532" s="389"/>
      <c r="Q532" s="387"/>
    </row>
    <row r="533" spans="9:17" x14ac:dyDescent="0.25">
      <c r="I533" s="390"/>
      <c r="K533" s="387"/>
      <c r="M533" s="388"/>
      <c r="N533" s="388"/>
      <c r="O533" s="389"/>
      <c r="P533" s="389"/>
      <c r="Q533" s="387"/>
    </row>
    <row r="534" spans="9:17" x14ac:dyDescent="0.25">
      <c r="K534" s="387"/>
      <c r="M534" s="388"/>
      <c r="N534" s="388"/>
      <c r="O534" s="389"/>
      <c r="P534" s="389"/>
      <c r="Q534" s="387"/>
    </row>
    <row r="535" spans="9:17" x14ac:dyDescent="0.25">
      <c r="K535" s="387"/>
      <c r="M535" s="388"/>
      <c r="N535" s="388"/>
      <c r="O535" s="389"/>
      <c r="P535" s="389"/>
      <c r="Q535" s="387"/>
    </row>
    <row r="536" spans="9:17" x14ac:dyDescent="0.25">
      <c r="K536" s="387"/>
      <c r="M536" s="388"/>
      <c r="N536" s="388"/>
      <c r="O536" s="389"/>
      <c r="P536" s="389"/>
      <c r="Q536" s="387"/>
    </row>
    <row r="537" spans="9:17" x14ac:dyDescent="0.25">
      <c r="K537" s="387"/>
      <c r="M537" s="388"/>
      <c r="N537" s="388"/>
      <c r="O537" s="389"/>
      <c r="P537" s="389"/>
      <c r="Q537" s="387"/>
    </row>
    <row r="538" spans="9:17" x14ac:dyDescent="0.25">
      <c r="K538" s="387"/>
      <c r="M538" s="388"/>
      <c r="N538" s="388"/>
      <c r="O538" s="389"/>
      <c r="P538" s="389"/>
      <c r="Q538" s="387"/>
    </row>
    <row r="539" spans="9:17" x14ac:dyDescent="0.25">
      <c r="I539" s="390"/>
      <c r="K539" s="387"/>
      <c r="M539" s="388"/>
      <c r="N539" s="388"/>
      <c r="O539" s="389"/>
      <c r="P539" s="389"/>
      <c r="Q539" s="387"/>
    </row>
    <row r="540" spans="9:17" x14ac:dyDescent="0.25">
      <c r="K540" s="387"/>
      <c r="M540" s="388"/>
      <c r="N540" s="388"/>
      <c r="O540" s="389"/>
      <c r="P540" s="389"/>
      <c r="Q540" s="387"/>
    </row>
    <row r="541" spans="9:17" x14ac:dyDescent="0.25">
      <c r="I541" s="390"/>
      <c r="K541" s="387"/>
      <c r="M541" s="388"/>
      <c r="N541" s="388"/>
      <c r="O541" s="389"/>
      <c r="P541" s="389"/>
      <c r="Q541" s="387"/>
    </row>
    <row r="542" spans="9:17" x14ac:dyDescent="0.25">
      <c r="M542" s="388"/>
      <c r="N542" s="388"/>
      <c r="O542" s="389"/>
      <c r="P542" s="389"/>
      <c r="Q542" s="387"/>
    </row>
    <row r="543" spans="9:17" x14ac:dyDescent="0.25">
      <c r="I543" s="390"/>
      <c r="K543" s="387"/>
      <c r="M543" s="388"/>
      <c r="N543" s="388"/>
      <c r="O543" s="389"/>
      <c r="P543" s="389"/>
      <c r="Q543" s="387"/>
    </row>
    <row r="544" spans="9:17" x14ac:dyDescent="0.25">
      <c r="K544" s="387"/>
      <c r="M544" s="388"/>
      <c r="N544" s="388"/>
      <c r="O544" s="389"/>
      <c r="P544" s="389"/>
      <c r="Q544" s="387"/>
    </row>
    <row r="545" spans="10:17" x14ac:dyDescent="0.25">
      <c r="K545" s="387"/>
      <c r="N545" s="388"/>
      <c r="O545" s="388"/>
      <c r="P545" s="389"/>
      <c r="Q545" s="387"/>
    </row>
    <row r="546" spans="10:17" x14ac:dyDescent="0.25">
      <c r="K546" s="387"/>
      <c r="N546" s="388"/>
      <c r="O546" s="388"/>
      <c r="P546" s="389"/>
      <c r="Q546" s="387"/>
    </row>
    <row r="547" spans="10:17" x14ac:dyDescent="0.25">
      <c r="K547" s="387"/>
      <c r="N547" s="388"/>
      <c r="O547" s="388"/>
      <c r="P547" s="389"/>
      <c r="Q547" s="387"/>
    </row>
    <row r="548" spans="10:17" x14ac:dyDescent="0.25">
      <c r="K548" s="387"/>
      <c r="N548" s="388"/>
      <c r="O548" s="388"/>
      <c r="P548" s="389"/>
      <c r="Q548" s="387"/>
    </row>
    <row r="549" spans="10:17" x14ac:dyDescent="0.25">
      <c r="K549" s="387"/>
      <c r="N549" s="388"/>
      <c r="O549" s="388"/>
      <c r="P549" s="389"/>
      <c r="Q549" s="387"/>
    </row>
    <row r="550" spans="10:17" x14ac:dyDescent="0.25">
      <c r="K550" s="387"/>
      <c r="N550" s="388"/>
      <c r="O550" s="388"/>
      <c r="P550" s="389"/>
      <c r="Q550" s="387"/>
    </row>
    <row r="551" spans="10:17" x14ac:dyDescent="0.25">
      <c r="J551" s="390"/>
      <c r="K551" s="387"/>
      <c r="N551" s="388"/>
      <c r="O551" s="388"/>
      <c r="P551" s="389"/>
      <c r="Q551" s="387"/>
    </row>
    <row r="552" spans="10:17" x14ac:dyDescent="0.25">
      <c r="K552" s="387"/>
      <c r="N552" s="388"/>
      <c r="O552" s="388"/>
      <c r="P552" s="389"/>
      <c r="Q552" s="387"/>
    </row>
    <row r="553" spans="10:17" x14ac:dyDescent="0.25">
      <c r="J553" s="390"/>
      <c r="K553" s="387"/>
      <c r="N553" s="388"/>
      <c r="O553" s="388"/>
      <c r="P553" s="389"/>
      <c r="Q553" s="387"/>
    </row>
    <row r="554" spans="10:17" x14ac:dyDescent="0.25">
      <c r="K554" s="387"/>
      <c r="N554" s="388"/>
      <c r="O554" s="388"/>
      <c r="P554" s="389"/>
      <c r="Q554" s="387"/>
    </row>
    <row r="555" spans="10:17" x14ac:dyDescent="0.25">
      <c r="K555" s="387"/>
      <c r="N555" s="388"/>
      <c r="O555" s="388"/>
      <c r="P555" s="389"/>
      <c r="Q555" s="387"/>
    </row>
    <row r="556" spans="10:17" x14ac:dyDescent="0.25">
      <c r="K556" s="387"/>
      <c r="P556" s="389"/>
      <c r="Q556" s="387"/>
    </row>
    <row r="557" spans="10:17" x14ac:dyDescent="0.25">
      <c r="K557" s="387"/>
      <c r="N557" s="388"/>
      <c r="O557" s="388"/>
      <c r="P557" s="389"/>
      <c r="Q557" s="387"/>
    </row>
    <row r="558" spans="10:17" x14ac:dyDescent="0.25">
      <c r="K558" s="387"/>
      <c r="N558" s="388"/>
      <c r="O558" s="388"/>
      <c r="P558" s="389"/>
      <c r="Q558" s="387"/>
    </row>
    <row r="559" spans="10:17" x14ac:dyDescent="0.25">
      <c r="J559" s="390"/>
      <c r="K559" s="387"/>
      <c r="N559" s="388"/>
      <c r="O559" s="388"/>
      <c r="P559" s="389"/>
      <c r="Q559" s="387"/>
    </row>
    <row r="560" spans="10:17" x14ac:dyDescent="0.25">
      <c r="J560" s="390"/>
      <c r="K560" s="387"/>
      <c r="N560" s="388"/>
      <c r="O560" s="388"/>
      <c r="P560" s="389"/>
      <c r="Q560" s="387"/>
    </row>
    <row r="561" spans="10:17" x14ac:dyDescent="0.25">
      <c r="J561" s="390"/>
      <c r="K561" s="387"/>
      <c r="N561" s="388"/>
      <c r="O561" s="388"/>
      <c r="P561" s="389"/>
      <c r="Q561" s="387"/>
    </row>
    <row r="562" spans="10:17" x14ac:dyDescent="0.25">
      <c r="J562" s="390"/>
      <c r="K562" s="387"/>
      <c r="N562" s="388"/>
      <c r="O562" s="388"/>
      <c r="P562" s="389"/>
      <c r="Q562" s="387"/>
    </row>
    <row r="563" spans="10:17" x14ac:dyDescent="0.25">
      <c r="K563" s="387"/>
      <c r="N563" s="388"/>
      <c r="O563" s="388"/>
      <c r="P563" s="389"/>
      <c r="Q563" s="387"/>
    </row>
    <row r="564" spans="10:17" x14ac:dyDescent="0.25">
      <c r="K564" s="387"/>
      <c r="N564" s="388"/>
      <c r="O564" s="388"/>
      <c r="P564" s="389"/>
      <c r="Q564" s="387"/>
    </row>
    <row r="565" spans="10:17" x14ac:dyDescent="0.25">
      <c r="K565" s="387"/>
      <c r="N565" s="388"/>
      <c r="O565" s="388"/>
      <c r="P565" s="389"/>
      <c r="Q565" s="387"/>
    </row>
    <row r="566" spans="10:17" x14ac:dyDescent="0.25">
      <c r="K566" s="387"/>
      <c r="N566" s="388"/>
      <c r="O566" s="388"/>
      <c r="P566" s="389"/>
      <c r="Q566" s="387"/>
    </row>
    <row r="567" spans="10:17" x14ac:dyDescent="0.25">
      <c r="K567" s="387"/>
      <c r="N567" s="388"/>
      <c r="O567" s="388"/>
      <c r="P567" s="389"/>
      <c r="Q567" s="387"/>
    </row>
    <row r="568" spans="10:17" x14ac:dyDescent="0.25">
      <c r="K568" s="387"/>
      <c r="N568" s="388"/>
      <c r="O568" s="388"/>
      <c r="P568" s="389"/>
      <c r="Q568" s="387"/>
    </row>
    <row r="569" spans="10:17" x14ac:dyDescent="0.25">
      <c r="K569" s="387"/>
      <c r="N569" s="388"/>
      <c r="O569" s="388"/>
      <c r="P569" s="389"/>
      <c r="Q569" s="387"/>
    </row>
    <row r="570" spans="10:17" x14ac:dyDescent="0.25">
      <c r="K570" s="387"/>
      <c r="N570" s="388"/>
      <c r="O570" s="388"/>
      <c r="P570" s="389"/>
      <c r="Q570" s="387"/>
    </row>
    <row r="571" spans="10:17" x14ac:dyDescent="0.25">
      <c r="K571" s="387"/>
      <c r="N571" s="388"/>
      <c r="O571" s="388"/>
      <c r="P571" s="389"/>
      <c r="Q571" s="387"/>
    </row>
    <row r="572" spans="10:17" x14ac:dyDescent="0.25">
      <c r="J572" s="390"/>
      <c r="K572" s="387"/>
      <c r="N572" s="388"/>
      <c r="O572" s="388"/>
      <c r="P572" s="389"/>
      <c r="Q572" s="387"/>
    </row>
    <row r="573" spans="10:17" x14ac:dyDescent="0.25">
      <c r="K573" s="387"/>
      <c r="N573" s="388"/>
      <c r="O573" s="388"/>
      <c r="P573" s="389"/>
      <c r="Q573" s="387"/>
    </row>
    <row r="574" spans="10:17" x14ac:dyDescent="0.25">
      <c r="J574" s="390"/>
      <c r="K574" s="387"/>
      <c r="N574" s="388"/>
      <c r="O574" s="388"/>
      <c r="P574" s="389"/>
      <c r="Q574" s="387"/>
    </row>
    <row r="575" spans="10:17" x14ac:dyDescent="0.25">
      <c r="K575" s="387"/>
      <c r="N575" s="388"/>
      <c r="O575" s="388"/>
      <c r="P575" s="389"/>
      <c r="Q575" s="387"/>
    </row>
    <row r="576" spans="10:17" x14ac:dyDescent="0.25">
      <c r="J576" s="390"/>
      <c r="K576" s="387"/>
      <c r="N576" s="388"/>
      <c r="O576" s="388"/>
      <c r="P576" s="389"/>
      <c r="Q576" s="387"/>
    </row>
    <row r="577" spans="11:17" x14ac:dyDescent="0.25">
      <c r="K577" s="387"/>
      <c r="N577" s="388"/>
      <c r="O577" s="388"/>
      <c r="P577" s="389"/>
      <c r="Q577" s="387"/>
    </row>
    <row r="578" spans="11:17" x14ac:dyDescent="0.25">
      <c r="N578" s="388"/>
      <c r="O578" s="388"/>
      <c r="P578" s="389"/>
      <c r="Q578" s="387"/>
    </row>
  </sheetData>
  <mergeCells count="3">
    <mergeCell ref="A1:D1"/>
    <mergeCell ref="A26:D26"/>
    <mergeCell ref="B29:E29"/>
  </mergeCells>
  <hyperlinks>
    <hyperlink ref="J1" r:id="rId1" display="Copy table from here.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2817" r:id="rId5" name="Button 1">
              <controlPr defaultSize="0" print="0" autoFill="0" autoPict="0" macro="[0]!WBO_Sort">
                <anchor moveWithCells="1" sizeWithCells="1">
                  <from>
                    <xdr:col>4</xdr:col>
                    <xdr:colOff>594360</xdr:colOff>
                    <xdr:row>4</xdr:row>
                    <xdr:rowOff>137160</xdr:rowOff>
                  </from>
                  <to>
                    <xdr:col>5</xdr:col>
                    <xdr:colOff>1280160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R108"/>
  <sheetViews>
    <sheetView topLeftCell="D1" workbookViewId="0">
      <selection activeCell="G15" sqref="G15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5" t="str">
        <f>"AGE OF HOUSING STOCK IN PMA"</f>
        <v>AGE OF HOUSING STOCK IN PMA</v>
      </c>
      <c r="B3" s="505"/>
      <c r="C3" s="505"/>
      <c r="D3" s="251"/>
      <c r="E3" s="312" t="str">
        <f>"PMA TENURE PATTERNS OF SENIORS 55+"</f>
        <v>PMA TENURE PATTERNS OF SENIORS 55+</v>
      </c>
      <c r="F3" s="312"/>
      <c r="G3" s="312"/>
      <c r="H3" s="312"/>
      <c r="I3" s="312"/>
      <c r="J3"/>
      <c r="K3"/>
      <c r="O3" s="506" t="s">
        <v>130</v>
      </c>
      <c r="P3" s="507"/>
      <c r="Q3" s="507"/>
      <c r="R3" s="508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363" t="s">
        <v>15</v>
      </c>
      <c r="B5" s="364" t="e">
        <f>#REF!</f>
        <v>#REF!</v>
      </c>
      <c r="C5" s="365" t="e">
        <f t="shared" ref="C5:C13" si="0">B5/$B$14</f>
        <v>#REF!</v>
      </c>
      <c r="D5" s="146"/>
      <c r="E5" s="335">
        <f>+ESRI_BY</f>
        <v>2000</v>
      </c>
      <c r="F5" s="307" t="e">
        <f>SUM(#REF!)</f>
        <v>#REF!</v>
      </c>
      <c r="G5" s="308" t="e">
        <f>F5/(F5+H5)</f>
        <v>#REF!</v>
      </c>
      <c r="H5" s="307" t="e">
        <f>SUM(#REF!)</f>
        <v>#REF!</v>
      </c>
      <c r="I5" s="308" t="e">
        <f>100%-G5</f>
        <v>#REF!</v>
      </c>
      <c r="J5" s="130"/>
      <c r="K5" s="130"/>
      <c r="O5" s="419" t="s">
        <v>347</v>
      </c>
      <c r="P5" s="420"/>
      <c r="Q5" s="420" t="e">
        <f>IF(VAR(ROUND(H6,5),ROUND(#REF!,5),ROUND('Income Distribution 55+'!B17,5))=0,"OK","Error")</f>
        <v>#REF!</v>
      </c>
      <c r="R5" s="421" t="e">
        <f>IF(VAR(H7,#REF!,'Demographics 55+'!L81=0),"OK","Error")</f>
        <v>#REF!</v>
      </c>
    </row>
    <row r="6" spans="1:18" x14ac:dyDescent="0.25">
      <c r="A6" s="363" t="s">
        <v>16</v>
      </c>
      <c r="B6" s="364" t="e">
        <f>#REF!</f>
        <v>#REF!</v>
      </c>
      <c r="C6" s="365" t="e">
        <f t="shared" si="0"/>
        <v>#REF!</v>
      </c>
      <c r="D6" s="146"/>
      <c r="E6" s="335">
        <f>ESRI_CY</f>
        <v>2016</v>
      </c>
      <c r="F6" s="307" t="e">
        <f>SUM(#REF!)</f>
        <v>#REF!</v>
      </c>
      <c r="G6" s="308" t="e">
        <f>F6/(F6+H6)</f>
        <v>#REF!</v>
      </c>
      <c r="H6" s="307" t="e">
        <f>SUM(#REF!)</f>
        <v>#REF!</v>
      </c>
      <c r="I6" s="308" t="e">
        <f>100%-G6</f>
        <v>#REF!</v>
      </c>
      <c r="J6" s="130"/>
      <c r="K6" s="130"/>
      <c r="O6" s="422" t="s">
        <v>348</v>
      </c>
      <c r="P6" s="423"/>
      <c r="Q6" s="423" t="e">
        <f>IF(VAR(F6,#REF!)=0,"OK","Error")</f>
        <v>#REF!</v>
      </c>
      <c r="R6" s="424" t="e">
        <f>IF(VAR(F7,#REF!)=0,"OK","Error")</f>
        <v>#REF!</v>
      </c>
    </row>
    <row r="7" spans="1:18" ht="13.8" thickBot="1" x14ac:dyDescent="0.3">
      <c r="A7" s="363" t="s">
        <v>17</v>
      </c>
      <c r="B7" s="364" t="e">
        <f>#REF!</f>
        <v>#REF!</v>
      </c>
      <c r="C7" s="365" t="e">
        <f t="shared" si="0"/>
        <v>#REF!</v>
      </c>
      <c r="D7" s="146"/>
      <c r="E7" s="355">
        <f>ESRI_FY</f>
        <v>2021</v>
      </c>
      <c r="F7" s="315" t="e">
        <f>SUM(#REF!)</f>
        <v>#REF!</v>
      </c>
      <c r="G7" s="354" t="e">
        <f>F7/(F7+H7)</f>
        <v>#REF!</v>
      </c>
      <c r="H7" s="315" t="e">
        <f>SUM(#REF!)</f>
        <v>#REF!</v>
      </c>
      <c r="I7" s="354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363" t="s">
        <v>18</v>
      </c>
      <c r="B8" s="364" t="e">
        <f>#REF!</f>
        <v>#REF!</v>
      </c>
      <c r="C8" s="365" t="e">
        <f t="shared" si="0"/>
        <v>#REF!</v>
      </c>
      <c r="D8" s="146"/>
      <c r="E8" s="316" t="str">
        <f>"Source: " &amp; Source_ESRI &amp; ", " &amp; Source_Novogradac &amp; ", " &amp; Source_Date</f>
        <v>Source: Esri Demographics 2016, Novogradac &amp; Company LLP, August 2017</v>
      </c>
      <c r="F8" s="356"/>
      <c r="G8" s="356"/>
      <c r="H8" s="356"/>
      <c r="I8" s="356"/>
      <c r="J8" s="174"/>
      <c r="K8" s="174"/>
      <c r="O8" s="422" t="s">
        <v>350</v>
      </c>
      <c r="P8" s="423"/>
      <c r="Q8" s="423" t="e">
        <f>IF(VAR(H15,#REF!)=0,"OK","Error")</f>
        <v>#REF!</v>
      </c>
      <c r="R8" s="424" t="e">
        <f>IF(VAR(H16,#REF!)=0,"OK","Error")</f>
        <v>#REF!</v>
      </c>
    </row>
    <row r="9" spans="1:18" x14ac:dyDescent="0.25">
      <c r="A9" s="363" t="s">
        <v>19</v>
      </c>
      <c r="B9" s="364" t="e">
        <f>#REF!</f>
        <v>#REF!</v>
      </c>
      <c r="C9" s="365" t="e">
        <f t="shared" si="0"/>
        <v>#REF!</v>
      </c>
      <c r="D9" s="146"/>
      <c r="E9" s="357"/>
      <c r="F9" s="358"/>
      <c r="G9" s="358"/>
      <c r="H9" s="358"/>
      <c r="I9" s="358"/>
      <c r="J9" s="174"/>
      <c r="K9" s="174"/>
      <c r="O9" s="422" t="s">
        <v>351</v>
      </c>
      <c r="P9" s="423"/>
      <c r="Q9" s="423" t="e">
        <f>IF(VAR(F15,#REF!)=0,"OK","Error")</f>
        <v>#REF!</v>
      </c>
      <c r="R9" s="424" t="e">
        <f>IF(VAR(F16,#REF!)=0,"OK","Error")</f>
        <v>#REF!</v>
      </c>
    </row>
    <row r="10" spans="1:18" x14ac:dyDescent="0.25">
      <c r="A10" s="363" t="s">
        <v>20</v>
      </c>
      <c r="B10" s="364" t="e">
        <f>#REF!</f>
        <v>#REF!</v>
      </c>
      <c r="C10" s="365" t="e">
        <f t="shared" si="0"/>
        <v>#REF!</v>
      </c>
      <c r="D10" s="146"/>
      <c r="E10" s="357"/>
      <c r="F10" s="358"/>
      <c r="G10" s="358"/>
      <c r="H10" s="358"/>
      <c r="I10" s="35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363" t="s">
        <v>21</v>
      </c>
      <c r="B11" s="364" t="e">
        <f>#REF!</f>
        <v>#REF!</v>
      </c>
      <c r="C11" s="365" t="e">
        <f t="shared" si="0"/>
        <v>#REF!</v>
      </c>
      <c r="D11" s="146"/>
      <c r="E11" s="313"/>
      <c r="F11" s="313"/>
      <c r="G11" s="313"/>
      <c r="H11" s="313"/>
      <c r="I11" s="313"/>
    </row>
    <row r="12" spans="1:18" ht="15.6" x14ac:dyDescent="0.3">
      <c r="A12" s="363" t="s">
        <v>22</v>
      </c>
      <c r="B12" s="364" t="e">
        <f>#REF!</f>
        <v>#REF!</v>
      </c>
      <c r="C12" s="365" t="e">
        <f t="shared" si="0"/>
        <v>#REF!</v>
      </c>
      <c r="D12" s="146"/>
      <c r="E12" s="312" t="str">
        <f>"SMA TENURE PATTERNS OF SENIORS 55+"</f>
        <v>SMA TENURE PATTERNS OF SENIORS 55+</v>
      </c>
      <c r="F12" s="312"/>
      <c r="G12" s="312"/>
      <c r="H12" s="312"/>
      <c r="I12" s="312"/>
      <c r="J12"/>
      <c r="K12"/>
    </row>
    <row r="13" spans="1:18" s="18" customFormat="1" ht="39.6" x14ac:dyDescent="0.25">
      <c r="A13" s="363" t="s">
        <v>23</v>
      </c>
      <c r="B13" s="364" t="e">
        <f>#REF!</f>
        <v>#REF!</v>
      </c>
      <c r="C13" s="365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</row>
    <row r="14" spans="1:18" ht="13.8" thickBot="1" x14ac:dyDescent="0.3">
      <c r="A14" s="366" t="s">
        <v>11</v>
      </c>
      <c r="B14" s="367" t="e">
        <f>SUM(B5:B13)</f>
        <v>#REF!</v>
      </c>
      <c r="C14" s="368" t="e">
        <f>SUM(C5:C13)</f>
        <v>#REF!</v>
      </c>
      <c r="D14" s="150"/>
      <c r="E14" s="335">
        <f>+ESRI_BY</f>
        <v>2000</v>
      </c>
      <c r="F14" s="307" t="e">
        <f>SUM(#REF!)</f>
        <v>#REF!</v>
      </c>
      <c r="G14" s="308" t="e">
        <f>F14/(F14+H14)</f>
        <v>#REF!</v>
      </c>
      <c r="H14" s="307" t="e">
        <f>SUM(#REF!)</f>
        <v>#REF!</v>
      </c>
      <c r="I14" s="308" t="e">
        <f>100%-G14</f>
        <v>#REF!</v>
      </c>
      <c r="J14" s="308"/>
      <c r="K14" s="308"/>
    </row>
    <row r="15" spans="1:18" s="42" customFormat="1" ht="16.2" thickTop="1" x14ac:dyDescent="0.3">
      <c r="A15" s="316" t="str">
        <f>"Source: " &amp; Source_ESRI &amp; ", " &amp; Source_Novogradac &amp; ", " &amp; Source_Date</f>
        <v>Source: Esri Demographics 2016, Novogradac &amp; Company LLP, August 2017</v>
      </c>
      <c r="B15" s="369"/>
      <c r="C15" s="369"/>
      <c r="D15" s="151"/>
      <c r="E15" s="335">
        <f>ESRI_CY</f>
        <v>2016</v>
      </c>
      <c r="F15" s="307" t="e">
        <f>SUM(#REF!)</f>
        <v>#REF!</v>
      </c>
      <c r="G15" s="308" t="e">
        <f>F15/(F15+H15)</f>
        <v>#REF!</v>
      </c>
      <c r="H15" s="307" t="e">
        <f>SUM(#REF!)</f>
        <v>#REF!</v>
      </c>
      <c r="I15" s="308" t="e">
        <f>100%-G15</f>
        <v>#REF!</v>
      </c>
      <c r="J15" s="308"/>
      <c r="K15" s="308"/>
    </row>
    <row r="16" spans="1:18" s="54" customFormat="1" ht="13.8" thickBot="1" x14ac:dyDescent="0.3">
      <c r="A16" s="253"/>
      <c r="B16" s="253"/>
      <c r="C16" s="253"/>
      <c r="D16" s="253"/>
      <c r="E16" s="355">
        <f>ESRI_FY</f>
        <v>2021</v>
      </c>
      <c r="F16" s="307" t="e">
        <f>SUM(#REF!)</f>
        <v>#REF!</v>
      </c>
      <c r="G16" s="354" t="e">
        <f>F16/(F16+H16)</f>
        <v>#REF!</v>
      </c>
      <c r="H16" s="315" t="e">
        <f>SUM(#REF!)</f>
        <v>#REF!</v>
      </c>
      <c r="I16" s="354" t="e">
        <f>100%-G16</f>
        <v>#REF!</v>
      </c>
      <c r="J16" s="308"/>
      <c r="K16" s="308"/>
    </row>
    <row r="17" spans="1:11" s="54" customFormat="1" ht="16.2" thickTop="1" x14ac:dyDescent="0.3">
      <c r="A17" s="42"/>
      <c r="B17" s="42"/>
      <c r="C17" s="42"/>
      <c r="D17" s="42"/>
      <c r="E17" s="316" t="str">
        <f>"Source: " &amp; Source_ESRI &amp; ", " &amp; Source_Novogradac &amp; ", " &amp; Source_Date</f>
        <v>Source: Esri Demographics 2016, Novogradac &amp; Company LLP, August 2017</v>
      </c>
      <c r="F17" s="356"/>
      <c r="G17" s="356"/>
      <c r="H17" s="356"/>
      <c r="I17" s="356"/>
      <c r="J17" s="358"/>
      <c r="K17" s="358"/>
    </row>
    <row r="18" spans="1:11" x14ac:dyDescent="0.25">
      <c r="E18" s="313"/>
      <c r="F18" s="313"/>
      <c r="G18" s="313"/>
      <c r="H18" s="313"/>
      <c r="I18" s="313"/>
      <c r="J18" s="313"/>
      <c r="K18" s="313"/>
    </row>
    <row r="19" spans="1:11" ht="15.6" x14ac:dyDescent="0.3">
      <c r="E19" s="312" t="str">
        <f>"PMA HOUSEHOLD SIZE DISTRIBUTION OF SENIORS 55+"</f>
        <v>PMA HOUSEHOLD SIZE DISTRIBUTION OF SENIORS 55+</v>
      </c>
      <c r="F19" s="312"/>
      <c r="G19" s="312"/>
      <c r="H19" s="312"/>
      <c r="I19" s="312"/>
      <c r="J19" s="312"/>
      <c r="K19" s="312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334" t="s">
        <v>65</v>
      </c>
      <c r="F22" s="306" t="e">
        <f>SUM(#REF!+#REF!)+SUM(#REF!+#REF!)</f>
        <v>#REF!</v>
      </c>
      <c r="G22" s="308" t="e">
        <f>F22/F$27</f>
        <v>#REF!</v>
      </c>
      <c r="H22" s="306" t="e">
        <f>#REF!+#REF!</f>
        <v>#REF!</v>
      </c>
      <c r="I22" s="308" t="e">
        <f>H22/H$27</f>
        <v>#REF!</v>
      </c>
      <c r="J22" s="306" t="e">
        <f>#REF!+#REF!</f>
        <v>#REF!</v>
      </c>
      <c r="K22" s="308" t="e">
        <f>J22/J$27</f>
        <v>#REF!</v>
      </c>
    </row>
    <row r="23" spans="1:11" x14ac:dyDescent="0.25">
      <c r="E23" s="334" t="s">
        <v>66</v>
      </c>
      <c r="F23" s="306" t="e">
        <f>#REF!+#REF!+#REF!+#REF!</f>
        <v>#REF!</v>
      </c>
      <c r="G23" s="308" t="e">
        <f>F23/F$27</f>
        <v>#REF!</v>
      </c>
      <c r="H23" s="306" t="e">
        <f>#REF!+#REF!</f>
        <v>#REF!</v>
      </c>
      <c r="I23" s="308" t="e">
        <f>H23/H$27</f>
        <v>#REF!</v>
      </c>
      <c r="J23" s="306" t="e">
        <f>#REF!+#REF!</f>
        <v>#REF!</v>
      </c>
      <c r="K23" s="308" t="e">
        <f>J23/J$27</f>
        <v>#REF!</v>
      </c>
    </row>
    <row r="24" spans="1:11" x14ac:dyDescent="0.25">
      <c r="E24" s="334" t="s">
        <v>67</v>
      </c>
      <c r="F24" s="306" t="e">
        <f>#REF!+#REF!+#REF!+#REF!</f>
        <v>#REF!</v>
      </c>
      <c r="G24" s="308" t="e">
        <f>F24/F$27</f>
        <v>#REF!</v>
      </c>
      <c r="H24" s="306" t="e">
        <f>#REF!+#REF!</f>
        <v>#REF!</v>
      </c>
      <c r="I24" s="308" t="e">
        <f>H24/H$27</f>
        <v>#REF!</v>
      </c>
      <c r="J24" s="306" t="e">
        <f>#REF!+#REF!</f>
        <v>#REF!</v>
      </c>
      <c r="K24" s="308" t="e">
        <f>J24/J$27</f>
        <v>#REF!</v>
      </c>
    </row>
    <row r="25" spans="1:11" x14ac:dyDescent="0.25">
      <c r="E25" s="334" t="s">
        <v>68</v>
      </c>
      <c r="F25" s="306" t="e">
        <f>#REF!+#REF!+#REF!+#REF!</f>
        <v>#REF!</v>
      </c>
      <c r="G25" s="308" t="e">
        <f>F25/F$27</f>
        <v>#REF!</v>
      </c>
      <c r="H25" s="306" t="e">
        <f>#REF!+#REF!</f>
        <v>#REF!</v>
      </c>
      <c r="I25" s="308" t="e">
        <f>H25/H$27</f>
        <v>#REF!</v>
      </c>
      <c r="J25" s="306" t="e">
        <f>#REF!+#REF!</f>
        <v>#REF!</v>
      </c>
      <c r="K25" s="308" t="e">
        <f>J25/J$27</f>
        <v>#REF!</v>
      </c>
    </row>
    <row r="26" spans="1:11" x14ac:dyDescent="0.25">
      <c r="E26" s="334" t="s">
        <v>128</v>
      </c>
      <c r="F26" s="306" t="e">
        <f>#REF!+#REF!+#REF!+#REF!</f>
        <v>#REF!</v>
      </c>
      <c r="G26" s="308" t="e">
        <f>F26/F$27</f>
        <v>#REF!</v>
      </c>
      <c r="H26" s="306" t="e">
        <f>#REF!+#REF!</f>
        <v>#REF!</v>
      </c>
      <c r="I26" s="308" t="e">
        <f>H26/H$27</f>
        <v>#REF!</v>
      </c>
      <c r="J26" s="306" t="e">
        <f>#REF!+#REF!</f>
        <v>#REF!</v>
      </c>
      <c r="K26" s="308" t="e">
        <f>J26/J$27</f>
        <v>#REF!</v>
      </c>
    </row>
    <row r="27" spans="1:11" s="42" customFormat="1" ht="16.2" thickBot="1" x14ac:dyDescent="0.35">
      <c r="E27" s="359" t="s">
        <v>11</v>
      </c>
      <c r="F27" s="317" t="e">
        <f t="shared" ref="F27:K27" si="1">SUM(F22:F26)</f>
        <v>#REF!</v>
      </c>
      <c r="G27" s="314" t="e">
        <f t="shared" si="1"/>
        <v>#REF!</v>
      </c>
      <c r="H27" s="317" t="e">
        <f t="shared" si="1"/>
        <v>#REF!</v>
      </c>
      <c r="I27" s="314" t="e">
        <f>SUM(I22:I26)</f>
        <v>#REF!</v>
      </c>
      <c r="J27" s="317" t="e">
        <f>SUM(J22:J26)</f>
        <v>#REF!</v>
      </c>
      <c r="K27" s="314" t="e">
        <f t="shared" si="1"/>
        <v>#REF!</v>
      </c>
    </row>
    <row r="28" spans="1:11" ht="13.8" thickTop="1" x14ac:dyDescent="0.25">
      <c r="E28" s="316" t="str">
        <f>"Source: " &amp; Source_HISTA &amp; ", " &amp; Source_Novogradac &amp; ", " &amp; Source_Date</f>
        <v>Source: Ribbon Demographics 2014, Novogradac &amp; Company LLP, August 2017</v>
      </c>
      <c r="F28" s="316"/>
      <c r="G28" s="316"/>
      <c r="H28" s="316"/>
      <c r="I28" s="316"/>
      <c r="J28" s="316"/>
      <c r="K28" s="316"/>
    </row>
    <row r="29" spans="1:11" x14ac:dyDescent="0.25">
      <c r="E29" s="313"/>
      <c r="F29" s="313"/>
      <c r="G29" s="313"/>
      <c r="H29" s="313"/>
      <c r="I29" s="313"/>
      <c r="J29" s="313"/>
      <c r="K29" s="313"/>
    </row>
    <row r="30" spans="1:11" x14ac:dyDescent="0.25">
      <c r="E30" s="313"/>
      <c r="F30" s="313"/>
      <c r="G30" s="313"/>
      <c r="H30" s="313"/>
      <c r="I30" s="313"/>
      <c r="J30" s="313"/>
      <c r="K30" s="313"/>
    </row>
    <row r="31" spans="1:11" s="18" customFormat="1" ht="15.6" x14ac:dyDescent="0.3">
      <c r="E31" s="312" t="str">
        <f>"PMA RENTER HOUSEHOLD SIZE DISTRIBUTION OF SENIORS 55+"</f>
        <v>PMA RENTER HOUSEHOLD SIZE DISTRIBUTION OF SENIORS 55+</v>
      </c>
      <c r="F31" s="312"/>
      <c r="G31" s="312"/>
      <c r="H31" s="312"/>
      <c r="I31" s="312"/>
      <c r="J31" s="312"/>
      <c r="K31" s="312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334" t="s">
        <v>65</v>
      </c>
      <c r="F34" s="306" t="e">
        <f>SUM(#REF!+#REF!)</f>
        <v>#REF!</v>
      </c>
      <c r="G34" s="308" t="e">
        <f>F34/F$39</f>
        <v>#REF!</v>
      </c>
      <c r="H34" s="306" t="e">
        <f>#REF!</f>
        <v>#REF!</v>
      </c>
      <c r="I34" s="308" t="e">
        <f>H34/$H$39</f>
        <v>#REF!</v>
      </c>
      <c r="J34" s="306" t="e">
        <f>#REF!</f>
        <v>#REF!</v>
      </c>
      <c r="K34" s="308" t="e">
        <f>J34/$J$39</f>
        <v>#REF!</v>
      </c>
    </row>
    <row r="35" spans="5:11" x14ac:dyDescent="0.25">
      <c r="E35" s="334" t="s">
        <v>66</v>
      </c>
      <c r="F35" s="306" t="e">
        <f>#REF!+#REF!</f>
        <v>#REF!</v>
      </c>
      <c r="G35" s="308" t="e">
        <f t="shared" ref="G35:G38" si="2">F35/F$39</f>
        <v>#REF!</v>
      </c>
      <c r="H35" s="306" t="e">
        <f>#REF!</f>
        <v>#REF!</v>
      </c>
      <c r="I35" s="308" t="e">
        <f t="shared" ref="I35:I38" si="3">H35/$H$39</f>
        <v>#REF!</v>
      </c>
      <c r="J35" s="306" t="e">
        <f>#REF!</f>
        <v>#REF!</v>
      </c>
      <c r="K35" s="308" t="e">
        <f t="shared" ref="K35:K38" si="4">J35/$J$39</f>
        <v>#REF!</v>
      </c>
    </row>
    <row r="36" spans="5:11" x14ac:dyDescent="0.25">
      <c r="E36" s="334" t="s">
        <v>67</v>
      </c>
      <c r="F36" s="306" t="e">
        <f>#REF!+#REF!</f>
        <v>#REF!</v>
      </c>
      <c r="G36" s="308" t="e">
        <f t="shared" si="2"/>
        <v>#REF!</v>
      </c>
      <c r="H36" s="306" t="e">
        <f>#REF!</f>
        <v>#REF!</v>
      </c>
      <c r="I36" s="308" t="e">
        <f t="shared" si="3"/>
        <v>#REF!</v>
      </c>
      <c r="J36" s="306" t="e">
        <f>#REF!</f>
        <v>#REF!</v>
      </c>
      <c r="K36" s="308" t="e">
        <f t="shared" si="4"/>
        <v>#REF!</v>
      </c>
    </row>
    <row r="37" spans="5:11" x14ac:dyDescent="0.25">
      <c r="E37" s="334" t="s">
        <v>68</v>
      </c>
      <c r="F37" s="306" t="e">
        <f>#REF!+#REF!</f>
        <v>#REF!</v>
      </c>
      <c r="G37" s="308" t="e">
        <f t="shared" si="2"/>
        <v>#REF!</v>
      </c>
      <c r="H37" s="306" t="e">
        <f>#REF!</f>
        <v>#REF!</v>
      </c>
      <c r="I37" s="308" t="e">
        <f t="shared" si="3"/>
        <v>#REF!</v>
      </c>
      <c r="J37" s="306" t="e">
        <f>#REF!</f>
        <v>#REF!</v>
      </c>
      <c r="K37" s="308" t="e">
        <f t="shared" si="4"/>
        <v>#REF!</v>
      </c>
    </row>
    <row r="38" spans="5:11" x14ac:dyDescent="0.25">
      <c r="E38" s="334" t="s">
        <v>128</v>
      </c>
      <c r="F38" s="306" t="e">
        <f>#REF!+#REF!</f>
        <v>#REF!</v>
      </c>
      <c r="G38" s="308" t="e">
        <f t="shared" si="2"/>
        <v>#REF!</v>
      </c>
      <c r="H38" s="306" t="e">
        <f>#REF!</f>
        <v>#REF!</v>
      </c>
      <c r="I38" s="308" t="e">
        <f t="shared" si="3"/>
        <v>#REF!</v>
      </c>
      <c r="J38" s="306" t="e">
        <f>#REF!</f>
        <v>#REF!</v>
      </c>
      <c r="K38" s="308" t="e">
        <f t="shared" si="4"/>
        <v>#REF!</v>
      </c>
    </row>
    <row r="39" spans="5:11" ht="13.8" thickBot="1" x14ac:dyDescent="0.3">
      <c r="E39" s="359" t="s">
        <v>11</v>
      </c>
      <c r="F39" s="317" t="e">
        <f>SUM(F34:F38)</f>
        <v>#REF!</v>
      </c>
      <c r="G39" s="314" t="e">
        <f>SUM(G34:G38)</f>
        <v>#REF!</v>
      </c>
      <c r="H39" s="317" t="e">
        <f>SUM(H34:H38)</f>
        <v>#REF!</v>
      </c>
      <c r="I39" s="314" t="e">
        <f>SUM(I34:I38)</f>
        <v>#REF!</v>
      </c>
      <c r="J39" s="317" t="e">
        <f t="shared" ref="J39" si="5">SUM(J34:J38)</f>
        <v>#REF!</v>
      </c>
      <c r="K39" s="314" t="e">
        <f>SUM(K34:K38)</f>
        <v>#REF!</v>
      </c>
    </row>
    <row r="40" spans="5:11" ht="13.8" thickTop="1" x14ac:dyDescent="0.25">
      <c r="E40" s="316" t="str">
        <f>"Source: " &amp; Source_HISTA &amp; ", " &amp; Source_Novogradac &amp; ", " &amp; Source_Date</f>
        <v>Source: Ribbon Demographics 2014, Novogradac &amp; Company LLP, August 2017</v>
      </c>
      <c r="F40" s="316"/>
      <c r="G40" s="316"/>
      <c r="H40" s="316"/>
      <c r="I40" s="316"/>
      <c r="J40" s="316"/>
      <c r="K40" s="316"/>
    </row>
    <row r="41" spans="5:11" x14ac:dyDescent="0.25">
      <c r="E41" s="313"/>
      <c r="F41" s="313"/>
      <c r="G41" s="313"/>
      <c r="H41" s="313"/>
      <c r="I41" s="313"/>
      <c r="J41" s="313"/>
      <c r="K41" s="313"/>
    </row>
    <row r="42" spans="5:11" x14ac:dyDescent="0.25">
      <c r="E42" s="313"/>
      <c r="F42" s="313"/>
      <c r="G42" s="313"/>
      <c r="H42" s="313"/>
      <c r="I42" s="313"/>
      <c r="J42" s="313"/>
      <c r="K42" s="313"/>
    </row>
    <row r="43" spans="5:11" ht="15.6" x14ac:dyDescent="0.3">
      <c r="E43" s="360"/>
      <c r="F43" s="360"/>
      <c r="G43" s="360"/>
      <c r="H43" s="360"/>
      <c r="I43" s="360"/>
      <c r="J43" s="360"/>
      <c r="K43" s="360"/>
    </row>
    <row r="44" spans="5:11" ht="15.6" x14ac:dyDescent="0.3">
      <c r="E44" s="312" t="str">
        <f>"SMA HOUSEHOLD SIZE DISTRIBUTION OF SENIORS 55+"</f>
        <v>SMA HOUSEHOLD SIZE DISTRIBUTION OF SENIORS 55+</v>
      </c>
      <c r="F44" s="312"/>
      <c r="G44" s="312"/>
      <c r="H44" s="312"/>
      <c r="I44" s="312"/>
      <c r="J44" s="312"/>
      <c r="K44" s="312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334" t="s">
        <v>65</v>
      </c>
      <c r="F47" s="306" t="e">
        <f>#REF!+#REF!+#REF!+#REF!</f>
        <v>#REF!</v>
      </c>
      <c r="G47" s="308" t="e">
        <f>F47/F$52</f>
        <v>#REF!</v>
      </c>
      <c r="H47" s="306" t="e">
        <f>#REF!+#REF!</f>
        <v>#REF!</v>
      </c>
      <c r="I47" s="308" t="e">
        <f>H47/H$52</f>
        <v>#REF!</v>
      </c>
      <c r="J47" s="306" t="e">
        <f>#REF!+#REF!</f>
        <v>#REF!</v>
      </c>
      <c r="K47" s="308" t="e">
        <f>J47/J$52</f>
        <v>#REF!</v>
      </c>
    </row>
    <row r="48" spans="5:11" x14ac:dyDescent="0.25">
      <c r="E48" s="334" t="s">
        <v>66</v>
      </c>
      <c r="F48" s="306" t="e">
        <f>#REF!+#REF!+#REF!+#REF!</f>
        <v>#REF!</v>
      </c>
      <c r="G48" s="308" t="e">
        <f>F48/F$52</f>
        <v>#REF!</v>
      </c>
      <c r="H48" s="306" t="e">
        <f>#REF!+#REF!</f>
        <v>#REF!</v>
      </c>
      <c r="I48" s="308" t="e">
        <f>H48/H$52</f>
        <v>#REF!</v>
      </c>
      <c r="J48" s="306" t="e">
        <f>#REF!+#REF!</f>
        <v>#REF!</v>
      </c>
      <c r="K48" s="308" t="e">
        <f>J48/J$52</f>
        <v>#REF!</v>
      </c>
    </row>
    <row r="49" spans="5:11" x14ac:dyDescent="0.25">
      <c r="E49" s="334" t="s">
        <v>67</v>
      </c>
      <c r="F49" s="306" t="e">
        <f>#REF!+#REF!+#REF!+#REF!</f>
        <v>#REF!</v>
      </c>
      <c r="G49" s="308" t="e">
        <f>F49/F$52</f>
        <v>#REF!</v>
      </c>
      <c r="H49" s="306" t="e">
        <f>#REF!+#REF!</f>
        <v>#REF!</v>
      </c>
      <c r="I49" s="308" t="e">
        <f>H49/H$52</f>
        <v>#REF!</v>
      </c>
      <c r="J49" s="306" t="e">
        <f>#REF!+#REF!</f>
        <v>#REF!</v>
      </c>
      <c r="K49" s="308" t="e">
        <f>J49/J$52</f>
        <v>#REF!</v>
      </c>
    </row>
    <row r="50" spans="5:11" x14ac:dyDescent="0.25">
      <c r="E50" s="334" t="s">
        <v>68</v>
      </c>
      <c r="F50" s="306" t="e">
        <f>#REF!+#REF!+#REF!+#REF!</f>
        <v>#REF!</v>
      </c>
      <c r="G50" s="308" t="e">
        <f>F50/F$52</f>
        <v>#REF!</v>
      </c>
      <c r="H50" s="306" t="e">
        <f>#REF!+#REF!</f>
        <v>#REF!</v>
      </c>
      <c r="I50" s="308" t="e">
        <f>H50/H$52</f>
        <v>#REF!</v>
      </c>
      <c r="J50" s="306" t="e">
        <f>#REF!+#REF!</f>
        <v>#REF!</v>
      </c>
      <c r="K50" s="308" t="e">
        <f>J50/J$52</f>
        <v>#REF!</v>
      </c>
    </row>
    <row r="51" spans="5:11" x14ac:dyDescent="0.25">
      <c r="E51" s="334" t="s">
        <v>128</v>
      </c>
      <c r="F51" s="306" t="e">
        <f>#REF!+#REF!+#REF!+#REF!</f>
        <v>#REF!</v>
      </c>
      <c r="G51" s="308" t="e">
        <f>F51/F$52</f>
        <v>#REF!</v>
      </c>
      <c r="H51" s="306" t="e">
        <f>#REF!+#REF!</f>
        <v>#REF!</v>
      </c>
      <c r="I51" s="308" t="e">
        <f>H51/H$52</f>
        <v>#REF!</v>
      </c>
      <c r="J51" s="306" t="e">
        <f>#REF!+#REF!</f>
        <v>#REF!</v>
      </c>
      <c r="K51" s="308" t="e">
        <f>J51/J$52</f>
        <v>#REF!</v>
      </c>
    </row>
    <row r="52" spans="5:11" ht="13.8" thickBot="1" x14ac:dyDescent="0.3">
      <c r="E52" s="349" t="s">
        <v>11</v>
      </c>
      <c r="F52" s="317" t="e">
        <f t="shared" ref="F52:K52" si="6">SUM(F47:F51)</f>
        <v>#REF!</v>
      </c>
      <c r="G52" s="314" t="e">
        <f t="shared" si="6"/>
        <v>#REF!</v>
      </c>
      <c r="H52" s="317" t="e">
        <f t="shared" si="6"/>
        <v>#REF!</v>
      </c>
      <c r="I52" s="314" t="e">
        <f t="shared" si="6"/>
        <v>#REF!</v>
      </c>
      <c r="J52" s="317" t="e">
        <f t="shared" si="6"/>
        <v>#REF!</v>
      </c>
      <c r="K52" s="314" t="e">
        <f t="shared" si="6"/>
        <v>#REF!</v>
      </c>
    </row>
    <row r="53" spans="5:11" s="15" customFormat="1" ht="13.8" thickTop="1" x14ac:dyDescent="0.25">
      <c r="E53" s="316" t="str">
        <f>"Source: " &amp; Source_HISTA &amp; ", " &amp; Source_Novogradac &amp; ", " &amp; Source_Date</f>
        <v>Source: Ribbon Demographics 2014, Novogradac &amp; Company LLP, August 2017</v>
      </c>
      <c r="F53" s="316"/>
      <c r="G53" s="316"/>
      <c r="H53" s="316"/>
      <c r="I53" s="316"/>
      <c r="J53" s="316"/>
      <c r="K53" s="316"/>
    </row>
    <row r="54" spans="5:11" s="18" customFormat="1" x14ac:dyDescent="0.25">
      <c r="E54" s="313"/>
      <c r="F54" s="313"/>
      <c r="G54" s="313"/>
      <c r="H54" s="313"/>
      <c r="I54" s="313"/>
      <c r="J54" s="313"/>
      <c r="K54" s="313"/>
    </row>
    <row r="55" spans="5:11" s="18" customFormat="1" x14ac:dyDescent="0.25">
      <c r="E55" s="313"/>
      <c r="F55" s="313"/>
      <c r="G55" s="313"/>
      <c r="H55" s="313"/>
      <c r="I55" s="313"/>
      <c r="J55" s="313"/>
      <c r="K55" s="313"/>
    </row>
    <row r="56" spans="5:11" ht="15.6" x14ac:dyDescent="0.3">
      <c r="E56" s="312" t="str">
        <f>"SMA RENTER HOUSEHOLD SIZE DISTRIBUTION OF SENIORS 55+"</f>
        <v>SMA RENTER HOUSEHOLD SIZE DISTRIBUTION OF SENIORS 55+</v>
      </c>
      <c r="F56" s="312"/>
      <c r="G56" s="312"/>
      <c r="H56" s="312"/>
      <c r="I56" s="312"/>
      <c r="J56" s="312"/>
      <c r="K56" s="312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334" t="s">
        <v>65</v>
      </c>
      <c r="F59" s="306" t="e">
        <f>#REF!+#REF!</f>
        <v>#REF!</v>
      </c>
      <c r="G59" s="308" t="e">
        <f>F59/F$64</f>
        <v>#REF!</v>
      </c>
      <c r="H59" s="306" t="e">
        <f>#REF!</f>
        <v>#REF!</v>
      </c>
      <c r="I59" s="308" t="e">
        <f>H59/H$64</f>
        <v>#REF!</v>
      </c>
      <c r="J59" s="306" t="e">
        <f>#REF!</f>
        <v>#REF!</v>
      </c>
      <c r="K59" s="308" t="e">
        <f>J59/J$64</f>
        <v>#REF!</v>
      </c>
    </row>
    <row r="60" spans="5:11" x14ac:dyDescent="0.25">
      <c r="E60" s="334" t="s">
        <v>66</v>
      </c>
      <c r="F60" s="306" t="e">
        <f>#REF!+#REF!</f>
        <v>#REF!</v>
      </c>
      <c r="G60" s="308" t="e">
        <f t="shared" ref="G60:G63" si="7">F60/F$64</f>
        <v>#REF!</v>
      </c>
      <c r="H60" s="306" t="e">
        <f>#REF!</f>
        <v>#REF!</v>
      </c>
      <c r="I60" s="308" t="e">
        <f t="shared" ref="I60:I63" si="8">H60/H$64</f>
        <v>#REF!</v>
      </c>
      <c r="J60" s="306" t="e">
        <f>#REF!</f>
        <v>#REF!</v>
      </c>
      <c r="K60" s="308" t="e">
        <f t="shared" ref="K60:K63" si="9">J60/J$64</f>
        <v>#REF!</v>
      </c>
    </row>
    <row r="61" spans="5:11" x14ac:dyDescent="0.25">
      <c r="E61" s="334" t="s">
        <v>67</v>
      </c>
      <c r="F61" s="306" t="e">
        <f>#REF!+#REF!</f>
        <v>#REF!</v>
      </c>
      <c r="G61" s="308" t="e">
        <f t="shared" si="7"/>
        <v>#REF!</v>
      </c>
      <c r="H61" s="306" t="e">
        <f>#REF!</f>
        <v>#REF!</v>
      </c>
      <c r="I61" s="308" t="e">
        <f t="shared" si="8"/>
        <v>#REF!</v>
      </c>
      <c r="J61" s="306" t="e">
        <f>#REF!</f>
        <v>#REF!</v>
      </c>
      <c r="K61" s="308" t="e">
        <f t="shared" si="9"/>
        <v>#REF!</v>
      </c>
    </row>
    <row r="62" spans="5:11" x14ac:dyDescent="0.25">
      <c r="E62" s="334" t="s">
        <v>68</v>
      </c>
      <c r="F62" s="306" t="e">
        <f>#REF!+#REF!</f>
        <v>#REF!</v>
      </c>
      <c r="G62" s="308" t="e">
        <f t="shared" si="7"/>
        <v>#REF!</v>
      </c>
      <c r="H62" s="306" t="e">
        <f>#REF!</f>
        <v>#REF!</v>
      </c>
      <c r="I62" s="308" t="e">
        <f t="shared" si="8"/>
        <v>#REF!</v>
      </c>
      <c r="J62" s="306" t="e">
        <f>#REF!</f>
        <v>#REF!</v>
      </c>
      <c r="K62" s="308" t="e">
        <f t="shared" si="9"/>
        <v>#REF!</v>
      </c>
    </row>
    <row r="63" spans="5:11" x14ac:dyDescent="0.25">
      <c r="E63" s="334" t="s">
        <v>128</v>
      </c>
      <c r="F63" s="306" t="e">
        <f>#REF!+#REF!</f>
        <v>#REF!</v>
      </c>
      <c r="G63" s="308" t="e">
        <f t="shared" si="7"/>
        <v>#REF!</v>
      </c>
      <c r="H63" s="306" t="e">
        <f>#REF!</f>
        <v>#REF!</v>
      </c>
      <c r="I63" s="308" t="e">
        <f t="shared" si="8"/>
        <v>#REF!</v>
      </c>
      <c r="J63" s="306" t="e">
        <f>#REF!</f>
        <v>#REF!</v>
      </c>
      <c r="K63" s="308" t="e">
        <f t="shared" si="9"/>
        <v>#REF!</v>
      </c>
    </row>
    <row r="64" spans="5:11" ht="13.8" thickBot="1" x14ac:dyDescent="0.3">
      <c r="E64" s="349" t="s">
        <v>11</v>
      </c>
      <c r="F64" s="317" t="e">
        <f>SUM(F59:F63)</f>
        <v>#REF!</v>
      </c>
      <c r="G64" s="314" t="e">
        <f t="shared" ref="G64:H64" si="10">SUM(G59:G63)</f>
        <v>#REF!</v>
      </c>
      <c r="H64" s="317" t="e">
        <f t="shared" si="10"/>
        <v>#REF!</v>
      </c>
      <c r="I64" s="314" t="e">
        <f>SUM(I59:I63)</f>
        <v>#REF!</v>
      </c>
      <c r="J64" s="317" t="e">
        <f>SUM(J59:J63)</f>
        <v>#REF!</v>
      </c>
      <c r="K64" s="314" t="e">
        <f>SUM(K59:K63)</f>
        <v>#REF!</v>
      </c>
    </row>
    <row r="65" spans="1:11" ht="13.8" thickTop="1" x14ac:dyDescent="0.25">
      <c r="E65" s="316" t="str">
        <f>"Source: " &amp; Source_HISTA &amp; ", " &amp; Source_Novogradac &amp; ", " &amp; Source_Date</f>
        <v>Source: Ribbon Demographics 2014, Novogradac &amp; Company LLP, August 2017</v>
      </c>
      <c r="F65" s="316"/>
      <c r="G65" s="316"/>
      <c r="H65" s="316"/>
      <c r="I65" s="316"/>
      <c r="J65" s="316"/>
      <c r="K65" s="316"/>
    </row>
    <row r="66" spans="1:11" x14ac:dyDescent="0.25">
      <c r="A66" s="15"/>
      <c r="B66" s="15"/>
      <c r="C66" s="15"/>
      <c r="D66" s="15"/>
      <c r="E66" s="313"/>
      <c r="F66" s="313"/>
      <c r="G66" s="313"/>
      <c r="H66" s="313"/>
      <c r="I66" s="313"/>
      <c r="J66" s="313"/>
      <c r="K66" s="313"/>
    </row>
    <row r="67" spans="1:11" x14ac:dyDescent="0.25">
      <c r="A67" s="18"/>
      <c r="B67" s="18"/>
      <c r="C67" s="18"/>
      <c r="D67" s="18"/>
      <c r="E67" s="2"/>
      <c r="F67" s="2"/>
      <c r="G67" s="2"/>
      <c r="H67" s="2"/>
      <c r="I67" s="2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75" priority="3">
      <formula>P5="OK"</formula>
    </cfRule>
    <cfRule type="expression" dxfId="174" priority="4">
      <formula>"OK"</formula>
    </cfRule>
  </conditionalFormatting>
  <conditionalFormatting sqref="Q6">
    <cfRule type="expression" dxfId="173" priority="1">
      <formula>Q6="OK"</formula>
    </cfRule>
    <cfRule type="expression" dxfId="172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5233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34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35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R108"/>
  <sheetViews>
    <sheetView topLeftCell="E1" workbookViewId="0">
      <selection activeCell="J14" sqref="J14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5.6640625" style="12" bestFit="1" customWidth="1"/>
    <col min="16" max="16" width="4.44140625" style="12" bestFit="1" customWidth="1"/>
    <col min="17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9" t="str">
        <f>"AGE OF HOUSING STOCK IN PMA"</f>
        <v>AGE OF HOUSING STOCK IN PMA</v>
      </c>
      <c r="B3" s="509"/>
      <c r="C3" s="509"/>
      <c r="D3" s="290"/>
      <c r="E3" s="218" t="str">
        <f>"PMA TENURE PATTERNS OF SENIORS 62+"</f>
        <v>PMA TENURE PATTERNS OF SENIORS 62+</v>
      </c>
      <c r="F3" s="218"/>
      <c r="G3" s="218"/>
      <c r="H3" s="218"/>
      <c r="I3" s="218"/>
      <c r="J3"/>
      <c r="K3"/>
      <c r="O3" s="506" t="s">
        <v>130</v>
      </c>
      <c r="P3" s="507"/>
      <c r="Q3" s="507"/>
      <c r="R3" s="508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48">
        <f>+ESRI_BY</f>
        <v>2000</v>
      </c>
      <c r="F5" s="49" t="e">
        <f>#REF!</f>
        <v>#REF!</v>
      </c>
      <c r="G5" s="129" t="e">
        <f>F5/(H5+F5)</f>
        <v>#REF!</v>
      </c>
      <c r="H5" s="49" t="e">
        <f>#REF!</f>
        <v>#REF!</v>
      </c>
      <c r="I5" s="436" t="e">
        <f>100%-G5</f>
        <v>#REF!</v>
      </c>
      <c r="J5" s="130"/>
      <c r="O5" s="419" t="s">
        <v>347</v>
      </c>
      <c r="P5" s="420"/>
      <c r="Q5" s="420" t="e">
        <f>IF(VAR(ROUND(H6,5),ROUND(#REF!,5),ROUND('Income Distribution 62+'!B17,5))=0,"OK","Error")</f>
        <v>#REF!</v>
      </c>
      <c r="R5" s="421" t="e">
        <f>IF(VAR(H7,#REF!,'Demographics 62+'!L81=0),"OK","Error")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48">
        <f>ESRI_CY</f>
        <v>2016</v>
      </c>
      <c r="F6" s="49" t="e">
        <f>SUM(#REF!)</f>
        <v>#REF!</v>
      </c>
      <c r="G6" s="129" t="e">
        <f t="shared" ref="G6:G7" si="1">F6/(H6+F6)</f>
        <v>#REF!</v>
      </c>
      <c r="H6" s="49" t="e">
        <f>SUM(#REF!)</f>
        <v>#REF!</v>
      </c>
      <c r="I6" s="129" t="e">
        <f>100%-G6</f>
        <v>#REF!</v>
      </c>
      <c r="J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9">
        <f>ESRI_FY</f>
        <v>2021</v>
      </c>
      <c r="F7" s="50" t="e">
        <f>SUM(#REF!)</f>
        <v>#REF!</v>
      </c>
      <c r="G7" s="129" t="e">
        <f t="shared" si="1"/>
        <v>#REF!</v>
      </c>
      <c r="H7" s="50" t="e">
        <f>SUM(#REF!)</f>
        <v>#REF!</v>
      </c>
      <c r="I7" s="129" t="e">
        <f>100%-G7</f>
        <v>#REF!</v>
      </c>
      <c r="J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211" t="str">
        <f>"Source: " &amp; Source_ESRI &amp; ", " &amp; Source_Novogradac &amp; ", " &amp; Source_Date</f>
        <v>Source: Esri Demographics 2016, Novogradac &amp; Company LLP, August 2017</v>
      </c>
      <c r="F8" s="232"/>
      <c r="G8" s="232"/>
      <c r="H8" s="232"/>
      <c r="I8" s="232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40"/>
      <c r="F9" s="148"/>
      <c r="G9" s="148"/>
      <c r="H9" s="148"/>
      <c r="I9" s="148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40"/>
      <c r="F10" s="148"/>
      <c r="G10" s="148"/>
      <c r="H10" s="148"/>
      <c r="I10" s="14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218" t="str">
        <f>"SMA TENURE PATTERNS OF SENIORS 62+"</f>
        <v>SMA TENURE PATTERNS OF SENIORS 62+</v>
      </c>
      <c r="F12" s="218"/>
      <c r="G12" s="218"/>
      <c r="H12" s="218"/>
      <c r="I12" s="218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  <c r="O13" s="428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48">
        <f>+ESRI_BY</f>
        <v>2000</v>
      </c>
      <c r="F14" s="49" t="e">
        <f>SUM(#REF!)</f>
        <v>#REF!</v>
      </c>
      <c r="G14" s="129" t="e">
        <f>F14/(H14+F14)</f>
        <v>#REF!</v>
      </c>
      <c r="H14" s="49" t="e">
        <f>SUM(#REF!)</f>
        <v>#REF!</v>
      </c>
      <c r="I14" s="129" t="e">
        <f>100%-G14</f>
        <v>#REF!</v>
      </c>
      <c r="J14" s="130"/>
      <c r="O14" s="429"/>
    </row>
    <row r="15" spans="1:18" s="42" customFormat="1" ht="16.2" thickTop="1" x14ac:dyDescent="0.3">
      <c r="A15" s="211" t="str">
        <f>"Source: " &amp; Source_ESRI &amp; ", " &amp; Source_Novogradac &amp; ", " &amp; Source_Date</f>
        <v>Source: Esri Demographics 2016, Novogradac &amp; Company LLP, August 2017</v>
      </c>
      <c r="B15" s="219"/>
      <c r="C15" s="219"/>
      <c r="D15" s="151"/>
      <c r="E15" s="48">
        <f>ESRI_CY</f>
        <v>2016</v>
      </c>
      <c r="F15" s="49" t="e">
        <f>SUM(#REF!)</f>
        <v>#REF!</v>
      </c>
      <c r="G15" s="129" t="e">
        <f t="shared" ref="G15:G16" si="2">F15/(H15+F15)</f>
        <v>#REF!</v>
      </c>
      <c r="H15" s="49" t="e">
        <f>SUM(#REF!)</f>
        <v>#REF!</v>
      </c>
      <c r="I15" s="129" t="e">
        <f>100%-G15</f>
        <v>#REF!</v>
      </c>
      <c r="J15" s="130"/>
    </row>
    <row r="16" spans="1:18" s="54" customFormat="1" ht="13.8" thickBot="1" x14ac:dyDescent="0.3">
      <c r="A16" s="292"/>
      <c r="B16" s="292"/>
      <c r="C16" s="292"/>
      <c r="D16" s="292"/>
      <c r="E16" s="39">
        <f>ESRI_FY</f>
        <v>2021</v>
      </c>
      <c r="F16" s="50" t="e">
        <f>SUM(#REF!)</f>
        <v>#REF!</v>
      </c>
      <c r="G16" s="129" t="e">
        <f t="shared" si="2"/>
        <v>#REF!</v>
      </c>
      <c r="H16" s="50" t="e">
        <f>SUM(#REF!)</f>
        <v>#REF!</v>
      </c>
      <c r="I16" s="129" t="e">
        <f>100%-G16</f>
        <v>#REF!</v>
      </c>
      <c r="J16" s="130"/>
    </row>
    <row r="17" spans="1:11" s="54" customFormat="1" ht="16.2" thickTop="1" x14ac:dyDescent="0.3">
      <c r="A17" s="42"/>
      <c r="B17" s="42"/>
      <c r="C17" s="42"/>
      <c r="D17" s="42"/>
      <c r="E17" s="211" t="str">
        <f>"Source: " &amp; Source_ESRI &amp; ", " &amp; Source_Novogradac &amp; ", " &amp; Source_Date</f>
        <v>Source: Esri Demographics 2016, Novogradac &amp; Company LLP, August 2017</v>
      </c>
      <c r="F17" s="232"/>
      <c r="G17" s="232"/>
      <c r="H17" s="232"/>
      <c r="I17" s="232"/>
      <c r="J17" s="174"/>
      <c r="K17" s="174"/>
    </row>
    <row r="19" spans="1:11" ht="15.6" x14ac:dyDescent="0.3">
      <c r="E19" s="218" t="str">
        <f>"PMA HOUSEHOLD SIZE DISTRIBUTION OF SENIORS 62+"</f>
        <v>PMA HOUSEHOLD SIZE DISTRIBUTION OF SENIORS 62+</v>
      </c>
      <c r="F19" s="218"/>
      <c r="G19" s="218"/>
      <c r="H19" s="218"/>
      <c r="I19" s="218"/>
      <c r="J19" s="218"/>
      <c r="K19" s="218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44" t="s">
        <v>65</v>
      </c>
      <c r="F22" s="46" t="e">
        <f>#REF!+#REF!</f>
        <v>#REF!</v>
      </c>
      <c r="G22" s="130" t="e">
        <f>F22/F$27</f>
        <v>#REF!</v>
      </c>
      <c r="H22" s="46" t="e">
        <f>#REF!+#REF!</f>
        <v>#REF!</v>
      </c>
      <c r="I22" s="130" t="e">
        <f>H22/H$27</f>
        <v>#REF!</v>
      </c>
      <c r="J22" s="46" t="e">
        <f>#REF!+#REF!</f>
        <v>#REF!</v>
      </c>
      <c r="K22" s="130" t="e">
        <f>J22/J$27</f>
        <v>#REF!</v>
      </c>
    </row>
    <row r="23" spans="1:11" x14ac:dyDescent="0.25">
      <c r="E23" s="44" t="s">
        <v>66</v>
      </c>
      <c r="F23" s="46" t="e">
        <f>#REF!+#REF!</f>
        <v>#REF!</v>
      </c>
      <c r="G23" s="130" t="e">
        <f>F23/F$27</f>
        <v>#REF!</v>
      </c>
      <c r="H23" s="46" t="e">
        <f>#REF!+#REF!</f>
        <v>#REF!</v>
      </c>
      <c r="I23" s="130" t="e">
        <f>H23/H$27</f>
        <v>#REF!</v>
      </c>
      <c r="J23" s="46" t="e">
        <f>#REF!+#REF!</f>
        <v>#REF!</v>
      </c>
      <c r="K23" s="130" t="e">
        <f>J23/J$27</f>
        <v>#REF!</v>
      </c>
    </row>
    <row r="24" spans="1:11" x14ac:dyDescent="0.25">
      <c r="E24" s="44" t="s">
        <v>67</v>
      </c>
      <c r="F24" s="46" t="e">
        <f>#REF!+#REF!</f>
        <v>#REF!</v>
      </c>
      <c r="G24" s="130" t="e">
        <f>F24/F$27</f>
        <v>#REF!</v>
      </c>
      <c r="H24" s="46" t="e">
        <f>#REF!+#REF!</f>
        <v>#REF!</v>
      </c>
      <c r="I24" s="130" t="e">
        <f>H24/H$27</f>
        <v>#REF!</v>
      </c>
      <c r="J24" s="46" t="e">
        <f>#REF!+#REF!</f>
        <v>#REF!</v>
      </c>
      <c r="K24" s="130" t="e">
        <f>J24/J$27</f>
        <v>#REF!</v>
      </c>
    </row>
    <row r="25" spans="1:11" x14ac:dyDescent="0.25">
      <c r="E25" s="44" t="s">
        <v>68</v>
      </c>
      <c r="F25" s="46" t="e">
        <f>#REF!+#REF!</f>
        <v>#REF!</v>
      </c>
      <c r="G25" s="130" t="e">
        <f>F25/F$27</f>
        <v>#REF!</v>
      </c>
      <c r="H25" s="46" t="e">
        <f>#REF!+#REF!</f>
        <v>#REF!</v>
      </c>
      <c r="I25" s="130" t="e">
        <f>H25/H$27</f>
        <v>#REF!</v>
      </c>
      <c r="J25" s="46" t="e">
        <f>#REF!+#REF!</f>
        <v>#REF!</v>
      </c>
      <c r="K25" s="130" t="e">
        <f>J25/J$27</f>
        <v>#REF!</v>
      </c>
    </row>
    <row r="26" spans="1:11" x14ac:dyDescent="0.25">
      <c r="E26" s="44" t="s">
        <v>128</v>
      </c>
      <c r="F26" s="46" t="e">
        <f>#REF!+#REF!</f>
        <v>#REF!</v>
      </c>
      <c r="G26" s="130" t="e">
        <f>F26/F$27</f>
        <v>#REF!</v>
      </c>
      <c r="H26" s="46" t="e">
        <f>#REF!+#REF!</f>
        <v>#REF!</v>
      </c>
      <c r="I26" s="130" t="e">
        <f>H26/H$27</f>
        <v>#REF!</v>
      </c>
      <c r="J26" s="46" t="e">
        <f>#REF!+#REF!</f>
        <v>#REF!</v>
      </c>
      <c r="K26" s="130" t="e">
        <f>J26/J$27</f>
        <v>#REF!</v>
      </c>
    </row>
    <row r="27" spans="1:11" s="42" customFormat="1" ht="16.2" thickBot="1" x14ac:dyDescent="0.35">
      <c r="E27" s="51" t="s">
        <v>11</v>
      </c>
      <c r="F27" s="33" t="e">
        <f t="shared" ref="F27:K27" si="3">SUM(F22:F26)</f>
        <v>#REF!</v>
      </c>
      <c r="G27" s="141" t="e">
        <f t="shared" si="3"/>
        <v>#REF!</v>
      </c>
      <c r="H27" s="33" t="e">
        <f t="shared" si="3"/>
        <v>#REF!</v>
      </c>
      <c r="I27" s="141" t="e">
        <f t="shared" si="3"/>
        <v>#REF!</v>
      </c>
      <c r="J27" s="33" t="e">
        <f t="shared" si="3"/>
        <v>#REF!</v>
      </c>
      <c r="K27" s="141" t="e">
        <f t="shared" si="3"/>
        <v>#REF!</v>
      </c>
    </row>
    <row r="28" spans="1:11" ht="13.8" thickTop="1" x14ac:dyDescent="0.25">
      <c r="E28" s="211" t="str">
        <f>"Source: " &amp; Source_HISTA &amp; ", " &amp; Source_Novogradac &amp; ", " &amp; Source_Date</f>
        <v>Source: Ribbon Demographics 2014, Novogradac &amp; Company LLP, August 2017</v>
      </c>
      <c r="F28" s="211"/>
      <c r="G28" s="211"/>
      <c r="H28" s="211"/>
      <c r="I28" s="211"/>
      <c r="J28" s="211"/>
      <c r="K28" s="211"/>
    </row>
    <row r="29" spans="1:11" x14ac:dyDescent="0.25">
      <c r="J29" s="12"/>
      <c r="K29" s="12"/>
    </row>
    <row r="30" spans="1:11" x14ac:dyDescent="0.25">
      <c r="J30" s="12"/>
      <c r="K30" s="12"/>
    </row>
    <row r="31" spans="1:11" s="18" customFormat="1" ht="15.6" x14ac:dyDescent="0.3">
      <c r="E31" s="218" t="str">
        <f>"PMA RENTER HOUSEHOLD SIZE DISTRIBUTION OF SENIORS 62+"</f>
        <v>PMA RENTER HOUSEHOLD SIZE DISTRIBUTION OF SENIORS 62+</v>
      </c>
      <c r="F31" s="218"/>
      <c r="G31" s="218"/>
      <c r="H31" s="218"/>
      <c r="I31" s="218"/>
      <c r="J31" s="218"/>
      <c r="K31" s="218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44" t="s">
        <v>65</v>
      </c>
      <c r="F34" s="46" t="e">
        <f>#REF!</f>
        <v>#REF!</v>
      </c>
      <c r="G34" s="130" t="e">
        <f>F34/$F$39</f>
        <v>#REF!</v>
      </c>
      <c r="H34" s="46" t="e">
        <f>#REF!</f>
        <v>#REF!</v>
      </c>
      <c r="I34" s="130" t="e">
        <f>H34/$H$39</f>
        <v>#REF!</v>
      </c>
      <c r="J34" s="46" t="e">
        <f>#REF!</f>
        <v>#REF!</v>
      </c>
      <c r="K34" s="130" t="e">
        <f>J34/$J$39</f>
        <v>#REF!</v>
      </c>
    </row>
    <row r="35" spans="5:11" x14ac:dyDescent="0.25">
      <c r="E35" s="44" t="s">
        <v>66</v>
      </c>
      <c r="F35" s="46" t="e">
        <f>#REF!</f>
        <v>#REF!</v>
      </c>
      <c r="G35" s="130" t="e">
        <f t="shared" ref="G35:G38" si="4">F35/$F$39</f>
        <v>#REF!</v>
      </c>
      <c r="H35" s="46" t="e">
        <f>#REF!</f>
        <v>#REF!</v>
      </c>
      <c r="I35" s="130" t="e">
        <f t="shared" ref="I35:I38" si="5">H35/$H$39</f>
        <v>#REF!</v>
      </c>
      <c r="J35" s="46" t="e">
        <f>#REF!</f>
        <v>#REF!</v>
      </c>
      <c r="K35" s="130" t="e">
        <f t="shared" ref="K35:K38" si="6">J35/$J$39</f>
        <v>#REF!</v>
      </c>
    </row>
    <row r="36" spans="5:11" x14ac:dyDescent="0.25">
      <c r="E36" s="44" t="s">
        <v>67</v>
      </c>
      <c r="F36" s="46" t="e">
        <f>#REF!</f>
        <v>#REF!</v>
      </c>
      <c r="G36" s="130" t="e">
        <f t="shared" si="4"/>
        <v>#REF!</v>
      </c>
      <c r="H36" s="46" t="e">
        <f>#REF!</f>
        <v>#REF!</v>
      </c>
      <c r="I36" s="130" t="e">
        <f t="shared" si="5"/>
        <v>#REF!</v>
      </c>
      <c r="J36" s="46" t="e">
        <f>#REF!</f>
        <v>#REF!</v>
      </c>
      <c r="K36" s="130" t="e">
        <f t="shared" si="6"/>
        <v>#REF!</v>
      </c>
    </row>
    <row r="37" spans="5:11" x14ac:dyDescent="0.25">
      <c r="E37" s="44" t="s">
        <v>68</v>
      </c>
      <c r="F37" s="46" t="e">
        <f>#REF!</f>
        <v>#REF!</v>
      </c>
      <c r="G37" s="130" t="e">
        <f t="shared" si="4"/>
        <v>#REF!</v>
      </c>
      <c r="H37" s="46" t="e">
        <f>#REF!</f>
        <v>#REF!</v>
      </c>
      <c r="I37" s="130" t="e">
        <f t="shared" si="5"/>
        <v>#REF!</v>
      </c>
      <c r="J37" s="46" t="e">
        <f>#REF!</f>
        <v>#REF!</v>
      </c>
      <c r="K37" s="130" t="e">
        <f t="shared" si="6"/>
        <v>#REF!</v>
      </c>
    </row>
    <row r="38" spans="5:11" x14ac:dyDescent="0.25">
      <c r="E38" s="44" t="s">
        <v>128</v>
      </c>
      <c r="F38" s="46" t="e">
        <f>#REF!</f>
        <v>#REF!</v>
      </c>
      <c r="G38" s="130" t="e">
        <f t="shared" si="4"/>
        <v>#REF!</v>
      </c>
      <c r="H38" s="46" t="e">
        <f>#REF!</f>
        <v>#REF!</v>
      </c>
      <c r="I38" s="130" t="e">
        <f t="shared" si="5"/>
        <v>#REF!</v>
      </c>
      <c r="J38" s="46" t="e">
        <f>#REF!</f>
        <v>#REF!</v>
      </c>
      <c r="K38" s="130" t="e">
        <f t="shared" si="6"/>
        <v>#REF!</v>
      </c>
    </row>
    <row r="39" spans="5:11" ht="13.8" thickBot="1" x14ac:dyDescent="0.3">
      <c r="E39" s="51" t="s">
        <v>11</v>
      </c>
      <c r="F39" s="33" t="e">
        <f t="shared" ref="F39:K39" si="7">SUM(F34:F38)</f>
        <v>#REF!</v>
      </c>
      <c r="G39" s="141" t="e">
        <f>SUM(G34:G38)</f>
        <v>#REF!</v>
      </c>
      <c r="H39" s="33" t="e">
        <f>SUM(H34:H38)</f>
        <v>#REF!</v>
      </c>
      <c r="I39" s="141" t="e">
        <f t="shared" si="7"/>
        <v>#REF!</v>
      </c>
      <c r="J39" s="33" t="e">
        <f t="shared" si="7"/>
        <v>#REF!</v>
      </c>
      <c r="K39" s="141" t="e">
        <f t="shared" si="7"/>
        <v>#REF!</v>
      </c>
    </row>
    <row r="40" spans="5:11" ht="13.8" thickTop="1" x14ac:dyDescent="0.25">
      <c r="E40" s="211" t="str">
        <f>"Source: " &amp; Source_HISTA &amp; ", " &amp; Source_Novogradac &amp; ", " &amp; Source_Date</f>
        <v>Source: Ribbon Demographics 2014, Novogradac &amp; Company LLP, August 2017</v>
      </c>
      <c r="F40" s="211"/>
      <c r="G40" s="211"/>
      <c r="H40" s="211"/>
      <c r="I40" s="211"/>
      <c r="J40" s="211"/>
      <c r="K40" s="211"/>
    </row>
    <row r="41" spans="5:11" x14ac:dyDescent="0.25">
      <c r="J41" s="12"/>
      <c r="K41" s="12"/>
    </row>
    <row r="42" spans="5:11" x14ac:dyDescent="0.25">
      <c r="J42" s="12"/>
      <c r="K42" s="12"/>
    </row>
    <row r="43" spans="5:11" ht="15.6" x14ac:dyDescent="0.3">
      <c r="E43" s="42"/>
      <c r="F43" s="42"/>
      <c r="G43" s="42"/>
      <c r="H43" s="42"/>
      <c r="I43" s="42"/>
      <c r="J43" s="42"/>
      <c r="K43" s="42"/>
    </row>
    <row r="44" spans="5:11" ht="15.6" x14ac:dyDescent="0.3">
      <c r="E44" s="218" t="str">
        <f>"SMA HOUSEHOLD SIZE DISTRIBUTION OF SENIORS 62+"</f>
        <v>SMA HOUSEHOLD SIZE DISTRIBUTION OF SENIORS 62+</v>
      </c>
      <c r="F44" s="218"/>
      <c r="G44" s="218"/>
      <c r="H44" s="218"/>
      <c r="I44" s="218"/>
      <c r="J44" s="218"/>
      <c r="K44" s="218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44" t="s">
        <v>65</v>
      </c>
      <c r="F47" s="46" t="e">
        <f>#REF!+#REF!</f>
        <v>#REF!</v>
      </c>
      <c r="G47" s="130" t="e">
        <f>F47/$F$52</f>
        <v>#REF!</v>
      </c>
      <c r="H47" s="46" t="e">
        <f>#REF!+#REF!</f>
        <v>#REF!</v>
      </c>
      <c r="I47" s="130" t="e">
        <f>H47/$H$52</f>
        <v>#REF!</v>
      </c>
      <c r="J47" s="46" t="e">
        <f>#REF!+#REF!</f>
        <v>#REF!</v>
      </c>
      <c r="K47" s="130" t="e">
        <f>J47/$J$52</f>
        <v>#REF!</v>
      </c>
    </row>
    <row r="48" spans="5:11" x14ac:dyDescent="0.25">
      <c r="E48" s="44" t="s">
        <v>66</v>
      </c>
      <c r="F48" s="46" t="e">
        <f>#REF!+#REF!</f>
        <v>#REF!</v>
      </c>
      <c r="G48" s="130" t="e">
        <f t="shared" ref="G48:G51" si="8">F48/$F$52</f>
        <v>#REF!</v>
      </c>
      <c r="H48" s="46" t="e">
        <f>#REF!+#REF!</f>
        <v>#REF!</v>
      </c>
      <c r="I48" s="130" t="e">
        <f t="shared" ref="I48:I51" si="9">H48/$H$52</f>
        <v>#REF!</v>
      </c>
      <c r="J48" s="46" t="e">
        <f>#REF!+#REF!</f>
        <v>#REF!</v>
      </c>
      <c r="K48" s="130" t="e">
        <f t="shared" ref="K48:K51" si="10">J48/$J$52</f>
        <v>#REF!</v>
      </c>
    </row>
    <row r="49" spans="5:11" x14ac:dyDescent="0.25">
      <c r="E49" s="44" t="s">
        <v>67</v>
      </c>
      <c r="F49" s="46" t="e">
        <f>#REF!+#REF!</f>
        <v>#REF!</v>
      </c>
      <c r="G49" s="130" t="e">
        <f t="shared" si="8"/>
        <v>#REF!</v>
      </c>
      <c r="H49" s="46" t="e">
        <f>#REF!+#REF!</f>
        <v>#REF!</v>
      </c>
      <c r="I49" s="130" t="e">
        <f t="shared" si="9"/>
        <v>#REF!</v>
      </c>
      <c r="J49" s="46" t="e">
        <f>#REF!+#REF!</f>
        <v>#REF!</v>
      </c>
      <c r="K49" s="130" t="e">
        <f t="shared" si="10"/>
        <v>#REF!</v>
      </c>
    </row>
    <row r="50" spans="5:11" x14ac:dyDescent="0.25">
      <c r="E50" s="44" t="s">
        <v>68</v>
      </c>
      <c r="F50" s="46" t="e">
        <f>#REF!+#REF!</f>
        <v>#REF!</v>
      </c>
      <c r="G50" s="130" t="e">
        <f t="shared" si="8"/>
        <v>#REF!</v>
      </c>
      <c r="H50" s="46" t="e">
        <f>#REF!+#REF!</f>
        <v>#REF!</v>
      </c>
      <c r="I50" s="130" t="e">
        <f t="shared" si="9"/>
        <v>#REF!</v>
      </c>
      <c r="J50" s="46" t="e">
        <f>#REF!+#REF!</f>
        <v>#REF!</v>
      </c>
      <c r="K50" s="130" t="e">
        <f t="shared" si="10"/>
        <v>#REF!</v>
      </c>
    </row>
    <row r="51" spans="5:11" x14ac:dyDescent="0.25">
      <c r="E51" s="44" t="s">
        <v>128</v>
      </c>
      <c r="F51" s="46" t="e">
        <f>#REF!+#REF!</f>
        <v>#REF!</v>
      </c>
      <c r="G51" s="130" t="e">
        <f t="shared" si="8"/>
        <v>#REF!</v>
      </c>
      <c r="H51" s="46" t="e">
        <f>#REF!+#REF!</f>
        <v>#REF!</v>
      </c>
      <c r="I51" s="130" t="e">
        <f t="shared" si="9"/>
        <v>#REF!</v>
      </c>
      <c r="J51" s="46" t="e">
        <f>#REF!+#REF!</f>
        <v>#REF!</v>
      </c>
      <c r="K51" s="130" t="e">
        <f t="shared" si="10"/>
        <v>#REF!</v>
      </c>
    </row>
    <row r="52" spans="5:11" ht="13.8" thickBot="1" x14ac:dyDescent="0.3">
      <c r="E52" s="51" t="s">
        <v>11</v>
      </c>
      <c r="F52" s="33" t="e">
        <f>SUM(F47:F51)</f>
        <v>#REF!</v>
      </c>
      <c r="G52" s="141" t="e">
        <f>SUM(G47:G51)</f>
        <v>#REF!</v>
      </c>
      <c r="H52" s="33" t="e">
        <f t="shared" ref="H52:K52" si="11">SUM(H47:H51)</f>
        <v>#REF!</v>
      </c>
      <c r="I52" s="141" t="e">
        <f t="shared" si="11"/>
        <v>#REF!</v>
      </c>
      <c r="J52" s="33" t="e">
        <f t="shared" si="11"/>
        <v>#REF!</v>
      </c>
      <c r="K52" s="141" t="e">
        <f t="shared" si="11"/>
        <v>#REF!</v>
      </c>
    </row>
    <row r="53" spans="5:11" s="15" customFormat="1" ht="13.8" thickTop="1" x14ac:dyDescent="0.25">
      <c r="E53" s="211" t="str">
        <f>"Source: " &amp; Source_HISTA &amp; ", " &amp; Source_Novogradac &amp; ", " &amp; Source_Date</f>
        <v>Source: Ribbon Demographics 2014, Novogradac &amp; Company LLP, August 2017</v>
      </c>
      <c r="F53" s="211"/>
      <c r="G53" s="211"/>
      <c r="H53" s="211"/>
      <c r="I53" s="211"/>
      <c r="J53" s="211"/>
      <c r="K53" s="211"/>
    </row>
    <row r="54" spans="5:11" s="18" customFormat="1" x14ac:dyDescent="0.25">
      <c r="E54" s="12"/>
      <c r="F54" s="12"/>
      <c r="G54" s="12"/>
      <c r="H54" s="12"/>
      <c r="I54" s="12"/>
      <c r="J54" s="12"/>
      <c r="K54" s="12"/>
    </row>
    <row r="55" spans="5:11" s="18" customFormat="1" x14ac:dyDescent="0.25">
      <c r="E55" s="12"/>
      <c r="F55" s="12"/>
      <c r="G55" s="12"/>
      <c r="H55" s="12"/>
      <c r="I55" s="12"/>
      <c r="J55" s="12"/>
      <c r="K55" s="12"/>
    </row>
    <row r="56" spans="5:11" ht="15.6" x14ac:dyDescent="0.3">
      <c r="E56" s="218" t="str">
        <f>"SMA RENTER HOUSEHOLD SIZE DISTRIBUTION OF SENIORS 62+"</f>
        <v>SMA RENTER HOUSEHOLD SIZE DISTRIBUTION OF SENIORS 62+</v>
      </c>
      <c r="F56" s="218"/>
      <c r="G56" s="218"/>
      <c r="H56" s="218"/>
      <c r="I56" s="218"/>
      <c r="J56" s="218"/>
      <c r="K56" s="218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44" t="s">
        <v>65</v>
      </c>
      <c r="F59" s="46" t="e">
        <f>#REF!</f>
        <v>#REF!</v>
      </c>
      <c r="G59" s="130" t="e">
        <f>F59/$F$64</f>
        <v>#REF!</v>
      </c>
      <c r="H59" s="46" t="e">
        <f>#REF!</f>
        <v>#REF!</v>
      </c>
      <c r="I59" s="130" t="e">
        <f>H59/$H$64</f>
        <v>#REF!</v>
      </c>
      <c r="J59" s="46" t="e">
        <f>#REF!</f>
        <v>#REF!</v>
      </c>
      <c r="K59" s="130" t="e">
        <f>J59/$J$64</f>
        <v>#REF!</v>
      </c>
    </row>
    <row r="60" spans="5:11" x14ac:dyDescent="0.25">
      <c r="E60" s="44" t="s">
        <v>66</v>
      </c>
      <c r="F60" s="46" t="e">
        <f>#REF!</f>
        <v>#REF!</v>
      </c>
      <c r="G60" s="130" t="e">
        <f t="shared" ref="G60:G63" si="12">F60/$F$64</f>
        <v>#REF!</v>
      </c>
      <c r="H60" s="46" t="e">
        <f>#REF!</f>
        <v>#REF!</v>
      </c>
      <c r="I60" s="130" t="e">
        <f t="shared" ref="I60:I63" si="13">H60/$H$64</f>
        <v>#REF!</v>
      </c>
      <c r="J60" s="46" t="e">
        <f>#REF!</f>
        <v>#REF!</v>
      </c>
      <c r="K60" s="130" t="e">
        <f t="shared" ref="K60:K63" si="14">J60/$J$64</f>
        <v>#REF!</v>
      </c>
    </row>
    <row r="61" spans="5:11" x14ac:dyDescent="0.25">
      <c r="E61" s="44" t="s">
        <v>67</v>
      </c>
      <c r="F61" s="46" t="e">
        <f>#REF!</f>
        <v>#REF!</v>
      </c>
      <c r="G61" s="130" t="e">
        <f t="shared" si="12"/>
        <v>#REF!</v>
      </c>
      <c r="H61" s="46" t="e">
        <f>#REF!</f>
        <v>#REF!</v>
      </c>
      <c r="I61" s="130" t="e">
        <f t="shared" si="13"/>
        <v>#REF!</v>
      </c>
      <c r="J61" s="46" t="e">
        <f>#REF!</f>
        <v>#REF!</v>
      </c>
      <c r="K61" s="130" t="e">
        <f t="shared" si="14"/>
        <v>#REF!</v>
      </c>
    </row>
    <row r="62" spans="5:11" x14ac:dyDescent="0.25">
      <c r="E62" s="44" t="s">
        <v>68</v>
      </c>
      <c r="F62" s="46" t="e">
        <f>#REF!</f>
        <v>#REF!</v>
      </c>
      <c r="G62" s="130" t="e">
        <f t="shared" si="12"/>
        <v>#REF!</v>
      </c>
      <c r="H62" s="46" t="e">
        <f>#REF!</f>
        <v>#REF!</v>
      </c>
      <c r="I62" s="130" t="e">
        <f t="shared" si="13"/>
        <v>#REF!</v>
      </c>
      <c r="J62" s="46" t="e">
        <f>#REF!</f>
        <v>#REF!</v>
      </c>
      <c r="K62" s="130" t="e">
        <f t="shared" si="14"/>
        <v>#REF!</v>
      </c>
    </row>
    <row r="63" spans="5:11" x14ac:dyDescent="0.25">
      <c r="E63" s="44" t="s">
        <v>128</v>
      </c>
      <c r="F63" s="46" t="e">
        <f>#REF!</f>
        <v>#REF!</v>
      </c>
      <c r="G63" s="130" t="e">
        <f t="shared" si="12"/>
        <v>#REF!</v>
      </c>
      <c r="H63" s="46" t="e">
        <f>#REF!</f>
        <v>#REF!</v>
      </c>
      <c r="I63" s="130" t="e">
        <f t="shared" si="13"/>
        <v>#REF!</v>
      </c>
      <c r="J63" s="46" t="e">
        <f>#REF!</f>
        <v>#REF!</v>
      </c>
      <c r="K63" s="130" t="e">
        <f t="shared" si="14"/>
        <v>#REF!</v>
      </c>
    </row>
    <row r="64" spans="5:11" ht="13.8" thickBot="1" x14ac:dyDescent="0.3">
      <c r="E64" s="51" t="s">
        <v>11</v>
      </c>
      <c r="F64" s="33" t="e">
        <f t="shared" ref="F64:J64" si="15">SUM(F59:F63)</f>
        <v>#REF!</v>
      </c>
      <c r="G64" s="141" t="e">
        <f>SUM(G59:G63)</f>
        <v>#REF!</v>
      </c>
      <c r="H64" s="33" t="e">
        <f t="shared" si="15"/>
        <v>#REF!</v>
      </c>
      <c r="I64" s="141" t="e">
        <f t="shared" si="15"/>
        <v>#REF!</v>
      </c>
      <c r="J64" s="33" t="e">
        <f t="shared" si="15"/>
        <v>#REF!</v>
      </c>
      <c r="K64" s="141" t="e">
        <f>SUM(K59:K63)</f>
        <v>#REF!</v>
      </c>
    </row>
    <row r="65" spans="1:11" ht="13.8" thickTop="1" x14ac:dyDescent="0.25">
      <c r="E65" s="211" t="str">
        <f>"Source: " &amp; Source_HISTA &amp; ", " &amp; Source_Novogradac &amp; ", " &amp; Source_Date</f>
        <v>Source: Ribbon Demographics 2014, Novogradac &amp; Company LLP, August 2017</v>
      </c>
      <c r="F65" s="211"/>
      <c r="G65" s="211"/>
      <c r="H65" s="211"/>
      <c r="I65" s="211"/>
      <c r="J65" s="211"/>
      <c r="K65" s="211"/>
    </row>
    <row r="66" spans="1:11" x14ac:dyDescent="0.25">
      <c r="A66" s="15"/>
      <c r="B66" s="15"/>
      <c r="C66" s="15"/>
      <c r="D66" s="15"/>
    </row>
    <row r="67" spans="1:11" x14ac:dyDescent="0.25">
      <c r="A67" s="18"/>
      <c r="B67" s="18"/>
      <c r="C67" s="18"/>
      <c r="D67" s="18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71" priority="3">
      <formula>P5="OK"</formula>
    </cfRule>
    <cfRule type="expression" dxfId="170" priority="4">
      <formula>"OK"</formula>
    </cfRule>
  </conditionalFormatting>
  <conditionalFormatting sqref="Q6">
    <cfRule type="expression" dxfId="169" priority="1">
      <formula>Q6="OK"</formula>
    </cfRule>
    <cfRule type="expression" dxfId="168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6257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8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9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R108"/>
  <sheetViews>
    <sheetView topLeftCell="D1" workbookViewId="0"/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6" width="4.44140625" style="12" bestFit="1" customWidth="1"/>
    <col min="17" max="18" width="4.66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9" t="str">
        <f>"AGE OF HOUSING STOCK IN PMA"</f>
        <v>AGE OF HOUSING STOCK IN PMA</v>
      </c>
      <c r="B3" s="509"/>
      <c r="C3" s="509"/>
      <c r="D3" s="136"/>
      <c r="E3" s="218" t="str">
        <f>"PMA TENURE PATTERNS OF SENIORS 65+"</f>
        <v>PMA TENURE PATTERNS OF SENIORS 65+</v>
      </c>
      <c r="F3" s="218"/>
      <c r="G3" s="218"/>
      <c r="H3" s="218"/>
      <c r="I3" s="218"/>
      <c r="J3"/>
      <c r="K3"/>
      <c r="O3" s="506" t="s">
        <v>130</v>
      </c>
      <c r="P3" s="507"/>
      <c r="Q3" s="507"/>
      <c r="R3" s="508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6" t="s">
        <v>38</v>
      </c>
      <c r="F4" s="6" t="s">
        <v>59</v>
      </c>
      <c r="G4" s="6" t="s">
        <v>60</v>
      </c>
      <c r="H4" s="43" t="s">
        <v>61</v>
      </c>
      <c r="I4" s="6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48">
        <f>+ESRI_BY</f>
        <v>2000</v>
      </c>
      <c r="F5" s="49" t="s">
        <v>45</v>
      </c>
      <c r="G5" s="129" t="s">
        <v>45</v>
      </c>
      <c r="H5" s="49" t="s">
        <v>45</v>
      </c>
      <c r="I5" s="129" t="s">
        <v>45</v>
      </c>
      <c r="J5" s="130"/>
      <c r="K5" s="130"/>
      <c r="O5" s="419" t="s">
        <v>347</v>
      </c>
      <c r="P5" s="420"/>
      <c r="Q5" s="420" t="e">
        <f>IF(VAR(ROUND(H6,5),ROUND(#REF!,5),ROUND('Income Distribution 65+'!B17,5))=0,"OK","Error")</f>
        <v>#REF!</v>
      </c>
      <c r="R5" s="421" t="e">
        <f>IF(VAR(H7,#REF!,'Demographics 65+'!L82=0),"OK","Error")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48">
        <f>ESRI_CY</f>
        <v>2016</v>
      </c>
      <c r="F6" s="49" t="e">
        <f>SUM(#REF!)</f>
        <v>#REF!</v>
      </c>
      <c r="G6" s="129" t="e">
        <f>F6/(F6+H6)</f>
        <v>#REF!</v>
      </c>
      <c r="H6" s="49" t="e">
        <f>SUM(#REF!)</f>
        <v>#REF!</v>
      </c>
      <c r="I6" s="129" t="e">
        <f>100%-G6</f>
        <v>#REF!</v>
      </c>
      <c r="J6" s="130"/>
      <c r="K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9">
        <f>ESRI_FY</f>
        <v>2021</v>
      </c>
      <c r="F7" s="49" t="e">
        <f>SUM(#REF!)</f>
        <v>#REF!</v>
      </c>
      <c r="G7" s="149" t="e">
        <f>F7/(F7+H7)</f>
        <v>#REF!</v>
      </c>
      <c r="H7" s="50" t="e">
        <f>SUM(#REF!)</f>
        <v>#REF!</v>
      </c>
      <c r="I7" s="149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211" t="str">
        <f>"Source: " &amp; Source_ESRI &amp; ", " &amp; Source_Novogradac &amp; ", " &amp; Source_Date</f>
        <v>Source: Esri Demographics 2016, Novogradac &amp; Company LLP, August 2017</v>
      </c>
      <c r="F8" s="232"/>
      <c r="G8" s="232"/>
      <c r="H8" s="232"/>
      <c r="I8" s="232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40"/>
      <c r="F9" s="148"/>
      <c r="G9" s="148"/>
      <c r="H9" s="148"/>
      <c r="I9" s="148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40"/>
      <c r="F10" s="148"/>
      <c r="G10" s="148"/>
      <c r="H10" s="148"/>
      <c r="I10" s="148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218" t="str">
        <f>"SMA TENURE PATTERNS OF SENIORS 65+"</f>
        <v>SMA TENURE PATTERNS OF SENIORS 65+</v>
      </c>
      <c r="F12" s="218"/>
      <c r="G12" s="218"/>
      <c r="H12" s="218"/>
      <c r="I12" s="218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6" t="s">
        <v>38</v>
      </c>
      <c r="F13" s="6" t="s">
        <v>59</v>
      </c>
      <c r="G13" s="6" t="s">
        <v>60</v>
      </c>
      <c r="H13" s="43" t="s">
        <v>61</v>
      </c>
      <c r="I13" s="6" t="s">
        <v>62</v>
      </c>
      <c r="J13" s="173"/>
      <c r="K13" s="173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48">
        <f>+ESRI_BY</f>
        <v>2000</v>
      </c>
      <c r="F14" s="49" t="s">
        <v>45</v>
      </c>
      <c r="G14" s="129" t="s">
        <v>45</v>
      </c>
      <c r="H14" s="49" t="s">
        <v>45</v>
      </c>
      <c r="I14" s="129" t="s">
        <v>45</v>
      </c>
      <c r="J14" s="130"/>
      <c r="K14" s="130"/>
    </row>
    <row r="15" spans="1:18" s="42" customFormat="1" ht="16.2" thickTop="1" x14ac:dyDescent="0.3">
      <c r="A15" s="211" t="str">
        <f>"Source: " &amp; Source_ESRI &amp; ", " &amp; Source_Novogradac &amp; ", " &amp; Source_Date</f>
        <v>Source: Esri Demographics 2016, Novogradac &amp; Company LLP, August 2017</v>
      </c>
      <c r="B15" s="219"/>
      <c r="C15" s="219"/>
      <c r="D15" s="151"/>
      <c r="E15" s="48">
        <f>ESRI_CY</f>
        <v>2016</v>
      </c>
      <c r="F15" s="49" t="e">
        <f>SUM(#REF!)</f>
        <v>#REF!</v>
      </c>
      <c r="G15" s="129" t="e">
        <f>F15/(F15+H15)</f>
        <v>#REF!</v>
      </c>
      <c r="H15" s="49" t="e">
        <f>SUM(#REF!)</f>
        <v>#REF!</v>
      </c>
      <c r="I15" s="129" t="e">
        <f>100%-G6</f>
        <v>#REF!</v>
      </c>
      <c r="J15" s="130"/>
      <c r="K15" s="130"/>
    </row>
    <row r="16" spans="1:18" s="54" customFormat="1" ht="13.8" thickBot="1" x14ac:dyDescent="0.3">
      <c r="A16" s="3"/>
      <c r="B16" s="3"/>
      <c r="C16" s="3"/>
      <c r="D16" s="135"/>
      <c r="E16" s="39">
        <f>ESRI_FY</f>
        <v>2021</v>
      </c>
      <c r="F16" s="49" t="e">
        <f>SUM(#REF!)</f>
        <v>#REF!</v>
      </c>
      <c r="G16" s="129" t="e">
        <f>F16/(F16+H16)</f>
        <v>#REF!</v>
      </c>
      <c r="H16" s="50" t="e">
        <f>SUM(#REF!)</f>
        <v>#REF!</v>
      </c>
      <c r="I16" s="149" t="e">
        <f>100%-G7</f>
        <v>#REF!</v>
      </c>
      <c r="J16" s="130"/>
      <c r="K16" s="130"/>
    </row>
    <row r="17" spans="1:11" s="54" customFormat="1" ht="16.2" thickTop="1" x14ac:dyDescent="0.3">
      <c r="A17" s="42"/>
      <c r="B17" s="42"/>
      <c r="C17" s="42"/>
      <c r="D17" s="42"/>
      <c r="E17" s="211" t="str">
        <f>"Source: " &amp; Source_ESRI &amp; ", " &amp; Source_Novogradac &amp; ", " &amp; Source_Date</f>
        <v>Source: Esri Demographics 2016, Novogradac &amp; Company LLP, August 2017</v>
      </c>
      <c r="F17" s="232"/>
      <c r="G17" s="232"/>
      <c r="H17" s="232"/>
      <c r="I17" s="232"/>
      <c r="J17" s="174"/>
      <c r="K17" s="174"/>
    </row>
    <row r="19" spans="1:11" ht="15.6" x14ac:dyDescent="0.3">
      <c r="E19" s="218" t="str">
        <f>"PMA HOUSEHOLD SIZE DISTRIBUTION OF SENIORS 65+"</f>
        <v>PMA HOUSEHOLD SIZE DISTRIBUTION OF SENIORS 65+</v>
      </c>
      <c r="F19" s="218"/>
      <c r="G19" s="218"/>
      <c r="H19" s="218"/>
      <c r="I19" s="218"/>
      <c r="J19" s="218"/>
      <c r="K19" s="218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44" t="s">
        <v>65</v>
      </c>
      <c r="F22" s="46" t="s">
        <v>45</v>
      </c>
      <c r="G22" s="130" t="s">
        <v>45</v>
      </c>
      <c r="H22" s="46" t="e">
        <f>#REF!+#REF!</f>
        <v>#REF!</v>
      </c>
      <c r="I22" s="130" t="e">
        <f>H22/H$27</f>
        <v>#REF!</v>
      </c>
      <c r="J22" s="46" t="e">
        <f>#REF!+#REF!</f>
        <v>#REF!</v>
      </c>
      <c r="K22" s="130" t="e">
        <f>J22/J$27</f>
        <v>#REF!</v>
      </c>
    </row>
    <row r="23" spans="1:11" x14ac:dyDescent="0.25">
      <c r="E23" s="44" t="s">
        <v>66</v>
      </c>
      <c r="F23" s="46" t="s">
        <v>45</v>
      </c>
      <c r="G23" s="130" t="s">
        <v>45</v>
      </c>
      <c r="H23" s="46" t="e">
        <f>#REF!+#REF!</f>
        <v>#REF!</v>
      </c>
      <c r="I23" s="130" t="e">
        <f>H23/H$27</f>
        <v>#REF!</v>
      </c>
      <c r="J23" s="46" t="e">
        <f>#REF!+#REF!</f>
        <v>#REF!</v>
      </c>
      <c r="K23" s="130" t="e">
        <f>J23/J$27</f>
        <v>#REF!</v>
      </c>
    </row>
    <row r="24" spans="1:11" x14ac:dyDescent="0.25">
      <c r="E24" s="44" t="s">
        <v>67</v>
      </c>
      <c r="F24" s="46" t="s">
        <v>45</v>
      </c>
      <c r="G24" s="130" t="s">
        <v>45</v>
      </c>
      <c r="H24" s="46" t="e">
        <f>#REF!+#REF!</f>
        <v>#REF!</v>
      </c>
      <c r="I24" s="130" t="e">
        <f>H24/H$27</f>
        <v>#REF!</v>
      </c>
      <c r="J24" s="46" t="e">
        <f>#REF!+#REF!</f>
        <v>#REF!</v>
      </c>
      <c r="K24" s="130" t="e">
        <f>J24/J$27</f>
        <v>#REF!</v>
      </c>
    </row>
    <row r="25" spans="1:11" x14ac:dyDescent="0.25">
      <c r="E25" s="44" t="s">
        <v>68</v>
      </c>
      <c r="F25" s="46" t="s">
        <v>45</v>
      </c>
      <c r="G25" s="130" t="s">
        <v>45</v>
      </c>
      <c r="H25" s="46" t="e">
        <f>#REF!+#REF!</f>
        <v>#REF!</v>
      </c>
      <c r="I25" s="130" t="e">
        <f>H25/H$27</f>
        <v>#REF!</v>
      </c>
      <c r="J25" s="46" t="e">
        <f>#REF!+#REF!</f>
        <v>#REF!</v>
      </c>
      <c r="K25" s="130" t="e">
        <f>J25/J$27</f>
        <v>#REF!</v>
      </c>
    </row>
    <row r="26" spans="1:11" x14ac:dyDescent="0.25">
      <c r="E26" s="44" t="s">
        <v>128</v>
      </c>
      <c r="F26" s="46" t="s">
        <v>45</v>
      </c>
      <c r="G26" s="130" t="s">
        <v>45</v>
      </c>
      <c r="H26" s="46" t="e">
        <f>#REF!+#REF!</f>
        <v>#REF!</v>
      </c>
      <c r="I26" s="130" t="e">
        <f>H26/H$27</f>
        <v>#REF!</v>
      </c>
      <c r="J26" s="46" t="e">
        <f>#REF!+#REF!</f>
        <v>#REF!</v>
      </c>
      <c r="K26" s="130" t="e">
        <f>J26/J$27</f>
        <v>#REF!</v>
      </c>
    </row>
    <row r="27" spans="1:11" s="42" customFormat="1" ht="16.2" thickBot="1" x14ac:dyDescent="0.35">
      <c r="E27" s="51" t="s">
        <v>11</v>
      </c>
      <c r="F27" s="33" t="s">
        <v>45</v>
      </c>
      <c r="G27" s="141" t="s">
        <v>45</v>
      </c>
      <c r="H27" s="33" t="e">
        <f>SUM(H22:H26)</f>
        <v>#REF!</v>
      </c>
      <c r="I27" s="141" t="e">
        <f t="shared" ref="I27:K27" si="1">SUM(I22:I26)</f>
        <v>#REF!</v>
      </c>
      <c r="J27" s="33" t="e">
        <f>SUM(J22:J26)</f>
        <v>#REF!</v>
      </c>
      <c r="K27" s="141" t="e">
        <f t="shared" si="1"/>
        <v>#REF!</v>
      </c>
    </row>
    <row r="28" spans="1:11" ht="13.8" thickTop="1" x14ac:dyDescent="0.25">
      <c r="E28" s="211" t="str">
        <f>"Source: " &amp; Source_HISTA &amp; ", " &amp; Source_Novogradac &amp; ", " &amp; Source_Date</f>
        <v>Source: Ribbon Demographics 2014, Novogradac &amp; Company LLP, August 2017</v>
      </c>
      <c r="F28" s="211"/>
      <c r="G28" s="211"/>
      <c r="H28" s="211"/>
      <c r="I28" s="211"/>
      <c r="J28" s="211"/>
      <c r="K28" s="211"/>
    </row>
    <row r="29" spans="1:11" x14ac:dyDescent="0.25">
      <c r="J29" s="12"/>
      <c r="K29" s="12"/>
    </row>
    <row r="30" spans="1:11" x14ac:dyDescent="0.25">
      <c r="J30" s="12"/>
      <c r="K30" s="12"/>
    </row>
    <row r="31" spans="1:11" s="18" customFormat="1" ht="15.6" x14ac:dyDescent="0.3">
      <c r="E31" s="218" t="str">
        <f>"PMA RENTER HOUSEHOLD SIZE DISTRIBUTION OF SENIORS 65+"</f>
        <v>PMA RENTER HOUSEHOLD SIZE DISTRIBUTION OF SENIORS 65+</v>
      </c>
      <c r="F31" s="218"/>
      <c r="G31" s="218"/>
      <c r="H31" s="218"/>
      <c r="I31" s="218"/>
      <c r="J31" s="218"/>
      <c r="K31" s="218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44" t="s">
        <v>65</v>
      </c>
      <c r="F34" s="46" t="s">
        <v>45</v>
      </c>
      <c r="G34" s="130" t="s">
        <v>45</v>
      </c>
      <c r="H34" s="46" t="e">
        <f>#REF!</f>
        <v>#REF!</v>
      </c>
      <c r="I34" s="130" t="e">
        <f>H34/H$39</f>
        <v>#REF!</v>
      </c>
      <c r="J34" s="46" t="e">
        <f>#REF!</f>
        <v>#REF!</v>
      </c>
      <c r="K34" s="130" t="e">
        <f>J34/J$39</f>
        <v>#REF!</v>
      </c>
    </row>
    <row r="35" spans="5:11" x14ac:dyDescent="0.25">
      <c r="E35" s="44" t="s">
        <v>66</v>
      </c>
      <c r="F35" s="46" t="s">
        <v>45</v>
      </c>
      <c r="G35" s="130" t="s">
        <v>45</v>
      </c>
      <c r="H35" s="46" t="e">
        <f>#REF!</f>
        <v>#REF!</v>
      </c>
      <c r="I35" s="130" t="e">
        <f t="shared" ref="I35:K38" si="2">H35/H$39</f>
        <v>#REF!</v>
      </c>
      <c r="J35" s="46" t="e">
        <f>#REF!</f>
        <v>#REF!</v>
      </c>
      <c r="K35" s="130" t="e">
        <f t="shared" si="2"/>
        <v>#REF!</v>
      </c>
    </row>
    <row r="36" spans="5:11" x14ac:dyDescent="0.25">
      <c r="E36" s="44" t="s">
        <v>67</v>
      </c>
      <c r="F36" s="46" t="s">
        <v>45</v>
      </c>
      <c r="G36" s="130" t="s">
        <v>45</v>
      </c>
      <c r="H36" s="46" t="e">
        <f>#REF!</f>
        <v>#REF!</v>
      </c>
      <c r="I36" s="130" t="e">
        <f t="shared" si="2"/>
        <v>#REF!</v>
      </c>
      <c r="J36" s="46" t="e">
        <f>#REF!</f>
        <v>#REF!</v>
      </c>
      <c r="K36" s="130" t="e">
        <f t="shared" si="2"/>
        <v>#REF!</v>
      </c>
    </row>
    <row r="37" spans="5:11" x14ac:dyDescent="0.25">
      <c r="E37" s="44" t="s">
        <v>68</v>
      </c>
      <c r="F37" s="46" t="s">
        <v>45</v>
      </c>
      <c r="G37" s="130" t="s">
        <v>45</v>
      </c>
      <c r="H37" s="46" t="e">
        <f>#REF!</f>
        <v>#REF!</v>
      </c>
      <c r="I37" s="130" t="e">
        <f t="shared" si="2"/>
        <v>#REF!</v>
      </c>
      <c r="J37" s="46" t="e">
        <f>#REF!</f>
        <v>#REF!</v>
      </c>
      <c r="K37" s="130" t="e">
        <f t="shared" si="2"/>
        <v>#REF!</v>
      </c>
    </row>
    <row r="38" spans="5:11" x14ac:dyDescent="0.25">
      <c r="E38" s="44" t="s">
        <v>128</v>
      </c>
      <c r="F38" s="46" t="s">
        <v>45</v>
      </c>
      <c r="G38" s="130" t="s">
        <v>45</v>
      </c>
      <c r="H38" s="46" t="e">
        <f>#REF!</f>
        <v>#REF!</v>
      </c>
      <c r="I38" s="130" t="e">
        <f t="shared" si="2"/>
        <v>#REF!</v>
      </c>
      <c r="J38" s="46" t="e">
        <f>#REF!</f>
        <v>#REF!</v>
      </c>
      <c r="K38" s="130" t="e">
        <f t="shared" si="2"/>
        <v>#REF!</v>
      </c>
    </row>
    <row r="39" spans="5:11" ht="13.8" thickBot="1" x14ac:dyDescent="0.3">
      <c r="E39" s="51" t="s">
        <v>11</v>
      </c>
      <c r="F39" s="33" t="s">
        <v>45</v>
      </c>
      <c r="G39" s="141" t="s">
        <v>45</v>
      </c>
      <c r="H39" s="33" t="e">
        <f>SUM(H34:H38)</f>
        <v>#REF!</v>
      </c>
      <c r="I39" s="141" t="e">
        <f>SUM(I34:I38)</f>
        <v>#REF!</v>
      </c>
      <c r="J39" s="33" t="e">
        <f>SUM(J34:J38)</f>
        <v>#REF!</v>
      </c>
      <c r="K39" s="141" t="e">
        <f>SUM(K34:K38)</f>
        <v>#REF!</v>
      </c>
    </row>
    <row r="40" spans="5:11" ht="13.8" thickTop="1" x14ac:dyDescent="0.25">
      <c r="E40" s="211" t="str">
        <f>"Source: " &amp; Source_HISTA &amp; ", " &amp; Source_Novogradac &amp; ", " &amp; Source_Date</f>
        <v>Source: Ribbon Demographics 2014, Novogradac &amp; Company LLP, August 2017</v>
      </c>
      <c r="F40" s="211"/>
      <c r="G40" s="211"/>
      <c r="H40" s="211"/>
      <c r="I40" s="211"/>
      <c r="J40" s="211"/>
      <c r="K40" s="211"/>
    </row>
    <row r="41" spans="5:11" x14ac:dyDescent="0.25">
      <c r="J41" s="12"/>
      <c r="K41" s="12"/>
    </row>
    <row r="42" spans="5:11" x14ac:dyDescent="0.25">
      <c r="J42" s="12"/>
      <c r="K42" s="12"/>
    </row>
    <row r="43" spans="5:11" ht="15.6" x14ac:dyDescent="0.3">
      <c r="E43" s="42"/>
      <c r="F43" s="42"/>
      <c r="G43" s="42"/>
      <c r="H43" s="42"/>
      <c r="I43" s="42"/>
      <c r="J43" s="42"/>
      <c r="K43" s="42"/>
    </row>
    <row r="44" spans="5:11" ht="15.6" x14ac:dyDescent="0.3">
      <c r="E44" s="218" t="str">
        <f>"SMA HOUSEHOLD SIZE DISTRIBUTION OF SENIORS 65+"</f>
        <v>SMA HOUSEHOLD SIZE DISTRIBUTION OF SENIORS 65+</v>
      </c>
      <c r="F44" s="218"/>
      <c r="G44" s="218"/>
      <c r="H44" s="218"/>
      <c r="I44" s="218"/>
      <c r="J44" s="218"/>
      <c r="K44" s="218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44" t="s">
        <v>65</v>
      </c>
      <c r="F47" s="46" t="s">
        <v>45</v>
      </c>
      <c r="G47" s="130" t="s">
        <v>45</v>
      </c>
      <c r="H47" s="46" t="e">
        <f>#REF!+#REF!</f>
        <v>#REF!</v>
      </c>
      <c r="I47" s="130" t="e">
        <f>H47/H$52</f>
        <v>#REF!</v>
      </c>
      <c r="J47" s="46" t="e">
        <f>#REF!+#REF!</f>
        <v>#REF!</v>
      </c>
      <c r="K47" s="130" t="e">
        <f>J47/J$52</f>
        <v>#REF!</v>
      </c>
    </row>
    <row r="48" spans="5:11" x14ac:dyDescent="0.25">
      <c r="E48" s="44" t="s">
        <v>66</v>
      </c>
      <c r="F48" s="46" t="s">
        <v>45</v>
      </c>
      <c r="G48" s="130" t="s">
        <v>45</v>
      </c>
      <c r="H48" s="46" t="e">
        <f>#REF!+#REF!</f>
        <v>#REF!</v>
      </c>
      <c r="I48" s="130" t="e">
        <f t="shared" ref="I48:K51" si="3">H48/H$52</f>
        <v>#REF!</v>
      </c>
      <c r="J48" s="46" t="e">
        <f>#REF!+#REF!</f>
        <v>#REF!</v>
      </c>
      <c r="K48" s="130" t="e">
        <f t="shared" si="3"/>
        <v>#REF!</v>
      </c>
    </row>
    <row r="49" spans="5:11" x14ac:dyDescent="0.25">
      <c r="E49" s="44" t="s">
        <v>67</v>
      </c>
      <c r="F49" s="46" t="s">
        <v>45</v>
      </c>
      <c r="G49" s="130" t="s">
        <v>45</v>
      </c>
      <c r="H49" s="46" t="e">
        <f>#REF!+#REF!</f>
        <v>#REF!</v>
      </c>
      <c r="I49" s="130" t="e">
        <f t="shared" si="3"/>
        <v>#REF!</v>
      </c>
      <c r="J49" s="46" t="e">
        <f>#REF!+#REF!</f>
        <v>#REF!</v>
      </c>
      <c r="K49" s="130" t="e">
        <f t="shared" si="3"/>
        <v>#REF!</v>
      </c>
    </row>
    <row r="50" spans="5:11" x14ac:dyDescent="0.25">
      <c r="E50" s="44" t="s">
        <v>68</v>
      </c>
      <c r="F50" s="46" t="s">
        <v>45</v>
      </c>
      <c r="G50" s="130" t="s">
        <v>45</v>
      </c>
      <c r="H50" s="46" t="e">
        <f>#REF!+#REF!</f>
        <v>#REF!</v>
      </c>
      <c r="I50" s="130" t="e">
        <f t="shared" si="3"/>
        <v>#REF!</v>
      </c>
      <c r="J50" s="46" t="e">
        <f>#REF!+#REF!</f>
        <v>#REF!</v>
      </c>
      <c r="K50" s="130" t="e">
        <f t="shared" si="3"/>
        <v>#REF!</v>
      </c>
    </row>
    <row r="51" spans="5:11" x14ac:dyDescent="0.25">
      <c r="E51" s="44" t="s">
        <v>128</v>
      </c>
      <c r="F51" s="46" t="s">
        <v>45</v>
      </c>
      <c r="G51" s="130" t="s">
        <v>45</v>
      </c>
      <c r="H51" s="46" t="e">
        <f>#REF!+#REF!</f>
        <v>#REF!</v>
      </c>
      <c r="I51" s="130" t="e">
        <f t="shared" si="3"/>
        <v>#REF!</v>
      </c>
      <c r="J51" s="46" t="e">
        <f>#REF!+#REF!</f>
        <v>#REF!</v>
      </c>
      <c r="K51" s="130" t="e">
        <f t="shared" si="3"/>
        <v>#REF!</v>
      </c>
    </row>
    <row r="52" spans="5:11" ht="13.8" thickBot="1" x14ac:dyDescent="0.3">
      <c r="E52" s="51" t="s">
        <v>11</v>
      </c>
      <c r="F52" s="33" t="s">
        <v>45</v>
      </c>
      <c r="G52" s="141" t="s">
        <v>45</v>
      </c>
      <c r="H52" s="33" t="e">
        <f>SUM(H47:H51)</f>
        <v>#REF!</v>
      </c>
      <c r="I52" s="141" t="e">
        <f>SUM(I47:I51)</f>
        <v>#REF!</v>
      </c>
      <c r="J52" s="33" t="e">
        <f>SUM(J47:J51)</f>
        <v>#REF!</v>
      </c>
      <c r="K52" s="141" t="e">
        <f>SUM(K47:$K$51)</f>
        <v>#REF!</v>
      </c>
    </row>
    <row r="53" spans="5:11" s="15" customFormat="1" ht="13.8" thickTop="1" x14ac:dyDescent="0.25">
      <c r="E53" s="211" t="str">
        <f>"Source: " &amp; Source_HISTA &amp; ", " &amp; Source_Novogradac &amp; ", " &amp; Source_Date</f>
        <v>Source: Ribbon Demographics 2014, Novogradac &amp; Company LLP, August 2017</v>
      </c>
      <c r="F53" s="211"/>
      <c r="G53" s="211"/>
      <c r="H53" s="211"/>
      <c r="I53" s="211"/>
      <c r="J53" s="211"/>
      <c r="K53" s="211"/>
    </row>
    <row r="54" spans="5:11" s="18" customFormat="1" x14ac:dyDescent="0.25">
      <c r="E54" s="12"/>
      <c r="F54" s="12"/>
      <c r="G54" s="12"/>
      <c r="H54" s="12"/>
      <c r="I54" s="12"/>
      <c r="J54" s="12"/>
      <c r="K54" s="12"/>
    </row>
    <row r="55" spans="5:11" s="18" customFormat="1" x14ac:dyDescent="0.25">
      <c r="E55" s="12"/>
      <c r="F55" s="12"/>
      <c r="G55" s="12"/>
      <c r="H55" s="12"/>
      <c r="I55" s="12"/>
      <c r="J55" s="12"/>
      <c r="K55" s="12"/>
    </row>
    <row r="56" spans="5:11" ht="15.6" x14ac:dyDescent="0.3">
      <c r="E56" s="218" t="str">
        <f>"SMA RENTER HOUSEHOLD SIZE DISTRIBUTION OF SENIORS 65+"</f>
        <v>SMA RENTER HOUSEHOLD SIZE DISTRIBUTION OF SENIORS 65+</v>
      </c>
      <c r="F56" s="218"/>
      <c r="G56" s="218"/>
      <c r="H56" s="218"/>
      <c r="I56" s="218"/>
      <c r="J56" s="218"/>
      <c r="K56" s="218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44" t="s">
        <v>65</v>
      </c>
      <c r="F59" s="46" t="s">
        <v>45</v>
      </c>
      <c r="G59" s="130" t="s">
        <v>45</v>
      </c>
      <c r="H59" s="46" t="e">
        <f>#REF!</f>
        <v>#REF!</v>
      </c>
      <c r="I59" s="130" t="e">
        <f>H59/H$64</f>
        <v>#REF!</v>
      </c>
      <c r="J59" s="46" t="e">
        <f>#REF!</f>
        <v>#REF!</v>
      </c>
      <c r="K59" s="130" t="e">
        <f>J59/J$64</f>
        <v>#REF!</v>
      </c>
    </row>
    <row r="60" spans="5:11" x14ac:dyDescent="0.25">
      <c r="E60" s="44" t="s">
        <v>66</v>
      </c>
      <c r="F60" s="46" t="s">
        <v>45</v>
      </c>
      <c r="G60" s="130" t="s">
        <v>45</v>
      </c>
      <c r="H60" s="46" t="e">
        <f>#REF!</f>
        <v>#REF!</v>
      </c>
      <c r="I60" s="130" t="e">
        <f t="shared" ref="I60:K63" si="4">H60/H$64</f>
        <v>#REF!</v>
      </c>
      <c r="J60" s="46" t="e">
        <f>#REF!</f>
        <v>#REF!</v>
      </c>
      <c r="K60" s="130" t="e">
        <f t="shared" si="4"/>
        <v>#REF!</v>
      </c>
    </row>
    <row r="61" spans="5:11" x14ac:dyDescent="0.25">
      <c r="E61" s="44" t="s">
        <v>67</v>
      </c>
      <c r="F61" s="46" t="s">
        <v>45</v>
      </c>
      <c r="G61" s="130" t="s">
        <v>45</v>
      </c>
      <c r="H61" s="46" t="e">
        <f>#REF!</f>
        <v>#REF!</v>
      </c>
      <c r="I61" s="130" t="e">
        <f t="shared" si="4"/>
        <v>#REF!</v>
      </c>
      <c r="J61" s="46" t="e">
        <f>#REF!</f>
        <v>#REF!</v>
      </c>
      <c r="K61" s="130" t="e">
        <f t="shared" si="4"/>
        <v>#REF!</v>
      </c>
    </row>
    <row r="62" spans="5:11" x14ac:dyDescent="0.25">
      <c r="E62" s="44" t="s">
        <v>68</v>
      </c>
      <c r="F62" s="46" t="s">
        <v>45</v>
      </c>
      <c r="G62" s="130" t="s">
        <v>45</v>
      </c>
      <c r="H62" s="46" t="e">
        <f>#REF!</f>
        <v>#REF!</v>
      </c>
      <c r="I62" s="130" t="e">
        <f t="shared" si="4"/>
        <v>#REF!</v>
      </c>
      <c r="J62" s="46" t="e">
        <f>#REF!</f>
        <v>#REF!</v>
      </c>
      <c r="K62" s="130" t="e">
        <f t="shared" si="4"/>
        <v>#REF!</v>
      </c>
    </row>
    <row r="63" spans="5:11" x14ac:dyDescent="0.25">
      <c r="E63" s="44" t="s">
        <v>128</v>
      </c>
      <c r="F63" s="46" t="s">
        <v>45</v>
      </c>
      <c r="G63" s="130" t="s">
        <v>45</v>
      </c>
      <c r="H63" s="46" t="e">
        <f>#REF!</f>
        <v>#REF!</v>
      </c>
      <c r="I63" s="130" t="e">
        <f t="shared" si="4"/>
        <v>#REF!</v>
      </c>
      <c r="J63" s="46" t="e">
        <f>#REF!</f>
        <v>#REF!</v>
      </c>
      <c r="K63" s="130" t="e">
        <f t="shared" si="4"/>
        <v>#REF!</v>
      </c>
    </row>
    <row r="64" spans="5:11" ht="13.8" thickBot="1" x14ac:dyDescent="0.3">
      <c r="E64" s="51" t="s">
        <v>11</v>
      </c>
      <c r="F64" s="33" t="s">
        <v>45</v>
      </c>
      <c r="G64" s="141" t="s">
        <v>45</v>
      </c>
      <c r="H64" s="33" t="e">
        <f>SUM(H59:H63)</f>
        <v>#REF!</v>
      </c>
      <c r="I64" s="141" t="e">
        <f>SUM(I59:I63)</f>
        <v>#REF!</v>
      </c>
      <c r="J64" s="33" t="e">
        <f>SUM(J59:J63)</f>
        <v>#REF!</v>
      </c>
      <c r="K64" s="141" t="e">
        <f>SUM(K59:K63)</f>
        <v>#REF!</v>
      </c>
    </row>
    <row r="65" spans="1:11" ht="13.8" thickTop="1" x14ac:dyDescent="0.25">
      <c r="E65" s="211" t="str">
        <f>"Source: " &amp; Source_HISTA &amp; ", " &amp; Source_Novogradac &amp; ", " &amp; Source_Date</f>
        <v>Source: Ribbon Demographics 2014, Novogradac &amp; Company LLP, August 2017</v>
      </c>
      <c r="F65" s="211"/>
      <c r="G65" s="211"/>
      <c r="H65" s="211"/>
      <c r="I65" s="211"/>
      <c r="J65" s="211"/>
      <c r="K65" s="211"/>
    </row>
    <row r="66" spans="1:11" x14ac:dyDescent="0.25">
      <c r="A66" s="15"/>
      <c r="B66" s="15"/>
      <c r="C66" s="15"/>
      <c r="D66" s="15"/>
    </row>
    <row r="67" spans="1:11" x14ac:dyDescent="0.25">
      <c r="A67" s="18"/>
      <c r="B67" s="18"/>
      <c r="C67" s="18"/>
      <c r="D67" s="18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phoneticPr fontId="17" type="noConversion"/>
  <conditionalFormatting sqref="P5:R10">
    <cfRule type="expression" dxfId="167" priority="3">
      <formula>P5="OK"</formula>
    </cfRule>
    <cfRule type="expression" dxfId="166" priority="4">
      <formula>"OK"</formula>
    </cfRule>
  </conditionalFormatting>
  <conditionalFormatting sqref="Q6">
    <cfRule type="expression" dxfId="165" priority="1">
      <formula>Q6="OK"</formula>
    </cfRule>
    <cfRule type="expression" dxfId="164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7281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2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3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8"/>
  <dimension ref="A1:R108"/>
  <sheetViews>
    <sheetView topLeftCell="D1" workbookViewId="0">
      <selection activeCell="G16" sqref="G16"/>
    </sheetView>
  </sheetViews>
  <sheetFormatPr defaultColWidth="9.109375" defaultRowHeight="13.2" x14ac:dyDescent="0.25"/>
  <cols>
    <col min="1" max="1" width="28.88671875" style="12" customWidth="1"/>
    <col min="2" max="3" width="12.6640625" style="12" customWidth="1"/>
    <col min="4" max="4" width="2.6640625" style="12" customWidth="1"/>
    <col min="5" max="5" width="16.6640625" style="12" customWidth="1"/>
    <col min="6" max="9" width="14.6640625" style="12" customWidth="1"/>
    <col min="10" max="11" width="14.6640625" style="2" customWidth="1"/>
    <col min="12" max="14" width="9.109375" style="12"/>
    <col min="15" max="15" width="11.44140625" style="12" bestFit="1" customWidth="1"/>
    <col min="16" max="18" width="4.44140625" style="12" bestFit="1" customWidth="1"/>
    <col min="19" max="16384" width="9.109375" style="12"/>
  </cols>
  <sheetData>
    <row r="1" spans="1:18" x14ac:dyDescent="0.25">
      <c r="A1" s="11" t="s">
        <v>116</v>
      </c>
      <c r="C1" s="2"/>
      <c r="D1" s="2"/>
    </row>
    <row r="2" spans="1:18" s="42" customFormat="1" ht="15.6" x14ac:dyDescent="0.3">
      <c r="A2" s="11" t="s">
        <v>56</v>
      </c>
      <c r="B2" s="2"/>
      <c r="C2" s="2"/>
      <c r="D2" s="2"/>
      <c r="E2" s="11" t="s">
        <v>55</v>
      </c>
      <c r="F2" s="12"/>
      <c r="G2" s="12"/>
      <c r="H2" s="12"/>
      <c r="I2" s="12"/>
      <c r="J2" s="2"/>
      <c r="K2" s="2"/>
    </row>
    <row r="3" spans="1:18" s="15" customFormat="1" ht="15.75" customHeight="1" x14ac:dyDescent="0.3">
      <c r="A3" s="509" t="str">
        <f>"AGE OF HOUSING STOCK IN PMA"</f>
        <v>AGE OF HOUSING STOCK IN PMA</v>
      </c>
      <c r="B3" s="509"/>
      <c r="C3" s="509"/>
      <c r="D3" s="294"/>
      <c r="E3" s="4" t="str">
        <f>"PMA TENURE PATTERNS OF SENIORS 75+"</f>
        <v>PMA TENURE PATTERNS OF SENIORS 75+</v>
      </c>
      <c r="F3" s="4"/>
      <c r="G3" s="4"/>
      <c r="H3" s="4"/>
      <c r="I3" s="4"/>
      <c r="J3"/>
      <c r="K3"/>
      <c r="O3" s="506" t="s">
        <v>130</v>
      </c>
      <c r="P3" s="507"/>
      <c r="Q3" s="507"/>
      <c r="R3" s="508"/>
    </row>
    <row r="4" spans="1:18" ht="39.6" x14ac:dyDescent="0.25">
      <c r="A4" s="43" t="s">
        <v>63</v>
      </c>
      <c r="B4" s="43" t="s">
        <v>36</v>
      </c>
      <c r="C4" s="43" t="s">
        <v>64</v>
      </c>
      <c r="D4" s="36"/>
      <c r="E4" s="209" t="s">
        <v>38</v>
      </c>
      <c r="F4" s="209" t="s">
        <v>59</v>
      </c>
      <c r="G4" s="209" t="s">
        <v>60</v>
      </c>
      <c r="H4" s="43" t="s">
        <v>61</v>
      </c>
      <c r="I4" s="209" t="s">
        <v>62</v>
      </c>
      <c r="J4" s="173"/>
      <c r="K4" s="173"/>
      <c r="O4" s="422"/>
      <c r="P4" s="423">
        <f>ESRI_BY</f>
        <v>2000</v>
      </c>
      <c r="Q4" s="423">
        <f>ESRI_CY</f>
        <v>2016</v>
      </c>
      <c r="R4" s="424">
        <f>ESRI_FY</f>
        <v>2021</v>
      </c>
    </row>
    <row r="5" spans="1:18" x14ac:dyDescent="0.25">
      <c r="A5" s="103" t="s">
        <v>15</v>
      </c>
      <c r="B5" s="104" t="e">
        <f>#REF!</f>
        <v>#REF!</v>
      </c>
      <c r="C5" s="146" t="e">
        <f t="shared" ref="C5:C13" si="0">B5/$B$14</f>
        <v>#REF!</v>
      </c>
      <c r="D5" s="146"/>
      <c r="E5" s="335">
        <f>+ESRI_BY</f>
        <v>2000</v>
      </c>
      <c r="F5" s="307" t="s">
        <v>45</v>
      </c>
      <c r="G5" s="308" t="s">
        <v>45</v>
      </c>
      <c r="H5" s="307" t="s">
        <v>45</v>
      </c>
      <c r="I5" s="308" t="s">
        <v>45</v>
      </c>
      <c r="J5" s="130"/>
      <c r="K5" s="130"/>
      <c r="O5" s="419" t="s">
        <v>347</v>
      </c>
      <c r="P5" s="420"/>
      <c r="Q5" s="420" t="e">
        <f>IF(VAR(ROUND(H6,5),ROUND(#REF!,5),ROUND('Income Distribution 75+'!B17,5))=0,"OK","Error")</f>
        <v>#REF!</v>
      </c>
      <c r="R5" s="421" t="e">
        <f>IF(VAR(H7,#REF!,'Demographics 75+'!L81=0),"OK","Error")</f>
        <v>#REF!</v>
      </c>
    </row>
    <row r="6" spans="1:18" x14ac:dyDescent="0.25">
      <c r="A6" s="103" t="s">
        <v>16</v>
      </c>
      <c r="B6" s="104" t="e">
        <f>#REF!</f>
        <v>#REF!</v>
      </c>
      <c r="C6" s="146" t="e">
        <f t="shared" si="0"/>
        <v>#REF!</v>
      </c>
      <c r="D6" s="146"/>
      <c r="E6" s="335">
        <f>ESRI_CY</f>
        <v>2016</v>
      </c>
      <c r="F6" s="307" t="e">
        <f>SUM(#REF!)</f>
        <v>#REF!</v>
      </c>
      <c r="G6" s="308" t="e">
        <f>F6/(F6+H6)</f>
        <v>#REF!</v>
      </c>
      <c r="H6" s="307" t="e">
        <f>SUM(#REF!)</f>
        <v>#REF!</v>
      </c>
      <c r="I6" s="308" t="e">
        <f>100%-G6</f>
        <v>#REF!</v>
      </c>
      <c r="J6" s="130"/>
      <c r="K6" s="130"/>
      <c r="O6" s="422" t="s">
        <v>348</v>
      </c>
      <c r="P6" s="423"/>
      <c r="Q6" s="423" t="e">
        <f>IF(VAR(ROUND(F6,5),ROUND(#REF!,5))=0,"OK","Error")</f>
        <v>#REF!</v>
      </c>
      <c r="R6" s="424" t="e">
        <f>IF(VAR(ROUND(F7,5),ROUND(#REF!,5))=0,"OK","Error")</f>
        <v>#REF!</v>
      </c>
    </row>
    <row r="7" spans="1:18" ht="13.8" thickBot="1" x14ac:dyDescent="0.3">
      <c r="A7" s="103" t="s">
        <v>17</v>
      </c>
      <c r="B7" s="104" t="e">
        <f>#REF!</f>
        <v>#REF!</v>
      </c>
      <c r="C7" s="146" t="e">
        <f t="shared" si="0"/>
        <v>#REF!</v>
      </c>
      <c r="D7" s="146"/>
      <c r="E7" s="355">
        <f>ESRI_FY</f>
        <v>2021</v>
      </c>
      <c r="F7" s="315" t="e">
        <f>SUM(#REF!)</f>
        <v>#REF!</v>
      </c>
      <c r="G7" s="354" t="e">
        <f>F7/(F7+H7)</f>
        <v>#REF!</v>
      </c>
      <c r="H7" s="315" t="e">
        <f>SUM(#REF!)</f>
        <v>#REF!</v>
      </c>
      <c r="I7" s="354" t="e">
        <f>100%-G7</f>
        <v>#REF!</v>
      </c>
      <c r="J7" s="130"/>
      <c r="K7" s="130"/>
      <c r="O7" s="422" t="s">
        <v>349</v>
      </c>
      <c r="P7" s="423"/>
      <c r="Q7" s="423"/>
      <c r="R7" s="424"/>
    </row>
    <row r="8" spans="1:18" ht="13.8" thickTop="1" x14ac:dyDescent="0.25">
      <c r="A8" s="103" t="s">
        <v>18</v>
      </c>
      <c r="B8" s="104" t="e">
        <f>#REF!</f>
        <v>#REF!</v>
      </c>
      <c r="C8" s="146" t="e">
        <f t="shared" si="0"/>
        <v>#REF!</v>
      </c>
      <c r="D8" s="146"/>
      <c r="E8" s="187" t="str">
        <f>"Source: " &amp; Source_ESRI &amp; ", " &amp; Source_Novogradac &amp; ", " &amp; Source_Date</f>
        <v>Source: Esri Demographics 2016, Novogradac &amp; Company LLP, August 2017</v>
      </c>
      <c r="F8" s="361"/>
      <c r="G8" s="361"/>
      <c r="H8" s="361"/>
      <c r="I8" s="361"/>
      <c r="J8" s="174"/>
      <c r="K8" s="174"/>
      <c r="O8" s="422" t="s">
        <v>350</v>
      </c>
      <c r="P8" s="423"/>
      <c r="Q8" s="423" t="e">
        <f>IF(VAR(ROUND(H15,5),ROUND(#REF!,5))=0,"OK","Error")</f>
        <v>#REF!</v>
      </c>
      <c r="R8" s="424" t="e">
        <f>IF(VAR(ROUND(H16,5),ROUND(#REF!,5))=0,"OK","Error")</f>
        <v>#REF!</v>
      </c>
    </row>
    <row r="9" spans="1:18" x14ac:dyDescent="0.25">
      <c r="A9" s="103" t="s">
        <v>19</v>
      </c>
      <c r="B9" s="104" t="e">
        <f>#REF!</f>
        <v>#REF!</v>
      </c>
      <c r="C9" s="146" t="e">
        <f t="shared" si="0"/>
        <v>#REF!</v>
      </c>
      <c r="D9" s="146"/>
      <c r="E9" s="362"/>
      <c r="F9" s="174"/>
      <c r="G9" s="174"/>
      <c r="H9" s="174"/>
      <c r="I9" s="174"/>
      <c r="J9" s="174"/>
      <c r="K9" s="174"/>
      <c r="O9" s="422" t="s">
        <v>351</v>
      </c>
      <c r="P9" s="423"/>
      <c r="Q9" s="423" t="e">
        <f>IF(VAR(ROUND(F15,5),ROUND(#REF!,5))=0,"OK","Error")</f>
        <v>#REF!</v>
      </c>
      <c r="R9" s="424" t="e">
        <f>IF(VAR(ROUND(F16,5),ROUND(#REF!,5))=0,"OK","Error")</f>
        <v>#REF!</v>
      </c>
    </row>
    <row r="10" spans="1:18" x14ac:dyDescent="0.25">
      <c r="A10" s="103" t="s">
        <v>20</v>
      </c>
      <c r="B10" s="104" t="e">
        <f>#REF!</f>
        <v>#REF!</v>
      </c>
      <c r="C10" s="146" t="e">
        <f t="shared" si="0"/>
        <v>#REF!</v>
      </c>
      <c r="D10" s="146"/>
      <c r="E10" s="362"/>
      <c r="F10" s="174"/>
      <c r="G10" s="174"/>
      <c r="H10" s="174"/>
      <c r="I10" s="174"/>
      <c r="J10" s="174"/>
      <c r="K10" s="174"/>
      <c r="O10" s="425" t="s">
        <v>352</v>
      </c>
      <c r="P10" s="426"/>
      <c r="Q10" s="426"/>
      <c r="R10" s="427"/>
    </row>
    <row r="11" spans="1:18" x14ac:dyDescent="0.25">
      <c r="A11" s="103" t="s">
        <v>21</v>
      </c>
      <c r="B11" s="104" t="e">
        <f>#REF!</f>
        <v>#REF!</v>
      </c>
      <c r="C11" s="146" t="e">
        <f t="shared" si="0"/>
        <v>#REF!</v>
      </c>
      <c r="D11" s="146"/>
      <c r="E11" s="2"/>
      <c r="F11" s="2"/>
      <c r="G11" s="2"/>
      <c r="H11" s="2"/>
      <c r="I11" s="2"/>
    </row>
    <row r="12" spans="1:18" ht="15.6" x14ac:dyDescent="0.3">
      <c r="A12" s="103" t="s">
        <v>22</v>
      </c>
      <c r="B12" s="104" t="e">
        <f>#REF!</f>
        <v>#REF!</v>
      </c>
      <c r="C12" s="146" t="e">
        <f t="shared" si="0"/>
        <v>#REF!</v>
      </c>
      <c r="D12" s="146"/>
      <c r="E12" s="4" t="str">
        <f>"SMA TENURE PATTERNS OF SENIORS 75+"</f>
        <v>SMA TENURE PATTERNS OF SENIORS 75+</v>
      </c>
      <c r="F12" s="4"/>
      <c r="G12" s="4"/>
      <c r="H12" s="4"/>
      <c r="I12" s="4"/>
      <c r="J12"/>
      <c r="K12"/>
    </row>
    <row r="13" spans="1:18" s="18" customFormat="1" ht="39.6" x14ac:dyDescent="0.25">
      <c r="A13" s="103" t="s">
        <v>23</v>
      </c>
      <c r="B13" s="104" t="e">
        <f>#REF!</f>
        <v>#REF!</v>
      </c>
      <c r="C13" s="146" t="e">
        <f t="shared" si="0"/>
        <v>#REF!</v>
      </c>
      <c r="D13" s="146"/>
      <c r="E13" s="209" t="s">
        <v>38</v>
      </c>
      <c r="F13" s="209" t="s">
        <v>59</v>
      </c>
      <c r="G13" s="209" t="s">
        <v>60</v>
      </c>
      <c r="H13" s="43" t="s">
        <v>61</v>
      </c>
      <c r="I13" s="209" t="s">
        <v>62</v>
      </c>
      <c r="J13" s="173"/>
      <c r="K13" s="173"/>
    </row>
    <row r="14" spans="1:18" ht="13.8" thickBot="1" x14ac:dyDescent="0.3">
      <c r="A14" s="105" t="s">
        <v>11</v>
      </c>
      <c r="B14" s="106" t="e">
        <f>SUM(B5:B13)</f>
        <v>#REF!</v>
      </c>
      <c r="C14" s="147" t="e">
        <f>SUM(C5:C13)</f>
        <v>#REF!</v>
      </c>
      <c r="D14" s="150"/>
      <c r="E14" s="335">
        <f>+ESRI_BY</f>
        <v>2000</v>
      </c>
      <c r="F14" s="307" t="s">
        <v>45</v>
      </c>
      <c r="G14" s="308" t="s">
        <v>45</v>
      </c>
      <c r="H14" s="307" t="s">
        <v>45</v>
      </c>
      <c r="I14" s="308" t="s">
        <v>45</v>
      </c>
      <c r="J14" s="308"/>
      <c r="K14" s="308"/>
    </row>
    <row r="15" spans="1:18" s="42" customFormat="1" ht="16.2" thickTop="1" x14ac:dyDescent="0.3">
      <c r="A15" s="187" t="str">
        <f>"Source: " &amp; Source_ESRI &amp; ", " &amp; Source_Novogradac &amp; ", " &amp; Source_Date</f>
        <v>Source: Esri Demographics 2016, Novogradac &amp; Company LLP, August 2017</v>
      </c>
      <c r="B15" s="370"/>
      <c r="C15" s="370"/>
      <c r="D15" s="151"/>
      <c r="E15" s="335">
        <f>ESRI_CY</f>
        <v>2016</v>
      </c>
      <c r="F15" s="307" t="e">
        <f>SUM(#REF!)</f>
        <v>#REF!</v>
      </c>
      <c r="G15" s="308" t="e">
        <f>F15/(F15+H15)</f>
        <v>#REF!</v>
      </c>
      <c r="H15" s="307" t="e">
        <f>SUM(#REF!)</f>
        <v>#REF!</v>
      </c>
      <c r="I15" s="308" t="e">
        <f>100%-G15</f>
        <v>#REF!</v>
      </c>
      <c r="J15" s="308"/>
      <c r="K15" s="308"/>
    </row>
    <row r="16" spans="1:18" s="54" customFormat="1" ht="13.8" thickBot="1" x14ac:dyDescent="0.3">
      <c r="A16" s="296"/>
      <c r="B16" s="296"/>
      <c r="C16" s="296"/>
      <c r="D16" s="296"/>
      <c r="E16" s="355">
        <f>ESRI_FY</f>
        <v>2021</v>
      </c>
      <c r="F16" s="315" t="e">
        <f>SUM(#REF!)</f>
        <v>#REF!</v>
      </c>
      <c r="G16" s="354" t="e">
        <f>F16/(F16+H16)</f>
        <v>#REF!</v>
      </c>
      <c r="H16" s="315" t="e">
        <f>SUM(#REF!)</f>
        <v>#REF!</v>
      </c>
      <c r="I16" s="354" t="e">
        <f>100%-G16</f>
        <v>#REF!</v>
      </c>
      <c r="J16" s="308"/>
      <c r="K16" s="308"/>
    </row>
    <row r="17" spans="1:11" s="54" customFormat="1" ht="16.2" thickTop="1" x14ac:dyDescent="0.3">
      <c r="A17" s="42"/>
      <c r="B17" s="42"/>
      <c r="C17" s="42"/>
      <c r="D17" s="42"/>
      <c r="E17" s="187" t="str">
        <f>"Source: " &amp; Source_ESRI &amp; ", " &amp; Source_Novogradac &amp; ", " &amp; Source_Date</f>
        <v>Source: Esri Demographics 2016, Novogradac &amp; Company LLP, August 2017</v>
      </c>
      <c r="F17" s="361"/>
      <c r="G17" s="361"/>
      <c r="H17" s="361"/>
      <c r="I17" s="361"/>
      <c r="J17" s="174"/>
      <c r="K17" s="174"/>
    </row>
    <row r="18" spans="1:11" x14ac:dyDescent="0.25">
      <c r="E18" s="2"/>
      <c r="F18" s="2"/>
      <c r="G18" s="2"/>
      <c r="H18" s="2"/>
      <c r="I18" s="2"/>
    </row>
    <row r="19" spans="1:11" ht="15.6" x14ac:dyDescent="0.3">
      <c r="E19" s="4" t="str">
        <f>"PMA HOUSEHOLD SIZE DISTRIBUTION OF SENIORS 75+"</f>
        <v>PMA HOUSEHOLD SIZE DISTRIBUTION OF SENIORS 75+</v>
      </c>
      <c r="F19" s="4"/>
      <c r="G19" s="4"/>
      <c r="H19" s="4"/>
      <c r="I19" s="4"/>
      <c r="J19" s="4"/>
      <c r="K19" s="4"/>
    </row>
    <row r="20" spans="1:11" ht="15.6" x14ac:dyDescent="0.3">
      <c r="E20" s="153"/>
      <c r="F20" s="233">
        <f>ESRI_BY</f>
        <v>2000</v>
      </c>
      <c r="G20" s="233"/>
      <c r="H20" s="233">
        <f>ESRI_CY</f>
        <v>2016</v>
      </c>
      <c r="I20" s="233"/>
      <c r="J20" s="233">
        <f>ESRI_FY</f>
        <v>2021</v>
      </c>
      <c r="K20" s="233"/>
    </row>
    <row r="21" spans="1:11" ht="26.4" x14ac:dyDescent="0.25">
      <c r="E21" s="43" t="s">
        <v>57</v>
      </c>
      <c r="F21" s="43" t="s">
        <v>12</v>
      </c>
      <c r="G21" s="43" t="s">
        <v>58</v>
      </c>
      <c r="H21" s="43" t="s">
        <v>12</v>
      </c>
      <c r="I21" s="43" t="s">
        <v>58</v>
      </c>
      <c r="J21" s="43" t="s">
        <v>12</v>
      </c>
      <c r="K21" s="43" t="s">
        <v>58</v>
      </c>
    </row>
    <row r="22" spans="1:11" s="47" customFormat="1" ht="15.6" x14ac:dyDescent="0.3">
      <c r="E22" s="334" t="s">
        <v>65</v>
      </c>
      <c r="F22" s="306" t="s">
        <v>45</v>
      </c>
      <c r="G22" s="308" t="s">
        <v>45</v>
      </c>
      <c r="H22" s="306" t="e">
        <f>#REF!+#REF!</f>
        <v>#REF!</v>
      </c>
      <c r="I22" s="308" t="e">
        <f>H22/H$27</f>
        <v>#REF!</v>
      </c>
      <c r="J22" s="306" t="e">
        <f>#REF!+#REF!</f>
        <v>#REF!</v>
      </c>
      <c r="K22" s="308" t="e">
        <f>J22/J$27</f>
        <v>#REF!</v>
      </c>
    </row>
    <row r="23" spans="1:11" x14ac:dyDescent="0.25">
      <c r="E23" s="334" t="s">
        <v>66</v>
      </c>
      <c r="F23" s="306" t="s">
        <v>45</v>
      </c>
      <c r="G23" s="308" t="s">
        <v>45</v>
      </c>
      <c r="H23" s="306" t="e">
        <f>#REF!+#REF!</f>
        <v>#REF!</v>
      </c>
      <c r="I23" s="308" t="e">
        <f>H23/H$27</f>
        <v>#REF!</v>
      </c>
      <c r="J23" s="306" t="e">
        <f>#REF!+#REF!</f>
        <v>#REF!</v>
      </c>
      <c r="K23" s="308" t="e">
        <f>J23/J$27</f>
        <v>#REF!</v>
      </c>
    </row>
    <row r="24" spans="1:11" x14ac:dyDescent="0.25">
      <c r="E24" s="334" t="s">
        <v>67</v>
      </c>
      <c r="F24" s="306" t="s">
        <v>45</v>
      </c>
      <c r="G24" s="308" t="s">
        <v>45</v>
      </c>
      <c r="H24" s="306" t="e">
        <f>#REF!+#REF!</f>
        <v>#REF!</v>
      </c>
      <c r="I24" s="308" t="e">
        <f>H24/H$27</f>
        <v>#REF!</v>
      </c>
      <c r="J24" s="306" t="e">
        <f>#REF!+#REF!</f>
        <v>#REF!</v>
      </c>
      <c r="K24" s="308" t="e">
        <f>J24/J$27</f>
        <v>#REF!</v>
      </c>
    </row>
    <row r="25" spans="1:11" x14ac:dyDescent="0.25">
      <c r="E25" s="334" t="s">
        <v>68</v>
      </c>
      <c r="F25" s="306" t="s">
        <v>45</v>
      </c>
      <c r="G25" s="308" t="s">
        <v>45</v>
      </c>
      <c r="H25" s="306" t="e">
        <f>#REF!+#REF!</f>
        <v>#REF!</v>
      </c>
      <c r="I25" s="308" t="e">
        <f>H25/H$27</f>
        <v>#REF!</v>
      </c>
      <c r="J25" s="306" t="e">
        <f>#REF!+#REF!</f>
        <v>#REF!</v>
      </c>
      <c r="K25" s="308" t="e">
        <f>J25/J$27</f>
        <v>#REF!</v>
      </c>
    </row>
    <row r="26" spans="1:11" x14ac:dyDescent="0.25">
      <c r="E26" s="334" t="s">
        <v>128</v>
      </c>
      <c r="F26" s="306" t="s">
        <v>45</v>
      </c>
      <c r="G26" s="308" t="s">
        <v>45</v>
      </c>
      <c r="H26" s="306" t="e">
        <f>#REF!+#REF!</f>
        <v>#REF!</v>
      </c>
      <c r="I26" s="308" t="e">
        <f>H26/H$27</f>
        <v>#REF!</v>
      </c>
      <c r="J26" s="306" t="e">
        <f>#REF!+#REF!</f>
        <v>#REF!</v>
      </c>
      <c r="K26" s="308" t="e">
        <f>J26/J$27</f>
        <v>#REF!</v>
      </c>
    </row>
    <row r="27" spans="1:11" s="42" customFormat="1" ht="16.2" thickBot="1" x14ac:dyDescent="0.35">
      <c r="E27" s="359" t="s">
        <v>11</v>
      </c>
      <c r="F27" s="317" t="s">
        <v>45</v>
      </c>
      <c r="G27" s="314" t="s">
        <v>45</v>
      </c>
      <c r="H27" s="317" t="e">
        <f>SUM(H22:H26)</f>
        <v>#REF!</v>
      </c>
      <c r="I27" s="314" t="e">
        <f t="shared" ref="I27:K27" si="1">SUM(I22:I26)</f>
        <v>#REF!</v>
      </c>
      <c r="J27" s="317" t="e">
        <f t="shared" si="1"/>
        <v>#REF!</v>
      </c>
      <c r="K27" s="314" t="e">
        <f t="shared" si="1"/>
        <v>#REF!</v>
      </c>
    </row>
    <row r="28" spans="1:11" ht="13.8" thickTop="1" x14ac:dyDescent="0.25">
      <c r="E28" s="187" t="str">
        <f>"Source: " &amp; Source_HISTA &amp; ", " &amp; Source_Novogradac &amp; ", " &amp; Source_Date</f>
        <v>Source: Ribbon Demographics 2014, Novogradac &amp; Company LLP, August 2017</v>
      </c>
      <c r="F28" s="187"/>
      <c r="G28" s="187"/>
      <c r="H28" s="187"/>
      <c r="I28" s="187"/>
      <c r="J28" s="187"/>
      <c r="K28" s="187"/>
    </row>
    <row r="29" spans="1:11" x14ac:dyDescent="0.25">
      <c r="E29" s="2"/>
      <c r="F29" s="2"/>
      <c r="G29" s="2"/>
      <c r="H29" s="2"/>
      <c r="I29" s="2"/>
    </row>
    <row r="30" spans="1:11" x14ac:dyDescent="0.25">
      <c r="E30" s="2"/>
      <c r="F30" s="2"/>
      <c r="G30" s="2"/>
      <c r="H30" s="2"/>
      <c r="I30" s="2"/>
    </row>
    <row r="31" spans="1:11" s="18" customFormat="1" ht="15.6" x14ac:dyDescent="0.3">
      <c r="E31" s="4" t="str">
        <f>"PMA RENTER HOUSEHOLD SIZE DISTRIBUTION OF SENIORS 75+"</f>
        <v>PMA RENTER HOUSEHOLD SIZE DISTRIBUTION OF SENIORS 75+</v>
      </c>
      <c r="F31" s="4"/>
      <c r="G31" s="4"/>
      <c r="H31" s="4"/>
      <c r="I31" s="4"/>
      <c r="J31" s="4"/>
      <c r="K31" s="4"/>
    </row>
    <row r="32" spans="1:11" ht="15.6" x14ac:dyDescent="0.3">
      <c r="E32" s="153"/>
      <c r="F32" s="233">
        <f>ESRI_BY</f>
        <v>2000</v>
      </c>
      <c r="G32" s="233"/>
      <c r="H32" s="233">
        <f>ESRI_CY</f>
        <v>2016</v>
      </c>
      <c r="I32" s="233"/>
      <c r="J32" s="233">
        <f>ESRI_FY</f>
        <v>2021</v>
      </c>
      <c r="K32" s="233"/>
    </row>
    <row r="33" spans="5:11" ht="26.4" x14ac:dyDescent="0.25">
      <c r="E33" s="43" t="s">
        <v>57</v>
      </c>
      <c r="F33" s="43" t="s">
        <v>118</v>
      </c>
      <c r="G33" s="43" t="s">
        <v>58</v>
      </c>
      <c r="H33" s="43" t="s">
        <v>118</v>
      </c>
      <c r="I33" s="43" t="s">
        <v>58</v>
      </c>
      <c r="J33" s="43" t="s">
        <v>118</v>
      </c>
      <c r="K33" s="43" t="s">
        <v>58</v>
      </c>
    </row>
    <row r="34" spans="5:11" s="42" customFormat="1" ht="15.6" x14ac:dyDescent="0.3">
      <c r="E34" s="334" t="s">
        <v>65</v>
      </c>
      <c r="F34" s="306" t="s">
        <v>45</v>
      </c>
      <c r="G34" s="308" t="s">
        <v>45</v>
      </c>
      <c r="H34" s="306" t="e">
        <f>#REF!</f>
        <v>#REF!</v>
      </c>
      <c r="I34" s="308" t="e">
        <f>H34/H$39</f>
        <v>#REF!</v>
      </c>
      <c r="J34" s="306" t="e">
        <f>#REF!</f>
        <v>#REF!</v>
      </c>
      <c r="K34" s="308" t="e">
        <f>J34/J$39</f>
        <v>#REF!</v>
      </c>
    </row>
    <row r="35" spans="5:11" x14ac:dyDescent="0.25">
      <c r="E35" s="334" t="s">
        <v>66</v>
      </c>
      <c r="F35" s="306" t="s">
        <v>45</v>
      </c>
      <c r="G35" s="308" t="s">
        <v>45</v>
      </c>
      <c r="H35" s="306" t="e">
        <f>#REF!</f>
        <v>#REF!</v>
      </c>
      <c r="I35" s="308" t="e">
        <f t="shared" ref="I35:I38" si="2">H35/H$39</f>
        <v>#REF!</v>
      </c>
      <c r="J35" s="306" t="e">
        <f>#REF!</f>
        <v>#REF!</v>
      </c>
      <c r="K35" s="308" t="e">
        <f t="shared" ref="K35:K38" si="3">J35/J$39</f>
        <v>#REF!</v>
      </c>
    </row>
    <row r="36" spans="5:11" x14ac:dyDescent="0.25">
      <c r="E36" s="334" t="s">
        <v>67</v>
      </c>
      <c r="F36" s="306" t="s">
        <v>45</v>
      </c>
      <c r="G36" s="308" t="s">
        <v>45</v>
      </c>
      <c r="H36" s="306" t="e">
        <f>#REF!</f>
        <v>#REF!</v>
      </c>
      <c r="I36" s="308" t="e">
        <f t="shared" si="2"/>
        <v>#REF!</v>
      </c>
      <c r="J36" s="306" t="e">
        <f>#REF!</f>
        <v>#REF!</v>
      </c>
      <c r="K36" s="308" t="e">
        <f t="shared" si="3"/>
        <v>#REF!</v>
      </c>
    </row>
    <row r="37" spans="5:11" x14ac:dyDescent="0.25">
      <c r="E37" s="334" t="s">
        <v>68</v>
      </c>
      <c r="F37" s="306" t="s">
        <v>45</v>
      </c>
      <c r="G37" s="308" t="s">
        <v>45</v>
      </c>
      <c r="H37" s="306" t="e">
        <f>#REF!</f>
        <v>#REF!</v>
      </c>
      <c r="I37" s="308" t="e">
        <f t="shared" si="2"/>
        <v>#REF!</v>
      </c>
      <c r="J37" s="306" t="e">
        <f>#REF!</f>
        <v>#REF!</v>
      </c>
      <c r="K37" s="308" t="e">
        <f t="shared" si="3"/>
        <v>#REF!</v>
      </c>
    </row>
    <row r="38" spans="5:11" x14ac:dyDescent="0.25">
      <c r="E38" s="334" t="s">
        <v>128</v>
      </c>
      <c r="F38" s="306" t="s">
        <v>45</v>
      </c>
      <c r="G38" s="308" t="s">
        <v>45</v>
      </c>
      <c r="H38" s="306" t="e">
        <f>#REF!</f>
        <v>#REF!</v>
      </c>
      <c r="I38" s="308" t="e">
        <f t="shared" si="2"/>
        <v>#REF!</v>
      </c>
      <c r="J38" s="306" t="e">
        <f>#REF!</f>
        <v>#REF!</v>
      </c>
      <c r="K38" s="308" t="e">
        <f t="shared" si="3"/>
        <v>#REF!</v>
      </c>
    </row>
    <row r="39" spans="5:11" ht="13.8" thickBot="1" x14ac:dyDescent="0.3">
      <c r="E39" s="359" t="s">
        <v>11</v>
      </c>
      <c r="F39" s="317" t="s">
        <v>45</v>
      </c>
      <c r="G39" s="314" t="s">
        <v>45</v>
      </c>
      <c r="H39" s="317" t="e">
        <f>SUM(H34:H38)</f>
        <v>#REF!</v>
      </c>
      <c r="I39" s="314" t="e">
        <f t="shared" ref="I39:K39" si="4">SUM(I34:I38)</f>
        <v>#REF!</v>
      </c>
      <c r="J39" s="317" t="e">
        <f t="shared" si="4"/>
        <v>#REF!</v>
      </c>
      <c r="K39" s="314" t="e">
        <f t="shared" si="4"/>
        <v>#REF!</v>
      </c>
    </row>
    <row r="40" spans="5:11" ht="13.8" thickTop="1" x14ac:dyDescent="0.25">
      <c r="E40" s="187" t="str">
        <f>"Source: " &amp; Source_HISTA &amp; ", " &amp; Source_Novogradac &amp; ", " &amp; Source_Date</f>
        <v>Source: Ribbon Demographics 2014, Novogradac &amp; Company LLP, August 2017</v>
      </c>
      <c r="F40" s="187"/>
      <c r="G40" s="187"/>
      <c r="H40" s="187"/>
      <c r="I40" s="187"/>
      <c r="J40" s="187"/>
      <c r="K40" s="187"/>
    </row>
    <row r="41" spans="5:11" x14ac:dyDescent="0.25">
      <c r="E41" s="2"/>
      <c r="F41" s="2"/>
      <c r="G41" s="2"/>
      <c r="H41" s="2"/>
      <c r="I41" s="2"/>
    </row>
    <row r="42" spans="5:11" x14ac:dyDescent="0.25">
      <c r="E42" s="2"/>
      <c r="F42" s="2"/>
      <c r="G42" s="2"/>
      <c r="H42" s="2"/>
      <c r="I42" s="2"/>
    </row>
    <row r="43" spans="5:11" ht="15.6" x14ac:dyDescent="0.3">
      <c r="E43" s="55"/>
      <c r="F43" s="55"/>
      <c r="G43" s="55"/>
      <c r="H43" s="55"/>
      <c r="I43" s="55"/>
      <c r="J43" s="55"/>
      <c r="K43" s="55"/>
    </row>
    <row r="44" spans="5:11" ht="15.6" x14ac:dyDescent="0.3">
      <c r="E44" s="4" t="str">
        <f>"SMA HOUSEHOLD SIZE DISTRIBUTION OF SENIORS 75+"</f>
        <v>SMA HOUSEHOLD SIZE DISTRIBUTION OF SENIORS 75+</v>
      </c>
      <c r="F44" s="4"/>
      <c r="G44" s="4"/>
      <c r="H44" s="4"/>
      <c r="I44" s="4"/>
      <c r="J44" s="4"/>
      <c r="K44" s="4"/>
    </row>
    <row r="45" spans="5:11" ht="15.6" x14ac:dyDescent="0.3">
      <c r="E45" s="153"/>
      <c r="F45" s="233">
        <f>ESRI_BY</f>
        <v>2000</v>
      </c>
      <c r="G45" s="233"/>
      <c r="H45" s="233">
        <f>ESRI_CY</f>
        <v>2016</v>
      </c>
      <c r="I45" s="233"/>
      <c r="J45" s="233">
        <f>ESRI_FY</f>
        <v>2021</v>
      </c>
      <c r="K45" s="233"/>
    </row>
    <row r="46" spans="5:11" ht="26.4" x14ac:dyDescent="0.25">
      <c r="E46" s="43" t="s">
        <v>57</v>
      </c>
      <c r="F46" s="43" t="s">
        <v>12</v>
      </c>
      <c r="G46" s="43" t="s">
        <v>58</v>
      </c>
      <c r="H46" s="43" t="s">
        <v>12</v>
      </c>
      <c r="I46" s="43" t="s">
        <v>58</v>
      </c>
      <c r="J46" s="43" t="s">
        <v>12</v>
      </c>
      <c r="K46" s="43" t="s">
        <v>58</v>
      </c>
    </row>
    <row r="47" spans="5:11" x14ac:dyDescent="0.25">
      <c r="E47" s="334" t="s">
        <v>65</v>
      </c>
      <c r="F47" s="306" t="s">
        <v>45</v>
      </c>
      <c r="G47" s="308" t="s">
        <v>45</v>
      </c>
      <c r="H47" s="306" t="e">
        <f>#REF!+#REF!</f>
        <v>#REF!</v>
      </c>
      <c r="I47" s="308" t="e">
        <f>H47/$H$52</f>
        <v>#REF!</v>
      </c>
      <c r="J47" s="306" t="e">
        <f>#REF!+#REF!</f>
        <v>#REF!</v>
      </c>
      <c r="K47" s="308" t="e">
        <f>J47/$J$52</f>
        <v>#REF!</v>
      </c>
    </row>
    <row r="48" spans="5:11" x14ac:dyDescent="0.25">
      <c r="E48" s="334" t="s">
        <v>66</v>
      </c>
      <c r="F48" s="306" t="s">
        <v>45</v>
      </c>
      <c r="G48" s="308" t="s">
        <v>45</v>
      </c>
      <c r="H48" s="306" t="e">
        <f>#REF!+#REF!</f>
        <v>#REF!</v>
      </c>
      <c r="I48" s="308" t="e">
        <f t="shared" ref="I48:I51" si="5">H48/$H$52</f>
        <v>#REF!</v>
      </c>
      <c r="J48" s="306" t="e">
        <f>#REF!+#REF!</f>
        <v>#REF!</v>
      </c>
      <c r="K48" s="308" t="e">
        <f t="shared" ref="K48:K51" si="6">J48/$J$52</f>
        <v>#REF!</v>
      </c>
    </row>
    <row r="49" spans="5:11" x14ac:dyDescent="0.25">
      <c r="E49" s="334" t="s">
        <v>67</v>
      </c>
      <c r="F49" s="306" t="s">
        <v>45</v>
      </c>
      <c r="G49" s="308" t="s">
        <v>45</v>
      </c>
      <c r="H49" s="306" t="e">
        <f>#REF!+#REF!</f>
        <v>#REF!</v>
      </c>
      <c r="I49" s="308" t="e">
        <f t="shared" si="5"/>
        <v>#REF!</v>
      </c>
      <c r="J49" s="306" t="e">
        <f>#REF!+#REF!</f>
        <v>#REF!</v>
      </c>
      <c r="K49" s="308" t="e">
        <f t="shared" si="6"/>
        <v>#REF!</v>
      </c>
    </row>
    <row r="50" spans="5:11" x14ac:dyDescent="0.25">
      <c r="E50" s="334" t="s">
        <v>68</v>
      </c>
      <c r="F50" s="306" t="s">
        <v>45</v>
      </c>
      <c r="G50" s="308" t="s">
        <v>45</v>
      </c>
      <c r="H50" s="306" t="e">
        <f>#REF!+#REF!</f>
        <v>#REF!</v>
      </c>
      <c r="I50" s="308" t="e">
        <f t="shared" si="5"/>
        <v>#REF!</v>
      </c>
      <c r="J50" s="306" t="e">
        <f>#REF!+#REF!</f>
        <v>#REF!</v>
      </c>
      <c r="K50" s="308" t="e">
        <f t="shared" si="6"/>
        <v>#REF!</v>
      </c>
    </row>
    <row r="51" spans="5:11" x14ac:dyDescent="0.25">
      <c r="E51" s="334" t="s">
        <v>128</v>
      </c>
      <c r="F51" s="306" t="s">
        <v>45</v>
      </c>
      <c r="G51" s="308" t="s">
        <v>45</v>
      </c>
      <c r="H51" s="306" t="e">
        <f>#REF!+#REF!</f>
        <v>#REF!</v>
      </c>
      <c r="I51" s="308" t="e">
        <f t="shared" si="5"/>
        <v>#REF!</v>
      </c>
      <c r="J51" s="306" t="e">
        <f>#REF!+#REF!</f>
        <v>#REF!</v>
      </c>
      <c r="K51" s="308" t="e">
        <f t="shared" si="6"/>
        <v>#REF!</v>
      </c>
    </row>
    <row r="52" spans="5:11" ht="13.8" thickBot="1" x14ac:dyDescent="0.3">
      <c r="E52" s="359" t="s">
        <v>11</v>
      </c>
      <c r="F52" s="317" t="s">
        <v>45</v>
      </c>
      <c r="G52" s="314" t="s">
        <v>45</v>
      </c>
      <c r="H52" s="317" t="e">
        <f>SUM(H47:H51)</f>
        <v>#REF!</v>
      </c>
      <c r="I52" s="314" t="e">
        <f>SUM(I47:I51)</f>
        <v>#REF!</v>
      </c>
      <c r="J52" s="317" t="e">
        <f t="shared" ref="J52:K52" si="7">SUM(J47:J51)</f>
        <v>#REF!</v>
      </c>
      <c r="K52" s="314" t="e">
        <f t="shared" si="7"/>
        <v>#REF!</v>
      </c>
    </row>
    <row r="53" spans="5:11" s="15" customFormat="1" ht="13.8" thickTop="1" x14ac:dyDescent="0.25">
      <c r="E53" s="187" t="str">
        <f>"Source: " &amp; Source_HISTA &amp; ", " &amp; Source_Novogradac &amp; ", " &amp; Source_Date</f>
        <v>Source: Ribbon Demographics 2014, Novogradac &amp; Company LLP, August 2017</v>
      </c>
      <c r="F53" s="187"/>
      <c r="G53" s="187"/>
      <c r="H53" s="187"/>
      <c r="I53" s="187"/>
      <c r="J53" s="187"/>
      <c r="K53" s="187"/>
    </row>
    <row r="54" spans="5:11" s="18" customFormat="1" x14ac:dyDescent="0.25">
      <c r="E54" s="2"/>
      <c r="F54" s="2"/>
      <c r="G54" s="2"/>
      <c r="H54" s="2"/>
      <c r="I54" s="2"/>
      <c r="J54" s="2"/>
      <c r="K54" s="2"/>
    </row>
    <row r="55" spans="5:11" s="18" customFormat="1" x14ac:dyDescent="0.25">
      <c r="E55" s="2"/>
      <c r="F55" s="2"/>
      <c r="G55" s="2"/>
      <c r="H55" s="2"/>
      <c r="I55" s="2"/>
      <c r="J55" s="2"/>
      <c r="K55" s="2"/>
    </row>
    <row r="56" spans="5:11" ht="15.6" x14ac:dyDescent="0.3">
      <c r="E56" s="4" t="str">
        <f>"SMA RENTER HOUSEHOLD SIZE DISTRIBUTION OF SENIORS 75+"</f>
        <v>SMA RENTER HOUSEHOLD SIZE DISTRIBUTION OF SENIORS 75+</v>
      </c>
      <c r="F56" s="4"/>
      <c r="G56" s="4"/>
      <c r="H56" s="4"/>
      <c r="I56" s="4"/>
      <c r="J56" s="4"/>
      <c r="K56" s="4"/>
    </row>
    <row r="57" spans="5:11" ht="15.6" x14ac:dyDescent="0.3">
      <c r="E57" s="153"/>
      <c r="F57" s="233">
        <f>ESRI_BY</f>
        <v>2000</v>
      </c>
      <c r="G57" s="233"/>
      <c r="H57" s="233">
        <f>ESRI_CY</f>
        <v>2016</v>
      </c>
      <c r="I57" s="233"/>
      <c r="J57" s="233">
        <f>ESRI_FY</f>
        <v>2021</v>
      </c>
      <c r="K57" s="233"/>
    </row>
    <row r="58" spans="5:11" s="42" customFormat="1" ht="27" x14ac:dyDescent="0.3">
      <c r="E58" s="43" t="s">
        <v>57</v>
      </c>
      <c r="F58" s="43" t="s">
        <v>118</v>
      </c>
      <c r="G58" s="43" t="s">
        <v>58</v>
      </c>
      <c r="H58" s="43" t="s">
        <v>118</v>
      </c>
      <c r="I58" s="43" t="s">
        <v>58</v>
      </c>
      <c r="J58" s="43" t="s">
        <v>118</v>
      </c>
      <c r="K58" s="43" t="s">
        <v>58</v>
      </c>
    </row>
    <row r="59" spans="5:11" x14ac:dyDescent="0.25">
      <c r="E59" s="334" t="s">
        <v>65</v>
      </c>
      <c r="F59" s="306" t="s">
        <v>45</v>
      </c>
      <c r="G59" s="308" t="s">
        <v>45</v>
      </c>
      <c r="H59" s="306" t="e">
        <f>#REF!</f>
        <v>#REF!</v>
      </c>
      <c r="I59" s="308" t="e">
        <f>H59/$H$64</f>
        <v>#REF!</v>
      </c>
      <c r="J59" s="306" t="e">
        <f>#REF!</f>
        <v>#REF!</v>
      </c>
      <c r="K59" s="308" t="e">
        <f>J59/$J$64</f>
        <v>#REF!</v>
      </c>
    </row>
    <row r="60" spans="5:11" x14ac:dyDescent="0.25">
      <c r="E60" s="334" t="s">
        <v>66</v>
      </c>
      <c r="F60" s="306" t="s">
        <v>45</v>
      </c>
      <c r="G60" s="308" t="s">
        <v>45</v>
      </c>
      <c r="H60" s="306" t="e">
        <f>#REF!</f>
        <v>#REF!</v>
      </c>
      <c r="I60" s="308" t="e">
        <f t="shared" ref="I60:I63" si="8">H60/$H$64</f>
        <v>#REF!</v>
      </c>
      <c r="J60" s="306" t="e">
        <f>#REF!</f>
        <v>#REF!</v>
      </c>
      <c r="K60" s="308" t="e">
        <f t="shared" ref="K60:K63" si="9">J60/$J$64</f>
        <v>#REF!</v>
      </c>
    </row>
    <row r="61" spans="5:11" x14ac:dyDescent="0.25">
      <c r="E61" s="334" t="s">
        <v>67</v>
      </c>
      <c r="F61" s="306" t="s">
        <v>45</v>
      </c>
      <c r="G61" s="308" t="s">
        <v>45</v>
      </c>
      <c r="H61" s="306" t="e">
        <f>#REF!</f>
        <v>#REF!</v>
      </c>
      <c r="I61" s="308" t="e">
        <f t="shared" si="8"/>
        <v>#REF!</v>
      </c>
      <c r="J61" s="306" t="e">
        <f>#REF!</f>
        <v>#REF!</v>
      </c>
      <c r="K61" s="308" t="e">
        <f t="shared" si="9"/>
        <v>#REF!</v>
      </c>
    </row>
    <row r="62" spans="5:11" x14ac:dyDescent="0.25">
      <c r="E62" s="334" t="s">
        <v>68</v>
      </c>
      <c r="F62" s="306" t="s">
        <v>45</v>
      </c>
      <c r="G62" s="308" t="s">
        <v>45</v>
      </c>
      <c r="H62" s="306" t="e">
        <f>#REF!</f>
        <v>#REF!</v>
      </c>
      <c r="I62" s="308" t="e">
        <f t="shared" si="8"/>
        <v>#REF!</v>
      </c>
      <c r="J62" s="306" t="e">
        <f>#REF!</f>
        <v>#REF!</v>
      </c>
      <c r="K62" s="308" t="e">
        <f t="shared" si="9"/>
        <v>#REF!</v>
      </c>
    </row>
    <row r="63" spans="5:11" x14ac:dyDescent="0.25">
      <c r="E63" s="334" t="s">
        <v>128</v>
      </c>
      <c r="F63" s="306" t="s">
        <v>45</v>
      </c>
      <c r="G63" s="308" t="s">
        <v>45</v>
      </c>
      <c r="H63" s="306" t="e">
        <f>#REF!</f>
        <v>#REF!</v>
      </c>
      <c r="I63" s="308" t="e">
        <f t="shared" si="8"/>
        <v>#REF!</v>
      </c>
      <c r="J63" s="306" t="e">
        <f>#REF!</f>
        <v>#REF!</v>
      </c>
      <c r="K63" s="308" t="e">
        <f t="shared" si="9"/>
        <v>#REF!</v>
      </c>
    </row>
    <row r="64" spans="5:11" ht="13.8" thickBot="1" x14ac:dyDescent="0.3">
      <c r="E64" s="359" t="s">
        <v>11</v>
      </c>
      <c r="F64" s="317" t="s">
        <v>45</v>
      </c>
      <c r="G64" s="314" t="s">
        <v>45</v>
      </c>
      <c r="H64" s="317" t="e">
        <f>SUM(H59:H63)</f>
        <v>#REF!</v>
      </c>
      <c r="I64" s="314" t="e">
        <f t="shared" ref="I64:J64" si="10">SUM(I59:I63)</f>
        <v>#REF!</v>
      </c>
      <c r="J64" s="317" t="e">
        <f t="shared" si="10"/>
        <v>#REF!</v>
      </c>
      <c r="K64" s="314" t="e">
        <f>SUM(K59:K63)</f>
        <v>#REF!</v>
      </c>
    </row>
    <row r="65" spans="1:11" ht="13.8" thickTop="1" x14ac:dyDescent="0.25">
      <c r="E65" s="187" t="str">
        <f>"Source: " &amp; Source_HISTA &amp; ", " &amp; Source_Novogradac &amp; ", " &amp; Source_Date</f>
        <v>Source: Ribbon Demographics 2014, Novogradac &amp; Company LLP, August 2017</v>
      </c>
      <c r="F65" s="187"/>
      <c r="G65" s="187"/>
      <c r="H65" s="187"/>
      <c r="I65" s="187"/>
      <c r="J65" s="187"/>
      <c r="K65" s="187"/>
    </row>
    <row r="66" spans="1:11" x14ac:dyDescent="0.25">
      <c r="A66" s="15"/>
      <c r="B66" s="15"/>
      <c r="C66" s="15"/>
      <c r="D66" s="15"/>
      <c r="E66" s="2"/>
      <c r="F66" s="2"/>
      <c r="G66" s="2"/>
      <c r="H66" s="2"/>
      <c r="I66" s="2"/>
    </row>
    <row r="67" spans="1:11" x14ac:dyDescent="0.25">
      <c r="A67" s="18"/>
      <c r="B67" s="18"/>
      <c r="C67" s="18"/>
      <c r="D67" s="18"/>
      <c r="E67" s="2"/>
      <c r="F67" s="2"/>
      <c r="G67" s="2"/>
      <c r="H67" s="2"/>
      <c r="I67" s="2"/>
    </row>
    <row r="68" spans="1:11" x14ac:dyDescent="0.25">
      <c r="A68" s="18"/>
      <c r="B68" s="18"/>
      <c r="C68" s="18"/>
      <c r="D68" s="18"/>
    </row>
    <row r="71" spans="1:11" ht="15.6" x14ac:dyDescent="0.3">
      <c r="A71" s="42"/>
      <c r="B71" s="42"/>
      <c r="C71" s="42"/>
      <c r="D71" s="42"/>
    </row>
    <row r="77" spans="1:11" x14ac:dyDescent="0.25">
      <c r="E77" s="15"/>
      <c r="F77" s="15"/>
      <c r="G77" s="15"/>
      <c r="H77" s="15"/>
    </row>
    <row r="78" spans="1:11" x14ac:dyDescent="0.25">
      <c r="E78" s="18"/>
      <c r="F78" s="18"/>
      <c r="G78" s="18"/>
      <c r="H78" s="18"/>
      <c r="I78" s="15"/>
      <c r="J78" s="175"/>
      <c r="K78" s="175"/>
    </row>
    <row r="79" spans="1:11" x14ac:dyDescent="0.25">
      <c r="E79" s="18"/>
      <c r="F79" s="18"/>
      <c r="G79" s="18"/>
      <c r="H79" s="18"/>
      <c r="I79" s="18"/>
      <c r="J79" s="22"/>
      <c r="K79" s="22"/>
    </row>
    <row r="80" spans="1:11" x14ac:dyDescent="0.25">
      <c r="E80" s="18"/>
      <c r="F80" s="18"/>
      <c r="G80" s="18"/>
      <c r="H80" s="18"/>
      <c r="I80" s="18"/>
      <c r="J80" s="22"/>
      <c r="K80" s="22"/>
    </row>
    <row r="81" spans="1:11" x14ac:dyDescent="0.25">
      <c r="I81" s="18"/>
      <c r="J81" s="22"/>
      <c r="K81" s="22"/>
    </row>
    <row r="92" spans="1:11" s="15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2"/>
      <c r="K92" s="2"/>
    </row>
    <row r="93" spans="1:11" s="18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2"/>
      <c r="K93" s="2"/>
    </row>
    <row r="94" spans="1:11" s="18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2"/>
      <c r="K94" s="2"/>
    </row>
    <row r="95" spans="1:11" s="18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2"/>
      <c r="K95" s="2"/>
    </row>
    <row r="105" spans="1:4" x14ac:dyDescent="0.25">
      <c r="A105" s="15"/>
      <c r="B105" s="15"/>
      <c r="C105" s="15"/>
      <c r="D105" s="15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</sheetData>
  <mergeCells count="2">
    <mergeCell ref="A3:C3"/>
    <mergeCell ref="O3:R3"/>
  </mergeCells>
  <conditionalFormatting sqref="P5:R10">
    <cfRule type="expression" dxfId="163" priority="3">
      <formula>P5="OK"</formula>
    </cfRule>
    <cfRule type="expression" dxfId="162" priority="4">
      <formula>"OK"</formula>
    </cfRule>
  </conditionalFormatting>
  <conditionalFormatting sqref="Q6">
    <cfRule type="expression" dxfId="161" priority="1">
      <formula>Q6="OK"</formula>
    </cfRule>
    <cfRule type="expression" dxfId="160" priority="2">
      <formula>"OK"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8305" r:id="rId4" name="Button 1">
              <controlPr defaultSize="0" print="0" autoFill="0" autoPict="0" macro="[0]!White_Background_Supply">
                <anchor moveWithCells="1" sizeWithCells="1">
                  <from>
                    <xdr:col>11</xdr:col>
                    <xdr:colOff>175260</xdr:colOff>
                    <xdr:row>1</xdr:row>
                    <xdr:rowOff>190500</xdr:rowOff>
                  </from>
                  <to>
                    <xdr:col>13</xdr:col>
                    <xdr:colOff>60960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8306" r:id="rId5" name="Button 2">
              <controlPr defaultSize="0" print="0" autoFill="0" autoPict="0" macro="[0]!Revert_Supply">
                <anchor moveWithCells="1" sizeWithCells="1">
                  <from>
                    <xdr:col>10</xdr:col>
                    <xdr:colOff>236220</xdr:colOff>
                    <xdr:row>2</xdr:row>
                    <xdr:rowOff>0</xdr:rowOff>
                  </from>
                  <to>
                    <xdr:col>11</xdr:col>
                    <xdr:colOff>83820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8307" r:id="rId6" name="Group Box 3">
              <controlPr defaultSize="0" autoFill="0" autoPict="0">
                <anchor moveWithCells="1">
                  <from>
                    <xdr:col>10</xdr:col>
                    <xdr:colOff>22860</xdr:colOff>
                    <xdr:row>1</xdr:row>
                    <xdr:rowOff>114300</xdr:rowOff>
                  </from>
                  <to>
                    <xdr:col>13</xdr:col>
                    <xdr:colOff>236220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 activeCell="H6" sqref="H6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283" t="e">
        <f>#REF!</f>
        <v>#REF!</v>
      </c>
      <c r="B5" s="30" t="e">
        <f>'Demographics 55+'!J36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283" t="e">
        <f>#REF!</f>
        <v>#REF!</v>
      </c>
      <c r="B6" s="30" t="e">
        <f>'Demographics 55+'!J37</f>
        <v>#REF!</v>
      </c>
      <c r="C6" s="154"/>
      <c r="D6" s="282" t="str">
        <f t="shared" si="1"/>
        <v/>
      </c>
      <c r="E6" s="109" t="str">
        <f t="shared" ref="E6:E15" si="6">IF(C6="","",D6*$B6)</f>
        <v/>
      </c>
      <c r="F6" s="154"/>
      <c r="G6" s="282" t="str">
        <f t="shared" si="2"/>
        <v/>
      </c>
      <c r="H6" s="109" t="str">
        <f t="shared" ref="H6:H15" si="7">IF(F6="","",G6*$B6)</f>
        <v/>
      </c>
      <c r="I6" s="154"/>
      <c r="J6" s="282" t="str">
        <f t="shared" si="3"/>
        <v/>
      </c>
      <c r="K6" s="109" t="str">
        <f t="shared" ref="K6:K15" si="8">IF(I6="","",J6*$B6)</f>
        <v/>
      </c>
      <c r="L6" s="154"/>
      <c r="M6" s="282" t="str">
        <f t="shared" si="4"/>
        <v/>
      </c>
      <c r="N6" s="109" t="str">
        <f t="shared" ref="N6:N15" si="9">IF(L6="","",M6*$B6)</f>
        <v/>
      </c>
      <c r="O6" s="154"/>
      <c r="P6" s="282" t="str">
        <f t="shared" si="5"/>
        <v/>
      </c>
      <c r="Q6" s="109" t="str">
        <f t="shared" ref="Q6:Q14" si="10">IF(O6="","",P6*$B6)</f>
        <v/>
      </c>
      <c r="R6" s="2"/>
    </row>
    <row r="7" spans="1:18" x14ac:dyDescent="0.25">
      <c r="A7" s="283" t="e">
        <f>#REF!</f>
        <v>#REF!</v>
      </c>
      <c r="B7" s="30" t="e">
        <f>'Demographics 55+'!J38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283" t="e">
        <f>#REF!</f>
        <v>#REF!</v>
      </c>
      <c r="B8" s="30" t="e">
        <f>'Demographics 55+'!J39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283" t="e">
        <f>#REF!</f>
        <v>#REF!</v>
      </c>
      <c r="B9" s="30" t="e">
        <f>'Demographics 55+'!J40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283" t="e">
        <f>#REF!</f>
        <v>#REF!</v>
      </c>
      <c r="B10" s="30" t="e">
        <f>'Demographics 55+'!J41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283" t="e">
        <f>#REF!</f>
        <v>#REF!</v>
      </c>
      <c r="B11" s="30" t="e">
        <f>'Demographics 55+'!J42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283" t="e">
        <f>#REF!</f>
        <v>#REF!</v>
      </c>
      <c r="B12" s="30" t="e">
        <f>'Demographics 55+'!J43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283" t="e">
        <f>#REF!</f>
        <v>#REF!</v>
      </c>
      <c r="B13" s="30" t="e">
        <f>'Demographics 55+'!J44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283" t="e">
        <f>#REF!</f>
        <v>#REF!</v>
      </c>
      <c r="B14" s="30" t="e">
        <f>'Demographics 55+'!J45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283" t="e">
        <f>#REF!</f>
        <v>#REF!</v>
      </c>
      <c r="B15" s="30" t="e">
        <f>'Demographics 55+'!J46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>IF(O15="","",P15*$B15)</f>
        <v/>
      </c>
    </row>
    <row r="16" spans="1:18" x14ac:dyDescent="0.25">
      <c r="A16" s="283" t="e">
        <f>#REF!</f>
        <v>#REF!</v>
      </c>
      <c r="B16" s="30" t="e">
        <f>'Demographics 55+'!J47</f>
        <v>#REF!</v>
      </c>
      <c r="C16" s="154"/>
      <c r="D16" s="282" t="str">
        <f>IF(C16="","",C16/200000)</f>
        <v/>
      </c>
      <c r="E16" s="109" t="str">
        <f>IF(C16="","",D16*$B16)</f>
        <v/>
      </c>
      <c r="F16" s="154"/>
      <c r="G16" s="282" t="str">
        <f>IF(F16="","",F16/200000)</f>
        <v/>
      </c>
      <c r="H16" s="109" t="str">
        <f>IF(F16="","",G16*$B16)</f>
        <v/>
      </c>
      <c r="I16" s="154"/>
      <c r="J16" s="282" t="str">
        <f>IF(I16="","",I16/200000)</f>
        <v/>
      </c>
      <c r="K16" s="109" t="str">
        <f>IF(I16="","",J16*$B16)</f>
        <v/>
      </c>
      <c r="L16" s="154"/>
      <c r="M16" s="282" t="str">
        <f>IF(L16="","",L16/200000)</f>
        <v/>
      </c>
      <c r="N16" s="109" t="str">
        <f>IF(L16="","",M16*$B16)</f>
        <v/>
      </c>
      <c r="O16" s="154"/>
      <c r="P16" s="282" t="str">
        <f>IF(O16="","",O16/200000)</f>
        <v/>
      </c>
      <c r="Q16" s="109" t="str">
        <f>IF(O16="","",P16*$B16)</f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10" t="s">
        <v>73</v>
      </c>
      <c r="B21" s="510"/>
      <c r="C21" s="510"/>
      <c r="D21" s="510"/>
      <c r="E21" s="510"/>
      <c r="F21" s="510"/>
      <c r="G21" s="510"/>
      <c r="H21" s="510"/>
      <c r="I21" s="510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1">
    <mergeCell ref="B90:D90"/>
    <mergeCell ref="B84:D84"/>
    <mergeCell ref="B85:D85"/>
    <mergeCell ref="B86:D86"/>
    <mergeCell ref="B87:D87"/>
    <mergeCell ref="B88:D88"/>
    <mergeCell ref="B89:D89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conditionalFormatting sqref="H53:I53">
    <cfRule type="expression" dxfId="159" priority="9">
      <formula>$H$53=1</formula>
    </cfRule>
    <cfRule type="expression" dxfId="158" priority="10">
      <formula>$H$53&lt;&gt;1</formula>
    </cfRule>
  </conditionalFormatting>
  <conditionalFormatting sqref="H54:I54">
    <cfRule type="expression" dxfId="157" priority="7">
      <formula>$H$54&lt;&gt;1</formula>
    </cfRule>
    <cfRule type="expression" dxfId="156" priority="8">
      <formula>$H$54=1</formula>
    </cfRule>
  </conditionalFormatting>
  <conditionalFormatting sqref="H55:I55">
    <cfRule type="expression" dxfId="155" priority="5">
      <formula>$H$55&lt;&gt;1</formula>
    </cfRule>
    <cfRule type="expression" dxfId="154" priority="6">
      <formula>$H$55=1</formula>
    </cfRule>
  </conditionalFormatting>
  <conditionalFormatting sqref="H56:I56">
    <cfRule type="expression" dxfId="153" priority="3">
      <formula>$H$56&lt;&gt;1</formula>
    </cfRule>
    <cfRule type="expression" dxfId="152" priority="4">
      <formula>$H$56=1</formula>
    </cfRule>
  </conditionalFormatting>
  <conditionalFormatting sqref="H57:I57">
    <cfRule type="expression" dxfId="151" priority="1">
      <formula>$H$57&lt;&gt;1</formula>
    </cfRule>
    <cfRule type="expression" dxfId="15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Button 2">
              <controlPr defaultSize="0" print="0" autoFill="0" autoPict="0" macro="[0]!White_Background_Demand">
                <anchor moveWithCells="1" sizeWithCells="1">
                  <from>
                    <xdr:col>7</xdr:col>
                    <xdr:colOff>175260</xdr:colOff>
                    <xdr:row>0</xdr:row>
                    <xdr:rowOff>152400</xdr:rowOff>
                  </from>
                  <to>
                    <xdr:col>9</xdr:col>
                    <xdr:colOff>99060</xdr:colOff>
                    <xdr:row>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Group Box 3">
              <controlPr defaultSize="0" autoFill="0" autoPict="0">
                <anchor moveWithCells="1">
                  <from>
                    <xdr:col>6</xdr:col>
                    <xdr:colOff>0</xdr:colOff>
                    <xdr:row>0</xdr:row>
                    <xdr:rowOff>99060</xdr:rowOff>
                  </from>
                  <to>
                    <xdr:col>9</xdr:col>
                    <xdr:colOff>228600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68580</xdr:colOff>
                    <xdr:row>0</xdr:row>
                    <xdr:rowOff>175260</xdr:rowOff>
                  </from>
                  <to>
                    <xdr:col>7</xdr:col>
                    <xdr:colOff>137160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149" priority="9">
      <formula>$H$53=1</formula>
    </cfRule>
    <cfRule type="expression" dxfId="148" priority="10">
      <formula>$H$53&lt;&gt;1</formula>
    </cfRule>
  </conditionalFormatting>
  <conditionalFormatting sqref="H54:I54">
    <cfRule type="expression" dxfId="147" priority="7">
      <formula>$H$54&lt;&gt;1</formula>
    </cfRule>
    <cfRule type="expression" dxfId="146" priority="8">
      <formula>$H$54=1</formula>
    </cfRule>
  </conditionalFormatting>
  <conditionalFormatting sqref="H55:I55">
    <cfRule type="expression" dxfId="145" priority="5">
      <formula>$H$55&lt;&gt;1</formula>
    </cfRule>
    <cfRule type="expression" dxfId="144" priority="6">
      <formula>$H$55=1</formula>
    </cfRule>
  </conditionalFormatting>
  <conditionalFormatting sqref="H56:I56">
    <cfRule type="expression" dxfId="143" priority="3">
      <formula>$H$56&lt;&gt;1</formula>
    </cfRule>
    <cfRule type="expression" dxfId="142" priority="4">
      <formula>$H$56=1</formula>
    </cfRule>
  </conditionalFormatting>
  <conditionalFormatting sqref="H57:I57">
    <cfRule type="expression" dxfId="141" priority="1">
      <formula>$H$57&lt;&gt;1</formula>
    </cfRule>
    <cfRule type="expression" dxfId="14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144780</xdr:colOff>
                    <xdr:row>0</xdr:row>
                    <xdr:rowOff>182880</xdr:rowOff>
                  </from>
                  <to>
                    <xdr:col>10</xdr:col>
                    <xdr:colOff>198120</xdr:colOff>
                    <xdr:row>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Group Box 3">
              <controlPr defaultSize="0" autoFill="0" autoPict="0">
                <anchor moveWithCells="1">
                  <from>
                    <xdr:col>6</xdr:col>
                    <xdr:colOff>685800</xdr:colOff>
                    <xdr:row>0</xdr:row>
                    <xdr:rowOff>121920</xdr:rowOff>
                  </from>
                  <to>
                    <xdr:col>10</xdr:col>
                    <xdr:colOff>335280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754380</xdr:colOff>
                    <xdr:row>1</xdr:row>
                    <xdr:rowOff>0</xdr:rowOff>
                  </from>
                  <to>
                    <xdr:col>8</xdr:col>
                    <xdr:colOff>106680</xdr:colOff>
                    <xdr:row>2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55+'!I34</f>
        <v>#REF!</v>
      </c>
      <c r="C4" s="41"/>
      <c r="D4" s="59" t="e">
        <f>'Supply 55+'!H34</f>
        <v>#REF!</v>
      </c>
      <c r="E4" s="60"/>
    </row>
    <row r="5" spans="1:5" x14ac:dyDescent="0.25">
      <c r="A5" s="44" t="s">
        <v>66</v>
      </c>
      <c r="B5" s="130" t="e">
        <f>'Supply 55+'!I35</f>
        <v>#REF!</v>
      </c>
      <c r="C5" s="41"/>
      <c r="D5" s="59" t="e">
        <f>'Supply 55+'!H35</f>
        <v>#REF!</v>
      </c>
      <c r="E5" s="60"/>
    </row>
    <row r="6" spans="1:5" x14ac:dyDescent="0.25">
      <c r="A6" s="44" t="s">
        <v>67</v>
      </c>
      <c r="B6" s="130" t="e">
        <f>'Supply 55+'!I36</f>
        <v>#REF!</v>
      </c>
      <c r="C6" s="41"/>
      <c r="D6" s="59" t="e">
        <f>'Supply 55+'!H36</f>
        <v>#REF!</v>
      </c>
      <c r="E6" s="60"/>
    </row>
    <row r="7" spans="1:5" x14ac:dyDescent="0.25">
      <c r="A7" s="44" t="s">
        <v>68</v>
      </c>
      <c r="B7" s="130" t="e">
        <f>'Supply 55+'!I37</f>
        <v>#REF!</v>
      </c>
      <c r="C7" s="41"/>
      <c r="D7" s="59" t="e">
        <f>'Supply 55+'!H37</f>
        <v>#REF!</v>
      </c>
      <c r="E7" s="60"/>
    </row>
    <row r="8" spans="1:5" x14ac:dyDescent="0.25">
      <c r="A8" s="44" t="s">
        <v>128</v>
      </c>
      <c r="B8" s="130" t="e">
        <f>'Supply 55+'!I38</f>
        <v>#REF!</v>
      </c>
      <c r="C8" s="41"/>
      <c r="D8" s="59" t="e">
        <f>'Supply 55+'!H38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55+'!J17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139" priority="9">
      <formula>$H$53=1</formula>
    </cfRule>
    <cfRule type="expression" dxfId="138" priority="10">
      <formula>$H$53&lt;&gt;1</formula>
    </cfRule>
  </conditionalFormatting>
  <conditionalFormatting sqref="H54:I54">
    <cfRule type="expression" dxfId="137" priority="7">
      <formula>$H$54&lt;&gt;1</formula>
    </cfRule>
    <cfRule type="expression" dxfId="136" priority="8">
      <formula>$H$54=1</formula>
    </cfRule>
  </conditionalFormatting>
  <conditionalFormatting sqref="H55:I55">
    <cfRule type="expression" dxfId="135" priority="5">
      <formula>$H$55&lt;&gt;1</formula>
    </cfRule>
    <cfRule type="expression" dxfId="134" priority="6">
      <formula>$H$55=1</formula>
    </cfRule>
  </conditionalFormatting>
  <conditionalFormatting sqref="H56:I56">
    <cfRule type="expression" dxfId="133" priority="3">
      <formula>$H$56&lt;&gt;1</formula>
    </cfRule>
    <cfRule type="expression" dxfId="132" priority="4">
      <formula>$H$56=1</formula>
    </cfRule>
  </conditionalFormatting>
  <conditionalFormatting sqref="H57:I57">
    <cfRule type="expression" dxfId="131" priority="1">
      <formula>$H$57&lt;&gt;1</formula>
    </cfRule>
    <cfRule type="expression" dxfId="13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274320</xdr:colOff>
                    <xdr:row>0</xdr:row>
                    <xdr:rowOff>190500</xdr:rowOff>
                  </from>
                  <to>
                    <xdr:col>10</xdr:col>
                    <xdr:colOff>335280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Group Box 3">
              <controlPr defaultSize="0" autoFill="0" autoPict="0">
                <anchor moveWithCells="1">
                  <from>
                    <xdr:col>6</xdr:col>
                    <xdr:colOff>822960</xdr:colOff>
                    <xdr:row>0</xdr:row>
                    <xdr:rowOff>137160</xdr:rowOff>
                  </from>
                  <to>
                    <xdr:col>10</xdr:col>
                    <xdr:colOff>464820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Button 4">
              <controlPr defaultSize="0" print="0" autoFill="0" autoPict="0" macro="[0]!Revert_Demand">
                <anchor moveWithCells="1" sizeWithCells="1">
                  <from>
                    <xdr:col>6</xdr:col>
                    <xdr:colOff>883920</xdr:colOff>
                    <xdr:row>1</xdr:row>
                    <xdr:rowOff>7620</xdr:rowOff>
                  </from>
                  <to>
                    <xdr:col>8</xdr:col>
                    <xdr:colOff>236220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332" t="s">
        <v>76</v>
      </c>
      <c r="B1" s="332"/>
      <c r="C1" s="332"/>
      <c r="D1" s="332"/>
      <c r="E1" s="332"/>
    </row>
    <row r="2" spans="1:5" x14ac:dyDescent="0.25">
      <c r="A2" s="333" t="str">
        <f>"Renter Household Distribution " &amp; ESRI_CY</f>
        <v>Renter Household Distribution 2016</v>
      </c>
      <c r="B2" s="333"/>
      <c r="C2" s="333"/>
      <c r="D2" s="333"/>
      <c r="E2" s="333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334" t="s">
        <v>65</v>
      </c>
      <c r="B4" s="308" t="e">
        <f>'Supply 55+'!I34</f>
        <v>#REF!</v>
      </c>
      <c r="C4" s="310"/>
      <c r="D4" s="307" t="e">
        <f>'Supply 55+'!H34</f>
        <v>#REF!</v>
      </c>
      <c r="E4" s="335"/>
    </row>
    <row r="5" spans="1:5" x14ac:dyDescent="0.25">
      <c r="A5" s="334" t="s">
        <v>66</v>
      </c>
      <c r="B5" s="308" t="e">
        <f>'Supply 55+'!I35</f>
        <v>#REF!</v>
      </c>
      <c r="C5" s="310"/>
      <c r="D5" s="307" t="e">
        <f>'Supply 55+'!H35</f>
        <v>#REF!</v>
      </c>
      <c r="E5" s="335"/>
    </row>
    <row r="6" spans="1:5" x14ac:dyDescent="0.25">
      <c r="A6" s="334" t="s">
        <v>67</v>
      </c>
      <c r="B6" s="308" t="e">
        <f>'Supply 55+'!I36</f>
        <v>#REF!</v>
      </c>
      <c r="C6" s="310"/>
      <c r="D6" s="307" t="e">
        <f>'Supply 55+'!H36</f>
        <v>#REF!</v>
      </c>
      <c r="E6" s="335"/>
    </row>
    <row r="7" spans="1:5" x14ac:dyDescent="0.25">
      <c r="A7" s="334" t="s">
        <v>68</v>
      </c>
      <c r="B7" s="308" t="e">
        <f>'Supply 55+'!I37</f>
        <v>#REF!</v>
      </c>
      <c r="C7" s="310"/>
      <c r="D7" s="307" t="e">
        <f>'Supply 55+'!H37</f>
        <v>#REF!</v>
      </c>
      <c r="E7" s="335"/>
    </row>
    <row r="8" spans="1:5" x14ac:dyDescent="0.25">
      <c r="A8" s="334" t="s">
        <v>128</v>
      </c>
      <c r="B8" s="308" t="e">
        <f>'Supply 55+'!I38</f>
        <v>#REF!</v>
      </c>
      <c r="C8" s="310"/>
      <c r="D8" s="307" t="e">
        <f>'Supply 55+'!H38</f>
        <v>#REF!</v>
      </c>
      <c r="E8" s="335"/>
    </row>
    <row r="9" spans="1:5" x14ac:dyDescent="0.25">
      <c r="A9" s="336" t="s">
        <v>11</v>
      </c>
      <c r="B9" s="328" t="e">
        <f>+SUM(B4:B8)</f>
        <v>#REF!</v>
      </c>
      <c r="C9" s="310"/>
      <c r="D9" s="337" t="e">
        <f>+SUM(D4:D8)</f>
        <v>#REF!</v>
      </c>
      <c r="E9" s="335"/>
    </row>
    <row r="10" spans="1:5" x14ac:dyDescent="0.25">
      <c r="A10" s="335"/>
      <c r="B10" s="335"/>
      <c r="C10" s="335"/>
      <c r="D10" s="335"/>
      <c r="E10" s="335"/>
    </row>
    <row r="11" spans="1:5" x14ac:dyDescent="0.25">
      <c r="A11" s="333" t="s">
        <v>77</v>
      </c>
      <c r="B11" s="333"/>
      <c r="C11" s="333"/>
      <c r="D11" s="333"/>
      <c r="E11" s="333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334" t="s">
        <v>65</v>
      </c>
      <c r="B13" s="307" t="e">
        <f>+D4</f>
        <v>#REF!</v>
      </c>
      <c r="C13" s="335" t="s">
        <v>79</v>
      </c>
      <c r="D13" s="308" t="e">
        <f>'Income Distribution 55+'!M17</f>
        <v>#REF!</v>
      </c>
      <c r="E13" s="307" t="e">
        <f>+B13*D13</f>
        <v>#REF!</v>
      </c>
    </row>
    <row r="14" spans="1:5" x14ac:dyDescent="0.25">
      <c r="A14" s="334" t="s">
        <v>66</v>
      </c>
      <c r="B14" s="307" t="e">
        <f>+D5</f>
        <v>#REF!</v>
      </c>
      <c r="C14" s="335" t="s">
        <v>79</v>
      </c>
      <c r="D14" s="308" t="e">
        <f t="shared" ref="D14:D17" si="0">+D13</f>
        <v>#REF!</v>
      </c>
      <c r="E14" s="307" t="e">
        <f t="shared" ref="E14:E17" si="1">+B14*D14</f>
        <v>#REF!</v>
      </c>
    </row>
    <row r="15" spans="1:5" x14ac:dyDescent="0.25">
      <c r="A15" s="334" t="s">
        <v>67</v>
      </c>
      <c r="B15" s="307" t="e">
        <f>+D6</f>
        <v>#REF!</v>
      </c>
      <c r="C15" s="335" t="s">
        <v>79</v>
      </c>
      <c r="D15" s="308" t="e">
        <f t="shared" si="0"/>
        <v>#REF!</v>
      </c>
      <c r="E15" s="307" t="e">
        <f t="shared" si="1"/>
        <v>#REF!</v>
      </c>
    </row>
    <row r="16" spans="1:5" x14ac:dyDescent="0.25">
      <c r="A16" s="334" t="s">
        <v>68</v>
      </c>
      <c r="B16" s="307" t="e">
        <f>+D7</f>
        <v>#REF!</v>
      </c>
      <c r="C16" s="335" t="s">
        <v>79</v>
      </c>
      <c r="D16" s="308" t="e">
        <f t="shared" si="0"/>
        <v>#REF!</v>
      </c>
      <c r="E16" s="307" t="e">
        <f t="shared" si="1"/>
        <v>#REF!</v>
      </c>
    </row>
    <row r="17" spans="1:5" x14ac:dyDescent="0.25">
      <c r="A17" s="334" t="s">
        <v>128</v>
      </c>
      <c r="B17" s="307" t="e">
        <f>+D8</f>
        <v>#REF!</v>
      </c>
      <c r="C17" s="335" t="s">
        <v>79</v>
      </c>
      <c r="D17" s="308" t="e">
        <f t="shared" si="0"/>
        <v>#REF!</v>
      </c>
      <c r="E17" s="307" t="e">
        <f t="shared" si="1"/>
        <v>#REF!</v>
      </c>
    </row>
    <row r="18" spans="1:5" x14ac:dyDescent="0.25">
      <c r="A18" s="338" t="s">
        <v>80</v>
      </c>
      <c r="B18" s="337" t="e">
        <f>+SUM(B13:B17)</f>
        <v>#REF!</v>
      </c>
      <c r="C18" s="338"/>
      <c r="D18" s="329"/>
      <c r="E18" s="337" t="e">
        <f>+SUM(E13:E17)</f>
        <v>#REF!</v>
      </c>
    </row>
    <row r="19" spans="1:5" x14ac:dyDescent="0.25">
      <c r="A19" s="310"/>
      <c r="B19" s="310"/>
      <c r="C19" s="310"/>
      <c r="D19" s="310"/>
      <c r="E19" s="310"/>
    </row>
    <row r="20" spans="1:5" x14ac:dyDescent="0.25">
      <c r="A20" s="333" t="s">
        <v>81</v>
      </c>
      <c r="B20" s="333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310" t="e">
        <f>#REF!</f>
        <v>#REF!</v>
      </c>
      <c r="B22" s="307" t="e">
        <f>(E13*B53)+(E14*B54)+(E15*B55)+(E16*B56)+(E17*B57)</f>
        <v>#REF!</v>
      </c>
      <c r="C22" s="41"/>
      <c r="D22" s="41"/>
      <c r="E22" s="41"/>
    </row>
    <row r="23" spans="1:5" x14ac:dyDescent="0.25">
      <c r="A23" s="310" t="e">
        <f>#REF!</f>
        <v>#REF!</v>
      </c>
      <c r="B23" s="307" t="e">
        <f>(E13*C53)+(E14*C54)+(E15*C55)+(E16*C56)+(E17*C57)</f>
        <v>#REF!</v>
      </c>
      <c r="C23" s="41"/>
      <c r="D23" s="41"/>
      <c r="E23" s="41"/>
    </row>
    <row r="24" spans="1:5" x14ac:dyDescent="0.25">
      <c r="A24" s="310" t="e">
        <f>#REF!</f>
        <v>#REF!</v>
      </c>
      <c r="B24" s="307" t="e">
        <f>(E13*D53)+(E14*D54)+(E15*D55)+(E16*D56)+(E17*D57)</f>
        <v>#REF!</v>
      </c>
      <c r="C24" s="41"/>
      <c r="D24" s="41"/>
      <c r="E24" s="41"/>
    </row>
    <row r="25" spans="1:5" x14ac:dyDescent="0.25">
      <c r="A25" s="310" t="e">
        <f>#REF!</f>
        <v>#REF!</v>
      </c>
      <c r="B25" s="307" t="e">
        <f>(E13*E53)+(E14*E54)+(E15*E55)+(E16*E56)+(E17*E57)</f>
        <v>#REF!</v>
      </c>
      <c r="C25" s="41"/>
      <c r="D25" s="41"/>
      <c r="E25" s="41"/>
    </row>
    <row r="26" spans="1:5" x14ac:dyDescent="0.25">
      <c r="A26" s="310" t="e">
        <f>#REF!</f>
        <v>#REF!</v>
      </c>
      <c r="B26" s="307" t="e">
        <f>(E13*F53)+(E14*F54)+(E15*F55)+(E16*F56)+(E17*F57)</f>
        <v>#REF!</v>
      </c>
      <c r="C26" s="41"/>
      <c r="D26" s="41"/>
      <c r="E26" s="41"/>
    </row>
    <row r="27" spans="1:5" x14ac:dyDescent="0.25">
      <c r="A27" s="310" t="e">
        <f>#REF!</f>
        <v>#REF!</v>
      </c>
      <c r="B27" s="307" t="e">
        <f>(E13*G53)+(E14*G54)+(E15*G55)+(E16*G56)+(E17*G57)</f>
        <v>#REF!</v>
      </c>
      <c r="C27" s="41"/>
      <c r="D27" s="41"/>
      <c r="E27" s="41"/>
    </row>
    <row r="28" spans="1:5" x14ac:dyDescent="0.25">
      <c r="A28" s="338" t="s">
        <v>11</v>
      </c>
      <c r="B28" s="337" t="e">
        <f>SUM(B22:B27)</f>
        <v>#REF!</v>
      </c>
      <c r="C28" s="41"/>
      <c r="D28" s="41"/>
      <c r="E28" s="41"/>
    </row>
    <row r="29" spans="1:5" x14ac:dyDescent="0.25">
      <c r="A29" s="310"/>
      <c r="B29" s="310"/>
      <c r="C29" s="310"/>
      <c r="D29" s="310"/>
      <c r="E29" s="310"/>
    </row>
    <row r="30" spans="1:5" x14ac:dyDescent="0.25">
      <c r="A30" s="339" t="s">
        <v>95</v>
      </c>
      <c r="B30" s="339"/>
      <c r="C30" s="339"/>
      <c r="D30" s="339"/>
      <c r="E30" s="340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310" t="e">
        <f t="shared" ref="A32:A37" si="2">+A22</f>
        <v>#REF!</v>
      </c>
      <c r="B32" s="341" t="e">
        <f>#REF!</f>
        <v>#REF!</v>
      </c>
      <c r="C32" s="310"/>
      <c r="D32" s="330" t="e">
        <f>+B32/B22</f>
        <v>#REF!</v>
      </c>
      <c r="E32" s="310"/>
    </row>
    <row r="33" spans="1:5" x14ac:dyDescent="0.25">
      <c r="A33" s="310" t="e">
        <f t="shared" si="2"/>
        <v>#REF!</v>
      </c>
      <c r="B33" s="341" t="e">
        <f>#REF!</f>
        <v>#REF!</v>
      </c>
      <c r="C33" s="310"/>
      <c r="D33" s="330" t="e">
        <f t="shared" ref="D33:D38" si="3">+B33/B23</f>
        <v>#REF!</v>
      </c>
      <c r="E33" s="310"/>
    </row>
    <row r="34" spans="1:5" x14ac:dyDescent="0.25">
      <c r="A34" s="310" t="e">
        <f t="shared" si="2"/>
        <v>#REF!</v>
      </c>
      <c r="B34" s="341" t="e">
        <f>#REF!</f>
        <v>#REF!</v>
      </c>
      <c r="C34" s="310"/>
      <c r="D34" s="330" t="e">
        <f t="shared" si="3"/>
        <v>#REF!</v>
      </c>
      <c r="E34" s="310"/>
    </row>
    <row r="35" spans="1:5" x14ac:dyDescent="0.25">
      <c r="A35" s="310" t="e">
        <f t="shared" si="2"/>
        <v>#REF!</v>
      </c>
      <c r="B35" s="341" t="e">
        <f>#REF!</f>
        <v>#REF!</v>
      </c>
      <c r="C35" s="310"/>
      <c r="D35" s="330" t="e">
        <f t="shared" si="3"/>
        <v>#REF!</v>
      </c>
      <c r="E35" s="310"/>
    </row>
    <row r="36" spans="1:5" x14ac:dyDescent="0.25">
      <c r="A36" s="310" t="e">
        <f t="shared" si="2"/>
        <v>#REF!</v>
      </c>
      <c r="B36" s="341" t="e">
        <f>#REF!</f>
        <v>#REF!</v>
      </c>
      <c r="C36" s="310"/>
      <c r="D36" s="330" t="e">
        <f t="shared" si="3"/>
        <v>#REF!</v>
      </c>
      <c r="E36" s="310"/>
    </row>
    <row r="37" spans="1:5" x14ac:dyDescent="0.25">
      <c r="A37" s="310" t="e">
        <f t="shared" si="2"/>
        <v>#REF!</v>
      </c>
      <c r="B37" s="341" t="e">
        <f>#REF!</f>
        <v>#REF!</v>
      </c>
      <c r="C37" s="310"/>
      <c r="D37" s="330" t="e">
        <f t="shared" si="3"/>
        <v>#REF!</v>
      </c>
      <c r="E37" s="310"/>
    </row>
    <row r="38" spans="1:5" x14ac:dyDescent="0.25">
      <c r="A38" s="338" t="s">
        <v>86</v>
      </c>
      <c r="B38" s="336" t="e">
        <f>SUM(B32:B37)</f>
        <v>#REF!</v>
      </c>
      <c r="C38" s="342"/>
      <c r="D38" s="331" t="e">
        <f t="shared" si="3"/>
        <v>#REF!</v>
      </c>
      <c r="E38" s="310"/>
    </row>
    <row r="39" spans="1:5" x14ac:dyDescent="0.25">
      <c r="A39" s="338"/>
      <c r="B39" s="336"/>
      <c r="C39" s="342"/>
      <c r="D39" s="353"/>
      <c r="E39" s="310"/>
    </row>
    <row r="40" spans="1:5" x14ac:dyDescent="0.25">
      <c r="A40" s="339" t="s">
        <v>87</v>
      </c>
      <c r="B40" s="339"/>
      <c r="C40" s="339"/>
      <c r="D40" s="339"/>
      <c r="E40" s="343">
        <v>0.1</v>
      </c>
    </row>
    <row r="41" spans="1:5" x14ac:dyDescent="0.25">
      <c r="A41" s="310" t="e">
        <f t="shared" ref="A41:A46" si="4">+A32</f>
        <v>#REF!</v>
      </c>
      <c r="B41" s="341" t="e">
        <f>B32</f>
        <v>#REF!</v>
      </c>
      <c r="C41" s="310"/>
      <c r="D41" s="344" t="e">
        <f t="shared" ref="D41:D47" si="5">B41/(B22/(100%-$E$40))</f>
        <v>#REF!</v>
      </c>
      <c r="E41" s="310"/>
    </row>
    <row r="42" spans="1:5" x14ac:dyDescent="0.25">
      <c r="A42" s="310" t="e">
        <f t="shared" si="4"/>
        <v>#REF!</v>
      </c>
      <c r="B42" s="341" t="e">
        <f t="shared" ref="B42:B46" si="6">B33</f>
        <v>#REF!</v>
      </c>
      <c r="C42" s="310"/>
      <c r="D42" s="344" t="e">
        <f t="shared" si="5"/>
        <v>#REF!</v>
      </c>
      <c r="E42" s="310"/>
    </row>
    <row r="43" spans="1:5" x14ac:dyDescent="0.25">
      <c r="A43" s="310" t="e">
        <f t="shared" si="4"/>
        <v>#REF!</v>
      </c>
      <c r="B43" s="341" t="e">
        <f t="shared" si="6"/>
        <v>#REF!</v>
      </c>
      <c r="C43" s="310"/>
      <c r="D43" s="344" t="e">
        <f t="shared" si="5"/>
        <v>#REF!</v>
      </c>
      <c r="E43" s="310"/>
    </row>
    <row r="44" spans="1:5" x14ac:dyDescent="0.25">
      <c r="A44" s="310" t="e">
        <f t="shared" si="4"/>
        <v>#REF!</v>
      </c>
      <c r="B44" s="341" t="e">
        <f t="shared" si="6"/>
        <v>#REF!</v>
      </c>
      <c r="C44" s="310"/>
      <c r="D44" s="344" t="e">
        <f t="shared" si="5"/>
        <v>#REF!</v>
      </c>
      <c r="E44" s="310"/>
    </row>
    <row r="45" spans="1:5" x14ac:dyDescent="0.25">
      <c r="A45" s="310" t="e">
        <f t="shared" si="4"/>
        <v>#REF!</v>
      </c>
      <c r="B45" s="341" t="e">
        <f t="shared" si="6"/>
        <v>#REF!</v>
      </c>
      <c r="C45" s="310"/>
      <c r="D45" s="344" t="e">
        <f t="shared" si="5"/>
        <v>#REF!</v>
      </c>
      <c r="E45" s="310"/>
    </row>
    <row r="46" spans="1:5" x14ac:dyDescent="0.25">
      <c r="A46" s="345" t="e">
        <f t="shared" si="4"/>
        <v>#REF!</v>
      </c>
      <c r="B46" s="341" t="e">
        <f t="shared" si="6"/>
        <v>#REF!</v>
      </c>
      <c r="C46" s="346"/>
      <c r="D46" s="344" t="e">
        <f t="shared" si="5"/>
        <v>#REF!</v>
      </c>
      <c r="E46" s="347"/>
    </row>
    <row r="47" spans="1:5" ht="13.8" thickBot="1" x14ac:dyDescent="0.3">
      <c r="A47" s="348" t="s">
        <v>86</v>
      </c>
      <c r="B47" s="349" t="e">
        <f>+B38</f>
        <v>#REF!</v>
      </c>
      <c r="C47" s="350"/>
      <c r="D47" s="351" t="e">
        <f t="shared" si="5"/>
        <v>#REF!</v>
      </c>
      <c r="E47" s="352"/>
    </row>
    <row r="48" spans="1:5" ht="13.8" thickTop="1" x14ac:dyDescent="0.25">
      <c r="A48" s="338"/>
      <c r="B48" s="336"/>
      <c r="C48" s="342"/>
      <c r="D48" s="353"/>
      <c r="E48" s="310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129" priority="9">
      <formula>$H$53=1</formula>
    </cfRule>
    <cfRule type="expression" dxfId="128" priority="10">
      <formula>$H$53&lt;&gt;1</formula>
    </cfRule>
  </conditionalFormatting>
  <conditionalFormatting sqref="H54:I54">
    <cfRule type="expression" dxfId="127" priority="7">
      <formula>$H$54&lt;&gt;1</formula>
    </cfRule>
    <cfRule type="expression" dxfId="126" priority="8">
      <formula>$H$54=1</formula>
    </cfRule>
  </conditionalFormatting>
  <conditionalFormatting sqref="H55:I55">
    <cfRule type="expression" dxfId="125" priority="5">
      <formula>$H$55&lt;&gt;1</formula>
    </cfRule>
    <cfRule type="expression" dxfId="124" priority="6">
      <formula>$H$55=1</formula>
    </cfRule>
  </conditionalFormatting>
  <conditionalFormatting sqref="H56:I56">
    <cfRule type="expression" dxfId="123" priority="3">
      <formula>$H$56&lt;&gt;1</formula>
    </cfRule>
    <cfRule type="expression" dxfId="122" priority="4">
      <formula>$H$56=1</formula>
    </cfRule>
  </conditionalFormatting>
  <conditionalFormatting sqref="H57:I57">
    <cfRule type="expression" dxfId="121" priority="1">
      <formula>$H$57&lt;&gt;1</formula>
    </cfRule>
    <cfRule type="expression" dxfId="12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62+'!J39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62+'!J40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62+'!J41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62+'!J42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62+'!J43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62+'!J44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62+'!J45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62+'!J46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62+'!J47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62+'!J48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62+'!J49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62+'!J50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10" t="s">
        <v>73</v>
      </c>
      <c r="B21" s="510"/>
      <c r="C21" s="510"/>
      <c r="D21" s="510"/>
      <c r="E21" s="510"/>
      <c r="F21" s="510"/>
      <c r="G21" s="510"/>
      <c r="H21" s="510"/>
      <c r="I21" s="510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1">
    <mergeCell ref="B90:D90"/>
    <mergeCell ref="B84:D84"/>
    <mergeCell ref="B85:D85"/>
    <mergeCell ref="B86:D86"/>
    <mergeCell ref="B87:D87"/>
    <mergeCell ref="B88:D88"/>
    <mergeCell ref="B89:D89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conditionalFormatting sqref="H53:I53">
    <cfRule type="expression" dxfId="119" priority="9">
      <formula>$H$53=1</formula>
    </cfRule>
    <cfRule type="expression" dxfId="118" priority="10">
      <formula>$H$53&lt;&gt;1</formula>
    </cfRule>
  </conditionalFormatting>
  <conditionalFormatting sqref="H54:I54">
    <cfRule type="expression" dxfId="117" priority="7">
      <formula>$H$54&lt;&gt;1</formula>
    </cfRule>
    <cfRule type="expression" dxfId="116" priority="8">
      <formula>$H$54=1</formula>
    </cfRule>
  </conditionalFormatting>
  <conditionalFormatting sqref="H55:I55">
    <cfRule type="expression" dxfId="115" priority="5">
      <formula>$H$55&lt;&gt;1</formula>
    </cfRule>
    <cfRule type="expression" dxfId="114" priority="6">
      <formula>$H$55=1</formula>
    </cfRule>
  </conditionalFormatting>
  <conditionalFormatting sqref="H56:I56">
    <cfRule type="expression" dxfId="113" priority="3">
      <formula>$H$56&lt;&gt;1</formula>
    </cfRule>
    <cfRule type="expression" dxfId="112" priority="4">
      <formula>$H$56=1</formula>
    </cfRule>
  </conditionalFormatting>
  <conditionalFormatting sqref="H57:I57">
    <cfRule type="expression" dxfId="111" priority="1">
      <formula>$H$57&lt;&gt;1</formula>
    </cfRule>
    <cfRule type="expression" dxfId="11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109" priority="9">
      <formula>$H$53=1</formula>
    </cfRule>
    <cfRule type="expression" dxfId="108" priority="10">
      <formula>$H$53&lt;&gt;1</formula>
    </cfRule>
  </conditionalFormatting>
  <conditionalFormatting sqref="H54:I54">
    <cfRule type="expression" dxfId="107" priority="7">
      <formula>$H$54&lt;&gt;1</formula>
    </cfRule>
    <cfRule type="expression" dxfId="106" priority="8">
      <formula>$H$54=1</formula>
    </cfRule>
  </conditionalFormatting>
  <conditionalFormatting sqref="H55:I55">
    <cfRule type="expression" dxfId="105" priority="5">
      <formula>$H$55&lt;&gt;1</formula>
    </cfRule>
    <cfRule type="expression" dxfId="104" priority="6">
      <formula>$H$55=1</formula>
    </cfRule>
  </conditionalFormatting>
  <conditionalFormatting sqref="H56:I56">
    <cfRule type="expression" dxfId="103" priority="3">
      <formula>$H$56&lt;&gt;1</formula>
    </cfRule>
    <cfRule type="expression" dxfId="102" priority="4">
      <formula>$H$56=1</formula>
    </cfRule>
  </conditionalFormatting>
  <conditionalFormatting sqref="H57:I57">
    <cfRule type="expression" dxfId="101" priority="1">
      <formula>$H$57&lt;&gt;1</formula>
    </cfRule>
    <cfRule type="expression" dxfId="10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99" priority="9">
      <formula>$H$53=1</formula>
    </cfRule>
    <cfRule type="expression" dxfId="98" priority="10">
      <formula>$H$53&lt;&gt;1</formula>
    </cfRule>
  </conditionalFormatting>
  <conditionalFormatting sqref="H54:I54">
    <cfRule type="expression" dxfId="97" priority="7">
      <formula>$H$54&lt;&gt;1</formula>
    </cfRule>
    <cfRule type="expression" dxfId="96" priority="8">
      <formula>$H$54=1</formula>
    </cfRule>
  </conditionalFormatting>
  <conditionalFormatting sqref="H55:I55">
    <cfRule type="expression" dxfId="95" priority="5">
      <formula>$H$55&lt;&gt;1</formula>
    </cfRule>
    <cfRule type="expression" dxfId="94" priority="6">
      <formula>$H$55=1</formula>
    </cfRule>
  </conditionalFormatting>
  <conditionalFormatting sqref="H56:I56">
    <cfRule type="expression" dxfId="93" priority="3">
      <formula>$H$56&lt;&gt;1</formula>
    </cfRule>
    <cfRule type="expression" dxfId="92" priority="4">
      <formula>$H$56=1</formula>
    </cfRule>
  </conditionalFormatting>
  <conditionalFormatting sqref="H57:I57">
    <cfRule type="expression" dxfId="91" priority="1">
      <formula>$H$57&lt;&gt;1</formula>
    </cfRule>
    <cfRule type="expression" dxfId="9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6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62+'!I34</f>
        <v>#REF!</v>
      </c>
      <c r="C4" s="41"/>
      <c r="D4" s="59" t="e">
        <f>'Supply 62+'!H34</f>
        <v>#REF!</v>
      </c>
      <c r="E4" s="60"/>
    </row>
    <row r="5" spans="1:5" x14ac:dyDescent="0.25">
      <c r="A5" s="44" t="s">
        <v>66</v>
      </c>
      <c r="B5" s="130" t="e">
        <f>'Supply 62+'!I35</f>
        <v>#REF!</v>
      </c>
      <c r="C5" s="41"/>
      <c r="D5" s="59" t="e">
        <f>'Supply 62+'!H35</f>
        <v>#REF!</v>
      </c>
      <c r="E5" s="60"/>
    </row>
    <row r="6" spans="1:5" x14ac:dyDescent="0.25">
      <c r="A6" s="44" t="s">
        <v>67</v>
      </c>
      <c r="B6" s="130" t="e">
        <f>'Supply 62+'!I36</f>
        <v>#REF!</v>
      </c>
      <c r="C6" s="41"/>
      <c r="D6" s="59" t="e">
        <f>'Supply 62+'!H36</f>
        <v>#REF!</v>
      </c>
      <c r="E6" s="60"/>
    </row>
    <row r="7" spans="1:5" x14ac:dyDescent="0.25">
      <c r="A7" s="44" t="s">
        <v>68</v>
      </c>
      <c r="B7" s="130" t="e">
        <f>'Supply 62+'!I37</f>
        <v>#REF!</v>
      </c>
      <c r="C7" s="41"/>
      <c r="D7" s="59" t="e">
        <f>'Supply 62+'!H37</f>
        <v>#REF!</v>
      </c>
      <c r="E7" s="60"/>
    </row>
    <row r="8" spans="1:5" x14ac:dyDescent="0.25">
      <c r="A8" s="44" t="s">
        <v>128</v>
      </c>
      <c r="B8" s="130" t="e">
        <f>'Supply 62+'!I38</f>
        <v>#REF!</v>
      </c>
      <c r="C8" s="41"/>
      <c r="D8" s="59" t="e">
        <f>'Supply 62+'!H38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62+'!M17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89" priority="9">
      <formula>$H$53=1</formula>
    </cfRule>
    <cfRule type="expression" dxfId="88" priority="10">
      <formula>$H$53&lt;&gt;1</formula>
    </cfRule>
  </conditionalFormatting>
  <conditionalFormatting sqref="H54:I54">
    <cfRule type="expression" dxfId="87" priority="7">
      <formula>$H$54&lt;&gt;1</formula>
    </cfRule>
    <cfRule type="expression" dxfId="86" priority="8">
      <formula>$H$54=1</formula>
    </cfRule>
  </conditionalFormatting>
  <conditionalFormatting sqref="H55:I55">
    <cfRule type="expression" dxfId="85" priority="5">
      <formula>$H$55&lt;&gt;1</formula>
    </cfRule>
    <cfRule type="expression" dxfId="84" priority="6">
      <formula>$H$55=1</formula>
    </cfRule>
  </conditionalFormatting>
  <conditionalFormatting sqref="H56:I56">
    <cfRule type="expression" dxfId="83" priority="3">
      <formula>$H$56&lt;&gt;1</formula>
    </cfRule>
    <cfRule type="expression" dxfId="82" priority="4">
      <formula>$H$56=1</formula>
    </cfRule>
  </conditionalFormatting>
  <conditionalFormatting sqref="H57:I57">
    <cfRule type="expression" dxfId="81" priority="1">
      <formula>$H$57&lt;&gt;1</formula>
    </cfRule>
    <cfRule type="expression" dxfId="8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1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65+'!J40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65+'!J41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65+'!J42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65+'!J43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65+'!J44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65+'!J45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65+'!J46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65+'!J47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65+'!J48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65+'!J49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65+'!J50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65+'!J51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10" t="s">
        <v>73</v>
      </c>
      <c r="B21" s="510"/>
      <c r="C21" s="510"/>
      <c r="D21" s="510"/>
      <c r="E21" s="510"/>
      <c r="F21" s="510"/>
      <c r="G21" s="510"/>
      <c r="H21" s="510"/>
      <c r="I21" s="510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honeticPr fontId="17" type="noConversion"/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1">
    <mergeCell ref="B61:D61"/>
    <mergeCell ref="B66:D66"/>
    <mergeCell ref="H52:I52"/>
    <mergeCell ref="B67:D67"/>
    <mergeCell ref="B62:D62"/>
    <mergeCell ref="B68:D68"/>
    <mergeCell ref="B69:D69"/>
    <mergeCell ref="B70:D70"/>
    <mergeCell ref="B63:D63"/>
    <mergeCell ref="B64:D64"/>
    <mergeCell ref="B65:D65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</mergeCells>
  <phoneticPr fontId="17" type="noConversion"/>
  <conditionalFormatting sqref="H53:I53">
    <cfRule type="expression" dxfId="79" priority="9">
      <formula>$H$53=1</formula>
    </cfRule>
    <cfRule type="expression" dxfId="78" priority="10">
      <formula>$H$53&lt;&gt;1</formula>
    </cfRule>
  </conditionalFormatting>
  <conditionalFormatting sqref="H54:I54">
    <cfRule type="expression" dxfId="77" priority="7">
      <formula>$H$54&lt;&gt;1</formula>
    </cfRule>
    <cfRule type="expression" dxfId="76" priority="8">
      <formula>$H$54=1</formula>
    </cfRule>
  </conditionalFormatting>
  <conditionalFormatting sqref="H55:I55">
    <cfRule type="expression" dxfId="75" priority="5">
      <formula>$H$55&lt;&gt;1</formula>
    </cfRule>
    <cfRule type="expression" dxfId="74" priority="6">
      <formula>$H$55=1</formula>
    </cfRule>
  </conditionalFormatting>
  <conditionalFormatting sqref="H56:I56">
    <cfRule type="expression" dxfId="73" priority="3">
      <formula>$H$56&lt;&gt;1</formula>
    </cfRule>
    <cfRule type="expression" dxfId="72" priority="4">
      <formula>$H$56=1</formula>
    </cfRule>
  </conditionalFormatting>
  <conditionalFormatting sqref="H57:I57">
    <cfRule type="expression" dxfId="71" priority="1">
      <formula>$H$57&lt;&gt;1</formula>
    </cfRule>
    <cfRule type="expression" dxfId="7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6:D76"/>
    <mergeCell ref="B77:D77"/>
    <mergeCell ref="B78:D78"/>
    <mergeCell ref="B74:D74"/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</mergeCells>
  <conditionalFormatting sqref="H53:I53">
    <cfRule type="expression" dxfId="69" priority="9">
      <formula>$H$53=1</formula>
    </cfRule>
    <cfRule type="expression" dxfId="68" priority="10">
      <formula>$H$53&lt;&gt;1</formula>
    </cfRule>
  </conditionalFormatting>
  <conditionalFormatting sqref="H54:I54">
    <cfRule type="expression" dxfId="67" priority="7">
      <formula>$H$54&lt;&gt;1</formula>
    </cfRule>
    <cfRule type="expression" dxfId="66" priority="8">
      <formula>$H$54=1</formula>
    </cfRule>
  </conditionalFormatting>
  <conditionalFormatting sqref="H55:I55">
    <cfRule type="expression" dxfId="65" priority="5">
      <formula>$H$55&lt;&gt;1</formula>
    </cfRule>
    <cfRule type="expression" dxfId="64" priority="6">
      <formula>$H$55=1</formula>
    </cfRule>
  </conditionalFormatting>
  <conditionalFormatting sqref="H56:I56">
    <cfRule type="expression" dxfId="63" priority="3">
      <formula>$H$56&lt;&gt;1</formula>
    </cfRule>
    <cfRule type="expression" dxfId="62" priority="4">
      <formula>$H$56=1</formula>
    </cfRule>
  </conditionalFormatting>
  <conditionalFormatting sqref="H57:I57">
    <cfRule type="expression" dxfId="61" priority="1">
      <formula>$H$57&lt;&gt;1</formula>
    </cfRule>
    <cfRule type="expression" dxfId="6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6:D76"/>
    <mergeCell ref="B77:D77"/>
    <mergeCell ref="B78:D78"/>
    <mergeCell ref="B74:D74"/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</mergeCells>
  <conditionalFormatting sqref="H53:I53">
    <cfRule type="expression" dxfId="59" priority="9">
      <formula>$H$53=1</formula>
    </cfRule>
    <cfRule type="expression" dxfId="58" priority="10">
      <formula>$H$53&lt;&gt;1</formula>
    </cfRule>
  </conditionalFormatting>
  <conditionalFormatting sqref="H54:I54">
    <cfRule type="expression" dxfId="57" priority="7">
      <formula>$H$54&lt;&gt;1</formula>
    </cfRule>
    <cfRule type="expression" dxfId="56" priority="8">
      <formula>$H$54=1</formula>
    </cfRule>
  </conditionalFormatting>
  <conditionalFormatting sqref="H55:I55">
    <cfRule type="expression" dxfId="55" priority="5">
      <formula>$H$55&lt;&gt;1</formula>
    </cfRule>
    <cfRule type="expression" dxfId="54" priority="6">
      <formula>$H$55=1</formula>
    </cfRule>
  </conditionalFormatting>
  <conditionalFormatting sqref="H56:I56">
    <cfRule type="expression" dxfId="53" priority="3">
      <formula>$H$56&lt;&gt;1</formula>
    </cfRule>
    <cfRule type="expression" dxfId="52" priority="4">
      <formula>$H$56=1</formula>
    </cfRule>
  </conditionalFormatting>
  <conditionalFormatting sqref="H57:I57">
    <cfRule type="expression" dxfId="51" priority="1">
      <formula>$H$57&lt;&gt;1</formula>
    </cfRule>
    <cfRule type="expression" dxfId="5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65+'!I34</f>
        <v>#REF!</v>
      </c>
      <c r="C4" s="41"/>
      <c r="D4" s="59" t="e">
        <f>'Supply 65+'!H34</f>
        <v>#REF!</v>
      </c>
      <c r="E4" s="60"/>
    </row>
    <row r="5" spans="1:5" x14ac:dyDescent="0.25">
      <c r="A5" s="44" t="s">
        <v>66</v>
      </c>
      <c r="B5" s="130" t="e">
        <f>'Supply 65+'!I35</f>
        <v>#REF!</v>
      </c>
      <c r="C5" s="41"/>
      <c r="D5" s="59" t="e">
        <f>'Supply 65+'!H35</f>
        <v>#REF!</v>
      </c>
      <c r="E5" s="60"/>
    </row>
    <row r="6" spans="1:5" x14ac:dyDescent="0.25">
      <c r="A6" s="44" t="s">
        <v>67</v>
      </c>
      <c r="B6" s="130" t="e">
        <f>'Supply 65+'!I36</f>
        <v>#REF!</v>
      </c>
      <c r="C6" s="41"/>
      <c r="D6" s="59" t="e">
        <f>'Supply 65+'!H36</f>
        <v>#REF!</v>
      </c>
      <c r="E6" s="60"/>
    </row>
    <row r="7" spans="1:5" x14ac:dyDescent="0.25">
      <c r="A7" s="44" t="s">
        <v>68</v>
      </c>
      <c r="B7" s="130" t="e">
        <f>'Supply 65+'!I37</f>
        <v>#REF!</v>
      </c>
      <c r="C7" s="41"/>
      <c r="D7" s="59" t="e">
        <f>'Supply 65+'!H37</f>
        <v>#REF!</v>
      </c>
      <c r="E7" s="60"/>
    </row>
    <row r="8" spans="1:5" x14ac:dyDescent="0.25">
      <c r="A8" s="44" t="s">
        <v>128</v>
      </c>
      <c r="B8" s="130" t="e">
        <f>'Supply 65+'!I38</f>
        <v>#REF!</v>
      </c>
      <c r="C8" s="41"/>
      <c r="D8" s="59" t="e">
        <f>'Supply 65+'!H38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65+'!M17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63:D63"/>
    <mergeCell ref="B81:D81"/>
    <mergeCell ref="H52:I52"/>
    <mergeCell ref="A59:D59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6:D76"/>
    <mergeCell ref="B77:D77"/>
    <mergeCell ref="B78:D78"/>
    <mergeCell ref="B74:D74"/>
    <mergeCell ref="B79:D79"/>
    <mergeCell ref="B80:D80"/>
    <mergeCell ref="B88:D88"/>
    <mergeCell ref="B89:D89"/>
    <mergeCell ref="B90:D90"/>
    <mergeCell ref="B82:D82"/>
    <mergeCell ref="B83:D83"/>
    <mergeCell ref="B84:D84"/>
    <mergeCell ref="B85:D85"/>
    <mergeCell ref="B86:D86"/>
    <mergeCell ref="B87:D87"/>
  </mergeCells>
  <conditionalFormatting sqref="H53:I53">
    <cfRule type="expression" dxfId="49" priority="9">
      <formula>$H$53=1</formula>
    </cfRule>
    <cfRule type="expression" dxfId="48" priority="10">
      <formula>$H$53&lt;&gt;1</formula>
    </cfRule>
  </conditionalFormatting>
  <conditionalFormatting sqref="H54:I54">
    <cfRule type="expression" dxfId="47" priority="7">
      <formula>$H$54&lt;&gt;1</formula>
    </cfRule>
    <cfRule type="expression" dxfId="46" priority="8">
      <formula>$H$54=1</formula>
    </cfRule>
  </conditionalFormatting>
  <conditionalFormatting sqref="H55:I55">
    <cfRule type="expression" dxfId="45" priority="5">
      <formula>$H$55&lt;&gt;1</formula>
    </cfRule>
    <cfRule type="expression" dxfId="44" priority="6">
      <formula>$H$55=1</formula>
    </cfRule>
  </conditionalFormatting>
  <conditionalFormatting sqref="H56:I56">
    <cfRule type="expression" dxfId="43" priority="3">
      <formula>$H$56&lt;&gt;1</formula>
    </cfRule>
    <cfRule type="expression" dxfId="42" priority="4">
      <formula>$H$56=1</formula>
    </cfRule>
  </conditionalFormatting>
  <conditionalFormatting sqref="H57:I57">
    <cfRule type="expression" dxfId="41" priority="1">
      <formula>$H$57&lt;&gt;1</formula>
    </cfRule>
    <cfRule type="expression" dxfId="4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2:R32"/>
  <sheetViews>
    <sheetView view="pageBreakPreview" zoomScaleNormal="100" workbookViewId="0">
      <pane xSplit="1" topLeftCell="B1" activePane="topRight" state="frozen"/>
      <selection pane="topRight"/>
    </sheetView>
  </sheetViews>
  <sheetFormatPr defaultColWidth="9.109375" defaultRowHeight="13.2" x14ac:dyDescent="0.25"/>
  <cols>
    <col min="1" max="1" width="16.6640625" style="12" customWidth="1"/>
    <col min="2" max="2" width="13.44140625" style="12" bestFit="1" customWidth="1"/>
    <col min="3" max="17" width="9.6640625" style="12" customWidth="1"/>
    <col min="18" max="16384" width="9.109375" style="12"/>
  </cols>
  <sheetData>
    <row r="2" spans="1:18" ht="16.2" thickBot="1" x14ac:dyDescent="0.35">
      <c r="A2" s="218" t="str">
        <f>"INCOME DISTRIBUTION " &amp; ESRI_CY</f>
        <v>INCOME DISTRIBUTION 2016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7"/>
      <c r="M2" s="217"/>
      <c r="N2" s="217"/>
      <c r="O2" s="217"/>
      <c r="P2" s="217"/>
      <c r="Q2" s="217"/>
    </row>
    <row r="3" spans="1:18" ht="26.4" x14ac:dyDescent="0.25">
      <c r="A3" s="113" t="s">
        <v>50</v>
      </c>
      <c r="B3" s="121" t="s">
        <v>118</v>
      </c>
      <c r="C3" s="234" t="str">
        <f>B23</f>
        <v>30% AMI</v>
      </c>
      <c r="D3" s="235"/>
      <c r="E3" s="236"/>
      <c r="F3" s="237" t="str">
        <f>D23</f>
        <v>40% AMI</v>
      </c>
      <c r="G3" s="238"/>
      <c r="H3" s="239"/>
      <c r="I3" s="234" t="str">
        <f>F23</f>
        <v>50% AMI</v>
      </c>
      <c r="J3" s="235"/>
      <c r="K3" s="236"/>
      <c r="L3" s="237" t="str">
        <f>H23</f>
        <v>60% AMI</v>
      </c>
      <c r="M3" s="238"/>
      <c r="N3" s="239"/>
      <c r="O3" s="234" t="s">
        <v>69</v>
      </c>
      <c r="P3" s="235"/>
      <c r="Q3" s="236"/>
      <c r="R3" s="2"/>
    </row>
    <row r="4" spans="1:18" ht="26.4" x14ac:dyDescent="0.25">
      <c r="A4" s="120"/>
      <c r="B4" s="122"/>
      <c r="C4" s="107" t="s">
        <v>70</v>
      </c>
      <c r="D4" s="56" t="s">
        <v>71</v>
      </c>
      <c r="E4" s="108" t="s">
        <v>72</v>
      </c>
      <c r="F4" s="107" t="str">
        <f>C4</f>
        <v>cohort overlap</v>
      </c>
      <c r="G4" s="56" t="str">
        <f>D4</f>
        <v>% in cohort</v>
      </c>
      <c r="H4" s="108" t="str">
        <f>E4</f>
        <v># in cohort</v>
      </c>
      <c r="I4" s="107" t="s">
        <v>70</v>
      </c>
      <c r="J4" s="56" t="s">
        <v>71</v>
      </c>
      <c r="K4" s="108" t="s">
        <v>72</v>
      </c>
      <c r="L4" s="107" t="str">
        <f t="shared" ref="L4:Q4" si="0">I4</f>
        <v>cohort overlap</v>
      </c>
      <c r="M4" s="56" t="str">
        <f t="shared" si="0"/>
        <v>% in cohort</v>
      </c>
      <c r="N4" s="108" t="str">
        <f t="shared" si="0"/>
        <v># in cohort</v>
      </c>
      <c r="O4" s="107" t="str">
        <f t="shared" si="0"/>
        <v>cohort overlap</v>
      </c>
      <c r="P4" s="56" t="str">
        <f t="shared" si="0"/>
        <v>% in cohort</v>
      </c>
      <c r="Q4" s="108" t="str">
        <f t="shared" si="0"/>
        <v># in cohort</v>
      </c>
      <c r="R4" s="2"/>
    </row>
    <row r="5" spans="1:18" x14ac:dyDescent="0.25">
      <c r="A5" s="115" t="str">
        <f t="array" ref="A5:A16">Novo_Cohort_Ref</f>
        <v>$0-9,999</v>
      </c>
      <c r="B5" s="30" t="e">
        <f>'Demographics 75+'!J39</f>
        <v>#REF!</v>
      </c>
      <c r="C5" s="154"/>
      <c r="D5" s="282" t="str">
        <f t="shared" ref="D5:D10" si="1">IF(C5="","",C5/9999)</f>
        <v/>
      </c>
      <c r="E5" s="109" t="str">
        <f>IF(C5="","",D5*$B5)</f>
        <v/>
      </c>
      <c r="F5" s="154"/>
      <c r="G5" s="282" t="str">
        <f t="shared" ref="G5:G10" si="2">IF(F5="","",F5/9999)</f>
        <v/>
      </c>
      <c r="H5" s="109" t="str">
        <f>IF(F5="","",G5*$B5)</f>
        <v/>
      </c>
      <c r="I5" s="154"/>
      <c r="J5" s="282" t="str">
        <f t="shared" ref="J5:J10" si="3">IF(I5="","",I5/9999)</f>
        <v/>
      </c>
      <c r="K5" s="109" t="str">
        <f>IF(I5="","",J5*$B5)</f>
        <v/>
      </c>
      <c r="L5" s="154"/>
      <c r="M5" s="282" t="str">
        <f t="shared" ref="M5:M10" si="4">IF(L5="","",L5/9999)</f>
        <v/>
      </c>
      <c r="N5" s="109" t="str">
        <f>IF(L5="","",M5*$B5)</f>
        <v/>
      </c>
      <c r="O5" s="154"/>
      <c r="P5" s="282" t="str">
        <f t="shared" ref="P5:P10" si="5">IF(O5="","",O5/9999)</f>
        <v/>
      </c>
      <c r="Q5" s="109" t="str">
        <f>IF(O5="","",P5*$B5)</f>
        <v/>
      </c>
      <c r="R5" s="2"/>
    </row>
    <row r="6" spans="1:18" x14ac:dyDescent="0.25">
      <c r="A6" s="115" t="str">
        <v>$10,000-19,999</v>
      </c>
      <c r="B6" s="30" t="e">
        <f>'Demographics 75+'!J40</f>
        <v>#REF!</v>
      </c>
      <c r="C6" s="154"/>
      <c r="D6" s="282" t="str">
        <f t="shared" si="1"/>
        <v/>
      </c>
      <c r="E6" s="109" t="str">
        <f t="shared" ref="E6:E16" si="6">IF(C6="","",D6*$B6)</f>
        <v/>
      </c>
      <c r="F6" s="154"/>
      <c r="G6" s="282" t="str">
        <f t="shared" si="2"/>
        <v/>
      </c>
      <c r="H6" s="109" t="str">
        <f t="shared" ref="H6:H16" si="7">IF(F6="","",G6*$B6)</f>
        <v/>
      </c>
      <c r="I6" s="154"/>
      <c r="J6" s="282" t="str">
        <f t="shared" si="3"/>
        <v/>
      </c>
      <c r="K6" s="109" t="str">
        <f t="shared" ref="K6:K16" si="8">IF(I6="","",J6*$B6)</f>
        <v/>
      </c>
      <c r="L6" s="154"/>
      <c r="M6" s="282" t="str">
        <f t="shared" si="4"/>
        <v/>
      </c>
      <c r="N6" s="109" t="str">
        <f t="shared" ref="N6:N16" si="9">IF(L6="","",M6*$B6)</f>
        <v/>
      </c>
      <c r="O6" s="154"/>
      <c r="P6" s="282" t="str">
        <f t="shared" si="5"/>
        <v/>
      </c>
      <c r="Q6" s="109" t="str">
        <f t="shared" ref="Q6:Q16" si="10">IF(O6="","",P6*$B6)</f>
        <v/>
      </c>
      <c r="R6" s="2"/>
    </row>
    <row r="7" spans="1:18" x14ac:dyDescent="0.25">
      <c r="A7" s="115" t="str">
        <v>$20,000-29,999</v>
      </c>
      <c r="B7" s="30" t="e">
        <f>'Demographics 75+'!J41</f>
        <v>#REF!</v>
      </c>
      <c r="C7" s="154"/>
      <c r="D7" s="282" t="str">
        <f t="shared" si="1"/>
        <v/>
      </c>
      <c r="E7" s="109" t="str">
        <f t="shared" si="6"/>
        <v/>
      </c>
      <c r="F7" s="154"/>
      <c r="G7" s="282" t="str">
        <f t="shared" si="2"/>
        <v/>
      </c>
      <c r="H7" s="109" t="str">
        <f t="shared" si="7"/>
        <v/>
      </c>
      <c r="I7" s="154"/>
      <c r="J7" s="282" t="str">
        <f t="shared" si="3"/>
        <v/>
      </c>
      <c r="K7" s="109" t="str">
        <f t="shared" si="8"/>
        <v/>
      </c>
      <c r="L7" s="154"/>
      <c r="M7" s="282" t="str">
        <f t="shared" si="4"/>
        <v/>
      </c>
      <c r="N7" s="109" t="str">
        <f t="shared" si="9"/>
        <v/>
      </c>
      <c r="O7" s="154"/>
      <c r="P7" s="282" t="str">
        <f t="shared" si="5"/>
        <v/>
      </c>
      <c r="Q7" s="109" t="str">
        <f t="shared" si="10"/>
        <v/>
      </c>
      <c r="R7" s="2"/>
    </row>
    <row r="8" spans="1:18" x14ac:dyDescent="0.25">
      <c r="A8" s="115" t="str">
        <v>$30,000-39,999</v>
      </c>
      <c r="B8" s="30" t="e">
        <f>'Demographics 75+'!J42</f>
        <v>#REF!</v>
      </c>
      <c r="C8" s="154"/>
      <c r="D8" s="282" t="str">
        <f t="shared" si="1"/>
        <v/>
      </c>
      <c r="E8" s="109" t="str">
        <f t="shared" si="6"/>
        <v/>
      </c>
      <c r="F8" s="154"/>
      <c r="G8" s="282" t="str">
        <f t="shared" si="2"/>
        <v/>
      </c>
      <c r="H8" s="109" t="str">
        <f t="shared" si="7"/>
        <v/>
      </c>
      <c r="I8" s="154"/>
      <c r="J8" s="282" t="str">
        <f t="shared" si="3"/>
        <v/>
      </c>
      <c r="K8" s="109" t="str">
        <f t="shared" si="8"/>
        <v/>
      </c>
      <c r="L8" s="154"/>
      <c r="M8" s="282" t="str">
        <f t="shared" si="4"/>
        <v/>
      </c>
      <c r="N8" s="109" t="str">
        <f t="shared" si="9"/>
        <v/>
      </c>
      <c r="O8" s="154"/>
      <c r="P8" s="282" t="str">
        <f t="shared" si="5"/>
        <v/>
      </c>
      <c r="Q8" s="109" t="str">
        <f t="shared" si="10"/>
        <v/>
      </c>
      <c r="R8" s="2"/>
    </row>
    <row r="9" spans="1:18" x14ac:dyDescent="0.25">
      <c r="A9" s="115" t="str">
        <v>$40,000-49,999</v>
      </c>
      <c r="B9" s="30" t="e">
        <f>'Demographics 75+'!J43</f>
        <v>#REF!</v>
      </c>
      <c r="C9" s="154"/>
      <c r="D9" s="282" t="str">
        <f t="shared" si="1"/>
        <v/>
      </c>
      <c r="E9" s="109" t="str">
        <f t="shared" si="6"/>
        <v/>
      </c>
      <c r="F9" s="154"/>
      <c r="G9" s="282" t="str">
        <f t="shared" si="2"/>
        <v/>
      </c>
      <c r="H9" s="109" t="str">
        <f t="shared" si="7"/>
        <v/>
      </c>
      <c r="I9" s="154"/>
      <c r="J9" s="282" t="str">
        <f t="shared" si="3"/>
        <v/>
      </c>
      <c r="K9" s="109" t="str">
        <f t="shared" si="8"/>
        <v/>
      </c>
      <c r="L9" s="154"/>
      <c r="M9" s="282" t="str">
        <f t="shared" si="4"/>
        <v/>
      </c>
      <c r="N9" s="109" t="str">
        <f t="shared" si="9"/>
        <v/>
      </c>
      <c r="O9" s="154"/>
      <c r="P9" s="282" t="str">
        <f t="shared" si="5"/>
        <v/>
      </c>
      <c r="Q9" s="109" t="str">
        <f t="shared" si="10"/>
        <v/>
      </c>
      <c r="R9" s="2"/>
    </row>
    <row r="10" spans="1:18" x14ac:dyDescent="0.25">
      <c r="A10" s="115" t="str">
        <v>$50,000-59,999</v>
      </c>
      <c r="B10" s="30" t="e">
        <f>'Demographics 75+'!J44</f>
        <v>#REF!</v>
      </c>
      <c r="C10" s="154"/>
      <c r="D10" s="282" t="str">
        <f t="shared" si="1"/>
        <v/>
      </c>
      <c r="E10" s="109" t="str">
        <f t="shared" si="6"/>
        <v/>
      </c>
      <c r="F10" s="154"/>
      <c r="G10" s="282" t="str">
        <f t="shared" si="2"/>
        <v/>
      </c>
      <c r="H10" s="109" t="str">
        <f t="shared" si="7"/>
        <v/>
      </c>
      <c r="I10" s="154"/>
      <c r="J10" s="282" t="str">
        <f t="shared" si="3"/>
        <v/>
      </c>
      <c r="K10" s="109" t="str">
        <f t="shared" si="8"/>
        <v/>
      </c>
      <c r="L10" s="154"/>
      <c r="M10" s="282" t="str">
        <f t="shared" si="4"/>
        <v/>
      </c>
      <c r="N10" s="109" t="str">
        <f t="shared" si="9"/>
        <v/>
      </c>
      <c r="O10" s="154"/>
      <c r="P10" s="282" t="str">
        <f t="shared" si="5"/>
        <v/>
      </c>
      <c r="Q10" s="109" t="str">
        <f t="shared" si="10"/>
        <v/>
      </c>
      <c r="R10" s="2"/>
    </row>
    <row r="11" spans="1:18" x14ac:dyDescent="0.25">
      <c r="A11" s="115" t="str">
        <v>$60,000-74,999</v>
      </c>
      <c r="B11" s="30" t="e">
        <f>'Demographics 75+'!J45</f>
        <v>#REF!</v>
      </c>
      <c r="C11" s="154"/>
      <c r="D11" s="282" t="str">
        <f>IF(C11="","",C11/14999)</f>
        <v/>
      </c>
      <c r="E11" s="109" t="str">
        <f t="shared" si="6"/>
        <v/>
      </c>
      <c r="F11" s="154"/>
      <c r="G11" s="282" t="str">
        <f>IF(F11="","",F11/14999)</f>
        <v/>
      </c>
      <c r="H11" s="109" t="str">
        <f t="shared" si="7"/>
        <v/>
      </c>
      <c r="I11" s="154"/>
      <c r="J11" s="282" t="str">
        <f>IF(I11="","",I11/14999)</f>
        <v/>
      </c>
      <c r="K11" s="109" t="str">
        <f t="shared" si="8"/>
        <v/>
      </c>
      <c r="L11" s="154"/>
      <c r="M11" s="282" t="str">
        <f>IF(L11="","",L11/14999)</f>
        <v/>
      </c>
      <c r="N11" s="109" t="str">
        <f t="shared" si="9"/>
        <v/>
      </c>
      <c r="O11" s="154"/>
      <c r="P11" s="282" t="str">
        <f>IF(O11="","",O11/14999)</f>
        <v/>
      </c>
      <c r="Q11" s="109" t="str">
        <f t="shared" si="10"/>
        <v/>
      </c>
      <c r="R11" s="2"/>
    </row>
    <row r="12" spans="1:18" x14ac:dyDescent="0.25">
      <c r="A12" s="115" t="str">
        <v>$75,000-99,999</v>
      </c>
      <c r="B12" s="30" t="e">
        <f>'Demographics 75+'!J46</f>
        <v>#REF!</v>
      </c>
      <c r="C12" s="154"/>
      <c r="D12" s="282" t="str">
        <f>IF(C12="","",C12/24999)</f>
        <v/>
      </c>
      <c r="E12" s="109" t="str">
        <f t="shared" si="6"/>
        <v/>
      </c>
      <c r="F12" s="154"/>
      <c r="G12" s="282" t="str">
        <f>IF(F12="","",F12/24999)</f>
        <v/>
      </c>
      <c r="H12" s="109" t="str">
        <f t="shared" si="7"/>
        <v/>
      </c>
      <c r="I12" s="154"/>
      <c r="J12" s="282" t="str">
        <f>IF(I12="","",I12/24999)</f>
        <v/>
      </c>
      <c r="K12" s="109" t="str">
        <f t="shared" si="8"/>
        <v/>
      </c>
      <c r="L12" s="154"/>
      <c r="M12" s="282" t="str">
        <f>IF(L12="","",L12/24999)</f>
        <v/>
      </c>
      <c r="N12" s="109" t="str">
        <f t="shared" si="9"/>
        <v/>
      </c>
      <c r="O12" s="154"/>
      <c r="P12" s="282" t="str">
        <f>IF(O12="","",O12/24999)</f>
        <v/>
      </c>
      <c r="Q12" s="109" t="str">
        <f t="shared" si="10"/>
        <v/>
      </c>
      <c r="R12" s="2"/>
    </row>
    <row r="13" spans="1:18" x14ac:dyDescent="0.25">
      <c r="A13" s="115" t="str">
        <v>$100,000-124,999</v>
      </c>
      <c r="B13" s="30" t="e">
        <f>'Demographics 75+'!J47</f>
        <v>#REF!</v>
      </c>
      <c r="C13" s="154"/>
      <c r="D13" s="282" t="str">
        <f t="shared" ref="D13:D14" si="11">IF(C13="","",C13/24999)</f>
        <v/>
      </c>
      <c r="E13" s="109" t="str">
        <f t="shared" si="6"/>
        <v/>
      </c>
      <c r="F13" s="154"/>
      <c r="G13" s="282" t="str">
        <f t="shared" ref="G13:G14" si="12">IF(F13="","",F13/24999)</f>
        <v/>
      </c>
      <c r="H13" s="109" t="str">
        <f t="shared" si="7"/>
        <v/>
      </c>
      <c r="I13" s="154"/>
      <c r="J13" s="282" t="str">
        <f t="shared" ref="J13:J14" si="13">IF(I13="","",I13/24999)</f>
        <v/>
      </c>
      <c r="K13" s="109" t="str">
        <f t="shared" si="8"/>
        <v/>
      </c>
      <c r="L13" s="154"/>
      <c r="M13" s="282" t="str">
        <f t="shared" ref="M13:M14" si="14">IF(L13="","",L13/24999)</f>
        <v/>
      </c>
      <c r="N13" s="109" t="str">
        <f t="shared" si="9"/>
        <v/>
      </c>
      <c r="O13" s="154"/>
      <c r="P13" s="282" t="str">
        <f t="shared" ref="P13:P14" si="15">IF(O13="","",O13/24999)</f>
        <v/>
      </c>
      <c r="Q13" s="109" t="str">
        <f t="shared" si="10"/>
        <v/>
      </c>
      <c r="R13" s="2"/>
    </row>
    <row r="14" spans="1:18" x14ac:dyDescent="0.25">
      <c r="A14" s="115" t="str">
        <v>$125,000-149,999</v>
      </c>
      <c r="B14" s="30" t="e">
        <f>'Demographics 75+'!J48</f>
        <v>#REF!</v>
      </c>
      <c r="C14" s="154"/>
      <c r="D14" s="282" t="str">
        <f t="shared" si="11"/>
        <v/>
      </c>
      <c r="E14" s="109" t="str">
        <f t="shared" si="6"/>
        <v/>
      </c>
      <c r="F14" s="154"/>
      <c r="G14" s="282" t="str">
        <f t="shared" si="12"/>
        <v/>
      </c>
      <c r="H14" s="109" t="str">
        <f t="shared" si="7"/>
        <v/>
      </c>
      <c r="I14" s="154"/>
      <c r="J14" s="282" t="str">
        <f t="shared" si="13"/>
        <v/>
      </c>
      <c r="K14" s="109" t="str">
        <f t="shared" si="8"/>
        <v/>
      </c>
      <c r="L14" s="154"/>
      <c r="M14" s="282" t="str">
        <f t="shared" si="14"/>
        <v/>
      </c>
      <c r="N14" s="109" t="str">
        <f t="shared" si="9"/>
        <v/>
      </c>
      <c r="O14" s="154"/>
      <c r="P14" s="282" t="str">
        <f t="shared" si="15"/>
        <v/>
      </c>
      <c r="Q14" s="109" t="str">
        <f t="shared" si="10"/>
        <v/>
      </c>
    </row>
    <row r="15" spans="1:18" x14ac:dyDescent="0.25">
      <c r="A15" s="115" t="str">
        <v>$150,000-199,999</v>
      </c>
      <c r="B15" s="30" t="e">
        <f>'Demographics 75+'!J49</f>
        <v>#REF!</v>
      </c>
      <c r="C15" s="154"/>
      <c r="D15" s="282" t="str">
        <f>IF(C15="","",C15/49999)</f>
        <v/>
      </c>
      <c r="E15" s="109" t="str">
        <f t="shared" si="6"/>
        <v/>
      </c>
      <c r="F15" s="154"/>
      <c r="G15" s="282" t="str">
        <f>IF(F15="","",F15/49999)</f>
        <v/>
      </c>
      <c r="H15" s="109" t="str">
        <f t="shared" si="7"/>
        <v/>
      </c>
      <c r="I15" s="154"/>
      <c r="J15" s="282" t="str">
        <f>IF(I15="","",I15/49999)</f>
        <v/>
      </c>
      <c r="K15" s="109" t="str">
        <f t="shared" si="8"/>
        <v/>
      </c>
      <c r="L15" s="154"/>
      <c r="M15" s="282" t="str">
        <f>IF(L15="","",L15/49999)</f>
        <v/>
      </c>
      <c r="N15" s="109" t="str">
        <f t="shared" si="9"/>
        <v/>
      </c>
      <c r="O15" s="154"/>
      <c r="P15" s="282" t="str">
        <f>IF(O15="","",O15/49999)</f>
        <v/>
      </c>
      <c r="Q15" s="109" t="str">
        <f t="shared" si="10"/>
        <v/>
      </c>
    </row>
    <row r="16" spans="1:18" x14ac:dyDescent="0.25">
      <c r="A16" s="115" t="str">
        <v>$200,000+</v>
      </c>
      <c r="B16" s="30" t="e">
        <f>'Demographics 75+'!J50</f>
        <v>#REF!</v>
      </c>
      <c r="C16" s="154"/>
      <c r="D16" s="282" t="str">
        <f>IF(C16="","",C16/200000)</f>
        <v/>
      </c>
      <c r="E16" s="109" t="str">
        <f t="shared" si="6"/>
        <v/>
      </c>
      <c r="F16" s="154"/>
      <c r="G16" s="282" t="str">
        <f>IF(F16="","",F16/200000)</f>
        <v/>
      </c>
      <c r="H16" s="109" t="str">
        <f t="shared" si="7"/>
        <v/>
      </c>
      <c r="I16" s="154"/>
      <c r="J16" s="282" t="str">
        <f>IF(I16="","",I16/200000)</f>
        <v/>
      </c>
      <c r="K16" s="109" t="str">
        <f t="shared" si="8"/>
        <v/>
      </c>
      <c r="L16" s="154"/>
      <c r="M16" s="282" t="str">
        <f>IF(L16="","",L16/200000)</f>
        <v/>
      </c>
      <c r="N16" s="109" t="str">
        <f t="shared" si="9"/>
        <v/>
      </c>
      <c r="O16" s="154"/>
      <c r="P16" s="282" t="str">
        <f>IF(O16="","",O16/200000)</f>
        <v/>
      </c>
      <c r="Q16" s="109" t="str">
        <f t="shared" si="10"/>
        <v/>
      </c>
    </row>
    <row r="17" spans="1:17" ht="13.8" thickBot="1" x14ac:dyDescent="0.3">
      <c r="A17" s="116" t="s">
        <v>11</v>
      </c>
      <c r="B17" s="38" t="e">
        <f>SUM(B5:B16)</f>
        <v>#REF!</v>
      </c>
      <c r="C17" s="110"/>
      <c r="D17" s="111" t="e">
        <f>+E17/$B17</f>
        <v>#REF!</v>
      </c>
      <c r="E17" s="112">
        <f>+SUM(E5:E16)</f>
        <v>0</v>
      </c>
      <c r="F17" s="110"/>
      <c r="G17" s="111" t="e">
        <f>+H17/$B17</f>
        <v>#REF!</v>
      </c>
      <c r="H17" s="112">
        <f>+SUM(H5:H16)</f>
        <v>0</v>
      </c>
      <c r="I17" s="110"/>
      <c r="J17" s="111" t="e">
        <f>+K17/$B17</f>
        <v>#REF!</v>
      </c>
      <c r="K17" s="112">
        <f>+SUM(K5:K16)</f>
        <v>0</v>
      </c>
      <c r="L17" s="110"/>
      <c r="M17" s="111" t="e">
        <f>+N17/$B17</f>
        <v>#REF!</v>
      </c>
      <c r="N17" s="112">
        <f>+SUM(N5:N16)</f>
        <v>0</v>
      </c>
      <c r="O17" s="110"/>
      <c r="P17" s="111" t="e">
        <f>+Q17/$B17</f>
        <v>#REF!</v>
      </c>
      <c r="Q17" s="112">
        <f>SUM(Q5:Q16)</f>
        <v>0</v>
      </c>
    </row>
    <row r="18" spans="1:17" x14ac:dyDescent="0.25">
      <c r="Q18" s="14"/>
    </row>
    <row r="19" spans="1:17" x14ac:dyDescent="0.25">
      <c r="Q19" s="14"/>
    </row>
    <row r="20" spans="1:17" x14ac:dyDescent="0.25">
      <c r="Q20" s="14"/>
    </row>
    <row r="21" spans="1:17" ht="16.2" thickBot="1" x14ac:dyDescent="0.35">
      <c r="A21" s="510" t="s">
        <v>73</v>
      </c>
      <c r="B21" s="510"/>
      <c r="C21" s="510"/>
      <c r="D21" s="510"/>
      <c r="E21" s="510"/>
      <c r="F21" s="510"/>
      <c r="G21" s="510"/>
      <c r="H21" s="510"/>
      <c r="I21" s="510"/>
      <c r="Q21" s="14"/>
    </row>
    <row r="22" spans="1:17" ht="39.6" x14ac:dyDescent="0.25">
      <c r="A22" s="118" t="s">
        <v>30</v>
      </c>
      <c r="B22" s="113" t="s">
        <v>74</v>
      </c>
      <c r="C22" s="114" t="s">
        <v>75</v>
      </c>
      <c r="D22" s="113" t="s">
        <v>74</v>
      </c>
      <c r="E22" s="114" t="s">
        <v>75</v>
      </c>
      <c r="F22" s="113" t="s">
        <v>74</v>
      </c>
      <c r="G22" s="114" t="s">
        <v>75</v>
      </c>
      <c r="H22" s="113" t="s">
        <v>74</v>
      </c>
      <c r="I22" s="114" t="s">
        <v>75</v>
      </c>
      <c r="Q22" s="14"/>
    </row>
    <row r="23" spans="1:17" x14ac:dyDescent="0.25">
      <c r="A23" s="124"/>
      <c r="B23" s="240" t="s">
        <v>32</v>
      </c>
      <c r="C23" s="123"/>
      <c r="D23" s="241" t="s">
        <v>33</v>
      </c>
      <c r="E23" s="242"/>
      <c r="F23" s="240" t="s">
        <v>34</v>
      </c>
      <c r="G23" s="123"/>
      <c r="H23" s="241" t="s">
        <v>35</v>
      </c>
      <c r="I23" s="242"/>
      <c r="Q23" s="14"/>
    </row>
    <row r="24" spans="1:17" x14ac:dyDescent="0.25">
      <c r="A24" s="119" t="e">
        <f>#REF!</f>
        <v>#REF!</v>
      </c>
      <c r="B24" s="117" t="e">
        <f>#REF!/0.4*12</f>
        <v>#REF!</v>
      </c>
      <c r="C24" s="155"/>
      <c r="D24" s="117" t="e">
        <f>#REF!/0.4*12</f>
        <v>#REF!</v>
      </c>
      <c r="E24" s="155"/>
      <c r="F24" s="117" t="e">
        <f>#REF!/0.4*12</f>
        <v>#REF!</v>
      </c>
      <c r="G24" s="155"/>
      <c r="H24" s="117" t="e">
        <f>#REF!/0.4*12</f>
        <v>#REF!</v>
      </c>
      <c r="I24" s="155"/>
      <c r="Q24" s="14"/>
    </row>
    <row r="25" spans="1:17" x14ac:dyDescent="0.25">
      <c r="A25" s="119" t="e">
        <f>#REF!</f>
        <v>#REF!</v>
      </c>
      <c r="B25" s="117" t="e">
        <f>#REF!/0.4*12</f>
        <v>#REF!</v>
      </c>
      <c r="C25" s="155"/>
      <c r="D25" s="117" t="e">
        <f>#REF!/0.4*12</f>
        <v>#REF!</v>
      </c>
      <c r="E25" s="155"/>
      <c r="F25" s="117" t="e">
        <f>#REF!/0.4*12</f>
        <v>#REF!</v>
      </c>
      <c r="G25" s="155"/>
      <c r="H25" s="117" t="e">
        <f>#REF!/0.4*12</f>
        <v>#REF!</v>
      </c>
      <c r="I25" s="155"/>
      <c r="Q25" s="14"/>
    </row>
    <row r="26" spans="1:17" x14ac:dyDescent="0.25">
      <c r="A26" s="119" t="e">
        <f>#REF!</f>
        <v>#REF!</v>
      </c>
      <c r="B26" s="117" t="e">
        <f>#REF!/0.4*12</f>
        <v>#REF!</v>
      </c>
      <c r="C26" s="155"/>
      <c r="D26" s="117" t="e">
        <f>#REF!/0.4*12</f>
        <v>#REF!</v>
      </c>
      <c r="E26" s="155"/>
      <c r="F26" s="117" t="e">
        <f>#REF!/0.4*12</f>
        <v>#REF!</v>
      </c>
      <c r="G26" s="155"/>
      <c r="H26" s="117" t="e">
        <f>#REF!/0.4*12</f>
        <v>#REF!</v>
      </c>
      <c r="I26" s="155"/>
      <c r="Q26" s="14"/>
    </row>
    <row r="27" spans="1:17" x14ac:dyDescent="0.25">
      <c r="A27" s="119" t="e">
        <f>#REF!</f>
        <v>#REF!</v>
      </c>
      <c r="B27" s="117" t="e">
        <f>#REF!/0.4*12</f>
        <v>#REF!</v>
      </c>
      <c r="C27" s="155"/>
      <c r="D27" s="117" t="e">
        <f>#REF!/0.4*12</f>
        <v>#REF!</v>
      </c>
      <c r="E27" s="155"/>
      <c r="F27" s="117" t="e">
        <f>#REF!/0.4*12</f>
        <v>#REF!</v>
      </c>
      <c r="G27" s="155"/>
      <c r="H27" s="117" t="e">
        <f>#REF!/0.4*12</f>
        <v>#REF!</v>
      </c>
      <c r="I27" s="155"/>
      <c r="Q27" s="14"/>
    </row>
    <row r="28" spans="1:17" x14ac:dyDescent="0.25">
      <c r="A28" s="119" t="e">
        <f>#REF!</f>
        <v>#REF!</v>
      </c>
      <c r="B28" s="117" t="e">
        <f>#REF!/0.4*12</f>
        <v>#REF!</v>
      </c>
      <c r="C28" s="155"/>
      <c r="D28" s="117" t="e">
        <f>#REF!/0.4*12</f>
        <v>#REF!</v>
      </c>
      <c r="E28" s="155"/>
      <c r="F28" s="117" t="e">
        <f>#REF!/0.4*12</f>
        <v>#REF!</v>
      </c>
      <c r="G28" s="155"/>
      <c r="H28" s="117" t="e">
        <f>#REF!/0.4*12</f>
        <v>#REF!</v>
      </c>
      <c r="I28" s="155"/>
      <c r="Q28" s="14"/>
    </row>
    <row r="29" spans="1:17" ht="13.8" thickBot="1" x14ac:dyDescent="0.3">
      <c r="A29" s="119" t="e">
        <f>#REF!</f>
        <v>#REF!</v>
      </c>
      <c r="B29" s="117" t="e">
        <f>#REF!/0.4*12</f>
        <v>#REF!</v>
      </c>
      <c r="C29" s="155"/>
      <c r="D29" s="117" t="e">
        <f>#REF!/0.4*12</f>
        <v>#REF!</v>
      </c>
      <c r="E29" s="155"/>
      <c r="F29" s="117" t="e">
        <f>#REF!/0.4*12</f>
        <v>#REF!</v>
      </c>
      <c r="G29" s="156"/>
      <c r="H29" s="117" t="e">
        <f>#REF!/0.4*12</f>
        <v>#REF!</v>
      </c>
      <c r="I29" s="156"/>
      <c r="Q29" s="14"/>
    </row>
    <row r="30" spans="1:17" ht="12" customHeight="1" x14ac:dyDescent="0.25">
      <c r="A30" s="133"/>
      <c r="B30" s="134"/>
      <c r="C30" s="134"/>
      <c r="D30" s="134"/>
      <c r="E30" s="133"/>
      <c r="F30" s="133"/>
      <c r="G30" s="133"/>
      <c r="H30" s="133"/>
      <c r="I30" s="133"/>
      <c r="Q30" s="14"/>
    </row>
    <row r="31" spans="1:17" ht="13.8" thickBot="1" x14ac:dyDescent="0.3">
      <c r="Q31" s="33"/>
    </row>
    <row r="32" spans="1:17" ht="13.8" thickTop="1" x14ac:dyDescent="0.25"/>
  </sheetData>
  <mergeCells count="1">
    <mergeCell ref="A21:I21"/>
  </mergeCells>
  <pageMargins left="0.75" right="0.75" top="1" bottom="1" header="0.5" footer="0.5"/>
  <pageSetup scale="70" orientation="landscape" r:id="rId1"/>
  <headerFooter alignWithMargins="0"/>
  <rowBreaks count="1" manualBreakCount="1">
    <brk id="27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75+'!D17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83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" t="s">
        <v>88</v>
      </c>
      <c r="B59" s="4"/>
      <c r="C59" s="4"/>
      <c r="D59" s="4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1">
    <mergeCell ref="B90:D90"/>
    <mergeCell ref="B84:D84"/>
    <mergeCell ref="B85:D85"/>
    <mergeCell ref="B86:D86"/>
    <mergeCell ref="B87:D87"/>
    <mergeCell ref="B88:D88"/>
    <mergeCell ref="B89:D89"/>
    <mergeCell ref="B83:D83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71:D71"/>
    <mergeCell ref="H52:I5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conditionalFormatting sqref="H53:I53">
    <cfRule type="expression" dxfId="39" priority="9">
      <formula>$H$53=1</formula>
    </cfRule>
    <cfRule type="expression" dxfId="38" priority="10">
      <formula>$H$53&lt;&gt;1</formula>
    </cfRule>
  </conditionalFormatting>
  <conditionalFormatting sqref="H54:I54">
    <cfRule type="expression" dxfId="37" priority="7">
      <formula>$H$54&lt;&gt;1</formula>
    </cfRule>
    <cfRule type="expression" dxfId="36" priority="8">
      <formula>$H$54=1</formula>
    </cfRule>
  </conditionalFormatting>
  <conditionalFormatting sqref="H55:I55">
    <cfRule type="expression" dxfId="35" priority="5">
      <formula>$H$55&lt;&gt;1</formula>
    </cfRule>
    <cfRule type="expression" dxfId="34" priority="6">
      <formula>$H$55=1</formula>
    </cfRule>
  </conditionalFormatting>
  <conditionalFormatting sqref="H56:I56">
    <cfRule type="expression" dxfId="33" priority="3">
      <formula>$H$56&lt;&gt;1</formula>
    </cfRule>
    <cfRule type="expression" dxfId="32" priority="4">
      <formula>$H$56=1</formula>
    </cfRule>
  </conditionalFormatting>
  <conditionalFormatting sqref="H57:I57">
    <cfRule type="expression" dxfId="31" priority="1">
      <formula>$H$57&lt;&gt;1</formula>
    </cfRule>
    <cfRule type="expression" dxfId="3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30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1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2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75+'!G17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93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29" priority="9">
      <formula>$H$53=1</formula>
    </cfRule>
    <cfRule type="expression" dxfId="28" priority="10">
      <formula>$H$53&lt;&gt;1</formula>
    </cfRule>
  </conditionalFormatting>
  <conditionalFormatting sqref="H54:I54">
    <cfRule type="expression" dxfId="27" priority="7">
      <formula>$H$54&lt;&gt;1</formula>
    </cfRule>
    <cfRule type="expression" dxfId="26" priority="8">
      <formula>$H$54=1</formula>
    </cfRule>
  </conditionalFormatting>
  <conditionalFormatting sqref="H55:I55">
    <cfRule type="expression" dxfId="25" priority="5">
      <formula>$H$55&lt;&gt;1</formula>
    </cfRule>
    <cfRule type="expression" dxfId="24" priority="6">
      <formula>$H$55=1</formula>
    </cfRule>
  </conditionalFormatting>
  <conditionalFormatting sqref="H56:I56">
    <cfRule type="expression" dxfId="23" priority="3">
      <formula>$H$56&lt;&gt;1</formula>
    </cfRule>
    <cfRule type="expression" dxfId="22" priority="4">
      <formula>$H$56=1</formula>
    </cfRule>
  </conditionalFormatting>
  <conditionalFormatting sqref="H57:I57">
    <cfRule type="expression" dxfId="21" priority="1">
      <formula>$H$57&lt;&gt;1</formula>
    </cfRule>
    <cfRule type="expression" dxfId="2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4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75+'!J17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94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19" priority="9">
      <formula>$H$53=1</formula>
    </cfRule>
    <cfRule type="expression" dxfId="18" priority="10">
      <formula>$H$53&lt;&gt;1</formula>
    </cfRule>
  </conditionalFormatting>
  <conditionalFormatting sqref="H54:I54">
    <cfRule type="expression" dxfId="17" priority="7">
      <formula>$H$54&lt;&gt;1</formula>
    </cfRule>
    <cfRule type="expression" dxfId="16" priority="8">
      <formula>$H$54=1</formula>
    </cfRule>
  </conditionalFormatting>
  <conditionalFormatting sqref="H55:I55">
    <cfRule type="expression" dxfId="15" priority="5">
      <formula>$H$55&lt;&gt;1</formula>
    </cfRule>
    <cfRule type="expression" dxfId="14" priority="6">
      <formula>$H$55=1</formula>
    </cfRule>
  </conditionalFormatting>
  <conditionalFormatting sqref="H56:I56">
    <cfRule type="expression" dxfId="13" priority="3">
      <formula>$H$56&lt;&gt;1</formula>
    </cfRule>
    <cfRule type="expression" dxfId="12" priority="4">
      <formula>$H$56=1</formula>
    </cfRule>
  </conditionalFormatting>
  <conditionalFormatting sqref="H57:I57">
    <cfRule type="expression" dxfId="11" priority="1">
      <formula>$H$57&lt;&gt;1</formula>
    </cfRule>
    <cfRule type="expression" dxfId="1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8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/>
  <dimension ref="A1:I90"/>
  <sheetViews>
    <sheetView zoomScaleNormal="100" workbookViewId="0"/>
  </sheetViews>
  <sheetFormatPr defaultRowHeight="13.2" x14ac:dyDescent="0.25"/>
  <cols>
    <col min="1" max="1" width="24.88671875" customWidth="1"/>
    <col min="2" max="2" width="18.6640625" customWidth="1"/>
    <col min="3" max="3" width="4.6640625" bestFit="1" customWidth="1"/>
    <col min="4" max="5" width="18.6640625" customWidth="1"/>
    <col min="6" max="7" width="16.6640625" customWidth="1"/>
    <col min="8" max="9" width="10.6640625" customWidth="1"/>
    <col min="10" max="14" width="8.6640625" customWidth="1"/>
  </cols>
  <sheetData>
    <row r="1" spans="1:5" ht="15.6" x14ac:dyDescent="0.3">
      <c r="A1" s="243" t="s">
        <v>76</v>
      </c>
      <c r="B1" s="243"/>
      <c r="C1" s="243"/>
      <c r="D1" s="243"/>
      <c r="E1" s="243"/>
    </row>
    <row r="2" spans="1:5" x14ac:dyDescent="0.25">
      <c r="A2" s="244" t="str">
        <f>"Renter Household Distribution " &amp; ESRI_CY</f>
        <v>Renter Household Distribution 2016</v>
      </c>
      <c r="B2" s="244"/>
      <c r="C2" s="244"/>
      <c r="D2" s="244"/>
      <c r="E2" s="244"/>
    </row>
    <row r="3" spans="1:5" ht="27" customHeight="1" x14ac:dyDescent="0.25">
      <c r="A3" s="43"/>
      <c r="B3" s="43" t="s">
        <v>132</v>
      </c>
      <c r="C3" s="57"/>
      <c r="D3" s="43" t="s">
        <v>133</v>
      </c>
      <c r="E3" s="58"/>
    </row>
    <row r="4" spans="1:5" x14ac:dyDescent="0.25">
      <c r="A4" s="44" t="s">
        <v>65</v>
      </c>
      <c r="B4" s="130" t="e">
        <f>'Supply 75+'!I34</f>
        <v>#REF!</v>
      </c>
      <c r="C4" s="41"/>
      <c r="D4" s="59" t="e">
        <f>'Supply 75+'!H34</f>
        <v>#REF!</v>
      </c>
      <c r="E4" s="60"/>
    </row>
    <row r="5" spans="1:5" x14ac:dyDescent="0.25">
      <c r="A5" s="44" t="s">
        <v>66</v>
      </c>
      <c r="B5" s="130" t="e">
        <f>'Supply 75+'!I35</f>
        <v>#REF!</v>
      </c>
      <c r="C5" s="41"/>
      <c r="D5" s="59" t="e">
        <f>'Supply 75+'!H35</f>
        <v>#REF!</v>
      </c>
      <c r="E5" s="60"/>
    </row>
    <row r="6" spans="1:5" x14ac:dyDescent="0.25">
      <c r="A6" s="44" t="s">
        <v>67</v>
      </c>
      <c r="B6" s="130" t="e">
        <f>'Supply 75+'!I36</f>
        <v>#REF!</v>
      </c>
      <c r="C6" s="41"/>
      <c r="D6" s="59" t="e">
        <f>'Supply 75+'!H36</f>
        <v>#REF!</v>
      </c>
      <c r="E6" s="60"/>
    </row>
    <row r="7" spans="1:5" x14ac:dyDescent="0.25">
      <c r="A7" s="44" t="s">
        <v>68</v>
      </c>
      <c r="B7" s="130" t="e">
        <f>'Supply 75+'!I37</f>
        <v>#REF!</v>
      </c>
      <c r="C7" s="41"/>
      <c r="D7" s="59" t="e">
        <f>'Supply 75+'!H37</f>
        <v>#REF!</v>
      </c>
      <c r="E7" s="60"/>
    </row>
    <row r="8" spans="1:5" x14ac:dyDescent="0.25">
      <c r="A8" s="44" t="s">
        <v>128</v>
      </c>
      <c r="B8" s="130" t="e">
        <f>'Supply 75+'!I38</f>
        <v>#REF!</v>
      </c>
      <c r="C8" s="41"/>
      <c r="D8" s="59" t="e">
        <f>'Supply 75+'!H38</f>
        <v>#REF!</v>
      </c>
      <c r="E8" s="60"/>
    </row>
    <row r="9" spans="1:5" x14ac:dyDescent="0.25">
      <c r="A9" s="61" t="s">
        <v>11</v>
      </c>
      <c r="B9" s="152" t="e">
        <f>+SUM(B4:B8)</f>
        <v>#REF!</v>
      </c>
      <c r="C9" s="41"/>
      <c r="D9" s="63" t="e">
        <f>+SUM(D4:D8)</f>
        <v>#REF!</v>
      </c>
      <c r="E9" s="60"/>
    </row>
    <row r="10" spans="1:5" x14ac:dyDescent="0.25">
      <c r="A10" s="60"/>
      <c r="B10" s="60"/>
      <c r="C10" s="60"/>
      <c r="D10" s="60"/>
      <c r="E10" s="60"/>
    </row>
    <row r="11" spans="1:5" x14ac:dyDescent="0.25">
      <c r="A11" s="244" t="s">
        <v>77</v>
      </c>
      <c r="B11" s="244"/>
      <c r="C11" s="244"/>
      <c r="D11" s="244"/>
      <c r="E11" s="244"/>
    </row>
    <row r="12" spans="1:5" ht="27" customHeight="1" x14ac:dyDescent="0.25">
      <c r="A12" s="57"/>
      <c r="B12" s="43" t="str">
        <f>D3</f>
        <v>Total Number of Renter Households</v>
      </c>
      <c r="C12" s="58"/>
      <c r="D12" s="43" t="s">
        <v>134</v>
      </c>
      <c r="E12" s="43" t="s">
        <v>78</v>
      </c>
    </row>
    <row r="13" spans="1:5" x14ac:dyDescent="0.25">
      <c r="A13" s="44" t="s">
        <v>65</v>
      </c>
      <c r="B13" s="59" t="e">
        <f>+D4</f>
        <v>#REF!</v>
      </c>
      <c r="C13" s="60" t="s">
        <v>79</v>
      </c>
      <c r="D13" s="130" t="e">
        <f>'Income Distribution 75+'!M17</f>
        <v>#REF!</v>
      </c>
      <c r="E13" s="59" t="e">
        <f>+B13*D13</f>
        <v>#REF!</v>
      </c>
    </row>
    <row r="14" spans="1:5" x14ac:dyDescent="0.25">
      <c r="A14" s="44" t="s">
        <v>66</v>
      </c>
      <c r="B14" s="59" t="e">
        <f>+D5</f>
        <v>#REF!</v>
      </c>
      <c r="C14" s="60" t="s">
        <v>79</v>
      </c>
      <c r="D14" s="130" t="e">
        <f t="shared" ref="D14:D17" si="0">+D13</f>
        <v>#REF!</v>
      </c>
      <c r="E14" s="59" t="e">
        <f t="shared" ref="E14:E17" si="1">+B14*D14</f>
        <v>#REF!</v>
      </c>
    </row>
    <row r="15" spans="1:5" x14ac:dyDescent="0.25">
      <c r="A15" s="44" t="s">
        <v>67</v>
      </c>
      <c r="B15" s="59" t="e">
        <f>+D6</f>
        <v>#REF!</v>
      </c>
      <c r="C15" s="60" t="s">
        <v>79</v>
      </c>
      <c r="D15" s="130" t="e">
        <f t="shared" si="0"/>
        <v>#REF!</v>
      </c>
      <c r="E15" s="59" t="e">
        <f t="shared" si="1"/>
        <v>#REF!</v>
      </c>
    </row>
    <row r="16" spans="1:5" x14ac:dyDescent="0.25">
      <c r="A16" s="44" t="s">
        <v>68</v>
      </c>
      <c r="B16" s="59" t="e">
        <f>+D7</f>
        <v>#REF!</v>
      </c>
      <c r="C16" s="60" t="s">
        <v>79</v>
      </c>
      <c r="D16" s="130" t="e">
        <f t="shared" si="0"/>
        <v>#REF!</v>
      </c>
      <c r="E16" s="59" t="e">
        <f t="shared" si="1"/>
        <v>#REF!</v>
      </c>
    </row>
    <row r="17" spans="1:5" x14ac:dyDescent="0.25">
      <c r="A17" s="44" t="s">
        <v>128</v>
      </c>
      <c r="B17" s="59" t="e">
        <f>+D8</f>
        <v>#REF!</v>
      </c>
      <c r="C17" s="60" t="s">
        <v>79</v>
      </c>
      <c r="D17" s="130" t="e">
        <f t="shared" si="0"/>
        <v>#REF!</v>
      </c>
      <c r="E17" s="59" t="e">
        <f t="shared" si="1"/>
        <v>#REF!</v>
      </c>
    </row>
    <row r="18" spans="1:5" x14ac:dyDescent="0.25">
      <c r="A18" s="64" t="s">
        <v>80</v>
      </c>
      <c r="B18" s="63" t="e">
        <f>+SUM(B13:B17)</f>
        <v>#REF!</v>
      </c>
      <c r="C18" s="64"/>
      <c r="D18" s="157"/>
      <c r="E18" s="63" t="e">
        <f>+SUM(E13:E17)</f>
        <v>#REF!</v>
      </c>
    </row>
    <row r="19" spans="1:5" x14ac:dyDescent="0.25">
      <c r="A19" s="41"/>
      <c r="B19" s="41"/>
      <c r="C19" s="41"/>
      <c r="D19" s="41"/>
      <c r="E19" s="41"/>
    </row>
    <row r="20" spans="1:5" x14ac:dyDescent="0.25">
      <c r="A20" s="244" t="s">
        <v>81</v>
      </c>
      <c r="B20" s="244"/>
      <c r="C20" s="162"/>
      <c r="D20" s="162"/>
      <c r="E20" s="162"/>
    </row>
    <row r="21" spans="1:5" ht="24.75" customHeight="1" x14ac:dyDescent="0.25">
      <c r="A21" s="65"/>
      <c r="B21" s="43" t="s">
        <v>82</v>
      </c>
      <c r="C21" s="35"/>
      <c r="D21" s="35"/>
      <c r="E21" s="35"/>
    </row>
    <row r="22" spans="1:5" x14ac:dyDescent="0.25">
      <c r="A22" s="41" t="e">
        <f>#REF!</f>
        <v>#REF!</v>
      </c>
      <c r="B22" s="59" t="e">
        <f>(E13*B53)+(E14*B54)+(E15*B55)+(E16*B56)+(E17*B57)</f>
        <v>#REF!</v>
      </c>
      <c r="C22" s="41"/>
      <c r="D22" s="41"/>
      <c r="E22" s="41"/>
    </row>
    <row r="23" spans="1:5" x14ac:dyDescent="0.25">
      <c r="A23" s="41" t="e">
        <f>#REF!</f>
        <v>#REF!</v>
      </c>
      <c r="B23" s="59" t="e">
        <f>(E13*C53)+(E14*C54)+(E15*C55)+(E16*C56)+(E17*C57)</f>
        <v>#REF!</v>
      </c>
      <c r="C23" s="41"/>
      <c r="D23" s="41"/>
      <c r="E23" s="41"/>
    </row>
    <row r="24" spans="1:5" x14ac:dyDescent="0.25">
      <c r="A24" s="41" t="e">
        <f>#REF!</f>
        <v>#REF!</v>
      </c>
      <c r="B24" s="59" t="e">
        <f>(E13*D53)+(E14*D54)+(E15*D55)+(E16*D56)+(E17*D57)</f>
        <v>#REF!</v>
      </c>
      <c r="C24" s="41"/>
      <c r="D24" s="41"/>
      <c r="E24" s="41"/>
    </row>
    <row r="25" spans="1:5" x14ac:dyDescent="0.25">
      <c r="A25" s="41" t="e">
        <f>#REF!</f>
        <v>#REF!</v>
      </c>
      <c r="B25" s="59" t="e">
        <f>(E13*E53)+(E14*E54)+(E15*E55)+(E16*E56)+(E17*E57)</f>
        <v>#REF!</v>
      </c>
      <c r="C25" s="41"/>
      <c r="D25" s="41"/>
      <c r="E25" s="41"/>
    </row>
    <row r="26" spans="1:5" x14ac:dyDescent="0.25">
      <c r="A26" s="41" t="e">
        <f>#REF!</f>
        <v>#REF!</v>
      </c>
      <c r="B26" s="59" t="e">
        <f>(E13*F53)+(E14*F54)+(E15*F55)+(E16*F56)+(E17*F57)</f>
        <v>#REF!</v>
      </c>
      <c r="C26" s="41"/>
      <c r="D26" s="41"/>
      <c r="E26" s="41"/>
    </row>
    <row r="27" spans="1:5" x14ac:dyDescent="0.25">
      <c r="A27" s="41" t="e">
        <f>#REF!</f>
        <v>#REF!</v>
      </c>
      <c r="B27" s="59" t="e">
        <f>(E13*G53)+(E14*G54)+(E15*G55)+(E16*G56)+(E17*G57)</f>
        <v>#REF!</v>
      </c>
      <c r="C27" s="41"/>
      <c r="D27" s="41"/>
      <c r="E27" s="41"/>
    </row>
    <row r="28" spans="1:5" x14ac:dyDescent="0.25">
      <c r="A28" s="64" t="s">
        <v>11</v>
      </c>
      <c r="B28" s="63" t="e">
        <f>SUM(B22:B27)</f>
        <v>#REF!</v>
      </c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74" t="s">
        <v>95</v>
      </c>
      <c r="B30" s="74"/>
      <c r="C30" s="74"/>
      <c r="D30" s="74"/>
      <c r="E30" s="176"/>
    </row>
    <row r="31" spans="1:5" s="70" customFormat="1" ht="26.4" x14ac:dyDescent="0.25">
      <c r="A31" s="66"/>
      <c r="B31" s="67" t="s">
        <v>84</v>
      </c>
      <c r="C31" s="68"/>
      <c r="D31" s="69" t="s">
        <v>85</v>
      </c>
      <c r="E31" s="68"/>
    </row>
    <row r="32" spans="1:5" x14ac:dyDescent="0.25">
      <c r="A32" s="41" t="e">
        <f t="shared" ref="A32:A37" si="2">+A22</f>
        <v>#REF!</v>
      </c>
      <c r="B32" s="71" t="e">
        <f>#REF!</f>
        <v>#REF!</v>
      </c>
      <c r="C32" s="41"/>
      <c r="D32" s="125" t="e">
        <f>+B32/B22</f>
        <v>#REF!</v>
      </c>
      <c r="E32" s="41"/>
    </row>
    <row r="33" spans="1:5" x14ac:dyDescent="0.25">
      <c r="A33" s="41" t="e">
        <f t="shared" si="2"/>
        <v>#REF!</v>
      </c>
      <c r="B33" s="71" t="e">
        <f>#REF!</f>
        <v>#REF!</v>
      </c>
      <c r="C33" s="41"/>
      <c r="D33" s="125" t="e">
        <f t="shared" ref="D33:D38" si="3">+B33/B23</f>
        <v>#REF!</v>
      </c>
      <c r="E33" s="41"/>
    </row>
    <row r="34" spans="1:5" x14ac:dyDescent="0.25">
      <c r="A34" s="41" t="e">
        <f t="shared" si="2"/>
        <v>#REF!</v>
      </c>
      <c r="B34" s="71" t="e">
        <f>#REF!</f>
        <v>#REF!</v>
      </c>
      <c r="C34" s="41"/>
      <c r="D34" s="125" t="e">
        <f t="shared" si="3"/>
        <v>#REF!</v>
      </c>
      <c r="E34" s="41"/>
    </row>
    <row r="35" spans="1:5" x14ac:dyDescent="0.25">
      <c r="A35" s="41" t="e">
        <f t="shared" si="2"/>
        <v>#REF!</v>
      </c>
      <c r="B35" s="71" t="e">
        <f>#REF!</f>
        <v>#REF!</v>
      </c>
      <c r="C35" s="41"/>
      <c r="D35" s="125" t="e">
        <f t="shared" si="3"/>
        <v>#REF!</v>
      </c>
      <c r="E35" s="41"/>
    </row>
    <row r="36" spans="1:5" x14ac:dyDescent="0.25">
      <c r="A36" s="41" t="e">
        <f t="shared" si="2"/>
        <v>#REF!</v>
      </c>
      <c r="B36" s="71" t="e">
        <f>#REF!</f>
        <v>#REF!</v>
      </c>
      <c r="C36" s="41"/>
      <c r="D36" s="125" t="e">
        <f t="shared" si="3"/>
        <v>#REF!</v>
      </c>
      <c r="E36" s="41"/>
    </row>
    <row r="37" spans="1:5" x14ac:dyDescent="0.25">
      <c r="A37" s="41" t="e">
        <f t="shared" si="2"/>
        <v>#REF!</v>
      </c>
      <c r="B37" s="71" t="e">
        <f>#REF!</f>
        <v>#REF!</v>
      </c>
      <c r="C37" s="41"/>
      <c r="D37" s="125" t="e">
        <f t="shared" si="3"/>
        <v>#REF!</v>
      </c>
      <c r="E37" s="41"/>
    </row>
    <row r="38" spans="1:5" x14ac:dyDescent="0.25">
      <c r="A38" s="64" t="s">
        <v>86</v>
      </c>
      <c r="B38" s="61" t="e">
        <f>SUM(B32:B37)</f>
        <v>#REF!</v>
      </c>
      <c r="C38" s="72"/>
      <c r="D38" s="126" t="e">
        <f t="shared" si="3"/>
        <v>#REF!</v>
      </c>
      <c r="E38" s="41"/>
    </row>
    <row r="39" spans="1:5" x14ac:dyDescent="0.25">
      <c r="A39" s="64"/>
      <c r="B39" s="61"/>
      <c r="C39" s="72"/>
      <c r="D39" s="62"/>
      <c r="E39" s="41"/>
    </row>
    <row r="40" spans="1:5" x14ac:dyDescent="0.25">
      <c r="A40" s="74" t="s">
        <v>87</v>
      </c>
      <c r="B40" s="74"/>
      <c r="C40" s="74"/>
      <c r="D40" s="74"/>
      <c r="E40" s="75">
        <v>0.1</v>
      </c>
    </row>
    <row r="41" spans="1:5" x14ac:dyDescent="0.25">
      <c r="A41" s="41" t="e">
        <f t="shared" ref="A41:A46" si="4">+A32</f>
        <v>#REF!</v>
      </c>
      <c r="B41" s="71" t="e">
        <f>B32</f>
        <v>#REF!</v>
      </c>
      <c r="C41" s="41"/>
      <c r="D41" s="45" t="e">
        <f t="shared" ref="D41:D47" si="5">B41/(B22/(100%-$E$40))</f>
        <v>#REF!</v>
      </c>
      <c r="E41" s="41"/>
    </row>
    <row r="42" spans="1:5" x14ac:dyDescent="0.25">
      <c r="A42" s="41" t="e">
        <f t="shared" si="4"/>
        <v>#REF!</v>
      </c>
      <c r="B42" s="71" t="e">
        <f t="shared" ref="B42:B46" si="6">B33</f>
        <v>#REF!</v>
      </c>
      <c r="C42" s="41"/>
      <c r="D42" s="45" t="e">
        <f t="shared" si="5"/>
        <v>#REF!</v>
      </c>
      <c r="E42" s="41"/>
    </row>
    <row r="43" spans="1:5" x14ac:dyDescent="0.25">
      <c r="A43" s="41" t="e">
        <f t="shared" si="4"/>
        <v>#REF!</v>
      </c>
      <c r="B43" s="71" t="e">
        <f t="shared" si="6"/>
        <v>#REF!</v>
      </c>
      <c r="C43" s="41"/>
      <c r="D43" s="45" t="e">
        <f t="shared" si="5"/>
        <v>#REF!</v>
      </c>
      <c r="E43" s="41"/>
    </row>
    <row r="44" spans="1:5" x14ac:dyDescent="0.25">
      <c r="A44" s="41" t="e">
        <f t="shared" si="4"/>
        <v>#REF!</v>
      </c>
      <c r="B44" s="71" t="e">
        <f t="shared" si="6"/>
        <v>#REF!</v>
      </c>
      <c r="C44" s="41"/>
      <c r="D44" s="45" t="e">
        <f t="shared" si="5"/>
        <v>#REF!</v>
      </c>
      <c r="E44" s="41"/>
    </row>
    <row r="45" spans="1:5" x14ac:dyDescent="0.25">
      <c r="A45" s="41" t="e">
        <f t="shared" si="4"/>
        <v>#REF!</v>
      </c>
      <c r="B45" s="71" t="e">
        <f t="shared" si="6"/>
        <v>#REF!</v>
      </c>
      <c r="C45" s="41"/>
      <c r="D45" s="45" t="e">
        <f t="shared" si="5"/>
        <v>#REF!</v>
      </c>
      <c r="E45" s="41"/>
    </row>
    <row r="46" spans="1:5" x14ac:dyDescent="0.25">
      <c r="A46" s="76" t="e">
        <f t="shared" si="4"/>
        <v>#REF!</v>
      </c>
      <c r="B46" s="71" t="e">
        <f t="shared" si="6"/>
        <v>#REF!</v>
      </c>
      <c r="C46" s="77"/>
      <c r="D46" s="45" t="e">
        <f t="shared" si="5"/>
        <v>#REF!</v>
      </c>
      <c r="E46" s="78"/>
    </row>
    <row r="47" spans="1:5" ht="13.8" thickBot="1" x14ac:dyDescent="0.3">
      <c r="A47" s="79" t="s">
        <v>86</v>
      </c>
      <c r="B47" s="53" t="e">
        <f>+B38</f>
        <v>#REF!</v>
      </c>
      <c r="C47" s="80"/>
      <c r="D47" s="52" t="e">
        <f t="shared" si="5"/>
        <v>#REF!</v>
      </c>
      <c r="E47" s="81"/>
    </row>
    <row r="48" spans="1:5" ht="13.8" thickTop="1" x14ac:dyDescent="0.25">
      <c r="A48" s="64"/>
      <c r="B48" s="61"/>
      <c r="C48" s="72"/>
      <c r="D48" s="62"/>
      <c r="E48" s="41"/>
    </row>
    <row r="49" spans="1:9" x14ac:dyDescent="0.25">
      <c r="A49" s="2"/>
      <c r="B49" s="2"/>
      <c r="C49" s="82"/>
      <c r="D49" s="83"/>
      <c r="E49" s="73"/>
      <c r="F49" s="41"/>
      <c r="G49" s="41"/>
    </row>
    <row r="50" spans="1:9" ht="15.6" x14ac:dyDescent="0.3">
      <c r="A50" s="245" t="s">
        <v>129</v>
      </c>
      <c r="B50" s="245"/>
      <c r="C50" s="245"/>
      <c r="D50" s="245"/>
      <c r="E50" s="245"/>
      <c r="F50" s="245"/>
      <c r="G50" s="245"/>
    </row>
    <row r="51" spans="1:9" ht="15.6" x14ac:dyDescent="0.3">
      <c r="A51" s="167"/>
      <c r="B51" s="246" t="s">
        <v>131</v>
      </c>
      <c r="C51" s="247"/>
      <c r="D51" s="247"/>
      <c r="E51" s="247"/>
      <c r="F51" s="247"/>
      <c r="G51" s="247"/>
    </row>
    <row r="52" spans="1:9" x14ac:dyDescent="0.25">
      <c r="A52" s="163" t="s">
        <v>57</v>
      </c>
      <c r="B52" s="164" t="s">
        <v>31</v>
      </c>
      <c r="C52" s="165" t="s">
        <v>89</v>
      </c>
      <c r="D52" s="165" t="s">
        <v>90</v>
      </c>
      <c r="E52" s="165" t="s">
        <v>91</v>
      </c>
      <c r="F52" s="165" t="s">
        <v>92</v>
      </c>
      <c r="G52" s="165" t="s">
        <v>117</v>
      </c>
      <c r="H52" s="514" t="s">
        <v>130</v>
      </c>
      <c r="I52" s="515"/>
    </row>
    <row r="53" spans="1:9" ht="12.75" customHeight="1" x14ac:dyDescent="0.25">
      <c r="A53" s="166" t="s">
        <v>65</v>
      </c>
      <c r="B53" s="168">
        <v>0.1</v>
      </c>
      <c r="C53" s="169">
        <v>0.8</v>
      </c>
      <c r="D53" s="169">
        <v>0.1</v>
      </c>
      <c r="E53" s="169"/>
      <c r="F53" s="169"/>
      <c r="G53" s="169"/>
      <c r="H53" s="170">
        <f>SUM(B53:G53)</f>
        <v>1</v>
      </c>
      <c r="I53" s="170" t="str">
        <f>IF(H53=1,"Data OK","Check Data")</f>
        <v>Data OK</v>
      </c>
    </row>
    <row r="54" spans="1:9" ht="12.75" customHeight="1" x14ac:dyDescent="0.25">
      <c r="A54" s="166" t="s">
        <v>66</v>
      </c>
      <c r="B54" s="168"/>
      <c r="C54" s="169">
        <v>0.2</v>
      </c>
      <c r="D54" s="169">
        <v>0.8</v>
      </c>
      <c r="E54" s="169"/>
      <c r="F54" s="169"/>
      <c r="G54" s="169"/>
      <c r="H54" s="170">
        <f t="shared" ref="H54:H57" si="7">SUM(B54:G54)</f>
        <v>1</v>
      </c>
      <c r="I54" s="170" t="str">
        <f t="shared" ref="I54:I57" si="8">IF(H54=1,"Data OK","Check Data")</f>
        <v>Data OK</v>
      </c>
    </row>
    <row r="55" spans="1:9" x14ac:dyDescent="0.25">
      <c r="A55" s="166" t="s">
        <v>67</v>
      </c>
      <c r="B55" s="168"/>
      <c r="C55" s="169"/>
      <c r="D55" s="169">
        <v>0.6</v>
      </c>
      <c r="E55" s="169">
        <v>0.4</v>
      </c>
      <c r="F55" s="169"/>
      <c r="G55" s="169"/>
      <c r="H55" s="170">
        <f t="shared" si="7"/>
        <v>1</v>
      </c>
      <c r="I55" s="170" t="str">
        <f t="shared" si="8"/>
        <v>Data OK</v>
      </c>
    </row>
    <row r="56" spans="1:9" ht="12.75" customHeight="1" x14ac:dyDescent="0.25">
      <c r="A56" s="166" t="s">
        <v>68</v>
      </c>
      <c r="B56" s="168"/>
      <c r="C56" s="169"/>
      <c r="D56" s="169"/>
      <c r="E56" s="169">
        <v>0.7</v>
      </c>
      <c r="F56" s="169">
        <v>0.3</v>
      </c>
      <c r="G56" s="169"/>
      <c r="H56" s="170">
        <f t="shared" si="7"/>
        <v>1</v>
      </c>
      <c r="I56" s="170" t="str">
        <f t="shared" si="8"/>
        <v>Data OK</v>
      </c>
    </row>
    <row r="57" spans="1:9" x14ac:dyDescent="0.25">
      <c r="A57" s="166" t="s">
        <v>128</v>
      </c>
      <c r="B57" s="168"/>
      <c r="C57" s="169"/>
      <c r="D57" s="169"/>
      <c r="E57" s="169"/>
      <c r="F57" s="169">
        <v>0.3</v>
      </c>
      <c r="G57" s="169">
        <v>0.7</v>
      </c>
      <c r="H57" s="170">
        <f t="shared" si="7"/>
        <v>1</v>
      </c>
      <c r="I57" s="170" t="str">
        <f t="shared" si="8"/>
        <v>Data OK</v>
      </c>
    </row>
    <row r="58" spans="1:9" x14ac:dyDescent="0.25">
      <c r="A58" s="12"/>
      <c r="B58" s="145"/>
      <c r="C58" s="145"/>
      <c r="D58" s="145"/>
      <c r="E58" s="145"/>
      <c r="F58" s="145"/>
    </row>
    <row r="59" spans="1:9" ht="15.6" x14ac:dyDescent="0.3">
      <c r="A59" s="496" t="s">
        <v>88</v>
      </c>
      <c r="B59" s="496"/>
      <c r="C59" s="496"/>
      <c r="D59" s="496"/>
      <c r="E59" s="84"/>
      <c r="F59" s="85"/>
      <c r="G59" s="85"/>
    </row>
    <row r="60" spans="1:9" x14ac:dyDescent="0.25">
      <c r="A60" s="158"/>
      <c r="B60" s="159"/>
      <c r="C60" s="160"/>
      <c r="D60" s="161"/>
      <c r="E60" s="73"/>
      <c r="F60" s="41"/>
      <c r="G60" s="41"/>
    </row>
    <row r="61" spans="1:9" x14ac:dyDescent="0.25">
      <c r="A61" s="86">
        <f>IF(B53=0,"",B53)</f>
        <v>0.1</v>
      </c>
      <c r="B61" s="516" t="str">
        <f>IF(A61="","","Of one-person households in studio units")</f>
        <v>Of one-person households in studio units</v>
      </c>
      <c r="C61" s="517"/>
      <c r="D61" s="518"/>
    </row>
    <row r="62" spans="1:9" x14ac:dyDescent="0.25">
      <c r="A62" s="86" t="str">
        <f t="shared" ref="A62:A65" si="9">IF(B54=0,"",B54)</f>
        <v/>
      </c>
      <c r="B62" s="519" t="str">
        <f>IF(A62="","","Of two-person households in studio units")</f>
        <v/>
      </c>
      <c r="C62" s="520"/>
      <c r="D62" s="521"/>
    </row>
    <row r="63" spans="1:9" x14ac:dyDescent="0.25">
      <c r="A63" s="86" t="str">
        <f t="shared" si="9"/>
        <v/>
      </c>
      <c r="B63" s="519" t="str">
        <f>IF(A63="","","Of three-person households in studio units")</f>
        <v/>
      </c>
      <c r="C63" s="520"/>
      <c r="D63" s="521"/>
    </row>
    <row r="64" spans="1:9" x14ac:dyDescent="0.25">
      <c r="A64" s="86" t="str">
        <f t="shared" si="9"/>
        <v/>
      </c>
      <c r="B64" s="519" t="str">
        <f>IF(A64="","","Of four-person households in studio units")</f>
        <v/>
      </c>
      <c r="C64" s="520"/>
      <c r="D64" s="521"/>
    </row>
    <row r="65" spans="1:7" ht="13.8" thickBot="1" x14ac:dyDescent="0.3">
      <c r="A65" s="172" t="str">
        <f t="shared" si="9"/>
        <v/>
      </c>
      <c r="B65" s="522" t="str">
        <f>IF(A65="","","Of five-person households in studio units")</f>
        <v/>
      </c>
      <c r="C65" s="523"/>
      <c r="D65" s="524"/>
    </row>
    <row r="66" spans="1:7" x14ac:dyDescent="0.25">
      <c r="A66" s="86">
        <f>IF(C53=0,"",C53)</f>
        <v>0.8</v>
      </c>
      <c r="B66" s="511" t="str">
        <f>IF(A66="","","Of one-person households in 1BR units")</f>
        <v>Of one-person households in 1BR units</v>
      </c>
      <c r="C66" s="512"/>
      <c r="D66" s="513"/>
      <c r="G66" s="171"/>
    </row>
    <row r="67" spans="1:7" x14ac:dyDescent="0.25">
      <c r="A67" s="86">
        <f t="shared" ref="A67:A70" si="10">IF(C54=0,"",C54)</f>
        <v>0.2</v>
      </c>
      <c r="B67" s="519" t="str">
        <f>IF(A67="","","Of two-person households in 1BR units")</f>
        <v>Of two-person households in 1BR units</v>
      </c>
      <c r="C67" s="520"/>
      <c r="D67" s="521"/>
    </row>
    <row r="68" spans="1:7" ht="11.25" customHeight="1" x14ac:dyDescent="0.25">
      <c r="A68" s="86" t="str">
        <f t="shared" si="10"/>
        <v/>
      </c>
      <c r="B68" s="519" t="str">
        <f>IF(A68="","","Of three-person households in 1BR units")</f>
        <v/>
      </c>
      <c r="C68" s="520"/>
      <c r="D68" s="521"/>
    </row>
    <row r="69" spans="1:7" x14ac:dyDescent="0.25">
      <c r="A69" s="86" t="str">
        <f t="shared" si="10"/>
        <v/>
      </c>
      <c r="B69" s="519" t="str">
        <f>IF(A69="","","Of four-person households in 1BR units")</f>
        <v/>
      </c>
      <c r="C69" s="520"/>
      <c r="D69" s="521"/>
    </row>
    <row r="70" spans="1:7" ht="13.8" thickBot="1" x14ac:dyDescent="0.3">
      <c r="A70" s="172" t="str">
        <f t="shared" si="10"/>
        <v/>
      </c>
      <c r="B70" s="522" t="str">
        <f>IF(A70="","","Of five-person households in 1BR units")</f>
        <v/>
      </c>
      <c r="C70" s="523"/>
      <c r="D70" s="524"/>
    </row>
    <row r="71" spans="1:7" x14ac:dyDescent="0.25">
      <c r="A71" s="86">
        <f>IF(D53=0,"",D53)</f>
        <v>0.1</v>
      </c>
      <c r="B71" s="511" t="str">
        <f>IF(A71="","","Of one-person households in 2BR units")</f>
        <v>Of one-person households in 2BR units</v>
      </c>
      <c r="C71" s="512"/>
      <c r="D71" s="513"/>
    </row>
    <row r="72" spans="1:7" x14ac:dyDescent="0.25">
      <c r="A72" s="86">
        <f t="shared" ref="A72:A75" si="11">IF(D54=0,"",D54)</f>
        <v>0.8</v>
      </c>
      <c r="B72" s="519" t="str">
        <f>IF(A72="","","Of two-person households in 2BR units")</f>
        <v>Of two-person households in 2BR units</v>
      </c>
      <c r="C72" s="520"/>
      <c r="D72" s="521"/>
    </row>
    <row r="73" spans="1:7" x14ac:dyDescent="0.25">
      <c r="A73" s="86">
        <f t="shared" si="11"/>
        <v>0.6</v>
      </c>
      <c r="B73" s="519" t="str">
        <f>IF(A73="","","Of three-person households in 2BR units")</f>
        <v>Of three-person households in 2BR units</v>
      </c>
      <c r="C73" s="520"/>
      <c r="D73" s="521"/>
    </row>
    <row r="74" spans="1:7" x14ac:dyDescent="0.25">
      <c r="A74" s="86" t="str">
        <f t="shared" si="11"/>
        <v/>
      </c>
      <c r="B74" s="519" t="str">
        <f>IF(A74="","","Of four-person households in 2BR units")</f>
        <v/>
      </c>
      <c r="C74" s="520"/>
      <c r="D74" s="521"/>
    </row>
    <row r="75" spans="1:7" ht="13.8" thickBot="1" x14ac:dyDescent="0.3">
      <c r="A75" s="172" t="str">
        <f t="shared" si="11"/>
        <v/>
      </c>
      <c r="B75" s="522" t="str">
        <f>IF(A75="","","Of five-person households in 2BR units")</f>
        <v/>
      </c>
      <c r="C75" s="523"/>
      <c r="D75" s="524"/>
    </row>
    <row r="76" spans="1:7" x14ac:dyDescent="0.25">
      <c r="A76" s="86" t="str">
        <f>IF(E53=0,"",E53)</f>
        <v/>
      </c>
      <c r="B76" s="511" t="str">
        <f>IF(A76="","","Of one-person households in 3BR units")</f>
        <v/>
      </c>
      <c r="C76" s="512"/>
      <c r="D76" s="513"/>
    </row>
    <row r="77" spans="1:7" x14ac:dyDescent="0.25">
      <c r="A77" s="86" t="str">
        <f t="shared" ref="A77:A80" si="12">IF(E54=0,"",E54)</f>
        <v/>
      </c>
      <c r="B77" s="519" t="str">
        <f>IF(A77="","","Of two-person households in 3BR units")</f>
        <v/>
      </c>
      <c r="C77" s="520"/>
      <c r="D77" s="521"/>
    </row>
    <row r="78" spans="1:7" x14ac:dyDescent="0.25">
      <c r="A78" s="86">
        <f t="shared" si="12"/>
        <v>0.4</v>
      </c>
      <c r="B78" s="519" t="str">
        <f>IF(A78="","","Of three-person households in 3BR units")</f>
        <v>Of three-person households in 3BR units</v>
      </c>
      <c r="C78" s="520"/>
      <c r="D78" s="521"/>
    </row>
    <row r="79" spans="1:7" x14ac:dyDescent="0.25">
      <c r="A79" s="86">
        <f t="shared" si="12"/>
        <v>0.7</v>
      </c>
      <c r="B79" s="519" t="str">
        <f>IF(A79="","","Of four-person households in 3BR units")</f>
        <v>Of four-person households in 3BR units</v>
      </c>
      <c r="C79" s="520"/>
      <c r="D79" s="521"/>
    </row>
    <row r="80" spans="1:7" ht="13.8" thickBot="1" x14ac:dyDescent="0.3">
      <c r="A80" s="172" t="str">
        <f t="shared" si="12"/>
        <v/>
      </c>
      <c r="B80" s="522" t="str">
        <f>IF(A80="","","Of five-person households in 3BR units")</f>
        <v/>
      </c>
      <c r="C80" s="523"/>
      <c r="D80" s="524"/>
    </row>
    <row r="81" spans="1:4" x14ac:dyDescent="0.25">
      <c r="A81" s="86" t="str">
        <f>IF(F53=0,"",F53)</f>
        <v/>
      </c>
      <c r="B81" s="511" t="str">
        <f>IF(A81="","","Of one-person households in 4BR units")</f>
        <v/>
      </c>
      <c r="C81" s="512"/>
      <c r="D81" s="513"/>
    </row>
    <row r="82" spans="1:4" x14ac:dyDescent="0.25">
      <c r="A82" s="86" t="str">
        <f t="shared" ref="A82:A85" si="13">IF(F54=0,"",F54)</f>
        <v/>
      </c>
      <c r="B82" s="519" t="str">
        <f>IF(A82="","","Of two-person households in 4BR units")</f>
        <v/>
      </c>
      <c r="C82" s="520"/>
      <c r="D82" s="521"/>
    </row>
    <row r="83" spans="1:4" x14ac:dyDescent="0.25">
      <c r="A83" s="86" t="str">
        <f t="shared" si="13"/>
        <v/>
      </c>
      <c r="B83" s="519" t="str">
        <f>IF(A83="","","Of three-person households in 4BR units")</f>
        <v/>
      </c>
      <c r="C83" s="520"/>
      <c r="D83" s="521"/>
    </row>
    <row r="84" spans="1:4" x14ac:dyDescent="0.25">
      <c r="A84" s="86">
        <f t="shared" si="13"/>
        <v>0.3</v>
      </c>
      <c r="B84" s="519" t="str">
        <f>IF(A84="","","Of four-person households in 4BR units")</f>
        <v>Of four-person households in 4BR units</v>
      </c>
      <c r="C84" s="520"/>
      <c r="D84" s="521"/>
    </row>
    <row r="85" spans="1:4" ht="13.8" thickBot="1" x14ac:dyDescent="0.3">
      <c r="A85" s="172">
        <f t="shared" si="13"/>
        <v>0.3</v>
      </c>
      <c r="B85" s="522" t="str">
        <f>IF(A85="","","Of five-person households in 4BR units")</f>
        <v>Of five-person households in 4BR units</v>
      </c>
      <c r="C85" s="523"/>
      <c r="D85" s="524"/>
    </row>
    <row r="86" spans="1:4" x14ac:dyDescent="0.25">
      <c r="A86" s="86" t="str">
        <f>IF(G53=0,"",G53)</f>
        <v/>
      </c>
      <c r="B86" s="511" t="str">
        <f>IF(A86="","","Of one-person households in 5BR units")</f>
        <v/>
      </c>
      <c r="C86" s="512"/>
      <c r="D86" s="513"/>
    </row>
    <row r="87" spans="1:4" x14ac:dyDescent="0.25">
      <c r="A87" s="86" t="str">
        <f t="shared" ref="A87:A90" si="14">IF(G54=0,"",G54)</f>
        <v/>
      </c>
      <c r="B87" s="519" t="str">
        <f>IF(A87="","","Of two-person households in 5BR units")</f>
        <v/>
      </c>
      <c r="C87" s="520"/>
      <c r="D87" s="521"/>
    </row>
    <row r="88" spans="1:4" x14ac:dyDescent="0.25">
      <c r="A88" s="86" t="str">
        <f t="shared" si="14"/>
        <v/>
      </c>
      <c r="B88" s="519" t="str">
        <f>IF(A88="","","Of three-person households in 5BR units")</f>
        <v/>
      </c>
      <c r="C88" s="520"/>
      <c r="D88" s="521"/>
    </row>
    <row r="89" spans="1:4" x14ac:dyDescent="0.25">
      <c r="A89" s="86" t="str">
        <f t="shared" si="14"/>
        <v/>
      </c>
      <c r="B89" s="519" t="str">
        <f>IF(A89="","","Of four-person households in 5BR units")</f>
        <v/>
      </c>
      <c r="C89" s="520"/>
      <c r="D89" s="521"/>
    </row>
    <row r="90" spans="1:4" ht="13.8" thickBot="1" x14ac:dyDescent="0.3">
      <c r="A90" s="172">
        <f t="shared" si="14"/>
        <v>0.7</v>
      </c>
      <c r="B90" s="522" t="str">
        <f>IF(A90="","","Of five-person households in 5BR units")</f>
        <v>Of five-person households in 5BR units</v>
      </c>
      <c r="C90" s="523"/>
      <c r="D90" s="524"/>
    </row>
  </sheetData>
  <mergeCells count="32">
    <mergeCell ref="B89:D89"/>
    <mergeCell ref="B90:D90"/>
    <mergeCell ref="B83:D83"/>
    <mergeCell ref="B84:D84"/>
    <mergeCell ref="B85:D85"/>
    <mergeCell ref="B86:D86"/>
    <mergeCell ref="B87:D87"/>
    <mergeCell ref="B88:D88"/>
    <mergeCell ref="B82:D8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70:D70"/>
    <mergeCell ref="H52:I52"/>
    <mergeCell ref="A59:D5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H53:I53">
    <cfRule type="expression" dxfId="9" priority="9">
      <formula>$H$53=1</formula>
    </cfRule>
    <cfRule type="expression" dxfId="8" priority="10">
      <formula>$H$53&lt;&gt;1</formula>
    </cfRule>
  </conditionalFormatting>
  <conditionalFormatting sqref="H54:I54">
    <cfRule type="expression" dxfId="7" priority="7">
      <formula>$H$54&lt;&gt;1</formula>
    </cfRule>
    <cfRule type="expression" dxfId="6" priority="8">
      <formula>$H$54=1</formula>
    </cfRule>
  </conditionalFormatting>
  <conditionalFormatting sqref="H55:I55">
    <cfRule type="expression" dxfId="5" priority="5">
      <formula>$H$55&lt;&gt;1</formula>
    </cfRule>
    <cfRule type="expression" dxfId="4" priority="6">
      <formula>$H$55=1</formula>
    </cfRule>
  </conditionalFormatting>
  <conditionalFormatting sqref="H56:I56">
    <cfRule type="expression" dxfId="3" priority="3">
      <formula>$H$56&lt;&gt;1</formula>
    </cfRule>
    <cfRule type="expression" dxfId="2" priority="4">
      <formula>$H$56=1</formula>
    </cfRule>
  </conditionalFormatting>
  <conditionalFormatting sqref="H57:I57">
    <cfRule type="expression" dxfId="1" priority="1">
      <formula>$H$57&lt;&gt;1</formula>
    </cfRule>
    <cfRule type="expression" dxfId="0" priority="2">
      <formula>$H$57=1</formula>
    </cfRule>
  </conditionalFormatting>
  <pageMargins left="0.75" right="0.75" top="1" bottom="1" header="0.5" footer="0.5"/>
  <pageSetup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2" r:id="rId4" name="Button 2">
              <controlPr defaultSize="0" print="0" autoFill="0" autoPict="0" macro="[0]!White_Background_Demand">
                <anchor moveWithCells="1" sizeWithCells="1">
                  <from>
                    <xdr:col>8</xdr:col>
                    <xdr:colOff>563880</xdr:colOff>
                    <xdr:row>0</xdr:row>
                    <xdr:rowOff>160020</xdr:rowOff>
                  </from>
                  <to>
                    <xdr:col>11</xdr:col>
                    <xdr:colOff>38100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3" r:id="rId5" name="Group Box 3">
              <controlPr defaultSize="0" autoFill="0" autoPict="0">
                <anchor moveWithCells="1">
                  <from>
                    <xdr:col>6</xdr:col>
                    <xdr:colOff>1104900</xdr:colOff>
                    <xdr:row>0</xdr:row>
                    <xdr:rowOff>106680</xdr:rowOff>
                  </from>
                  <to>
                    <xdr:col>11</xdr:col>
                    <xdr:colOff>175260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4" r:id="rId6" name="Button 4">
              <controlPr defaultSize="0" print="0" autoFill="0" autoPict="0" macro="[0]!Revert_Demand">
                <anchor moveWithCells="1" sizeWithCells="1">
                  <from>
                    <xdr:col>7</xdr:col>
                    <xdr:colOff>60960</xdr:colOff>
                    <xdr:row>0</xdr:row>
                    <xdr:rowOff>182880</xdr:rowOff>
                  </from>
                  <to>
                    <xdr:col>8</xdr:col>
                    <xdr:colOff>525780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55+'!J48</f>
        <v>#REF!</v>
      </c>
    </row>
    <row r="4" spans="1:5" x14ac:dyDescent="0.25">
      <c r="A4" s="64" t="s">
        <v>369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55+'!L48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55+'!I6</f>
        <v>#REF!</v>
      </c>
    </row>
    <row r="9" spans="1:5" x14ac:dyDescent="0.25">
      <c r="A9" s="41" t="s">
        <v>135</v>
      </c>
      <c r="B9" s="60"/>
      <c r="C9" s="92" t="e">
        <f>'Income Distribution 55+'!P17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62+'!J51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62+'!L51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62+'!I6</f>
        <v>#REF!</v>
      </c>
    </row>
    <row r="9" spans="1:5" x14ac:dyDescent="0.25">
      <c r="A9" s="41" t="s">
        <v>135</v>
      </c>
      <c r="B9" s="60"/>
      <c r="C9" s="92" t="e">
        <f>'Income Distribution 62+'!P17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65+'!J52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65+'!L52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65+'!I6</f>
        <v>#REF!</v>
      </c>
    </row>
    <row r="9" spans="1:5" x14ac:dyDescent="0.25">
      <c r="A9" s="41" t="s">
        <v>135</v>
      </c>
      <c r="B9" s="60"/>
      <c r="C9" s="92" t="e">
        <f>'Income Distribution 65+'!P17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phoneticPr fontId="17" type="noConversion"/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30"/>
  <sheetViews>
    <sheetView workbookViewId="0">
      <selection activeCell="E11" sqref="E11"/>
    </sheetView>
  </sheetViews>
  <sheetFormatPr defaultRowHeight="13.2" x14ac:dyDescent="0.25"/>
  <cols>
    <col min="1" max="1" width="40.6640625" customWidth="1"/>
    <col min="2" max="2" width="8.6640625" customWidth="1"/>
    <col min="3" max="3" width="17.109375" customWidth="1"/>
  </cols>
  <sheetData>
    <row r="1" spans="1:5" ht="15.6" x14ac:dyDescent="0.3">
      <c r="A1" s="4" t="s">
        <v>96</v>
      </c>
      <c r="B1" s="5"/>
      <c r="C1" s="5"/>
    </row>
    <row r="2" spans="1:5" x14ac:dyDescent="0.25">
      <c r="A2" s="179" t="s">
        <v>97</v>
      </c>
      <c r="B2" s="179"/>
      <c r="C2" s="179" t="s">
        <v>39</v>
      </c>
    </row>
    <row r="3" spans="1:5" x14ac:dyDescent="0.25">
      <c r="A3" s="87" t="str">
        <f>"Number of Senior Renter Households in " &amp; ESRI_CY</f>
        <v>Number of Senior Renter Households in 2016</v>
      </c>
      <c r="B3" s="88"/>
      <c r="C3" s="89" t="e">
        <f>'Demographics 75+'!J51</f>
        <v>#REF!</v>
      </c>
    </row>
    <row r="4" spans="1:5" x14ac:dyDescent="0.25">
      <c r="A4" s="64" t="s">
        <v>368</v>
      </c>
      <c r="B4" s="60"/>
      <c r="C4" s="90" t="e">
        <f>ROUND((C5-C3),0)</f>
        <v>#REF!</v>
      </c>
    </row>
    <row r="5" spans="1:5" x14ac:dyDescent="0.25">
      <c r="A5" s="64" t="str">
        <f>"Number of Senior Renter Households in " &amp; ESRI_FY</f>
        <v>Number of Senior Renter Households in 2021</v>
      </c>
      <c r="B5" s="60"/>
      <c r="C5" s="90" t="e">
        <f>'Demographics 75+'!L51</f>
        <v>#REF!</v>
      </c>
    </row>
    <row r="6" spans="1:5" x14ac:dyDescent="0.25">
      <c r="A6" s="64"/>
      <c r="B6" s="60"/>
      <c r="C6" s="90"/>
    </row>
    <row r="7" spans="1:5" x14ac:dyDescent="0.25">
      <c r="A7" s="74" t="s">
        <v>98</v>
      </c>
      <c r="B7" s="91"/>
      <c r="C7" s="91"/>
    </row>
    <row r="8" spans="1:5" x14ac:dyDescent="0.25">
      <c r="A8" s="41" t="s">
        <v>99</v>
      </c>
      <c r="B8" s="60"/>
      <c r="C8" s="93" t="e">
        <f>'Supply 75+'!I6</f>
        <v>#REF!</v>
      </c>
    </row>
    <row r="9" spans="1:5" x14ac:dyDescent="0.25">
      <c r="A9" s="41" t="s">
        <v>135</v>
      </c>
      <c r="B9" s="60"/>
      <c r="C9" s="92" t="e">
        <f>'Income Distribution 75+'!P17</f>
        <v>#REF!</v>
      </c>
    </row>
    <row r="10" spans="1:5" x14ac:dyDescent="0.25">
      <c r="A10" s="41" t="s">
        <v>100</v>
      </c>
      <c r="B10" s="60"/>
      <c r="C10" s="287" t="e">
        <f>ROUND((C9*C3),0)</f>
        <v>#REF!</v>
      </c>
      <c r="D10" s="275"/>
      <c r="E10" s="482" t="s">
        <v>370</v>
      </c>
    </row>
    <row r="11" spans="1:5" x14ac:dyDescent="0.25">
      <c r="A11" s="41" t="s">
        <v>101</v>
      </c>
      <c r="B11" s="60"/>
      <c r="C11" s="127" t="e">
        <f>IF(E11="2000 Census",#REF!,#REF!)</f>
        <v>#REF!</v>
      </c>
      <c r="D11" s="275"/>
      <c r="E11" s="286" t="s">
        <v>373</v>
      </c>
    </row>
    <row r="12" spans="1:5" x14ac:dyDescent="0.25">
      <c r="A12" s="64" t="s">
        <v>102</v>
      </c>
      <c r="B12" s="60"/>
      <c r="C12" s="83" t="e">
        <f>ROUND((+C11*C10),1)</f>
        <v>#REF!</v>
      </c>
    </row>
    <row r="13" spans="1:5" x14ac:dyDescent="0.25">
      <c r="A13" s="64"/>
      <c r="B13" s="60"/>
      <c r="C13" s="41"/>
    </row>
    <row r="14" spans="1:5" x14ac:dyDescent="0.25">
      <c r="A14" s="74" t="s">
        <v>103</v>
      </c>
      <c r="B14" s="74"/>
      <c r="C14" s="74"/>
    </row>
    <row r="15" spans="1:5" x14ac:dyDescent="0.25">
      <c r="A15" s="41" t="s">
        <v>136</v>
      </c>
      <c r="B15" s="60"/>
      <c r="C15" s="83" t="e">
        <f>+C4/5</f>
        <v>#REF!</v>
      </c>
    </row>
    <row r="16" spans="1:5" x14ac:dyDescent="0.25">
      <c r="A16" s="41" t="str">
        <f>A9</f>
        <v>Percentage of Income-Qualified Renter Households</v>
      </c>
      <c r="B16" s="60"/>
      <c r="C16" s="92" t="e">
        <f>+C9</f>
        <v>#REF!</v>
      </c>
    </row>
    <row r="17" spans="1:5" s="95" customFormat="1" x14ac:dyDescent="0.25">
      <c r="A17" s="64" t="s">
        <v>104</v>
      </c>
      <c r="B17" s="61"/>
      <c r="C17" s="94" t="e">
        <f>ROUND((C15*C16),1)</f>
        <v>#REF!</v>
      </c>
    </row>
    <row r="18" spans="1:5" x14ac:dyDescent="0.25">
      <c r="A18" s="41"/>
      <c r="B18" s="60"/>
      <c r="C18" s="90"/>
    </row>
    <row r="19" spans="1:5" x14ac:dyDescent="0.25">
      <c r="A19" s="74" t="s">
        <v>105</v>
      </c>
      <c r="B19" s="96"/>
      <c r="C19" s="96"/>
    </row>
    <row r="20" spans="1:5" x14ac:dyDescent="0.25">
      <c r="A20" s="41" t="s">
        <v>106</v>
      </c>
      <c r="B20" s="60"/>
      <c r="C20" s="41" t="e">
        <f>#REF!</f>
        <v>#REF!</v>
      </c>
    </row>
    <row r="21" spans="1:5" x14ac:dyDescent="0.25">
      <c r="A21" s="41" t="s">
        <v>107</v>
      </c>
      <c r="B21" s="97">
        <v>0.05</v>
      </c>
      <c r="C21" s="98" t="e">
        <f>ROUND(((1-B21)*C20),1)</f>
        <v>#REF!</v>
      </c>
    </row>
    <row r="22" spans="1:5" x14ac:dyDescent="0.25">
      <c r="A22" s="41" t="s">
        <v>108</v>
      </c>
      <c r="B22" s="99"/>
      <c r="C22" s="177">
        <v>0</v>
      </c>
    </row>
    <row r="23" spans="1:5" x14ac:dyDescent="0.25">
      <c r="A23" s="41" t="s">
        <v>109</v>
      </c>
      <c r="B23" s="60"/>
      <c r="C23" s="82" t="e">
        <f>C17+C12</f>
        <v>#REF!</v>
      </c>
    </row>
    <row r="24" spans="1:5" x14ac:dyDescent="0.25">
      <c r="A24" s="41" t="s">
        <v>110</v>
      </c>
      <c r="B24" s="60"/>
      <c r="C24" s="100">
        <v>0.9</v>
      </c>
    </row>
    <row r="25" spans="1:5" x14ac:dyDescent="0.25">
      <c r="A25" s="41" t="s">
        <v>109</v>
      </c>
      <c r="B25" s="60"/>
      <c r="C25" s="82" t="e">
        <f>C23/C24</f>
        <v>#REF!</v>
      </c>
    </row>
    <row r="26" spans="1:5" ht="26.4" x14ac:dyDescent="0.25">
      <c r="A26" s="101" t="s">
        <v>111</v>
      </c>
      <c r="B26" s="178"/>
      <c r="C26" s="102"/>
      <c r="D26" t="s">
        <v>13</v>
      </c>
      <c r="E26" s="131" t="s">
        <v>113</v>
      </c>
    </row>
    <row r="27" spans="1:5" x14ac:dyDescent="0.25">
      <c r="A27" s="64"/>
      <c r="B27" s="60"/>
      <c r="C27" s="2"/>
    </row>
    <row r="28" spans="1:5" x14ac:dyDescent="0.25">
      <c r="A28" s="64" t="s">
        <v>112</v>
      </c>
      <c r="B28" s="61"/>
      <c r="C28" s="72" t="e">
        <f>ROUND((C25-B26),1)</f>
        <v>#REF!</v>
      </c>
    </row>
    <row r="29" spans="1:5" ht="13.8" thickBot="1" x14ac:dyDescent="0.3">
      <c r="A29" s="79" t="str">
        <f xml:space="preserve"> "Yielded Annual Capture Rate of Available Demand in " &amp; RIGHT(Source_Date,4)</f>
        <v>Yielded Annual Capture Rate of Available Demand in 2017</v>
      </c>
      <c r="B29" s="53"/>
      <c r="C29" s="128" t="e">
        <f>ROUND(((C21-C22)/C28),3)</f>
        <v>#REF!</v>
      </c>
    </row>
    <row r="30" spans="1:5" ht="13.8" thickTop="1" x14ac:dyDescent="0.25"/>
  </sheetData>
  <dataValidations count="1">
    <dataValidation type="list" allowBlank="1" showInputMessage="1" showErrorMessage="1" sqref="E11">
      <formula1>RenterOverburned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7"/>
  <sheetViews>
    <sheetView workbookViewId="0">
      <selection activeCell="B3" sqref="B3"/>
    </sheetView>
  </sheetViews>
  <sheetFormatPr defaultRowHeight="13.2" x14ac:dyDescent="0.25"/>
  <cols>
    <col min="1" max="1" width="37" bestFit="1" customWidth="1"/>
  </cols>
  <sheetData>
    <row r="1" spans="1:2" x14ac:dyDescent="0.25">
      <c r="A1" s="525" t="s">
        <v>224</v>
      </c>
      <c r="B1" s="526"/>
    </row>
    <row r="2" spans="1:2" x14ac:dyDescent="0.25">
      <c r="A2" s="397" t="s">
        <v>225</v>
      </c>
      <c r="B2" s="398">
        <f>'Income Distribution 55+'!X14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B7"/>
  <sheetViews>
    <sheetView workbookViewId="0">
      <selection activeCell="D4" sqref="D4"/>
    </sheetView>
  </sheetViews>
  <sheetFormatPr defaultRowHeight="13.2" x14ac:dyDescent="0.25"/>
  <cols>
    <col min="1" max="1" width="37" bestFit="1" customWidth="1"/>
  </cols>
  <sheetData>
    <row r="1" spans="1:2" x14ac:dyDescent="0.25">
      <c r="A1" s="525" t="s">
        <v>224</v>
      </c>
      <c r="B1" s="526"/>
    </row>
    <row r="2" spans="1:2" x14ac:dyDescent="0.25">
      <c r="A2" s="397" t="s">
        <v>225</v>
      </c>
      <c r="B2" s="398">
        <f>'Income Distribution 62+'!X14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B7"/>
  <sheetViews>
    <sheetView workbookViewId="0">
      <selection activeCell="B3" sqref="B3"/>
    </sheetView>
  </sheetViews>
  <sheetFormatPr defaultRowHeight="13.2" x14ac:dyDescent="0.25"/>
  <cols>
    <col min="1" max="1" width="37" bestFit="1" customWidth="1"/>
  </cols>
  <sheetData>
    <row r="1" spans="1:2" x14ac:dyDescent="0.25">
      <c r="A1" s="525" t="s">
        <v>224</v>
      </c>
      <c r="B1" s="526"/>
    </row>
    <row r="2" spans="1:2" x14ac:dyDescent="0.25">
      <c r="A2" s="397" t="s">
        <v>225</v>
      </c>
      <c r="B2" s="398">
        <f>'Income Distribution 65+'!X14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B7"/>
  <sheetViews>
    <sheetView workbookViewId="0">
      <selection activeCell="G21" sqref="G21"/>
    </sheetView>
  </sheetViews>
  <sheetFormatPr defaultRowHeight="13.2" x14ac:dyDescent="0.25"/>
  <cols>
    <col min="1" max="1" width="37" bestFit="1" customWidth="1"/>
  </cols>
  <sheetData>
    <row r="1" spans="1:2" x14ac:dyDescent="0.25">
      <c r="A1" s="525" t="s">
        <v>224</v>
      </c>
      <c r="B1" s="526"/>
    </row>
    <row r="2" spans="1:2" x14ac:dyDescent="0.25">
      <c r="A2" s="397" t="s">
        <v>225</v>
      </c>
      <c r="B2" s="398">
        <f>'Income Distribution 75+'!X14</f>
        <v>0</v>
      </c>
    </row>
    <row r="3" spans="1:2" x14ac:dyDescent="0.25">
      <c r="A3" s="397" t="s">
        <v>226</v>
      </c>
      <c r="B3" s="399"/>
    </row>
    <row r="4" spans="1:2" x14ac:dyDescent="0.25">
      <c r="A4" s="397" t="s">
        <v>227</v>
      </c>
      <c r="B4" s="399"/>
    </row>
    <row r="5" spans="1:2" x14ac:dyDescent="0.25">
      <c r="A5" s="397" t="s">
        <v>228</v>
      </c>
      <c r="B5" s="398">
        <f>+B2-B3-B4</f>
        <v>0</v>
      </c>
    </row>
    <row r="6" spans="1:2" x14ac:dyDescent="0.25">
      <c r="A6" s="397" t="s">
        <v>229</v>
      </c>
      <c r="B6" s="400" t="e">
        <f>+#REF!</f>
        <v>#REF!</v>
      </c>
    </row>
    <row r="7" spans="1:2" x14ac:dyDescent="0.25">
      <c r="A7" s="401" t="s">
        <v>230</v>
      </c>
      <c r="B7" s="402" t="e">
        <f>+B6/B5</f>
        <v>#REF!</v>
      </c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26</vt:i4>
      </vt:variant>
    </vt:vector>
  </HeadingPairs>
  <TitlesOfParts>
    <vt:vector size="70" baseType="lpstr">
      <vt:lpstr>Template Reference</vt:lpstr>
      <vt:lpstr>Building Block Data</vt:lpstr>
      <vt:lpstr>OnTheMap</vt:lpstr>
      <vt:lpstr>Demographics 55+</vt:lpstr>
      <vt:lpstr>Demographics 62+</vt:lpstr>
      <vt:lpstr>Demographics 65+</vt:lpstr>
      <vt:lpstr>Demographics 75+</vt:lpstr>
      <vt:lpstr>Demographic Charts 55+</vt:lpstr>
      <vt:lpstr>Demographic Charts 62+</vt:lpstr>
      <vt:lpstr>Demographic Charts 65+</vt:lpstr>
      <vt:lpstr>Demographic Charts 75+</vt:lpstr>
      <vt:lpstr>Wages by Occupation</vt:lpstr>
      <vt:lpstr>Supply 55+</vt:lpstr>
      <vt:lpstr>Supply 62+</vt:lpstr>
      <vt:lpstr>Supply 65+</vt:lpstr>
      <vt:lpstr>Supply 75+</vt:lpstr>
      <vt:lpstr>Income Distribution 55+</vt:lpstr>
      <vt:lpstr>30% AMI Demand 55+</vt:lpstr>
      <vt:lpstr>40% AMI Demand 55+</vt:lpstr>
      <vt:lpstr>50% AMI Demand 55+</vt:lpstr>
      <vt:lpstr>60% AMI Demand 55+</vt:lpstr>
      <vt:lpstr>Income Distribution 62+</vt:lpstr>
      <vt:lpstr>30% AMI Demand 62+</vt:lpstr>
      <vt:lpstr>40% AMI Demand 62+</vt:lpstr>
      <vt:lpstr>50% AMI Demand 62+</vt:lpstr>
      <vt:lpstr>60% AMI Demand 62+</vt:lpstr>
      <vt:lpstr>Income Distribution 65+</vt:lpstr>
      <vt:lpstr>30% AMI Demand 65+</vt:lpstr>
      <vt:lpstr>40% AMI Demand 65+</vt:lpstr>
      <vt:lpstr>50% AMI Demand 65+</vt:lpstr>
      <vt:lpstr>60% AMI Demand 65+</vt:lpstr>
      <vt:lpstr>Income Distribution 75+</vt:lpstr>
      <vt:lpstr>30% AMI Demand 75+</vt:lpstr>
      <vt:lpstr>40% AMI Demand 75+</vt:lpstr>
      <vt:lpstr>50% AMI Demand 75+</vt:lpstr>
      <vt:lpstr>60% AMI Demand 75+</vt:lpstr>
      <vt:lpstr>Annual Demand 55+</vt:lpstr>
      <vt:lpstr>Annual Demand 62+</vt:lpstr>
      <vt:lpstr>Annual Demand 65+</vt:lpstr>
      <vt:lpstr>Annual Demand 75+</vt:lpstr>
      <vt:lpstr>Penetration Rate 55+</vt:lpstr>
      <vt:lpstr>Penetration Rate 62+</vt:lpstr>
      <vt:lpstr>Penetration Rate 65+</vt:lpstr>
      <vt:lpstr>Penetration Rate 75+</vt:lpstr>
      <vt:lpstr>ESRI_BY</vt:lpstr>
      <vt:lpstr>ESRI_CY</vt:lpstr>
      <vt:lpstr>ESRI_FY</vt:lpstr>
      <vt:lpstr>ESRI_IY</vt:lpstr>
      <vt:lpstr>HISTA_BY</vt:lpstr>
      <vt:lpstr>HISTA_Cohort_Ref</vt:lpstr>
      <vt:lpstr>HISTA_CY</vt:lpstr>
      <vt:lpstr>HISTA_FY</vt:lpstr>
      <vt:lpstr>HISTA_IY</vt:lpstr>
      <vt:lpstr>Households_55</vt:lpstr>
      <vt:lpstr>Households_65</vt:lpstr>
      <vt:lpstr>Novo_Cohort_Ref</vt:lpstr>
      <vt:lpstr>'Wages by Occupation'!Occupation_Lookup</vt:lpstr>
      <vt:lpstr>PMA_Name</vt:lpstr>
      <vt:lpstr>Population_55</vt:lpstr>
      <vt:lpstr>Population_65</vt:lpstr>
      <vt:lpstr>RenterOverburned</vt:lpstr>
      <vt:lpstr>SMA_Name</vt:lpstr>
      <vt:lpstr>Source_BLS</vt:lpstr>
      <vt:lpstr>Source_Date</vt:lpstr>
      <vt:lpstr>Source_ESRI</vt:lpstr>
      <vt:lpstr>Source_HISTA</vt:lpstr>
      <vt:lpstr>Source_Industry</vt:lpstr>
      <vt:lpstr>Source_Novogradac</vt:lpstr>
      <vt:lpstr>USA_Name</vt:lpstr>
      <vt:lpstr>Wages_by_Occupation</vt:lpstr>
    </vt:vector>
  </TitlesOfParts>
  <Company>Novogradac &amp; Co.,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Caldwell;David.Grubman@novoco.com</dc:creator>
  <cp:lastModifiedBy>Randy Smith</cp:lastModifiedBy>
  <cp:lastPrinted>2012-05-30T18:17:50Z</cp:lastPrinted>
  <dcterms:created xsi:type="dcterms:W3CDTF">2005-03-18T15:33:25Z</dcterms:created>
  <dcterms:modified xsi:type="dcterms:W3CDTF">2017-09-19T16:06:24Z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d7f0120782d24968983e9b5553d7504f</vt:lpwstr>
  </property>
</Properties>
</file>