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.r.smith\Documents\"/>
    </mc:Choice>
  </mc:AlternateContent>
  <bookViews>
    <workbookView minimized="1" xWindow="0" yWindow="0" windowWidth="21570" windowHeight="8420" activeTab="1"/>
  </bookViews>
  <sheets>
    <sheet name="Old" sheetId="1" r:id="rId1"/>
    <sheet name="Current" sheetId="2" r:id="rId2"/>
    <sheet name="Sheet2" sheetId="4" r:id="rId3"/>
    <sheet name="2017 Sectors" sheetId="5" r:id="rId4"/>
    <sheet name="house 2017" sheetId="6" r:id="rId5"/>
  </sheets>
  <definedNames>
    <definedName name="_xlnm._FilterDatabase" localSheetId="1" hidden="1">Current!$B$1:$B$84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12" i="2"/>
  <c r="O10" i="2"/>
  <c r="O50" i="1" l="1"/>
  <c r="P50" i="1" s="1"/>
  <c r="J13" i="1"/>
  <c r="J17" i="1"/>
  <c r="J21" i="1"/>
  <c r="J39" i="1"/>
  <c r="J44" i="1"/>
  <c r="N50" i="1"/>
  <c r="M50" i="1"/>
  <c r="M51" i="1"/>
  <c r="O51" i="1" s="1"/>
  <c r="P51" i="1" s="1"/>
  <c r="N53" i="1"/>
  <c r="M53" i="1"/>
  <c r="N51" i="1" l="1"/>
  <c r="M391" i="1"/>
  <c r="N391" i="1" s="1"/>
  <c r="M390" i="1"/>
  <c r="N390" i="1" s="1"/>
  <c r="L390" i="1"/>
  <c r="M389" i="1"/>
  <c r="N389" i="1" s="1"/>
  <c r="D387" i="1"/>
  <c r="L387" i="1"/>
  <c r="J386" i="1"/>
  <c r="L386" i="1" s="1"/>
  <c r="M386" i="1" s="1"/>
  <c r="N386" i="1" s="1"/>
  <c r="L384" i="1"/>
  <c r="J384" i="1"/>
  <c r="D382" i="1"/>
  <c r="D381" i="1"/>
  <c r="C381" i="1"/>
  <c r="J381" i="1" s="1"/>
  <c r="L380" i="1"/>
  <c r="M380" i="1" s="1"/>
  <c r="N380" i="1" s="1"/>
  <c r="J380" i="1"/>
  <c r="L378" i="1"/>
  <c r="D378" i="1"/>
  <c r="J377" i="1"/>
  <c r="L377" i="1" s="1"/>
  <c r="M377" i="1" s="1"/>
  <c r="N377" i="1" s="1"/>
  <c r="M376" i="1"/>
  <c r="N376" i="1" s="1"/>
  <c r="M373" i="1"/>
  <c r="N373" i="1" s="1"/>
  <c r="M372" i="1"/>
  <c r="N372" i="1" s="1"/>
  <c r="D370" i="1"/>
  <c r="D369" i="1"/>
  <c r="J368" i="1"/>
  <c r="C369" i="1" s="1"/>
  <c r="J369" i="1" s="1"/>
  <c r="D364" i="1"/>
  <c r="D365" i="1"/>
  <c r="D366" i="1"/>
  <c r="D363" i="1"/>
  <c r="J362" i="1"/>
  <c r="L362" i="1" s="1"/>
  <c r="M362" i="1" s="1"/>
  <c r="N362" i="1" s="1"/>
  <c r="D359" i="1"/>
  <c r="D360" i="1"/>
  <c r="D358" i="1"/>
  <c r="J357" i="1"/>
  <c r="L357" i="1" s="1"/>
  <c r="E358" i="1" s="1"/>
  <c r="D353" i="1"/>
  <c r="D354" i="1"/>
  <c r="D355" i="1"/>
  <c r="D352" i="1"/>
  <c r="J351" i="1"/>
  <c r="C352" i="1" s="1"/>
  <c r="J352" i="1" s="1"/>
  <c r="D347" i="1"/>
  <c r="D348" i="1"/>
  <c r="D349" i="1"/>
  <c r="D346" i="1"/>
  <c r="J345" i="1"/>
  <c r="L345" i="1" s="1"/>
  <c r="M345" i="1" s="1"/>
  <c r="N345" i="1" s="1"/>
  <c r="J340" i="1"/>
  <c r="L340" i="1" s="1"/>
  <c r="D341" i="1"/>
  <c r="D337" i="1"/>
  <c r="D338" i="1"/>
  <c r="D339" i="1"/>
  <c r="D342" i="1"/>
  <c r="D343" i="1"/>
  <c r="D336" i="1"/>
  <c r="J335" i="1"/>
  <c r="C336" i="1" s="1"/>
  <c r="J336" i="1" s="1"/>
  <c r="C337" i="1" s="1"/>
  <c r="J337" i="1" s="1"/>
  <c r="L337" i="1" s="1"/>
  <c r="M333" i="1"/>
  <c r="N333" i="1"/>
  <c r="D329" i="1"/>
  <c r="D328" i="1"/>
  <c r="J327" i="1"/>
  <c r="C328" i="1" s="1"/>
  <c r="J328" i="1" s="1"/>
  <c r="M331" i="1"/>
  <c r="N331" i="1" s="1"/>
  <c r="J77" i="1"/>
  <c r="M325" i="1"/>
  <c r="N325" i="1" s="1"/>
  <c r="J318" i="1"/>
  <c r="L318" i="1" s="1"/>
  <c r="E319" i="1" s="1"/>
  <c r="D320" i="1"/>
  <c r="D321" i="1"/>
  <c r="D322" i="1"/>
  <c r="D323" i="1"/>
  <c r="D324" i="1"/>
  <c r="D319" i="1"/>
  <c r="D317" i="1"/>
  <c r="D316" i="1"/>
  <c r="J315" i="1"/>
  <c r="L315" i="1" s="1"/>
  <c r="M315" i="1" s="1"/>
  <c r="N315" i="1" s="1"/>
  <c r="D313" i="1"/>
  <c r="D312" i="1"/>
  <c r="J311" i="1"/>
  <c r="C312" i="1" s="1"/>
  <c r="J312" i="1" s="1"/>
  <c r="L75" i="2"/>
  <c r="L53" i="2"/>
  <c r="O53" i="2" s="1"/>
  <c r="L18" i="2"/>
  <c r="O18" i="2" s="1"/>
  <c r="L15" i="2"/>
  <c r="L13" i="2"/>
  <c r="O13" i="2" s="1"/>
  <c r="L11" i="2"/>
  <c r="O11" i="2" s="1"/>
  <c r="L9" i="2"/>
  <c r="O9" i="2" s="1"/>
  <c r="L6" i="2"/>
  <c r="L20" i="2"/>
  <c r="O20" i="2" s="1"/>
  <c r="L22" i="2"/>
  <c r="L25" i="2"/>
  <c r="L24" i="2"/>
  <c r="L36" i="2"/>
  <c r="O36" i="2" s="1"/>
  <c r="L42" i="2"/>
  <c r="L58" i="2"/>
  <c r="L65" i="2"/>
  <c r="O65" i="2" s="1"/>
  <c r="L39" i="2"/>
  <c r="O39" i="2" s="1"/>
  <c r="O27" i="2"/>
  <c r="L45" i="2"/>
  <c r="O45" i="2" s="1"/>
  <c r="L30" i="2"/>
  <c r="O30" i="2" s="1"/>
  <c r="J77" i="2"/>
  <c r="L77" i="2" s="1"/>
  <c r="O77" i="2" s="1"/>
  <c r="J54" i="2"/>
  <c r="L54" i="2" s="1"/>
  <c r="L84" i="2"/>
  <c r="O84" i="2" s="1"/>
  <c r="D84" i="2"/>
  <c r="D82" i="2"/>
  <c r="D75" i="2"/>
  <c r="C75" i="2"/>
  <c r="D72" i="2"/>
  <c r="D70" i="2"/>
  <c r="E65" i="2"/>
  <c r="D65" i="2"/>
  <c r="C65" i="2"/>
  <c r="E58" i="2"/>
  <c r="D58" i="2"/>
  <c r="C58" i="2"/>
  <c r="D56" i="2"/>
  <c r="D53" i="2"/>
  <c r="D47" i="2"/>
  <c r="D45" i="2"/>
  <c r="C45" i="2"/>
  <c r="D42" i="2"/>
  <c r="C42" i="2"/>
  <c r="E39" i="2"/>
  <c r="D39" i="2"/>
  <c r="C39" i="2"/>
  <c r="D36" i="2"/>
  <c r="C36" i="2"/>
  <c r="D30" i="2"/>
  <c r="C30" i="2"/>
  <c r="E27" i="2"/>
  <c r="M27" i="2" s="1"/>
  <c r="N27" i="2" s="1"/>
  <c r="D27" i="2"/>
  <c r="C27" i="2"/>
  <c r="E25" i="2"/>
  <c r="D25" i="2"/>
  <c r="C25" i="2"/>
  <c r="E22" i="2"/>
  <c r="D22" i="2"/>
  <c r="C22" i="2"/>
  <c r="D20" i="2"/>
  <c r="C20" i="2"/>
  <c r="E18" i="2"/>
  <c r="D18" i="2"/>
  <c r="C18" i="2"/>
  <c r="D15" i="2"/>
  <c r="C15" i="2"/>
  <c r="E13" i="2"/>
  <c r="D13" i="2"/>
  <c r="C13" i="2"/>
  <c r="E11" i="2"/>
  <c r="D11" i="2"/>
  <c r="C11" i="2"/>
  <c r="E9" i="2"/>
  <c r="D9" i="2"/>
  <c r="C9" i="2"/>
  <c r="D6" i="2"/>
  <c r="E6" i="2"/>
  <c r="C6" i="2"/>
  <c r="D4" i="2"/>
  <c r="L4" i="2"/>
  <c r="O4" i="2" s="1"/>
  <c r="L381" i="1" l="1"/>
  <c r="C382" i="1"/>
  <c r="J382" i="1" s="1"/>
  <c r="C346" i="1"/>
  <c r="J346" i="1" s="1"/>
  <c r="L335" i="1"/>
  <c r="M335" i="1" s="1"/>
  <c r="N335" i="1" s="1"/>
  <c r="E346" i="1"/>
  <c r="M384" i="1"/>
  <c r="N384" i="1" s="1"/>
  <c r="E387" i="1"/>
  <c r="M387" i="1" s="1"/>
  <c r="N387" i="1" s="1"/>
  <c r="M22" i="2"/>
  <c r="N22" i="2" s="1"/>
  <c r="M58" i="2"/>
  <c r="N58" i="2" s="1"/>
  <c r="M6" i="2"/>
  <c r="N6" i="2" s="1"/>
  <c r="M39" i="2"/>
  <c r="N39" i="2" s="1"/>
  <c r="M25" i="2"/>
  <c r="N25" i="2" s="1"/>
  <c r="E381" i="1"/>
  <c r="M381" i="1" s="1"/>
  <c r="N381" i="1" s="1"/>
  <c r="E382" i="1"/>
  <c r="M382" i="1" s="1"/>
  <c r="N382" i="1" s="1"/>
  <c r="L328" i="1"/>
  <c r="E329" i="1" s="1"/>
  <c r="M329" i="1" s="1"/>
  <c r="N329" i="1" s="1"/>
  <c r="C329" i="1"/>
  <c r="L346" i="1"/>
  <c r="M346" i="1" s="1"/>
  <c r="N346" i="1" s="1"/>
  <c r="C347" i="1"/>
  <c r="J347" i="1" s="1"/>
  <c r="L347" i="1" s="1"/>
  <c r="L369" i="1"/>
  <c r="E370" i="1" s="1"/>
  <c r="C370" i="1"/>
  <c r="J370" i="1" s="1"/>
  <c r="L370" i="1" s="1"/>
  <c r="M340" i="1"/>
  <c r="N340" i="1" s="1"/>
  <c r="E341" i="1"/>
  <c r="C353" i="1"/>
  <c r="J353" i="1" s="1"/>
  <c r="C354" i="1" s="1"/>
  <c r="J354" i="1" s="1"/>
  <c r="L354" i="1" s="1"/>
  <c r="L352" i="1"/>
  <c r="E353" i="1" s="1"/>
  <c r="L327" i="1"/>
  <c r="E336" i="1"/>
  <c r="C363" i="1"/>
  <c r="J363" i="1" s="1"/>
  <c r="L368" i="1"/>
  <c r="M368" i="1" s="1"/>
  <c r="N368" i="1" s="1"/>
  <c r="C378" i="1"/>
  <c r="C341" i="1"/>
  <c r="L351" i="1"/>
  <c r="C358" i="1"/>
  <c r="J358" i="1" s="1"/>
  <c r="E363" i="1"/>
  <c r="E378" i="1"/>
  <c r="M378" i="1" s="1"/>
  <c r="N378" i="1" s="1"/>
  <c r="E369" i="1"/>
  <c r="M369" i="1" s="1"/>
  <c r="N369" i="1" s="1"/>
  <c r="M357" i="1"/>
  <c r="N357" i="1" s="1"/>
  <c r="L353" i="1"/>
  <c r="C348" i="1"/>
  <c r="J348" i="1" s="1"/>
  <c r="L336" i="1"/>
  <c r="E337" i="1" s="1"/>
  <c r="E338" i="1"/>
  <c r="M337" i="1"/>
  <c r="N337" i="1" s="1"/>
  <c r="C338" i="1"/>
  <c r="J338" i="1" s="1"/>
  <c r="C319" i="1"/>
  <c r="J319" i="1" s="1"/>
  <c r="L319" i="1" s="1"/>
  <c r="L311" i="1"/>
  <c r="M311" i="1" s="1"/>
  <c r="N311" i="1" s="1"/>
  <c r="C316" i="1"/>
  <c r="J316" i="1" s="1"/>
  <c r="L316" i="1" s="1"/>
  <c r="E317" i="1" s="1"/>
  <c r="M317" i="1" s="1"/>
  <c r="N317" i="1" s="1"/>
  <c r="C313" i="1"/>
  <c r="L312" i="1"/>
  <c r="E313" i="1" s="1"/>
  <c r="M313" i="1" s="1"/>
  <c r="N313" i="1" s="1"/>
  <c r="M318" i="1"/>
  <c r="N318" i="1" s="1"/>
  <c r="E316" i="1"/>
  <c r="O22" i="2"/>
  <c r="M77" i="2"/>
  <c r="N77" i="2" s="1"/>
  <c r="M18" i="2"/>
  <c r="N18" i="2" s="1"/>
  <c r="M13" i="2"/>
  <c r="N13" i="2" s="1"/>
  <c r="M11" i="2"/>
  <c r="N11" i="2" s="1"/>
  <c r="M9" i="2"/>
  <c r="N9" i="2" s="1"/>
  <c r="M65" i="2"/>
  <c r="N65" i="2" s="1"/>
  <c r="O54" i="2"/>
  <c r="M54" i="2"/>
  <c r="N54" i="2" s="1"/>
  <c r="D309" i="1"/>
  <c r="J308" i="1"/>
  <c r="C309" i="1" s="1"/>
  <c r="D305" i="1"/>
  <c r="D306" i="1"/>
  <c r="L296" i="1"/>
  <c r="M296" i="1" s="1"/>
  <c r="N296" i="1" s="1"/>
  <c r="D299" i="1"/>
  <c r="E299" i="1"/>
  <c r="D300" i="1"/>
  <c r="D301" i="1"/>
  <c r="D302" i="1"/>
  <c r="D303" i="1"/>
  <c r="D304" i="1"/>
  <c r="C299" i="1"/>
  <c r="J299" i="1" s="1"/>
  <c r="D297" i="1"/>
  <c r="C297" i="1"/>
  <c r="L294" i="1"/>
  <c r="D291" i="1"/>
  <c r="D292" i="1"/>
  <c r="D293" i="1"/>
  <c r="D294" i="1"/>
  <c r="D290" i="1"/>
  <c r="D288" i="1"/>
  <c r="J289" i="1"/>
  <c r="L289" i="1" s="1"/>
  <c r="M289" i="1" s="1"/>
  <c r="N289" i="1" s="1"/>
  <c r="D287" i="1"/>
  <c r="J286" i="1"/>
  <c r="L286" i="1" s="1"/>
  <c r="E287" i="1" s="1"/>
  <c r="C355" i="1" l="1"/>
  <c r="M336" i="1"/>
  <c r="N336" i="1" s="1"/>
  <c r="M370" i="1"/>
  <c r="N370" i="1" s="1"/>
  <c r="M327" i="1"/>
  <c r="N327" i="1" s="1"/>
  <c r="E328" i="1"/>
  <c r="M328" i="1" s="1"/>
  <c r="N328" i="1" s="1"/>
  <c r="E347" i="1"/>
  <c r="L358" i="1"/>
  <c r="C359" i="1"/>
  <c r="J359" i="1" s="1"/>
  <c r="M351" i="1"/>
  <c r="N351" i="1" s="1"/>
  <c r="E352" i="1"/>
  <c r="M352" i="1" s="1"/>
  <c r="N352" i="1" s="1"/>
  <c r="C364" i="1"/>
  <c r="J364" i="1" s="1"/>
  <c r="L363" i="1"/>
  <c r="M353" i="1"/>
  <c r="N353" i="1" s="1"/>
  <c r="E354" i="1"/>
  <c r="M354" i="1" s="1"/>
  <c r="N354" i="1" s="1"/>
  <c r="E355" i="1"/>
  <c r="M355" i="1" s="1"/>
  <c r="N355" i="1" s="1"/>
  <c r="L348" i="1"/>
  <c r="C349" i="1"/>
  <c r="J349" i="1" s="1"/>
  <c r="E348" i="1"/>
  <c r="M347" i="1"/>
  <c r="N347" i="1" s="1"/>
  <c r="L338" i="1"/>
  <c r="C339" i="1"/>
  <c r="C317" i="1"/>
  <c r="C320" i="1"/>
  <c r="J320" i="1" s="1"/>
  <c r="C321" i="1" s="1"/>
  <c r="J321" i="1" s="1"/>
  <c r="L308" i="1"/>
  <c r="M308" i="1" s="1"/>
  <c r="N308" i="1" s="1"/>
  <c r="E312" i="1"/>
  <c r="M312" i="1" s="1"/>
  <c r="N312" i="1" s="1"/>
  <c r="C287" i="1"/>
  <c r="J287" i="1" s="1"/>
  <c r="C288" i="1" s="1"/>
  <c r="J288" i="1" s="1"/>
  <c r="L288" i="1" s="1"/>
  <c r="M316" i="1"/>
  <c r="N316" i="1" s="1"/>
  <c r="C300" i="1"/>
  <c r="J300" i="1" s="1"/>
  <c r="L299" i="1"/>
  <c r="M299" i="1" s="1"/>
  <c r="N299" i="1" s="1"/>
  <c r="C290" i="1"/>
  <c r="J290" i="1" s="1"/>
  <c r="L290" i="1" s="1"/>
  <c r="E291" i="1" s="1"/>
  <c r="E320" i="1"/>
  <c r="M319" i="1"/>
  <c r="N319" i="1" s="1"/>
  <c r="E297" i="1"/>
  <c r="M297" i="1" s="1"/>
  <c r="N297" i="1" s="1"/>
  <c r="M286" i="1"/>
  <c r="N286" i="1" s="1"/>
  <c r="E290" i="1"/>
  <c r="D269" i="1"/>
  <c r="D270" i="1"/>
  <c r="D271" i="1"/>
  <c r="D274" i="1"/>
  <c r="D275" i="1"/>
  <c r="D276" i="1"/>
  <c r="D277" i="1"/>
  <c r="D278" i="1"/>
  <c r="D279" i="1"/>
  <c r="D281" i="1"/>
  <c r="D282" i="1"/>
  <c r="D283" i="1"/>
  <c r="D284" i="1"/>
  <c r="D268" i="1"/>
  <c r="J267" i="1"/>
  <c r="L267" i="1" s="1"/>
  <c r="C365" i="1" l="1"/>
  <c r="J365" i="1" s="1"/>
  <c r="L364" i="1"/>
  <c r="E359" i="1"/>
  <c r="M358" i="1"/>
  <c r="N358" i="1" s="1"/>
  <c r="E364" i="1"/>
  <c r="M363" i="1"/>
  <c r="N363" i="1" s="1"/>
  <c r="C360" i="1"/>
  <c r="J360" i="1" s="1"/>
  <c r="L359" i="1"/>
  <c r="E349" i="1"/>
  <c r="M349" i="1" s="1"/>
  <c r="N349" i="1" s="1"/>
  <c r="M348" i="1"/>
  <c r="N348" i="1" s="1"/>
  <c r="J341" i="1"/>
  <c r="M338" i="1"/>
  <c r="N338" i="1" s="1"/>
  <c r="E339" i="1"/>
  <c r="E309" i="1"/>
  <c r="M309" i="1" s="1"/>
  <c r="N309" i="1" s="1"/>
  <c r="C291" i="1"/>
  <c r="J291" i="1" s="1"/>
  <c r="L291" i="1" s="1"/>
  <c r="L320" i="1"/>
  <c r="M320" i="1" s="1"/>
  <c r="N320" i="1" s="1"/>
  <c r="L287" i="1"/>
  <c r="E288" i="1" s="1"/>
  <c r="M288" i="1" s="1"/>
  <c r="N288" i="1" s="1"/>
  <c r="E300" i="1"/>
  <c r="E268" i="1"/>
  <c r="M267" i="1"/>
  <c r="N267" i="1" s="1"/>
  <c r="C268" i="1"/>
  <c r="J268" i="1" s="1"/>
  <c r="C301" i="1"/>
  <c r="J301" i="1" s="1"/>
  <c r="L300" i="1"/>
  <c r="M290" i="1"/>
  <c r="N290" i="1" s="1"/>
  <c r="C322" i="1"/>
  <c r="J322" i="1" s="1"/>
  <c r="L321" i="1"/>
  <c r="C292" i="1"/>
  <c r="J292" i="1" s="1"/>
  <c r="D261" i="1"/>
  <c r="D262" i="1"/>
  <c r="D263" i="1"/>
  <c r="D264" i="1"/>
  <c r="D265" i="1"/>
  <c r="D260" i="1"/>
  <c r="D256" i="1"/>
  <c r="D257" i="1"/>
  <c r="D255" i="1"/>
  <c r="J254" i="1"/>
  <c r="L254" i="1" s="1"/>
  <c r="M254" i="1" s="1"/>
  <c r="N254" i="1" s="1"/>
  <c r="D251" i="1"/>
  <c r="D252" i="1"/>
  <c r="D246" i="1"/>
  <c r="D247" i="1"/>
  <c r="D250" i="1"/>
  <c r="D245" i="1"/>
  <c r="J248" i="1"/>
  <c r="J249" i="1"/>
  <c r="C250" i="1" s="1"/>
  <c r="J250" i="1" s="1"/>
  <c r="J244" i="1"/>
  <c r="C245" i="1" s="1"/>
  <c r="J245" i="1" s="1"/>
  <c r="M241" i="1"/>
  <c r="N241" i="1" s="1"/>
  <c r="E242" i="1"/>
  <c r="M242" i="1" s="1"/>
  <c r="N242" i="1" s="1"/>
  <c r="D242" i="1"/>
  <c r="J241" i="1"/>
  <c r="C242" i="1" s="1"/>
  <c r="J242" i="1" s="1"/>
  <c r="D239" i="1"/>
  <c r="D238" i="1"/>
  <c r="J237" i="1"/>
  <c r="L237" i="1" s="1"/>
  <c r="L227" i="1"/>
  <c r="M227" i="1" s="1"/>
  <c r="N227" i="1" s="1"/>
  <c r="D229" i="1"/>
  <c r="D230" i="1"/>
  <c r="D231" i="1"/>
  <c r="D232" i="1"/>
  <c r="D233" i="1"/>
  <c r="D234" i="1"/>
  <c r="D235" i="1"/>
  <c r="E228" i="1"/>
  <c r="D228" i="1"/>
  <c r="C228" i="1"/>
  <c r="J228" i="1" s="1"/>
  <c r="M225" i="1"/>
  <c r="N225" i="1" s="1"/>
  <c r="D222" i="1"/>
  <c r="D223" i="1"/>
  <c r="D221" i="1"/>
  <c r="J220" i="1"/>
  <c r="C221" i="1" s="1"/>
  <c r="J221" i="1" s="1"/>
  <c r="D218" i="1"/>
  <c r="J217" i="1"/>
  <c r="C218" i="1" s="1"/>
  <c r="J218" i="1" s="1"/>
  <c r="L215" i="1"/>
  <c r="D215" i="1"/>
  <c r="C215" i="1"/>
  <c r="L214" i="1"/>
  <c r="M214" i="1" s="1"/>
  <c r="N214" i="1" s="1"/>
  <c r="L210" i="1"/>
  <c r="E211" i="1" s="1"/>
  <c r="L211" i="1"/>
  <c r="E212" i="1" s="1"/>
  <c r="M212" i="1" s="1"/>
  <c r="N212" i="1" s="1"/>
  <c r="D212" i="1"/>
  <c r="C212" i="1"/>
  <c r="D211" i="1"/>
  <c r="C211" i="1"/>
  <c r="M208" i="1"/>
  <c r="N208" i="1" s="1"/>
  <c r="E360" i="1" l="1"/>
  <c r="M360" i="1" s="1"/>
  <c r="N360" i="1" s="1"/>
  <c r="M359" i="1"/>
  <c r="N359" i="1" s="1"/>
  <c r="M364" i="1"/>
  <c r="N364" i="1" s="1"/>
  <c r="E365" i="1"/>
  <c r="C366" i="1"/>
  <c r="L365" i="1"/>
  <c r="E366" i="1" s="1"/>
  <c r="M366" i="1" s="1"/>
  <c r="N366" i="1" s="1"/>
  <c r="M339" i="1"/>
  <c r="N339" i="1" s="1"/>
  <c r="C342" i="1"/>
  <c r="J342" i="1" s="1"/>
  <c r="L341" i="1"/>
  <c r="M287" i="1"/>
  <c r="N287" i="1" s="1"/>
  <c r="E321" i="1"/>
  <c r="M210" i="1"/>
  <c r="N210" i="1" s="1"/>
  <c r="C238" i="1"/>
  <c r="J238" i="1" s="1"/>
  <c r="C239" i="1" s="1"/>
  <c r="E215" i="1"/>
  <c r="M215" i="1" s="1"/>
  <c r="N215" i="1" s="1"/>
  <c r="L220" i="1"/>
  <c r="M220" i="1" s="1"/>
  <c r="N220" i="1" s="1"/>
  <c r="L249" i="1"/>
  <c r="M249" i="1" s="1"/>
  <c r="N249" i="1" s="1"/>
  <c r="M237" i="1"/>
  <c r="N237" i="1" s="1"/>
  <c r="E238" i="1"/>
  <c r="L250" i="1"/>
  <c r="E251" i="1" s="1"/>
  <c r="C251" i="1"/>
  <c r="J251" i="1" s="1"/>
  <c r="L228" i="1"/>
  <c r="E229" i="1" s="1"/>
  <c r="C229" i="1"/>
  <c r="J229" i="1" s="1"/>
  <c r="C230" i="1" s="1"/>
  <c r="J230" i="1" s="1"/>
  <c r="L230" i="1" s="1"/>
  <c r="E231" i="1" s="1"/>
  <c r="C222" i="1"/>
  <c r="J222" i="1" s="1"/>
  <c r="L221" i="1"/>
  <c r="M211" i="1"/>
  <c r="N211" i="1" s="1"/>
  <c r="E322" i="1"/>
  <c r="M321" i="1"/>
  <c r="N321" i="1" s="1"/>
  <c r="C302" i="1"/>
  <c r="J302" i="1" s="1"/>
  <c r="L301" i="1"/>
  <c r="L217" i="1"/>
  <c r="E221" i="1"/>
  <c r="L244" i="1"/>
  <c r="C323" i="1"/>
  <c r="J323" i="1" s="1"/>
  <c r="L322" i="1"/>
  <c r="L268" i="1"/>
  <c r="C269" i="1"/>
  <c r="J269" i="1" s="1"/>
  <c r="E255" i="1"/>
  <c r="E301" i="1"/>
  <c r="M300" i="1"/>
  <c r="N300" i="1" s="1"/>
  <c r="E292" i="1"/>
  <c r="M291" i="1"/>
  <c r="N291" i="1" s="1"/>
  <c r="L292" i="1"/>
  <c r="C293" i="1"/>
  <c r="J293" i="1" s="1"/>
  <c r="L271" i="1"/>
  <c r="C255" i="1"/>
  <c r="J255" i="1" s="1"/>
  <c r="C246" i="1"/>
  <c r="J246" i="1" s="1"/>
  <c r="C247" i="1" s="1"/>
  <c r="L247" i="1" s="1"/>
  <c r="L245" i="1"/>
  <c r="H3" i="6"/>
  <c r="H4" i="6"/>
  <c r="H5" i="6"/>
  <c r="H6" i="6"/>
  <c r="H7" i="6"/>
  <c r="H8" i="6"/>
  <c r="H9" i="6"/>
  <c r="H10" i="6"/>
  <c r="H11" i="6"/>
  <c r="H12" i="6"/>
  <c r="H13" i="6"/>
  <c r="H2" i="6"/>
  <c r="D13" i="6"/>
  <c r="F13" i="6" s="1"/>
  <c r="M365" i="1" l="1"/>
  <c r="N365" i="1" s="1"/>
  <c r="E342" i="1"/>
  <c r="M341" i="1"/>
  <c r="N341" i="1" s="1"/>
  <c r="L342" i="1"/>
  <c r="C343" i="1"/>
  <c r="L229" i="1"/>
  <c r="E230" i="1" s="1"/>
  <c r="M230" i="1" s="1"/>
  <c r="N230" i="1" s="1"/>
  <c r="C231" i="1"/>
  <c r="J231" i="1" s="1"/>
  <c r="L231" i="1" s="1"/>
  <c r="M228" i="1"/>
  <c r="N228" i="1" s="1"/>
  <c r="L238" i="1"/>
  <c r="E239" i="1" s="1"/>
  <c r="M239" i="1" s="1"/>
  <c r="N239" i="1" s="1"/>
  <c r="E250" i="1"/>
  <c r="M250" i="1" s="1"/>
  <c r="N250" i="1" s="1"/>
  <c r="C324" i="1"/>
  <c r="L323" i="1"/>
  <c r="E218" i="1"/>
  <c r="M218" i="1" s="1"/>
  <c r="N218" i="1" s="1"/>
  <c r="M217" i="1"/>
  <c r="N217" i="1" s="1"/>
  <c r="L251" i="1"/>
  <c r="C252" i="1"/>
  <c r="C270" i="1"/>
  <c r="J270" i="1" s="1"/>
  <c r="L269" i="1"/>
  <c r="M301" i="1"/>
  <c r="N301" i="1" s="1"/>
  <c r="E302" i="1"/>
  <c r="E269" i="1"/>
  <c r="M268" i="1"/>
  <c r="N268" i="1" s="1"/>
  <c r="M244" i="1"/>
  <c r="N244" i="1" s="1"/>
  <c r="E245" i="1"/>
  <c r="M245" i="1" s="1"/>
  <c r="N245" i="1" s="1"/>
  <c r="C303" i="1"/>
  <c r="J303" i="1" s="1"/>
  <c r="L302" i="1"/>
  <c r="M221" i="1"/>
  <c r="N221" i="1" s="1"/>
  <c r="E222" i="1"/>
  <c r="M322" i="1"/>
  <c r="N322" i="1" s="1"/>
  <c r="E323" i="1"/>
  <c r="C223" i="1"/>
  <c r="L222" i="1"/>
  <c r="C294" i="1"/>
  <c r="L293" i="1"/>
  <c r="E293" i="1"/>
  <c r="M292" i="1"/>
  <c r="N292" i="1" s="1"/>
  <c r="J273" i="1"/>
  <c r="L255" i="1"/>
  <c r="C256" i="1"/>
  <c r="J256" i="1" s="1"/>
  <c r="L246" i="1"/>
  <c r="E247" i="1" s="1"/>
  <c r="M247" i="1" s="1"/>
  <c r="N247" i="1" s="1"/>
  <c r="E246" i="1"/>
  <c r="F6" i="6"/>
  <c r="F10" i="6"/>
  <c r="D3" i="6"/>
  <c r="F3" i="6" s="1"/>
  <c r="D4" i="6"/>
  <c r="F4" i="6" s="1"/>
  <c r="D5" i="6"/>
  <c r="F5" i="6" s="1"/>
  <c r="D6" i="6"/>
  <c r="D7" i="6"/>
  <c r="F7" i="6" s="1"/>
  <c r="D8" i="6"/>
  <c r="F8" i="6" s="1"/>
  <c r="D9" i="6"/>
  <c r="F9" i="6" s="1"/>
  <c r="D10" i="6"/>
  <c r="D11" i="6"/>
  <c r="F11" i="6" s="1"/>
  <c r="D12" i="6"/>
  <c r="F12" i="6" s="1"/>
  <c r="D2" i="6"/>
  <c r="F2" i="6" s="1"/>
  <c r="O8" i="5"/>
  <c r="O7" i="5"/>
  <c r="M4" i="5"/>
  <c r="L4" i="5"/>
  <c r="N4" i="5"/>
  <c r="L3" i="5"/>
  <c r="N2" i="5"/>
  <c r="M2" i="5"/>
  <c r="L2" i="5"/>
  <c r="O3" i="5" l="1"/>
  <c r="M5" i="5"/>
  <c r="M342" i="1"/>
  <c r="N342" i="1" s="1"/>
  <c r="E343" i="1"/>
  <c r="M343" i="1" s="1"/>
  <c r="N343" i="1" s="1"/>
  <c r="M229" i="1"/>
  <c r="N229" i="1" s="1"/>
  <c r="C232" i="1"/>
  <c r="J232" i="1" s="1"/>
  <c r="C233" i="1" s="1"/>
  <c r="J233" i="1" s="1"/>
  <c r="M238" i="1"/>
  <c r="N238" i="1" s="1"/>
  <c r="M246" i="1"/>
  <c r="N246" i="1" s="1"/>
  <c r="E256" i="1"/>
  <c r="M255" i="1"/>
  <c r="N255" i="1" s="1"/>
  <c r="E303" i="1"/>
  <c r="M302" i="1"/>
  <c r="N302" i="1" s="1"/>
  <c r="C304" i="1"/>
  <c r="J304" i="1" s="1"/>
  <c r="L303" i="1"/>
  <c r="E270" i="1"/>
  <c r="M269" i="1"/>
  <c r="N269" i="1" s="1"/>
  <c r="E252" i="1"/>
  <c r="M252" i="1" s="1"/>
  <c r="N252" i="1" s="1"/>
  <c r="M251" i="1"/>
  <c r="N251" i="1" s="1"/>
  <c r="M222" i="1"/>
  <c r="N222" i="1" s="1"/>
  <c r="E223" i="1"/>
  <c r="M223" i="1" s="1"/>
  <c r="N223" i="1" s="1"/>
  <c r="C271" i="1"/>
  <c r="L270" i="1"/>
  <c r="E271" i="1" s="1"/>
  <c r="M271" i="1" s="1"/>
  <c r="N271" i="1" s="1"/>
  <c r="M323" i="1"/>
  <c r="N323" i="1" s="1"/>
  <c r="E324" i="1"/>
  <c r="M324" i="1" s="1"/>
  <c r="N324" i="1" s="1"/>
  <c r="M293" i="1"/>
  <c r="N293" i="1" s="1"/>
  <c r="E294" i="1"/>
  <c r="M294" i="1" s="1"/>
  <c r="N294" i="1" s="1"/>
  <c r="L273" i="1"/>
  <c r="C274" i="1"/>
  <c r="J274" i="1" s="1"/>
  <c r="L256" i="1"/>
  <c r="C257" i="1"/>
  <c r="L257" i="1" s="1"/>
  <c r="C259" i="1"/>
  <c r="J259" i="1" s="1"/>
  <c r="E232" i="1"/>
  <c r="M231" i="1"/>
  <c r="N231" i="1" s="1"/>
  <c r="N5" i="5"/>
  <c r="O4" i="5"/>
  <c r="O2" i="5"/>
  <c r="L5" i="5"/>
  <c r="L202" i="1"/>
  <c r="M202" i="1" s="1"/>
  <c r="N202" i="1" s="1"/>
  <c r="L204" i="1"/>
  <c r="E205" i="1" s="1"/>
  <c r="M205" i="1" s="1"/>
  <c r="N205" i="1" s="1"/>
  <c r="D205" i="1"/>
  <c r="C205" i="1"/>
  <c r="D204" i="1"/>
  <c r="C204" i="1"/>
  <c r="L203" i="1"/>
  <c r="E204" i="1" s="1"/>
  <c r="L232" i="1" l="1"/>
  <c r="E233" i="1" s="1"/>
  <c r="M204" i="1"/>
  <c r="N204" i="1" s="1"/>
  <c r="M270" i="1"/>
  <c r="N270" i="1" s="1"/>
  <c r="E304" i="1"/>
  <c r="M303" i="1"/>
  <c r="N303" i="1" s="1"/>
  <c r="L304" i="1"/>
  <c r="E305" i="1" s="1"/>
  <c r="C305" i="1"/>
  <c r="J305" i="1" s="1"/>
  <c r="M273" i="1"/>
  <c r="N273" i="1" s="1"/>
  <c r="E274" i="1"/>
  <c r="L274" i="1"/>
  <c r="C275" i="1"/>
  <c r="J275" i="1" s="1"/>
  <c r="E257" i="1"/>
  <c r="M257" i="1" s="1"/>
  <c r="N257" i="1" s="1"/>
  <c r="M256" i="1"/>
  <c r="N256" i="1" s="1"/>
  <c r="C260" i="1"/>
  <c r="J260" i="1" s="1"/>
  <c r="L259" i="1"/>
  <c r="C234" i="1"/>
  <c r="J234" i="1" s="1"/>
  <c r="L233" i="1"/>
  <c r="O5" i="5"/>
  <c r="E203" i="1"/>
  <c r="D203" i="1"/>
  <c r="C203" i="1"/>
  <c r="M200" i="1"/>
  <c r="N200" i="1" s="1"/>
  <c r="O9" i="5" l="1"/>
  <c r="O13" i="5"/>
  <c r="O16" i="5"/>
  <c r="N11" i="5"/>
  <c r="M11" i="5"/>
  <c r="N12" i="5"/>
  <c r="L12" i="5"/>
  <c r="L11" i="5"/>
  <c r="O15" i="5"/>
  <c r="N10" i="5"/>
  <c r="O14" i="5"/>
  <c r="M12" i="5"/>
  <c r="L10" i="5"/>
  <c r="M10" i="5"/>
  <c r="L13" i="5"/>
  <c r="M13" i="5"/>
  <c r="O11" i="5"/>
  <c r="N13" i="5"/>
  <c r="P7" i="5"/>
  <c r="O10" i="5"/>
  <c r="O12" i="5"/>
  <c r="M232" i="1"/>
  <c r="N232" i="1" s="1"/>
  <c r="M203" i="1"/>
  <c r="N203" i="1" s="1"/>
  <c r="M304" i="1"/>
  <c r="N304" i="1" s="1"/>
  <c r="M259" i="1"/>
  <c r="N259" i="1" s="1"/>
  <c r="E260" i="1"/>
  <c r="C306" i="1"/>
  <c r="J306" i="1" s="1"/>
  <c r="L306" i="1" s="1"/>
  <c r="L305" i="1"/>
  <c r="M274" i="1"/>
  <c r="N274" i="1" s="1"/>
  <c r="E275" i="1"/>
  <c r="L275" i="1"/>
  <c r="C276" i="1"/>
  <c r="J276" i="1" s="1"/>
  <c r="C261" i="1"/>
  <c r="J261" i="1" s="1"/>
  <c r="L260" i="1"/>
  <c r="C235" i="1"/>
  <c r="L235" i="1" s="1"/>
  <c r="L234" i="1"/>
  <c r="E234" i="1"/>
  <c r="M233" i="1"/>
  <c r="N233" i="1" s="1"/>
  <c r="D102" i="1"/>
  <c r="L98" i="1"/>
  <c r="M98" i="1" s="1"/>
  <c r="N98" i="1" s="1"/>
  <c r="D99" i="1"/>
  <c r="D198" i="1"/>
  <c r="L197" i="1"/>
  <c r="M197" i="1" s="1"/>
  <c r="N197" i="1" s="1"/>
  <c r="E306" i="1" l="1"/>
  <c r="M306" i="1" s="1"/>
  <c r="N306" i="1" s="1"/>
  <c r="M305" i="1"/>
  <c r="N305" i="1" s="1"/>
  <c r="M260" i="1"/>
  <c r="N260" i="1" s="1"/>
  <c r="E261" i="1"/>
  <c r="M275" i="1"/>
  <c r="N275" i="1" s="1"/>
  <c r="E276" i="1"/>
  <c r="C277" i="1"/>
  <c r="J277" i="1" s="1"/>
  <c r="L276" i="1"/>
  <c r="L261" i="1"/>
  <c r="C262" i="1"/>
  <c r="J262" i="1" s="1"/>
  <c r="E235" i="1"/>
  <c r="M235" i="1" s="1"/>
  <c r="N235" i="1" s="1"/>
  <c r="M234" i="1"/>
  <c r="N234" i="1" s="1"/>
  <c r="E99" i="1"/>
  <c r="M99" i="1" s="1"/>
  <c r="N99" i="1" s="1"/>
  <c r="E198" i="1"/>
  <c r="M198" i="1" s="1"/>
  <c r="N198" i="1" s="1"/>
  <c r="O26" i="2"/>
  <c r="O38" i="2"/>
  <c r="O64" i="2"/>
  <c r="M261" i="1" l="1"/>
  <c r="N261" i="1" s="1"/>
  <c r="E262" i="1"/>
  <c r="M276" i="1"/>
  <c r="N276" i="1" s="1"/>
  <c r="E277" i="1"/>
  <c r="C278" i="1"/>
  <c r="J278" i="1" s="1"/>
  <c r="L277" i="1"/>
  <c r="L262" i="1"/>
  <c r="C263" i="1"/>
  <c r="J263" i="1" s="1"/>
  <c r="D60" i="2"/>
  <c r="D61" i="2"/>
  <c r="D62" i="2"/>
  <c r="D63" i="2"/>
  <c r="D64" i="2"/>
  <c r="C64" i="2"/>
  <c r="J63" i="2" s="1"/>
  <c r="L74" i="2"/>
  <c r="E75" i="2" s="1"/>
  <c r="M75" i="2" s="1"/>
  <c r="N75" i="2" s="1"/>
  <c r="D74" i="2"/>
  <c r="J73" i="2"/>
  <c r="C74" i="2" s="1"/>
  <c r="J83" i="2"/>
  <c r="D80" i="2"/>
  <c r="D81" i="2"/>
  <c r="D79" i="2"/>
  <c r="J78" i="2"/>
  <c r="C79" i="2" s="1"/>
  <c r="J79" i="2" s="1"/>
  <c r="J71" i="2"/>
  <c r="D68" i="2"/>
  <c r="D69" i="2"/>
  <c r="D67" i="2"/>
  <c r="J66" i="2"/>
  <c r="C67" i="2" s="1"/>
  <c r="J67" i="2" s="1"/>
  <c r="C68" i="2" s="1"/>
  <c r="J68" i="2" s="1"/>
  <c r="L68" i="2" s="1"/>
  <c r="J55" i="2"/>
  <c r="M57" i="2"/>
  <c r="N57" i="2" s="1"/>
  <c r="D50" i="2"/>
  <c r="D51" i="2"/>
  <c r="D52" i="2"/>
  <c r="D49" i="2"/>
  <c r="J48" i="2"/>
  <c r="C49" i="2" s="1"/>
  <c r="J49" i="2" s="1"/>
  <c r="L49" i="2" s="1"/>
  <c r="J46" i="2"/>
  <c r="L43" i="2"/>
  <c r="M43" i="2" s="1"/>
  <c r="L44" i="2"/>
  <c r="D44" i="2"/>
  <c r="L40" i="2"/>
  <c r="E41" i="2" s="1"/>
  <c r="D41" i="2"/>
  <c r="L41" i="2"/>
  <c r="E42" i="2" s="1"/>
  <c r="M42" i="2" s="1"/>
  <c r="N42" i="2" s="1"/>
  <c r="D38" i="2"/>
  <c r="L37" i="2"/>
  <c r="L31" i="2"/>
  <c r="L32" i="2"/>
  <c r="L33" i="2"/>
  <c r="L34" i="2"/>
  <c r="L35" i="2"/>
  <c r="D33" i="2"/>
  <c r="D34" i="2"/>
  <c r="D35" i="2"/>
  <c r="D32" i="2"/>
  <c r="C33" i="2"/>
  <c r="C34" i="2"/>
  <c r="C35" i="2"/>
  <c r="C32" i="2"/>
  <c r="L29" i="2"/>
  <c r="D29" i="2"/>
  <c r="C29" i="2"/>
  <c r="L28" i="2"/>
  <c r="M26" i="2"/>
  <c r="N26" i="2" s="1"/>
  <c r="D24" i="2"/>
  <c r="L23" i="2"/>
  <c r="M23" i="2" s="1"/>
  <c r="N23" i="2" s="1"/>
  <c r="M21" i="2"/>
  <c r="N21" i="2" s="1"/>
  <c r="L19" i="2"/>
  <c r="L14" i="2"/>
  <c r="E15" i="2" s="1"/>
  <c r="M15" i="2" s="1"/>
  <c r="N15" i="2" s="1"/>
  <c r="M12" i="2"/>
  <c r="N12" i="2" s="1"/>
  <c r="M10" i="2"/>
  <c r="N10" i="2" s="1"/>
  <c r="D8" i="2"/>
  <c r="L7" i="2"/>
  <c r="E8" i="2" s="1"/>
  <c r="M8" i="2" s="1"/>
  <c r="N8" i="2" s="1"/>
  <c r="M5" i="2"/>
  <c r="N5" i="2" s="1"/>
  <c r="D3" i="2"/>
  <c r="J3" i="2"/>
  <c r="J2" i="2"/>
  <c r="L2" i="2" s="1"/>
  <c r="E3" i="2" s="1"/>
  <c r="D17" i="2"/>
  <c r="C17" i="2"/>
  <c r="L16" i="2"/>
  <c r="E17" i="2" s="1"/>
  <c r="M17" i="2" s="1"/>
  <c r="N17" i="2" s="1"/>
  <c r="L194" i="1"/>
  <c r="M194" i="1" s="1"/>
  <c r="N194" i="1" s="1"/>
  <c r="J195" i="1"/>
  <c r="L195" i="1" s="1"/>
  <c r="M195" i="1" s="1"/>
  <c r="N195" i="1" s="1"/>
  <c r="M191" i="1"/>
  <c r="N191" i="1" s="1"/>
  <c r="M192" i="1"/>
  <c r="N192" i="1" s="1"/>
  <c r="D181" i="1"/>
  <c r="D182" i="1"/>
  <c r="D183" i="1"/>
  <c r="D184" i="1"/>
  <c r="D185" i="1"/>
  <c r="D186" i="1"/>
  <c r="D187" i="1"/>
  <c r="D188" i="1"/>
  <c r="D189" i="1"/>
  <c r="D180" i="1"/>
  <c r="J179" i="1"/>
  <c r="C180" i="1" s="1"/>
  <c r="J180" i="1" s="1"/>
  <c r="D172" i="1"/>
  <c r="D173" i="1"/>
  <c r="D174" i="1"/>
  <c r="D175" i="1"/>
  <c r="D176" i="1"/>
  <c r="D177" i="1"/>
  <c r="D171" i="1"/>
  <c r="J170" i="1"/>
  <c r="L170" i="1" s="1"/>
  <c r="M168" i="1"/>
  <c r="N168" i="1" s="1"/>
  <c r="D166" i="1"/>
  <c r="D165" i="1"/>
  <c r="M166" i="1"/>
  <c r="L164" i="1"/>
  <c r="M164" i="1" s="1"/>
  <c r="N164" i="1" s="1"/>
  <c r="J165" i="1"/>
  <c r="L165" i="1" s="1"/>
  <c r="D162" i="1"/>
  <c r="D161" i="1"/>
  <c r="J160" i="1"/>
  <c r="C161" i="1" s="1"/>
  <c r="J161" i="1" s="1"/>
  <c r="M158" i="1"/>
  <c r="N158" i="1" s="1"/>
  <c r="E20" i="2" l="1"/>
  <c r="M20" i="2" s="1"/>
  <c r="N20" i="2" s="1"/>
  <c r="O19" i="2"/>
  <c r="L46" i="2"/>
  <c r="E47" i="2" s="1"/>
  <c r="C47" i="2"/>
  <c r="J47" i="2" s="1"/>
  <c r="L47" i="2" s="1"/>
  <c r="L3" i="2"/>
  <c r="M3" i="2" s="1"/>
  <c r="N3" i="2" s="1"/>
  <c r="C4" i="2"/>
  <c r="O29" i="2"/>
  <c r="E30" i="2"/>
  <c r="M30" i="2" s="1"/>
  <c r="N30" i="2" s="1"/>
  <c r="L55" i="2"/>
  <c r="E56" i="2" s="1"/>
  <c r="C56" i="2"/>
  <c r="J56" i="2" s="1"/>
  <c r="L56" i="2" s="1"/>
  <c r="M262" i="1"/>
  <c r="N262" i="1" s="1"/>
  <c r="E263" i="1"/>
  <c r="L83" i="2"/>
  <c r="E84" i="2" s="1"/>
  <c r="M84" i="2" s="1"/>
  <c r="N84" i="2" s="1"/>
  <c r="C84" i="2"/>
  <c r="L71" i="2"/>
  <c r="E72" i="2" s="1"/>
  <c r="C72" i="2"/>
  <c r="J72" i="2" s="1"/>
  <c r="L72" i="2" s="1"/>
  <c r="O44" i="2"/>
  <c r="E45" i="2"/>
  <c r="M45" i="2" s="1"/>
  <c r="N45" i="2" s="1"/>
  <c r="O35" i="2"/>
  <c r="E36" i="2"/>
  <c r="M36" i="2" s="1"/>
  <c r="N36" i="2" s="1"/>
  <c r="M277" i="1"/>
  <c r="N277" i="1" s="1"/>
  <c r="E278" i="1"/>
  <c r="L278" i="1"/>
  <c r="C279" i="1"/>
  <c r="C264" i="1"/>
  <c r="J264" i="1" s="1"/>
  <c r="L263" i="1"/>
  <c r="E35" i="2"/>
  <c r="M35" i="2" s="1"/>
  <c r="N35" i="2" s="1"/>
  <c r="O34" i="2"/>
  <c r="E33" i="2"/>
  <c r="M33" i="2" s="1"/>
  <c r="N33" i="2" s="1"/>
  <c r="O32" i="2"/>
  <c r="E29" i="2"/>
  <c r="M29" i="2" s="1"/>
  <c r="N29" i="2" s="1"/>
  <c r="O28" i="2"/>
  <c r="E32" i="2"/>
  <c r="M32" i="2" s="1"/>
  <c r="N32" i="2" s="1"/>
  <c r="O31" i="2"/>
  <c r="M37" i="2"/>
  <c r="N37" i="2" s="1"/>
  <c r="O37" i="2"/>
  <c r="E69" i="2"/>
  <c r="O68" i="2"/>
  <c r="M14" i="2"/>
  <c r="N14" i="2" s="1"/>
  <c r="E50" i="2"/>
  <c r="O49" i="2"/>
  <c r="M83" i="2"/>
  <c r="N83" i="2" s="1"/>
  <c r="E34" i="2"/>
  <c r="M34" i="2" s="1"/>
  <c r="N34" i="2" s="1"/>
  <c r="O33" i="2"/>
  <c r="M19" i="2"/>
  <c r="N19" i="2" s="1"/>
  <c r="L160" i="1"/>
  <c r="E161" i="1" s="1"/>
  <c r="C166" i="1"/>
  <c r="J166" i="1" s="1"/>
  <c r="L180" i="1"/>
  <c r="E181" i="1" s="1"/>
  <c r="C181" i="1"/>
  <c r="J181" i="1" s="1"/>
  <c r="E165" i="1"/>
  <c r="M165" i="1" s="1"/>
  <c r="N165" i="1" s="1"/>
  <c r="L179" i="1"/>
  <c r="M179" i="1" s="1"/>
  <c r="N179" i="1" s="1"/>
  <c r="L66" i="2"/>
  <c r="M41" i="2"/>
  <c r="N41" i="2" s="1"/>
  <c r="L73" i="2"/>
  <c r="E74" i="2" s="1"/>
  <c r="M74" i="2" s="1"/>
  <c r="N74" i="2" s="1"/>
  <c r="M7" i="2"/>
  <c r="N7" i="2" s="1"/>
  <c r="E38" i="2"/>
  <c r="M38" i="2" s="1"/>
  <c r="N38" i="2" s="1"/>
  <c r="M2" i="2"/>
  <c r="N2" i="2" s="1"/>
  <c r="L63" i="2"/>
  <c r="O63" i="2" s="1"/>
  <c r="C63" i="2"/>
  <c r="J62" i="2" s="1"/>
  <c r="L78" i="2"/>
  <c r="L79" i="2"/>
  <c r="O79" i="2" s="1"/>
  <c r="C80" i="2"/>
  <c r="J80" i="2" s="1"/>
  <c r="C81" i="2" s="1"/>
  <c r="J81" i="2" s="1"/>
  <c r="L67" i="2"/>
  <c r="O67" i="2" s="1"/>
  <c r="C69" i="2"/>
  <c r="J69" i="2" s="1"/>
  <c r="E24" i="2"/>
  <c r="M24" i="2" s="1"/>
  <c r="N24" i="2" s="1"/>
  <c r="M40" i="2"/>
  <c r="N40" i="2" s="1"/>
  <c r="M28" i="2"/>
  <c r="N28" i="2" s="1"/>
  <c r="L48" i="2"/>
  <c r="O48" i="2" s="1"/>
  <c r="C50" i="2"/>
  <c r="J50" i="2" s="1"/>
  <c r="C51" i="2" s="1"/>
  <c r="J51" i="2" s="1"/>
  <c r="E44" i="2"/>
  <c r="M44" i="2" s="1"/>
  <c r="N44" i="2" s="1"/>
  <c r="N43" i="2"/>
  <c r="M31" i="2"/>
  <c r="N31" i="2" s="1"/>
  <c r="M16" i="2"/>
  <c r="N16" i="2" s="1"/>
  <c r="L161" i="1"/>
  <c r="C162" i="1"/>
  <c r="J162" i="1" s="1"/>
  <c r="E171" i="1"/>
  <c r="M170" i="1"/>
  <c r="N170" i="1" s="1"/>
  <c r="E166" i="1"/>
  <c r="N166" i="1" s="1"/>
  <c r="C171" i="1"/>
  <c r="J171" i="1" s="1"/>
  <c r="M160" i="1"/>
  <c r="N160" i="1" s="1"/>
  <c r="D149" i="1"/>
  <c r="D150" i="1"/>
  <c r="D151" i="1"/>
  <c r="D152" i="1"/>
  <c r="D153" i="1"/>
  <c r="D154" i="1"/>
  <c r="D148" i="1"/>
  <c r="J147" i="1"/>
  <c r="C148" i="1" s="1"/>
  <c r="J148" i="1" s="1"/>
  <c r="D145" i="1"/>
  <c r="J144" i="1"/>
  <c r="L144" i="1" s="1"/>
  <c r="M142" i="1"/>
  <c r="N142" i="1" s="1"/>
  <c r="D133" i="1"/>
  <c r="D134" i="1"/>
  <c r="D135" i="1"/>
  <c r="D136" i="1"/>
  <c r="D137" i="1"/>
  <c r="D138" i="1"/>
  <c r="D139" i="1"/>
  <c r="D132" i="1"/>
  <c r="J131" i="1"/>
  <c r="C132" i="1" s="1"/>
  <c r="J132" i="1" s="1"/>
  <c r="D124" i="1"/>
  <c r="D125" i="1"/>
  <c r="D126" i="1"/>
  <c r="D127" i="1"/>
  <c r="D128" i="1"/>
  <c r="D129" i="1"/>
  <c r="D123" i="1"/>
  <c r="J122" i="1"/>
  <c r="C123" i="1" s="1"/>
  <c r="J123" i="1" s="1"/>
  <c r="D114" i="1"/>
  <c r="D115" i="1"/>
  <c r="D116" i="1"/>
  <c r="D117" i="1"/>
  <c r="D118" i="1"/>
  <c r="D119" i="1"/>
  <c r="D120" i="1"/>
  <c r="D113" i="1"/>
  <c r="N111" i="1"/>
  <c r="J112" i="1"/>
  <c r="L112" i="1" s="1"/>
  <c r="D109" i="1"/>
  <c r="D110" i="1"/>
  <c r="D108" i="1"/>
  <c r="L108" i="1"/>
  <c r="L109" i="1"/>
  <c r="E110" i="1" s="1"/>
  <c r="M110" i="1" s="1"/>
  <c r="N110" i="1" s="1"/>
  <c r="L107" i="1"/>
  <c r="M107" i="1" s="1"/>
  <c r="N107" i="1" s="1"/>
  <c r="J101" i="1"/>
  <c r="L101" i="1" s="1"/>
  <c r="M96" i="1"/>
  <c r="N96" i="1" s="1"/>
  <c r="D94" i="1"/>
  <c r="D93" i="1"/>
  <c r="J92" i="1"/>
  <c r="L92" i="1" s="1"/>
  <c r="D90" i="1"/>
  <c r="J89" i="1"/>
  <c r="C90" i="1" s="1"/>
  <c r="J90" i="1" s="1"/>
  <c r="L90" i="1" s="1"/>
  <c r="M87" i="1"/>
  <c r="N87" i="1" s="1"/>
  <c r="J86" i="1"/>
  <c r="O46" i="2" l="1"/>
  <c r="M46" i="2"/>
  <c r="N46" i="2" s="1"/>
  <c r="O55" i="2"/>
  <c r="M55" i="2"/>
  <c r="N55" i="2" s="1"/>
  <c r="M47" i="2"/>
  <c r="N47" i="2" s="1"/>
  <c r="O47" i="2"/>
  <c r="M56" i="2"/>
  <c r="N56" i="2" s="1"/>
  <c r="O56" i="2"/>
  <c r="O3" i="2"/>
  <c r="E4" i="2"/>
  <c r="M4" i="2" s="1"/>
  <c r="N4" i="2" s="1"/>
  <c r="O72" i="2"/>
  <c r="M72" i="2"/>
  <c r="N72" i="2" s="1"/>
  <c r="M71" i="2"/>
  <c r="N71" i="2" s="1"/>
  <c r="L69" i="2"/>
  <c r="E70" i="2" s="1"/>
  <c r="C70" i="2"/>
  <c r="J70" i="2" s="1"/>
  <c r="L70" i="2" s="1"/>
  <c r="L81" i="2"/>
  <c r="C82" i="2"/>
  <c r="J82" i="2" s="1"/>
  <c r="L82" i="2" s="1"/>
  <c r="O83" i="2"/>
  <c r="O71" i="2"/>
  <c r="M278" i="1"/>
  <c r="N278" i="1" s="1"/>
  <c r="E279" i="1"/>
  <c r="J280" i="1"/>
  <c r="M263" i="1"/>
  <c r="N263" i="1" s="1"/>
  <c r="E264" i="1"/>
  <c r="L264" i="1"/>
  <c r="C265" i="1"/>
  <c r="J265" i="1" s="1"/>
  <c r="M78" i="2"/>
  <c r="N78" i="2" s="1"/>
  <c r="O78" i="2"/>
  <c r="E67" i="2"/>
  <c r="M67" i="2" s="1"/>
  <c r="N67" i="2" s="1"/>
  <c r="O66" i="2"/>
  <c r="L122" i="1"/>
  <c r="M122" i="1" s="1"/>
  <c r="N122" i="1" s="1"/>
  <c r="C113" i="1"/>
  <c r="J113" i="1" s="1"/>
  <c r="C114" i="1" s="1"/>
  <c r="J114" i="1" s="1"/>
  <c r="L89" i="1"/>
  <c r="E90" i="1" s="1"/>
  <c r="M90" i="1" s="1"/>
  <c r="N90" i="1" s="1"/>
  <c r="E108" i="1"/>
  <c r="M108" i="1" s="1"/>
  <c r="N108" i="1" s="1"/>
  <c r="E180" i="1"/>
  <c r="M180" i="1" s="1"/>
  <c r="N180" i="1" s="1"/>
  <c r="C182" i="1"/>
  <c r="J182" i="1" s="1"/>
  <c r="L181" i="1"/>
  <c r="M66" i="2"/>
  <c r="N66" i="2" s="1"/>
  <c r="M73" i="2"/>
  <c r="N73" i="2" s="1"/>
  <c r="E64" i="2"/>
  <c r="M64" i="2" s="1"/>
  <c r="N64" i="2" s="1"/>
  <c r="C62" i="2"/>
  <c r="J61" i="2" s="1"/>
  <c r="L62" i="2"/>
  <c r="O62" i="2" s="1"/>
  <c r="E79" i="2"/>
  <c r="M79" i="2" s="1"/>
  <c r="N79" i="2" s="1"/>
  <c r="L80" i="2"/>
  <c r="E80" i="2"/>
  <c r="E68" i="2"/>
  <c r="M68" i="2" s="1"/>
  <c r="N68" i="2" s="1"/>
  <c r="L50" i="2"/>
  <c r="E49" i="2"/>
  <c r="M49" i="2" s="1"/>
  <c r="N49" i="2" s="1"/>
  <c r="M48" i="2"/>
  <c r="N48" i="2" s="1"/>
  <c r="C52" i="2"/>
  <c r="J52" i="2" s="1"/>
  <c r="L51" i="2"/>
  <c r="O51" i="2" s="1"/>
  <c r="C124" i="1"/>
  <c r="J124" i="1" s="1"/>
  <c r="C125" i="1" s="1"/>
  <c r="J125" i="1" s="1"/>
  <c r="L125" i="1" s="1"/>
  <c r="L123" i="1"/>
  <c r="E124" i="1" s="1"/>
  <c r="C149" i="1"/>
  <c r="J149" i="1" s="1"/>
  <c r="L148" i="1"/>
  <c r="E102" i="1"/>
  <c r="M102" i="1" s="1"/>
  <c r="N102" i="1" s="1"/>
  <c r="M101" i="1"/>
  <c r="N101" i="1" s="1"/>
  <c r="E113" i="1"/>
  <c r="M112" i="1"/>
  <c r="N112" i="1" s="1"/>
  <c r="E145" i="1"/>
  <c r="M145" i="1" s="1"/>
  <c r="N145" i="1" s="1"/>
  <c r="M144" i="1"/>
  <c r="N144" i="1" s="1"/>
  <c r="E93" i="1"/>
  <c r="M92" i="1"/>
  <c r="N92" i="1" s="1"/>
  <c r="L132" i="1"/>
  <c r="C133" i="1"/>
  <c r="J133" i="1" s="1"/>
  <c r="L133" i="1" s="1"/>
  <c r="E134" i="1" s="1"/>
  <c r="C93" i="1"/>
  <c r="J93" i="1" s="1"/>
  <c r="L131" i="1"/>
  <c r="L147" i="1"/>
  <c r="L171" i="1"/>
  <c r="C172" i="1"/>
  <c r="J172" i="1" s="1"/>
  <c r="C102" i="1"/>
  <c r="C145" i="1"/>
  <c r="E109" i="1"/>
  <c r="M109" i="1" s="1"/>
  <c r="N109" i="1" s="1"/>
  <c r="M161" i="1"/>
  <c r="N161" i="1" s="1"/>
  <c r="E162" i="1"/>
  <c r="M162" i="1" s="1"/>
  <c r="N162" i="1" s="1"/>
  <c r="D84" i="1"/>
  <c r="J83" i="1"/>
  <c r="L83" i="1" s="1"/>
  <c r="D81" i="1"/>
  <c r="J80" i="1"/>
  <c r="L80" i="1" s="1"/>
  <c r="L78" i="1"/>
  <c r="D78" i="1"/>
  <c r="C78" i="1"/>
  <c r="J74" i="1"/>
  <c r="L74" i="1" s="1"/>
  <c r="M74" i="1" s="1"/>
  <c r="N74" i="1" s="1"/>
  <c r="M72" i="1"/>
  <c r="N72" i="1" s="1"/>
  <c r="M70" i="1"/>
  <c r="N70" i="1" s="1"/>
  <c r="D68" i="1"/>
  <c r="D69" i="1"/>
  <c r="D67" i="1"/>
  <c r="L67" i="1"/>
  <c r="E68" i="1" s="1"/>
  <c r="L68" i="1"/>
  <c r="L66" i="1"/>
  <c r="M66" i="1" s="1"/>
  <c r="N66" i="1" s="1"/>
  <c r="C68" i="1"/>
  <c r="C69" i="1"/>
  <c r="C67" i="1"/>
  <c r="D64" i="1"/>
  <c r="D63" i="1"/>
  <c r="J62" i="1"/>
  <c r="L62" i="1" s="1"/>
  <c r="L57" i="1"/>
  <c r="L60" i="1"/>
  <c r="M60" i="1" s="1"/>
  <c r="N60" i="1" s="1"/>
  <c r="O57" i="1" l="1"/>
  <c r="P57" i="1" s="1"/>
  <c r="M89" i="1"/>
  <c r="N89" i="1" s="1"/>
  <c r="O82" i="2"/>
  <c r="M69" i="2"/>
  <c r="N69" i="2" s="1"/>
  <c r="O70" i="2"/>
  <c r="M70" i="2"/>
  <c r="N70" i="2" s="1"/>
  <c r="O69" i="2"/>
  <c r="O81" i="2"/>
  <c r="E82" i="2"/>
  <c r="M82" i="2" s="1"/>
  <c r="N82" i="2" s="1"/>
  <c r="L52" i="2"/>
  <c r="C53" i="2"/>
  <c r="M279" i="1"/>
  <c r="N279" i="1" s="1"/>
  <c r="C281" i="1"/>
  <c r="J281" i="1" s="1"/>
  <c r="M264" i="1"/>
  <c r="N264" i="1" s="1"/>
  <c r="E265" i="1"/>
  <c r="M265" i="1" s="1"/>
  <c r="N265" i="1" s="1"/>
  <c r="L113" i="1"/>
  <c r="M113" i="1" s="1"/>
  <c r="N113" i="1" s="1"/>
  <c r="M50" i="2"/>
  <c r="N50" i="2" s="1"/>
  <c r="O50" i="2"/>
  <c r="E123" i="1"/>
  <c r="M123" i="1" s="1"/>
  <c r="N123" i="1" s="1"/>
  <c r="E81" i="2"/>
  <c r="M81" i="2" s="1"/>
  <c r="N81" i="2" s="1"/>
  <c r="O80" i="2"/>
  <c r="C134" i="1"/>
  <c r="J134" i="1" s="1"/>
  <c r="C135" i="1" s="1"/>
  <c r="J135" i="1" s="1"/>
  <c r="L182" i="1"/>
  <c r="C183" i="1"/>
  <c r="J183" i="1" s="1"/>
  <c r="L77" i="1"/>
  <c r="E182" i="1"/>
  <c r="M181" i="1"/>
  <c r="N181" i="1" s="1"/>
  <c r="E63" i="2"/>
  <c r="M63" i="2" s="1"/>
  <c r="N63" i="2" s="1"/>
  <c r="C61" i="2"/>
  <c r="J60" i="2" s="1"/>
  <c r="L61" i="2"/>
  <c r="O61" i="2" s="1"/>
  <c r="M80" i="2"/>
  <c r="N80" i="2" s="1"/>
  <c r="E51" i="2"/>
  <c r="M51" i="2" s="1"/>
  <c r="N51" i="2" s="1"/>
  <c r="E52" i="2"/>
  <c r="M68" i="1"/>
  <c r="N68" i="1" s="1"/>
  <c r="E69" i="1"/>
  <c r="M69" i="1" s="1"/>
  <c r="N69" i="1" s="1"/>
  <c r="L124" i="1"/>
  <c r="M124" i="1" s="1"/>
  <c r="N124" i="1" s="1"/>
  <c r="E63" i="1"/>
  <c r="M62" i="1"/>
  <c r="N62" i="1" s="1"/>
  <c r="E84" i="1"/>
  <c r="M84" i="1" s="1"/>
  <c r="N84" i="1" s="1"/>
  <c r="M83" i="1"/>
  <c r="N83" i="1" s="1"/>
  <c r="E81" i="1"/>
  <c r="M80" i="1"/>
  <c r="N80" i="1" s="1"/>
  <c r="C84" i="1"/>
  <c r="M171" i="1"/>
  <c r="N171" i="1" s="1"/>
  <c r="E172" i="1"/>
  <c r="C63" i="1"/>
  <c r="J63" i="1" s="1"/>
  <c r="C81" i="1"/>
  <c r="J81" i="1" s="1"/>
  <c r="L81" i="1" s="1"/>
  <c r="M147" i="1"/>
  <c r="N147" i="1" s="1"/>
  <c r="E148" i="1"/>
  <c r="M148" i="1" s="1"/>
  <c r="N148" i="1" s="1"/>
  <c r="E67" i="1"/>
  <c r="M67" i="1" s="1"/>
  <c r="N67" i="1" s="1"/>
  <c r="L172" i="1"/>
  <c r="C173" i="1"/>
  <c r="J173" i="1" s="1"/>
  <c r="E133" i="1"/>
  <c r="M133" i="1" s="1"/>
  <c r="N133" i="1" s="1"/>
  <c r="E149" i="1"/>
  <c r="E75" i="1"/>
  <c r="C126" i="1"/>
  <c r="J126" i="1" s="1"/>
  <c r="C127" i="1" s="1"/>
  <c r="J127" i="1" s="1"/>
  <c r="L93" i="1"/>
  <c r="C94" i="1"/>
  <c r="J94" i="1" s="1"/>
  <c r="C150" i="1"/>
  <c r="J150" i="1" s="1"/>
  <c r="L149" i="1"/>
  <c r="E132" i="1"/>
  <c r="M132" i="1" s="1"/>
  <c r="N132" i="1" s="1"/>
  <c r="M131" i="1"/>
  <c r="N131" i="1" s="1"/>
  <c r="L114" i="1"/>
  <c r="C115" i="1"/>
  <c r="J115" i="1" s="1"/>
  <c r="E126" i="1"/>
  <c r="D57" i="1"/>
  <c r="D56" i="1"/>
  <c r="C56" i="1"/>
  <c r="J56" i="1" s="1"/>
  <c r="L55" i="1"/>
  <c r="L49" i="1"/>
  <c r="M49" i="1" s="1"/>
  <c r="N49" i="1" s="1"/>
  <c r="L47" i="1"/>
  <c r="C45" i="1"/>
  <c r="J45" i="1" s="1"/>
  <c r="D45" i="1"/>
  <c r="D46" i="1"/>
  <c r="D47" i="1"/>
  <c r="D41" i="1"/>
  <c r="D42" i="1"/>
  <c r="D40" i="1"/>
  <c r="C40" i="1"/>
  <c r="J40" i="1" s="1"/>
  <c r="C41" i="1" s="1"/>
  <c r="J41" i="1" s="1"/>
  <c r="L42" i="1"/>
  <c r="O42" i="1" s="1"/>
  <c r="P42" i="1" s="1"/>
  <c r="L37" i="1"/>
  <c r="O37" i="1" s="1"/>
  <c r="P37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2" i="1"/>
  <c r="C22" i="1"/>
  <c r="J22" i="1" s="1"/>
  <c r="D19" i="1"/>
  <c r="D18" i="1"/>
  <c r="C18" i="1"/>
  <c r="J18" i="1" s="1"/>
  <c r="D15" i="1"/>
  <c r="L15" i="1"/>
  <c r="O15" i="1" s="1"/>
  <c r="P15" i="1" s="1"/>
  <c r="D14" i="1"/>
  <c r="L13" i="1"/>
  <c r="M13" i="1" s="1"/>
  <c r="N13" i="1" s="1"/>
  <c r="D11" i="1"/>
  <c r="C11" i="1"/>
  <c r="L10" i="1"/>
  <c r="L11" i="1"/>
  <c r="O11" i="1" s="1"/>
  <c r="P11" i="1" s="1"/>
  <c r="D10" i="1"/>
  <c r="C10" i="1"/>
  <c r="L9" i="1"/>
  <c r="M9" i="1" s="1"/>
  <c r="N9" i="1" s="1"/>
  <c r="L3" i="1"/>
  <c r="L4" i="1"/>
  <c r="L5" i="1"/>
  <c r="L6" i="1"/>
  <c r="L7" i="1"/>
  <c r="L2" i="1"/>
  <c r="D4" i="1"/>
  <c r="D5" i="1"/>
  <c r="D6" i="1"/>
  <c r="D7" i="1"/>
  <c r="C4" i="1"/>
  <c r="C5" i="1"/>
  <c r="C6" i="1"/>
  <c r="C7" i="1"/>
  <c r="D3" i="1"/>
  <c r="O7" i="1" l="1"/>
  <c r="P7" i="1" s="1"/>
  <c r="E4" i="1"/>
  <c r="E6" i="1"/>
  <c r="M6" i="1" s="1"/>
  <c r="N6" i="1" s="1"/>
  <c r="O47" i="1"/>
  <c r="P47" i="1" s="1"/>
  <c r="E7" i="1"/>
  <c r="M7" i="1" s="1"/>
  <c r="N7" i="1" s="1"/>
  <c r="E3" i="1"/>
  <c r="M3" i="1" s="1"/>
  <c r="N3" i="1" s="1"/>
  <c r="M2" i="1"/>
  <c r="N2" i="1" s="1"/>
  <c r="E5" i="1"/>
  <c r="M5" i="1" s="1"/>
  <c r="N5" i="1" s="1"/>
  <c r="M4" i="1"/>
  <c r="N4" i="1" s="1"/>
  <c r="E56" i="1"/>
  <c r="M55" i="1"/>
  <c r="N55" i="1" s="1"/>
  <c r="E78" i="1"/>
  <c r="M78" i="1" s="1"/>
  <c r="N78" i="1" s="1"/>
  <c r="M77" i="1"/>
  <c r="N77" i="1" s="1"/>
  <c r="E114" i="1"/>
  <c r="M114" i="1" s="1"/>
  <c r="N114" i="1" s="1"/>
  <c r="L134" i="1"/>
  <c r="E135" i="1" s="1"/>
  <c r="E125" i="1"/>
  <c r="M125" i="1" s="1"/>
  <c r="N125" i="1" s="1"/>
  <c r="O52" i="2"/>
  <c r="E53" i="2"/>
  <c r="M53" i="2" s="1"/>
  <c r="N53" i="2" s="1"/>
  <c r="M52" i="2"/>
  <c r="N52" i="2" s="1"/>
  <c r="E281" i="1"/>
  <c r="C282" i="1"/>
  <c r="J282" i="1" s="1"/>
  <c r="L281" i="1"/>
  <c r="L44" i="1"/>
  <c r="M44" i="1" s="1"/>
  <c r="N44" i="1" s="1"/>
  <c r="E10" i="1"/>
  <c r="M172" i="1"/>
  <c r="N172" i="1" s="1"/>
  <c r="C14" i="1"/>
  <c r="J14" i="1" s="1"/>
  <c r="L14" i="1" s="1"/>
  <c r="L21" i="1"/>
  <c r="M21" i="1" s="1"/>
  <c r="N21" i="1" s="1"/>
  <c r="L126" i="1"/>
  <c r="M126" i="1" s="1"/>
  <c r="N126" i="1" s="1"/>
  <c r="L183" i="1"/>
  <c r="C184" i="1"/>
  <c r="J184" i="1" s="1"/>
  <c r="M182" i="1"/>
  <c r="N182" i="1" s="1"/>
  <c r="E183" i="1"/>
  <c r="E62" i="2"/>
  <c r="M62" i="2" s="1"/>
  <c r="N62" i="2" s="1"/>
  <c r="C60" i="2"/>
  <c r="J59" i="2" s="1"/>
  <c r="L59" i="2" s="1"/>
  <c r="O59" i="2" s="1"/>
  <c r="L60" i="2"/>
  <c r="O60" i="2" s="1"/>
  <c r="M10" i="1"/>
  <c r="N10" i="1" s="1"/>
  <c r="C57" i="1"/>
  <c r="L56" i="1"/>
  <c r="M56" i="1" s="1"/>
  <c r="C15" i="1"/>
  <c r="C19" i="1"/>
  <c r="L19" i="1" s="1"/>
  <c r="O19" i="1" s="1"/>
  <c r="P19" i="1" s="1"/>
  <c r="L18" i="1"/>
  <c r="C23" i="1"/>
  <c r="J23" i="1" s="1"/>
  <c r="L22" i="1"/>
  <c r="E23" i="1" s="1"/>
  <c r="E14" i="1"/>
  <c r="C46" i="1"/>
  <c r="J46" i="1" s="1"/>
  <c r="L46" i="1" s="1"/>
  <c r="L45" i="1"/>
  <c r="L115" i="1"/>
  <c r="E116" i="1" s="1"/>
  <c r="C116" i="1"/>
  <c r="J116" i="1" s="1"/>
  <c r="E94" i="1"/>
  <c r="M94" i="1" s="1"/>
  <c r="N94" i="1" s="1"/>
  <c r="M93" i="1"/>
  <c r="N93" i="1" s="1"/>
  <c r="L173" i="1"/>
  <c r="C174" i="1"/>
  <c r="J174" i="1" s="1"/>
  <c r="E11" i="1"/>
  <c r="M11" i="1" s="1"/>
  <c r="N11" i="1" s="1"/>
  <c r="L17" i="1"/>
  <c r="M17" i="1" s="1"/>
  <c r="N17" i="1" s="1"/>
  <c r="L39" i="1"/>
  <c r="M39" i="1" s="1"/>
  <c r="E115" i="1"/>
  <c r="E150" i="1"/>
  <c r="M149" i="1"/>
  <c r="N149" i="1" s="1"/>
  <c r="E173" i="1"/>
  <c r="L63" i="1"/>
  <c r="M63" i="1" s="1"/>
  <c r="C64" i="1"/>
  <c r="C151" i="1"/>
  <c r="J151" i="1" s="1"/>
  <c r="L150" i="1"/>
  <c r="M75" i="1"/>
  <c r="N75" i="1" s="1"/>
  <c r="M81" i="1"/>
  <c r="N81" i="1" s="1"/>
  <c r="L135" i="1"/>
  <c r="C136" i="1"/>
  <c r="J136" i="1" s="1"/>
  <c r="C128" i="1"/>
  <c r="J128" i="1" s="1"/>
  <c r="L127" i="1"/>
  <c r="C42" i="1"/>
  <c r="L41" i="1"/>
  <c r="E42" i="1" s="1"/>
  <c r="M42" i="1" s="1"/>
  <c r="N42" i="1" s="1"/>
  <c r="L40" i="1"/>
  <c r="M134" i="1" l="1"/>
  <c r="N134" i="1" s="1"/>
  <c r="M281" i="1"/>
  <c r="N281" i="1" s="1"/>
  <c r="E282" i="1"/>
  <c r="L282" i="1"/>
  <c r="C283" i="1"/>
  <c r="J283" i="1" s="1"/>
  <c r="C47" i="1"/>
  <c r="E45" i="1"/>
  <c r="M45" i="1" s="1"/>
  <c r="N45" i="1" s="1"/>
  <c r="E22" i="1"/>
  <c r="M22" i="1" s="1"/>
  <c r="N22" i="1" s="1"/>
  <c r="E127" i="1"/>
  <c r="M127" i="1" s="1"/>
  <c r="N127" i="1" s="1"/>
  <c r="M173" i="1"/>
  <c r="N173" i="1" s="1"/>
  <c r="E184" i="1"/>
  <c r="M183" i="1"/>
  <c r="N183" i="1" s="1"/>
  <c r="C185" i="1"/>
  <c r="J185" i="1" s="1"/>
  <c r="L184" i="1"/>
  <c r="E61" i="2"/>
  <c r="M61" i="2" s="1"/>
  <c r="N61" i="2" s="1"/>
  <c r="E60" i="2"/>
  <c r="M60" i="2" s="1"/>
  <c r="N60" i="2" s="1"/>
  <c r="M59" i="2"/>
  <c r="N59" i="2" s="1"/>
  <c r="E47" i="1"/>
  <c r="M47" i="1" s="1"/>
  <c r="N47" i="1" s="1"/>
  <c r="C117" i="1"/>
  <c r="J117" i="1" s="1"/>
  <c r="L116" i="1"/>
  <c r="E41" i="1"/>
  <c r="M41" i="1" s="1"/>
  <c r="N41" i="1" s="1"/>
  <c r="E151" i="1"/>
  <c r="M150" i="1"/>
  <c r="N150" i="1" s="1"/>
  <c r="N56" i="1"/>
  <c r="E57" i="1"/>
  <c r="E46" i="1"/>
  <c r="M46" i="1" s="1"/>
  <c r="N46" i="1" s="1"/>
  <c r="E15" i="1"/>
  <c r="M15" i="1" s="1"/>
  <c r="N15" i="1" s="1"/>
  <c r="M14" i="1"/>
  <c r="N14" i="1" s="1"/>
  <c r="N39" i="1"/>
  <c r="E40" i="1"/>
  <c r="M40" i="1" s="1"/>
  <c r="N40" i="1" s="1"/>
  <c r="C175" i="1"/>
  <c r="J175" i="1" s="1"/>
  <c r="L174" i="1"/>
  <c r="L23" i="1"/>
  <c r="E24" i="1" s="1"/>
  <c r="C24" i="1"/>
  <c r="J24" i="1" s="1"/>
  <c r="E64" i="1"/>
  <c r="M64" i="1" s="1"/>
  <c r="N64" i="1" s="1"/>
  <c r="N63" i="1"/>
  <c r="E18" i="1"/>
  <c r="M18" i="1" s="1"/>
  <c r="N18" i="1" s="1"/>
  <c r="E174" i="1"/>
  <c r="E19" i="1"/>
  <c r="M19" i="1" s="1"/>
  <c r="N19" i="1" s="1"/>
  <c r="L151" i="1"/>
  <c r="C152" i="1"/>
  <c r="J152" i="1" s="1"/>
  <c r="M115" i="1"/>
  <c r="N115" i="1" s="1"/>
  <c r="C137" i="1"/>
  <c r="J137" i="1" s="1"/>
  <c r="L136" i="1"/>
  <c r="E136" i="1"/>
  <c r="M135" i="1"/>
  <c r="N135" i="1" s="1"/>
  <c r="E128" i="1"/>
  <c r="C129" i="1"/>
  <c r="J129" i="1" s="1"/>
  <c r="L128" i="1"/>
  <c r="M57" i="1" l="1"/>
  <c r="N57" i="1" s="1"/>
  <c r="M282" i="1"/>
  <c r="N282" i="1" s="1"/>
  <c r="E283" i="1"/>
  <c r="L283" i="1"/>
  <c r="C284" i="1"/>
  <c r="J284" i="1" s="1"/>
  <c r="L284" i="1" s="1"/>
  <c r="M174" i="1"/>
  <c r="N174" i="1" s="1"/>
  <c r="E185" i="1"/>
  <c r="M184" i="1"/>
  <c r="N184" i="1" s="1"/>
  <c r="C186" i="1"/>
  <c r="J186" i="1" s="1"/>
  <c r="L185" i="1"/>
  <c r="M23" i="1"/>
  <c r="N23" i="1" s="1"/>
  <c r="E152" i="1"/>
  <c r="M151" i="1"/>
  <c r="N151" i="1" s="1"/>
  <c r="C153" i="1"/>
  <c r="J153" i="1" s="1"/>
  <c r="L152" i="1"/>
  <c r="M116" i="1"/>
  <c r="N116" i="1" s="1"/>
  <c r="E117" i="1"/>
  <c r="E175" i="1"/>
  <c r="C118" i="1"/>
  <c r="J118" i="1" s="1"/>
  <c r="L117" i="1"/>
  <c r="C176" i="1"/>
  <c r="J176" i="1" s="1"/>
  <c r="L175" i="1"/>
  <c r="L24" i="1"/>
  <c r="C25" i="1"/>
  <c r="J25" i="1" s="1"/>
  <c r="M136" i="1"/>
  <c r="N136" i="1" s="1"/>
  <c r="E137" i="1"/>
  <c r="L137" i="1"/>
  <c r="C138" i="1"/>
  <c r="J138" i="1" s="1"/>
  <c r="M128" i="1"/>
  <c r="N128" i="1" s="1"/>
  <c r="E129" i="1"/>
  <c r="M129" i="1" s="1"/>
  <c r="N129" i="1" s="1"/>
  <c r="M283" i="1" l="1"/>
  <c r="N283" i="1" s="1"/>
  <c r="E284" i="1"/>
  <c r="M284" i="1" s="1"/>
  <c r="N284" i="1" s="1"/>
  <c r="M175" i="1"/>
  <c r="N175" i="1" s="1"/>
  <c r="E186" i="1"/>
  <c r="M185" i="1"/>
  <c r="N185" i="1" s="1"/>
  <c r="C187" i="1"/>
  <c r="J187" i="1" s="1"/>
  <c r="L186" i="1"/>
  <c r="C177" i="1"/>
  <c r="J177" i="1" s="1"/>
  <c r="L177" i="1" s="1"/>
  <c r="L176" i="1"/>
  <c r="E176" i="1"/>
  <c r="E153" i="1"/>
  <c r="M152" i="1"/>
  <c r="N152" i="1" s="1"/>
  <c r="L153" i="1"/>
  <c r="C154" i="1"/>
  <c r="L154" i="1" s="1"/>
  <c r="L25" i="1"/>
  <c r="C26" i="1"/>
  <c r="J26" i="1" s="1"/>
  <c r="M117" i="1"/>
  <c r="N117" i="1" s="1"/>
  <c r="E118" i="1"/>
  <c r="E25" i="1"/>
  <c r="M24" i="1"/>
  <c r="N24" i="1" s="1"/>
  <c r="C119" i="1"/>
  <c r="J119" i="1" s="1"/>
  <c r="L118" i="1"/>
  <c r="L138" i="1"/>
  <c r="C139" i="1"/>
  <c r="L139" i="1" s="1"/>
  <c r="E138" i="1"/>
  <c r="M137" i="1"/>
  <c r="N137" i="1" s="1"/>
  <c r="M176" i="1" l="1"/>
  <c r="N176" i="1" s="1"/>
  <c r="M186" i="1"/>
  <c r="N186" i="1" s="1"/>
  <c r="E187" i="1"/>
  <c r="C188" i="1"/>
  <c r="J188" i="1" s="1"/>
  <c r="L187" i="1"/>
  <c r="M153" i="1"/>
  <c r="N153" i="1" s="1"/>
  <c r="E154" i="1"/>
  <c r="M154" i="1" s="1"/>
  <c r="N154" i="1" s="1"/>
  <c r="M118" i="1"/>
  <c r="N118" i="1" s="1"/>
  <c r="E119" i="1"/>
  <c r="C120" i="1"/>
  <c r="L119" i="1"/>
  <c r="L26" i="1"/>
  <c r="C27" i="1"/>
  <c r="J27" i="1" s="1"/>
  <c r="E177" i="1"/>
  <c r="M177" i="1" s="1"/>
  <c r="N177" i="1" s="1"/>
  <c r="E26" i="1"/>
  <c r="M25" i="1"/>
  <c r="N25" i="1" s="1"/>
  <c r="E139" i="1"/>
  <c r="M139" i="1" s="1"/>
  <c r="N139" i="1" s="1"/>
  <c r="M138" i="1"/>
  <c r="N138" i="1" s="1"/>
  <c r="M187" i="1" l="1"/>
  <c r="N187" i="1" s="1"/>
  <c r="E188" i="1"/>
  <c r="C189" i="1"/>
  <c r="L188" i="1"/>
  <c r="E27" i="1"/>
  <c r="M26" i="1"/>
  <c r="N26" i="1" s="1"/>
  <c r="M119" i="1"/>
  <c r="N119" i="1" s="1"/>
  <c r="E120" i="1"/>
  <c r="M120" i="1" s="1"/>
  <c r="N120" i="1" s="1"/>
  <c r="L27" i="1"/>
  <c r="C28" i="1"/>
  <c r="J28" i="1" s="1"/>
  <c r="M188" i="1" l="1"/>
  <c r="N188" i="1" s="1"/>
  <c r="E189" i="1"/>
  <c r="M189" i="1" s="1"/>
  <c r="N189" i="1" s="1"/>
  <c r="C29" i="1"/>
  <c r="J29" i="1" s="1"/>
  <c r="L28" i="1"/>
  <c r="M27" i="1"/>
  <c r="N27" i="1" s="1"/>
  <c r="E28" i="1"/>
  <c r="E29" i="1" l="1"/>
  <c r="M28" i="1"/>
  <c r="N28" i="1" s="1"/>
  <c r="C30" i="1"/>
  <c r="J30" i="1" s="1"/>
  <c r="L29" i="1"/>
  <c r="C31" i="1" l="1"/>
  <c r="J31" i="1" s="1"/>
  <c r="L30" i="1"/>
  <c r="M29" i="1"/>
  <c r="N29" i="1" s="1"/>
  <c r="E30" i="1"/>
  <c r="E31" i="1" l="1"/>
  <c r="M30" i="1"/>
  <c r="N30" i="1" s="1"/>
  <c r="L31" i="1"/>
  <c r="C32" i="1"/>
  <c r="J32" i="1" s="1"/>
  <c r="L32" i="1" l="1"/>
  <c r="C33" i="1"/>
  <c r="J33" i="1" s="1"/>
  <c r="E32" i="1"/>
  <c r="M31" i="1"/>
  <c r="N31" i="1" s="1"/>
  <c r="C34" i="1" l="1"/>
  <c r="J34" i="1" s="1"/>
  <c r="L33" i="1"/>
  <c r="E33" i="1"/>
  <c r="M32" i="1"/>
  <c r="N32" i="1" s="1"/>
  <c r="M33" i="1" l="1"/>
  <c r="N33" i="1" s="1"/>
  <c r="E34" i="1"/>
  <c r="L34" i="1"/>
  <c r="C35" i="1"/>
  <c r="J35" i="1" s="1"/>
  <c r="L35" i="1" l="1"/>
  <c r="C36" i="1"/>
  <c r="J36" i="1" s="1"/>
  <c r="E35" i="1"/>
  <c r="M34" i="1"/>
  <c r="N34" i="1" s="1"/>
  <c r="L36" i="1" l="1"/>
  <c r="C37" i="1"/>
  <c r="M35" i="1"/>
  <c r="N35" i="1" s="1"/>
  <c r="E36" i="1"/>
  <c r="M36" i="1" l="1"/>
  <c r="N36" i="1" s="1"/>
  <c r="E37" i="1"/>
  <c r="M37" i="1" s="1"/>
  <c r="N37" i="1" s="1"/>
</calcChain>
</file>

<file path=xl/comments1.xml><?xml version="1.0" encoding="utf-8"?>
<comments xmlns="http://schemas.openxmlformats.org/spreadsheetml/2006/main">
  <authors>
    <author>Smith, D. R.</author>
  </authors>
  <commentList>
    <comment ref="F357" authorId="0" shapeId="0">
      <text>
        <r>
          <rPr>
            <b/>
            <sz val="9"/>
            <color indexed="81"/>
            <rFont val="Tahoma"/>
            <family val="2"/>
          </rPr>
          <t>Smith, D. R.: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<sst xmlns="http://schemas.openxmlformats.org/spreadsheetml/2006/main" count="727" uniqueCount="188">
  <si>
    <t>TWCUXx</t>
  </si>
  <si>
    <t>Initial Shares</t>
  </si>
  <si>
    <t>Price</t>
  </si>
  <si>
    <t>Total</t>
  </si>
  <si>
    <t>dvd sh</t>
  </si>
  <si>
    <t>dvd $$</t>
  </si>
  <si>
    <t>End Yr Sh</t>
  </si>
  <si>
    <t>End Yr $</t>
  </si>
  <si>
    <t>End Yr Sh$</t>
  </si>
  <si>
    <t>buy # sh</t>
  </si>
  <si>
    <t>buy $$</t>
  </si>
  <si>
    <t>Net Gain/Loss</t>
  </si>
  <si>
    <t>Pct G/L</t>
  </si>
  <si>
    <t>TXN</t>
  </si>
  <si>
    <t>OAKMX</t>
  </si>
  <si>
    <t>NBGNX</t>
  </si>
  <si>
    <t>RYPRX</t>
  </si>
  <si>
    <t>SAFQX</t>
  </si>
  <si>
    <t>BARAX</t>
  </si>
  <si>
    <t>TGNT</t>
  </si>
  <si>
    <t>DELL</t>
  </si>
  <si>
    <t>DTLGX</t>
  </si>
  <si>
    <t>CACI</t>
  </si>
  <si>
    <t>PRASX</t>
  </si>
  <si>
    <t>BRK.B</t>
  </si>
  <si>
    <t>CYCO</t>
  </si>
  <si>
    <t>ARTIX</t>
  </si>
  <si>
    <t>RSEGX</t>
  </si>
  <si>
    <t>TMGFX</t>
  </si>
  <si>
    <t>JAWWX</t>
  </si>
  <si>
    <t>RIAFX</t>
  </si>
  <si>
    <t>SENTX</t>
  </si>
  <si>
    <t>BEL</t>
  </si>
  <si>
    <t>ORCL</t>
  </si>
  <si>
    <t>JORNX</t>
  </si>
  <si>
    <t>PVII</t>
  </si>
  <si>
    <t>INTC</t>
  </si>
  <si>
    <t>VIVAX</t>
  </si>
  <si>
    <t>OAKLX</t>
  </si>
  <si>
    <t>WVALX</t>
  </si>
  <si>
    <t>T</t>
  </si>
  <si>
    <t>DMCVX</t>
  </si>
  <si>
    <t>WGROX</t>
  </si>
  <si>
    <t>AOL</t>
  </si>
  <si>
    <t>GE</t>
  </si>
  <si>
    <t>HD</t>
  </si>
  <si>
    <t>BRAGX</t>
  </si>
  <si>
    <t>CMCSK</t>
  </si>
  <si>
    <t>JDSU</t>
  </si>
  <si>
    <t>AAPL</t>
  </si>
  <si>
    <t>AMBA</t>
  </si>
  <si>
    <t>ANET</t>
  </si>
  <si>
    <t>BBVA</t>
  </si>
  <si>
    <t>BCS</t>
  </si>
  <si>
    <t>BIDU</t>
  </si>
  <si>
    <t>CVX</t>
  </si>
  <si>
    <t>DEO</t>
  </si>
  <si>
    <t>GOOG</t>
  </si>
  <si>
    <t>GPT</t>
  </si>
  <si>
    <t>ITM</t>
  </si>
  <si>
    <t>JNJ</t>
  </si>
  <si>
    <t>MELI</t>
  </si>
  <si>
    <t>NFLX</t>
  </si>
  <si>
    <t>NGG</t>
  </si>
  <si>
    <t>NICSX</t>
  </si>
  <si>
    <t>NVS</t>
  </si>
  <si>
    <t>PTTRX</t>
  </si>
  <si>
    <t>RBS</t>
  </si>
  <si>
    <t>RYSEX</t>
  </si>
  <si>
    <t>TMFGX</t>
  </si>
  <si>
    <t>TWEIX</t>
  </si>
  <si>
    <t>UA</t>
  </si>
  <si>
    <t>WEMMX</t>
  </si>
  <si>
    <t>WFC</t>
  </si>
  <si>
    <t>Sym</t>
  </si>
  <si>
    <t>Year</t>
  </si>
  <si>
    <t>Shares</t>
  </si>
  <si>
    <t>InitSharePrice</t>
  </si>
  <si>
    <t>IntiValue</t>
  </si>
  <si>
    <t>BuyShare</t>
  </si>
  <si>
    <t>BuyTotal</t>
  </si>
  <si>
    <t>DvdShare</t>
  </si>
  <si>
    <t>DvdTotal</t>
  </si>
  <si>
    <t>EndShares</t>
  </si>
  <si>
    <t>EndPrice</t>
  </si>
  <si>
    <t>EndTotal</t>
  </si>
  <si>
    <t>Profit</t>
  </si>
  <si>
    <t>ProfitPct</t>
  </si>
  <si>
    <t>PVN</t>
  </si>
  <si>
    <t>WAMCX</t>
  </si>
  <si>
    <t>account</t>
  </si>
  <si>
    <t>symbol</t>
  </si>
  <si>
    <t>value</t>
  </si>
  <si>
    <t>fund size</t>
  </si>
  <si>
    <t>fund type</t>
  </si>
  <si>
    <t>international</t>
  </si>
  <si>
    <t>stars</t>
  </si>
  <si>
    <t>D Check</t>
  </si>
  <si>
    <t>cash</t>
  </si>
  <si>
    <t>C</t>
  </si>
  <si>
    <t>D IRA</t>
  </si>
  <si>
    <t>FCNTX</t>
  </si>
  <si>
    <t>L</t>
  </si>
  <si>
    <t>G</t>
  </si>
  <si>
    <t>VEMIX</t>
  </si>
  <si>
    <t>S</t>
  </si>
  <si>
    <t>VTSNX</t>
  </si>
  <si>
    <t>B</t>
  </si>
  <si>
    <t>D Roll</t>
  </si>
  <si>
    <t>V</t>
  </si>
  <si>
    <t>Joint</t>
  </si>
  <si>
    <t>M</t>
  </si>
  <si>
    <t>K CheckSave</t>
  </si>
  <si>
    <t>K Roll</t>
  </si>
  <si>
    <t>VTRIX</t>
  </si>
  <si>
    <t>YACKX</t>
  </si>
  <si>
    <t>K Roth</t>
  </si>
  <si>
    <t>note</t>
  </si>
  <si>
    <t>Nbr_shares</t>
  </si>
  <si>
    <t>Price_share</t>
  </si>
  <si>
    <t>Value_transaction</t>
  </si>
  <si>
    <t>Joint Stock</t>
  </si>
  <si>
    <t>ASSET</t>
  </si>
  <si>
    <t>DRS Rollover</t>
  </si>
  <si>
    <t>Kay Roll</t>
  </si>
  <si>
    <t>mm</t>
  </si>
  <si>
    <t>Kay Roth</t>
  </si>
  <si>
    <t>UAA</t>
  </si>
  <si>
    <t>VYM</t>
  </si>
  <si>
    <t>Size</t>
  </si>
  <si>
    <t>Type</t>
  </si>
  <si>
    <t>Intl?</t>
  </si>
  <si>
    <t>PONDX</t>
  </si>
  <si>
    <t>Bonds</t>
  </si>
  <si>
    <t>Cash</t>
  </si>
  <si>
    <t>stocky</t>
  </si>
  <si>
    <t>yuz</t>
  </si>
  <si>
    <t>katsanis</t>
  </si>
  <si>
    <t>v9</t>
  </si>
  <si>
    <t>beach</t>
  </si>
  <si>
    <t>val</t>
  </si>
  <si>
    <t>skinner</t>
  </si>
  <si>
    <t>eleanor</t>
  </si>
  <si>
    <t>us</t>
  </si>
  <si>
    <t>weed</t>
  </si>
  <si>
    <t>grave</t>
  </si>
  <si>
    <t>criste</t>
  </si>
  <si>
    <t>bought at</t>
  </si>
  <si>
    <t>CYTC</t>
  </si>
  <si>
    <t>MSFT</t>
  </si>
  <si>
    <t>PYEMX</t>
  </si>
  <si>
    <t>WMCVX</t>
  </si>
  <si>
    <t>ANLX</t>
  </si>
  <si>
    <t>BLUEX</t>
  </si>
  <si>
    <t>CNVX</t>
  </si>
  <si>
    <t>CHCGX</t>
  </si>
  <si>
    <t>WAHGX</t>
  </si>
  <si>
    <t>TAREX</t>
  </si>
  <si>
    <t>ICEUX</t>
  </si>
  <si>
    <t>MPACX</t>
  </si>
  <si>
    <t>QFFOX</t>
  </si>
  <si>
    <t>HABDX</t>
  </si>
  <si>
    <t>MS</t>
  </si>
  <si>
    <t>GS</t>
  </si>
  <si>
    <t>SFSLX</t>
  </si>
  <si>
    <t>DvdYld</t>
  </si>
  <si>
    <t>BSCFX</t>
  </si>
  <si>
    <t>NOSGX</t>
  </si>
  <si>
    <t>CAT</t>
  </si>
  <si>
    <t>F</t>
  </si>
  <si>
    <t>BRAIX</t>
  </si>
  <si>
    <t>BAC</t>
  </si>
  <si>
    <t>EES</t>
  </si>
  <si>
    <t>AA</t>
  </si>
  <si>
    <t>EXWAX</t>
  </si>
  <si>
    <t>LNG</t>
  </si>
  <si>
    <t>BRMCX</t>
  </si>
  <si>
    <t>HERO</t>
  </si>
  <si>
    <t>SYNM</t>
  </si>
  <si>
    <t>USAGX</t>
  </si>
  <si>
    <t>GLW</t>
  </si>
  <si>
    <t>VCLT</t>
  </si>
  <si>
    <t>PG</t>
  </si>
  <si>
    <t>VUG</t>
  </si>
  <si>
    <t>IMAX</t>
  </si>
  <si>
    <t>2017 Increase</t>
  </si>
  <si>
    <t>Nbr</t>
  </si>
  <si>
    <t>AssmtEquity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</si>
</sst>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164" formatCode="&quot;$&quot;#,##0.00"/>
    <numFmt numFmtId="165" formatCode="0.0%"/>
    <numFmt numFmtId="166" formatCode="#,##0.000"/>
    <numFmt numFmtId="167" formatCode="&quot;$&quot;#,##0.00;\(&quot;$&quot;#,##0.00\)"/>
    <numFmt numFmtId="168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5" fillId="0" borderId="0"/>
  </cellStyleXfs>
  <cellXfs count="5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0" fontId="3" fillId="0" borderId="1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166" fontId="0" fillId="0" borderId="0" xfId="0" applyNumberFormat="1"/>
    <xf numFmtId="0" fontId="4" fillId="3" borderId="2" xfId="2" applyFont="1" applyFill="1" applyBorder="1" applyAlignment="1">
      <alignment horizontal="center"/>
    </xf>
    <xf numFmtId="0" fontId="4" fillId="0" borderId="1" xfId="2" applyFont="1" applyFill="1" applyBorder="1" applyAlignment="1">
      <alignment wrapText="1"/>
    </xf>
    <xf numFmtId="167" fontId="4" fillId="0" borderId="1" xfId="2" applyNumberFormat="1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 wrapText="1"/>
    </xf>
    <xf numFmtId="0" fontId="5" fillId="0" borderId="0" xfId="2"/>
    <xf numFmtId="0" fontId="4" fillId="0" borderId="1" xfId="3" applyFont="1" applyFill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167" fontId="4" fillId="0" borderId="1" xfId="3" applyNumberFormat="1" applyFont="1" applyFill="1" applyBorder="1" applyAlignment="1">
      <alignment horizontal="right" wrapText="1"/>
    </xf>
    <xf numFmtId="0" fontId="4" fillId="3" borderId="2" xfId="3" applyFont="1" applyFill="1" applyBorder="1" applyAlignment="1">
      <alignment horizontal="center" wrapText="1"/>
    </xf>
    <xf numFmtId="0" fontId="0" fillId="0" borderId="0" xfId="0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7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 wrapText="1"/>
    </xf>
    <xf numFmtId="0" fontId="4" fillId="0" borderId="1" xfId="2" applyFont="1" applyFill="1" applyBorder="1" applyAlignment="1">
      <alignment horizontal="center" wrapText="1"/>
    </xf>
    <xf numFmtId="168" fontId="0" fillId="0" borderId="0" xfId="0" applyNumberFormat="1"/>
    <xf numFmtId="164" fontId="3" fillId="0" borderId="1" xfId="1" applyNumberFormat="1" applyFont="1" applyFill="1" applyBorder="1" applyAlignment="1">
      <alignment wrapText="1"/>
    </xf>
    <xf numFmtId="164" fontId="3" fillId="0" borderId="0" xfId="1" applyNumberFormat="1" applyFont="1" applyFill="1" applyBorder="1" applyAlignment="1">
      <alignment wrapText="1"/>
    </xf>
    <xf numFmtId="0" fontId="3" fillId="4" borderId="0" xfId="1" applyFont="1" applyFill="1" applyBorder="1" applyAlignment="1">
      <alignment wrapText="1"/>
    </xf>
    <xf numFmtId="0" fontId="0" fillId="4" borderId="0" xfId="0" applyFill="1"/>
    <xf numFmtId="0" fontId="3" fillId="4" borderId="1" xfId="1" applyFont="1" applyFill="1" applyBorder="1" applyAlignment="1">
      <alignment wrapText="1"/>
    </xf>
    <xf numFmtId="164" fontId="0" fillId="4" borderId="0" xfId="0" applyNumberFormat="1" applyFill="1"/>
    <xf numFmtId="0" fontId="0" fillId="4" borderId="0" xfId="0" applyNumberFormat="1" applyFill="1" applyBorder="1"/>
    <xf numFmtId="10" fontId="0" fillId="4" borderId="0" xfId="0" applyNumberFormat="1" applyFill="1"/>
    <xf numFmtId="164" fontId="3" fillId="4" borderId="1" xfId="1" applyNumberFormat="1" applyFont="1" applyFill="1" applyBorder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0" fillId="2" borderId="0" xfId="0" applyNumberFormat="1" applyFill="1"/>
    <xf numFmtId="164" fontId="0" fillId="2" borderId="0" xfId="0" applyNumberFormat="1" applyFill="1"/>
    <xf numFmtId="0" fontId="0" fillId="2" borderId="3" xfId="0" applyNumberFormat="1" applyFill="1" applyBorder="1"/>
    <xf numFmtId="164" fontId="0" fillId="2" borderId="3" xfId="0" applyNumberFormat="1" applyFill="1" applyBorder="1"/>
    <xf numFmtId="10" fontId="0" fillId="2" borderId="3" xfId="0" applyNumberFormat="1" applyFill="1" applyBorder="1"/>
    <xf numFmtId="165" fontId="0" fillId="0" borderId="0" xfId="0" applyNumberFormat="1" applyAlignment="1">
      <alignment horizontal="center" wrapText="1"/>
    </xf>
    <xf numFmtId="168" fontId="0" fillId="0" borderId="0" xfId="0" applyNumberFormat="1" applyAlignment="1">
      <alignment horizontal="center"/>
    </xf>
  </cellXfs>
  <cellStyles count="4">
    <cellStyle name="Normal" xfId="0" builtinId="0"/>
    <cellStyle name="Normal_Sheet1" xfId="3"/>
    <cellStyle name="Normal_Sheet2" xfId="1"/>
    <cellStyle name="Normal_Sheet2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1"/>
  <sheetViews>
    <sheetView topLeftCell="A76" workbookViewId="0">
      <selection activeCell="O62" sqref="O62"/>
    </sheetView>
  </sheetViews>
  <sheetFormatPr defaultRowHeight="14.5" x14ac:dyDescent="0.35"/>
  <cols>
    <col min="4" max="4" width="9.453125" style="1" bestFit="1" customWidth="1"/>
    <col min="5" max="5" width="11.453125" style="1" bestFit="1" customWidth="1"/>
    <col min="6" max="7" width="10.81640625" style="1" customWidth="1"/>
    <col min="8" max="8" width="8.7265625" style="3"/>
    <col min="9" max="9" width="9.81640625" style="1" bestFit="1" customWidth="1"/>
    <col min="10" max="10" width="9.81640625" style="3" bestFit="1" customWidth="1"/>
    <col min="11" max="11" width="9.81640625" style="1" bestFit="1" customWidth="1"/>
    <col min="12" max="12" width="10.81640625" style="1" bestFit="1" customWidth="1"/>
    <col min="13" max="13" width="12.453125" bestFit="1" customWidth="1"/>
    <col min="14" max="14" width="8.7265625" style="4"/>
    <col min="15" max="15" width="10.81640625" bestFit="1" customWidth="1"/>
    <col min="16" max="16" width="8.7265625" style="5"/>
  </cols>
  <sheetData>
    <row r="1" spans="1:16" x14ac:dyDescent="0.35">
      <c r="C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3" t="s">
        <v>4</v>
      </c>
      <c r="I1" s="1" t="s">
        <v>5</v>
      </c>
      <c r="J1" s="3" t="s">
        <v>6</v>
      </c>
      <c r="K1" s="1" t="s">
        <v>8</v>
      </c>
      <c r="L1" s="1" t="s">
        <v>7</v>
      </c>
      <c r="M1" s="1" t="s">
        <v>11</v>
      </c>
      <c r="N1" s="4" t="s">
        <v>12</v>
      </c>
    </row>
    <row r="2" spans="1:16" x14ac:dyDescent="0.35">
      <c r="A2" t="s">
        <v>0</v>
      </c>
      <c r="B2">
        <v>1996</v>
      </c>
      <c r="C2">
        <v>468.03300000000002</v>
      </c>
      <c r="D2" s="1">
        <v>24.87</v>
      </c>
      <c r="E2" s="1">
        <v>11639.981</v>
      </c>
      <c r="F2" s="43">
        <v>245.459</v>
      </c>
      <c r="G2" s="44">
        <v>7100</v>
      </c>
      <c r="H2" s="3">
        <v>14.292999999999999</v>
      </c>
      <c r="I2" s="1">
        <v>414.07</v>
      </c>
      <c r="J2" s="3">
        <v>727.78499999999997</v>
      </c>
      <c r="K2" s="1">
        <v>28.09</v>
      </c>
      <c r="L2" s="1">
        <f>J2*K2</f>
        <v>20443.480649999998</v>
      </c>
      <c r="M2" s="1">
        <f>L2-I2-G2-E2</f>
        <v>1289.4296499999982</v>
      </c>
      <c r="N2" s="4">
        <f>M2/(E2+G2)</f>
        <v>6.880634777591281E-2</v>
      </c>
      <c r="O2" s="45"/>
      <c r="P2" s="47"/>
    </row>
    <row r="3" spans="1:16" x14ac:dyDescent="0.35">
      <c r="A3" t="s">
        <v>0</v>
      </c>
      <c r="B3">
        <v>1997</v>
      </c>
      <c r="C3">
        <v>727.78499999999997</v>
      </c>
      <c r="D3" s="1">
        <f>K2</f>
        <v>28.09</v>
      </c>
      <c r="E3" s="1">
        <f>L2</f>
        <v>20443.480649999998</v>
      </c>
      <c r="F3" s="43">
        <v>41.841000000000001</v>
      </c>
      <c r="G3" s="44">
        <v>1400</v>
      </c>
      <c r="H3" s="3">
        <v>69.090999999999994</v>
      </c>
      <c r="I3" s="1">
        <v>1833.67</v>
      </c>
      <c r="J3" s="3">
        <v>838.71699999999998</v>
      </c>
      <c r="K3" s="1">
        <v>27.3</v>
      </c>
      <c r="L3" s="1">
        <f t="shared" ref="L3:L7" si="0">J3*K3</f>
        <v>22896.974099999999</v>
      </c>
      <c r="M3" s="1">
        <f t="shared" ref="M3:M7" si="1">L3-I3-G3-E3</f>
        <v>-780.1765499999965</v>
      </c>
      <c r="N3" s="4">
        <f t="shared" ref="N3:N7" si="2">M3/(E3+G3)</f>
        <v>-3.5716677323583801E-2</v>
      </c>
      <c r="O3" s="45"/>
      <c r="P3" s="47"/>
    </row>
    <row r="4" spans="1:16" x14ac:dyDescent="0.35">
      <c r="A4" t="s">
        <v>0</v>
      </c>
      <c r="B4">
        <v>1998</v>
      </c>
      <c r="C4">
        <f t="shared" ref="C4:C7" si="3">J3</f>
        <v>838.71699999999998</v>
      </c>
      <c r="D4" s="1">
        <f t="shared" ref="D4:D7" si="4">K3</f>
        <v>27.3</v>
      </c>
      <c r="E4" s="1">
        <f t="shared" ref="E4:E7" si="5">L3</f>
        <v>22896.974099999999</v>
      </c>
      <c r="F4" s="43">
        <v>38.520000000000003</v>
      </c>
      <c r="G4" s="44">
        <v>1200</v>
      </c>
      <c r="H4" s="3">
        <v>86.369</v>
      </c>
      <c r="I4" s="1">
        <v>2709.39</v>
      </c>
      <c r="J4" s="3">
        <v>963.60599999999999</v>
      </c>
      <c r="K4" s="1">
        <v>33.409999999999997</v>
      </c>
      <c r="L4" s="1">
        <f t="shared" si="0"/>
        <v>32194.076459999997</v>
      </c>
      <c r="M4" s="1">
        <f t="shared" si="1"/>
        <v>5387.7123599999977</v>
      </c>
      <c r="N4" s="4">
        <f t="shared" si="2"/>
        <v>0.22358460185256196</v>
      </c>
      <c r="O4" s="45"/>
      <c r="P4" s="47"/>
    </row>
    <row r="5" spans="1:16" x14ac:dyDescent="0.35">
      <c r="A5" t="s">
        <v>0</v>
      </c>
      <c r="B5">
        <v>1999</v>
      </c>
      <c r="C5">
        <f t="shared" si="3"/>
        <v>963.60599999999999</v>
      </c>
      <c r="D5" s="1">
        <f t="shared" si="4"/>
        <v>33.409999999999997</v>
      </c>
      <c r="E5" s="1">
        <f t="shared" si="5"/>
        <v>32194.076459999997</v>
      </c>
      <c r="F5" s="43">
        <v>80.570999999999998</v>
      </c>
      <c r="G5" s="44">
        <v>3000</v>
      </c>
      <c r="H5" s="3">
        <v>33.569000000000003</v>
      </c>
      <c r="I5" s="1">
        <v>1426.34</v>
      </c>
      <c r="J5" s="3">
        <v>1077.7460000000001</v>
      </c>
      <c r="K5" s="1">
        <v>45.78</v>
      </c>
      <c r="L5" s="1">
        <f t="shared" si="0"/>
        <v>49339.211880000003</v>
      </c>
      <c r="M5" s="1">
        <f t="shared" si="1"/>
        <v>12718.795420000009</v>
      </c>
      <c r="N5" s="4">
        <f t="shared" si="2"/>
        <v>0.3613902309513824</v>
      </c>
      <c r="O5" s="45"/>
      <c r="P5" s="47"/>
    </row>
    <row r="6" spans="1:16" x14ac:dyDescent="0.35">
      <c r="A6" t="s">
        <v>0</v>
      </c>
      <c r="B6">
        <v>2000</v>
      </c>
      <c r="C6">
        <f t="shared" si="3"/>
        <v>1077.7460000000001</v>
      </c>
      <c r="D6" s="1">
        <f t="shared" si="4"/>
        <v>45.78</v>
      </c>
      <c r="E6" s="1">
        <f t="shared" si="5"/>
        <v>49339.211880000003</v>
      </c>
      <c r="F6" s="43">
        <v>40.14</v>
      </c>
      <c r="G6" s="44">
        <v>3000</v>
      </c>
      <c r="H6" s="3">
        <v>150.30500000000001</v>
      </c>
      <c r="I6" s="1">
        <v>4990.12</v>
      </c>
      <c r="J6" s="3">
        <v>1290.511</v>
      </c>
      <c r="K6" s="1">
        <v>32.270000000000003</v>
      </c>
      <c r="L6" s="1">
        <f t="shared" si="0"/>
        <v>41644.789970000005</v>
      </c>
      <c r="M6" s="1">
        <f t="shared" si="1"/>
        <v>-15684.54191</v>
      </c>
      <c r="N6" s="4">
        <f t="shared" si="2"/>
        <v>-0.29967096076953764</v>
      </c>
      <c r="O6" s="45"/>
      <c r="P6" s="47"/>
    </row>
    <row r="7" spans="1:16" x14ac:dyDescent="0.35">
      <c r="A7" t="s">
        <v>0</v>
      </c>
      <c r="B7">
        <v>2001</v>
      </c>
      <c r="C7">
        <f t="shared" si="3"/>
        <v>1290.511</v>
      </c>
      <c r="D7" s="1">
        <f t="shared" si="4"/>
        <v>32.270000000000003</v>
      </c>
      <c r="E7" s="1">
        <f t="shared" si="5"/>
        <v>41644.789970000005</v>
      </c>
      <c r="F7" s="43">
        <v>7.6779999999999999</v>
      </c>
      <c r="G7" s="44">
        <v>250</v>
      </c>
      <c r="H7" s="3">
        <v>0</v>
      </c>
      <c r="I7" s="1">
        <v>0</v>
      </c>
      <c r="J7" s="3">
        <v>1298.191</v>
      </c>
      <c r="K7" s="1">
        <v>22.57</v>
      </c>
      <c r="L7" s="1">
        <f t="shared" si="0"/>
        <v>29300.170870000002</v>
      </c>
      <c r="M7" s="1">
        <f t="shared" si="1"/>
        <v>-12594.619100000004</v>
      </c>
      <c r="N7" s="4">
        <f t="shared" si="2"/>
        <v>-0.30062494904542425</v>
      </c>
      <c r="O7" s="46">
        <f>L7-E2-SUM(G2:G7)</f>
        <v>1710.189870000002</v>
      </c>
      <c r="P7" s="47">
        <f>O7/(E2+SUM(G2:G7))/6</f>
        <v>1.0330983736451299E-2</v>
      </c>
    </row>
    <row r="8" spans="1:16" x14ac:dyDescent="0.35">
      <c r="F8" s="43"/>
      <c r="G8" s="43"/>
      <c r="M8" s="1"/>
    </row>
    <row r="9" spans="1:16" x14ac:dyDescent="0.35">
      <c r="A9" t="s">
        <v>13</v>
      </c>
      <c r="B9">
        <v>1995</v>
      </c>
      <c r="C9">
        <v>0</v>
      </c>
      <c r="D9" s="1">
        <v>0</v>
      </c>
      <c r="E9" s="1">
        <v>0</v>
      </c>
      <c r="F9" s="43">
        <v>757</v>
      </c>
      <c r="G9" s="44">
        <v>55639.5</v>
      </c>
      <c r="H9" s="3">
        <v>0</v>
      </c>
      <c r="I9" s="1">
        <v>0</v>
      </c>
      <c r="J9" s="3">
        <v>757</v>
      </c>
      <c r="K9" s="1">
        <v>51.5</v>
      </c>
      <c r="L9" s="1">
        <f>J9*K9</f>
        <v>38985.5</v>
      </c>
      <c r="M9" s="1">
        <f>L9-I9-G9-E9</f>
        <v>-16654</v>
      </c>
      <c r="N9" s="4">
        <f>M9/(E9+G9)</f>
        <v>-0.29931972789115646</v>
      </c>
    </row>
    <row r="10" spans="1:16" x14ac:dyDescent="0.35">
      <c r="A10" t="s">
        <v>13</v>
      </c>
      <c r="B10">
        <v>1996</v>
      </c>
      <c r="C10">
        <f t="shared" ref="C10:E11" si="6">J9</f>
        <v>757</v>
      </c>
      <c r="D10" s="1">
        <f t="shared" si="6"/>
        <v>51.5</v>
      </c>
      <c r="E10" s="1">
        <f t="shared" si="6"/>
        <v>38985.5</v>
      </c>
      <c r="F10" s="44"/>
      <c r="G10" s="44"/>
      <c r="J10" s="3">
        <v>757</v>
      </c>
      <c r="K10" s="1">
        <v>63.65</v>
      </c>
      <c r="L10" s="1">
        <f t="shared" ref="L10:L11" si="7">J10*K10</f>
        <v>48183.049999999996</v>
      </c>
      <c r="M10" s="1">
        <f t="shared" ref="M10:M11" si="8">L10-I10-F10-E10</f>
        <v>9197.5499999999956</v>
      </c>
      <c r="N10" s="4">
        <f t="shared" ref="N10:N42" si="9">M10/(E10+F10)</f>
        <v>0.23592233009708727</v>
      </c>
    </row>
    <row r="11" spans="1:16" x14ac:dyDescent="0.35">
      <c r="A11" t="s">
        <v>13</v>
      </c>
      <c r="B11">
        <v>1997</v>
      </c>
      <c r="C11">
        <f t="shared" si="6"/>
        <v>757</v>
      </c>
      <c r="D11" s="1">
        <f t="shared" si="6"/>
        <v>63.65</v>
      </c>
      <c r="E11" s="1">
        <f t="shared" si="6"/>
        <v>48183.049999999996</v>
      </c>
      <c r="F11" s="44"/>
      <c r="G11" s="44"/>
      <c r="J11" s="3">
        <v>757</v>
      </c>
      <c r="K11" s="1">
        <v>125</v>
      </c>
      <c r="L11" s="1">
        <f t="shared" si="7"/>
        <v>94625</v>
      </c>
      <c r="M11" s="1">
        <f t="shared" si="8"/>
        <v>46441.950000000004</v>
      </c>
      <c r="N11" s="4">
        <f t="shared" si="9"/>
        <v>0.96386488609583676</v>
      </c>
      <c r="O11" s="1">
        <f>L11-G9</f>
        <v>38985.5</v>
      </c>
      <c r="P11" s="5">
        <f>O11/G9/3</f>
        <v>0.23356009070294784</v>
      </c>
    </row>
    <row r="12" spans="1:16" x14ac:dyDescent="0.35">
      <c r="F12" s="43"/>
      <c r="G12" s="44"/>
      <c r="M12" s="1"/>
    </row>
    <row r="13" spans="1:16" x14ac:dyDescent="0.35">
      <c r="A13" t="s">
        <v>14</v>
      </c>
      <c r="B13">
        <v>1997</v>
      </c>
      <c r="C13">
        <v>0</v>
      </c>
      <c r="D13" s="1">
        <v>0</v>
      </c>
      <c r="E13" s="1">
        <v>0</v>
      </c>
      <c r="F13" s="43">
        <v>941.76</v>
      </c>
      <c r="G13" s="44">
        <v>38000</v>
      </c>
      <c r="H13" s="3">
        <v>133.21600000000001</v>
      </c>
      <c r="I13" s="1">
        <v>5391.87</v>
      </c>
      <c r="J13" s="2">
        <f>C13+F13+H13</f>
        <v>1074.9760000000001</v>
      </c>
      <c r="K13" s="1">
        <v>40.409999999999997</v>
      </c>
      <c r="L13" s="1">
        <f>J13*K13</f>
        <v>43439.780160000002</v>
      </c>
      <c r="M13" s="1">
        <f>L13-G13-E13</f>
        <v>5439.7801600000021</v>
      </c>
      <c r="N13" s="4">
        <f>M13/(E13+G13)</f>
        <v>0.14315210947368426</v>
      </c>
    </row>
    <row r="14" spans="1:16" x14ac:dyDescent="0.35">
      <c r="A14" t="s">
        <v>14</v>
      </c>
      <c r="B14">
        <v>1998</v>
      </c>
      <c r="C14" s="2">
        <f t="shared" ref="C14:E15" si="10">J13</f>
        <v>1074.9760000000001</v>
      </c>
      <c r="D14" s="1">
        <f t="shared" si="10"/>
        <v>40.409999999999997</v>
      </c>
      <c r="E14" s="1">
        <f t="shared" si="10"/>
        <v>43439.780160000002</v>
      </c>
      <c r="F14" s="44"/>
      <c r="G14" s="43"/>
      <c r="H14" s="3">
        <v>183.096</v>
      </c>
      <c r="I14" s="1">
        <v>6770.91</v>
      </c>
      <c r="J14" s="2">
        <f>C14+G14+H14</f>
        <v>1258.0720000000001</v>
      </c>
      <c r="K14" s="1">
        <v>35.82</v>
      </c>
      <c r="L14" s="1">
        <f t="shared" ref="L14:L19" si="11">J14*K14</f>
        <v>45064.139040000002</v>
      </c>
      <c r="M14" s="1">
        <f t="shared" ref="M14:M42" si="12">L14-F14-E14</f>
        <v>1624.3588799999998</v>
      </c>
      <c r="N14" s="4">
        <f t="shared" si="9"/>
        <v>3.7393349460265769E-2</v>
      </c>
    </row>
    <row r="15" spans="1:16" x14ac:dyDescent="0.35">
      <c r="A15" t="s">
        <v>14</v>
      </c>
      <c r="B15">
        <v>1999</v>
      </c>
      <c r="C15" s="2">
        <f t="shared" si="10"/>
        <v>1258.0720000000001</v>
      </c>
      <c r="D15" s="1">
        <f t="shared" si="10"/>
        <v>35.82</v>
      </c>
      <c r="E15" s="1">
        <f t="shared" si="10"/>
        <v>45064.139040000002</v>
      </c>
      <c r="F15" s="44"/>
      <c r="G15" s="43"/>
      <c r="J15" s="3">
        <v>1258.07</v>
      </c>
      <c r="K15" s="1">
        <v>32.659999999999997</v>
      </c>
      <c r="L15" s="1">
        <f t="shared" si="11"/>
        <v>41088.566199999994</v>
      </c>
      <c r="M15" s="1">
        <f t="shared" si="12"/>
        <v>-3975.572840000008</v>
      </c>
      <c r="N15" s="4">
        <f t="shared" si="9"/>
        <v>-8.8220321628050963E-2</v>
      </c>
      <c r="O15" s="1">
        <f>L15-G13</f>
        <v>3088.5661999999938</v>
      </c>
      <c r="P15" s="5">
        <f>O15/G13/3</f>
        <v>2.7092685964912225E-2</v>
      </c>
    </row>
    <row r="16" spans="1:16" x14ac:dyDescent="0.35">
      <c r="F16" s="43"/>
      <c r="G16" s="44"/>
      <c r="M16" s="1"/>
      <c r="O16" s="5"/>
    </row>
    <row r="17" spans="1:16" x14ac:dyDescent="0.35">
      <c r="A17" t="s">
        <v>15</v>
      </c>
      <c r="B17">
        <v>1997</v>
      </c>
      <c r="C17">
        <v>0</v>
      </c>
      <c r="D17" s="1">
        <v>0</v>
      </c>
      <c r="E17" s="1">
        <v>0</v>
      </c>
      <c r="F17" s="43">
        <v>1900.922</v>
      </c>
      <c r="G17" s="44">
        <v>33000</v>
      </c>
      <c r="H17" s="3">
        <v>23.347000000000001</v>
      </c>
      <c r="I17" s="1">
        <v>13.96</v>
      </c>
      <c r="J17" s="3">
        <f>C17+F17+H17</f>
        <v>1924.269</v>
      </c>
      <c r="K17" s="1">
        <v>16.03</v>
      </c>
      <c r="L17" s="1">
        <f t="shared" si="11"/>
        <v>30846.032070000001</v>
      </c>
      <c r="M17" s="1">
        <f>L17-G17-E17</f>
        <v>-2153.9679299999989</v>
      </c>
      <c r="N17" s="4">
        <f>M17/(E17+G17)</f>
        <v>-6.5271755454545416E-2</v>
      </c>
    </row>
    <row r="18" spans="1:16" x14ac:dyDescent="0.35">
      <c r="A18" t="s">
        <v>15</v>
      </c>
      <c r="B18">
        <v>1998</v>
      </c>
      <c r="C18">
        <f t="shared" ref="C18:E19" si="13">J17</f>
        <v>1924.269</v>
      </c>
      <c r="D18" s="1">
        <f t="shared" si="13"/>
        <v>16.03</v>
      </c>
      <c r="E18" s="1">
        <f t="shared" si="13"/>
        <v>30846.032070000001</v>
      </c>
      <c r="F18" s="44"/>
      <c r="G18" s="43"/>
      <c r="H18" s="3">
        <v>56.515000000000001</v>
      </c>
      <c r="I18" s="1">
        <v>15.47</v>
      </c>
      <c r="J18" s="3">
        <f t="shared" ref="J18" si="14">C18+G18+H18</f>
        <v>1980.7840000000001</v>
      </c>
      <c r="K18" s="1">
        <v>14.44</v>
      </c>
      <c r="L18" s="1">
        <f t="shared" si="11"/>
        <v>28602.520960000002</v>
      </c>
      <c r="M18" s="1">
        <f t="shared" si="12"/>
        <v>-2243.5111099999995</v>
      </c>
      <c r="N18" s="4">
        <f t="shared" si="9"/>
        <v>-7.2732567511721427E-2</v>
      </c>
    </row>
    <row r="19" spans="1:16" x14ac:dyDescent="0.35">
      <c r="A19" t="s">
        <v>15</v>
      </c>
      <c r="B19">
        <v>1999</v>
      </c>
      <c r="C19">
        <f t="shared" si="13"/>
        <v>1980.7840000000001</v>
      </c>
      <c r="D19" s="1">
        <f t="shared" si="13"/>
        <v>14.44</v>
      </c>
      <c r="E19" s="1">
        <f t="shared" si="13"/>
        <v>28602.520960000002</v>
      </c>
      <c r="F19" s="44"/>
      <c r="G19" s="43"/>
      <c r="J19" s="3">
        <v>1987.6759999999999</v>
      </c>
      <c r="K19" s="1">
        <v>14.28</v>
      </c>
      <c r="L19" s="1">
        <f t="shared" si="11"/>
        <v>28384.013279999999</v>
      </c>
      <c r="M19" s="1">
        <f t="shared" si="12"/>
        <v>-218.50768000000244</v>
      </c>
      <c r="N19" s="4">
        <f t="shared" si="9"/>
        <v>-7.6394552880699098E-3</v>
      </c>
      <c r="O19" s="1">
        <f>L19-G17</f>
        <v>-4615.9867200000008</v>
      </c>
      <c r="P19" s="5">
        <f>O19/G17/3</f>
        <v>-4.6626128484848491E-2</v>
      </c>
    </row>
    <row r="20" spans="1:16" x14ac:dyDescent="0.35">
      <c r="F20" s="43"/>
      <c r="G20" s="44"/>
      <c r="M20" s="1"/>
    </row>
    <row r="21" spans="1:16" x14ac:dyDescent="0.35">
      <c r="A21" t="s">
        <v>16</v>
      </c>
      <c r="B21">
        <v>1997</v>
      </c>
      <c r="C21">
        <v>0</v>
      </c>
      <c r="D21" s="1">
        <v>0</v>
      </c>
      <c r="E21" s="1">
        <v>0</v>
      </c>
      <c r="F21" s="43">
        <v>3232.3229999999999</v>
      </c>
      <c r="G21" s="44">
        <v>32000</v>
      </c>
      <c r="H21" s="3">
        <v>203.40600000000001</v>
      </c>
      <c r="I21" s="1">
        <v>8.74</v>
      </c>
      <c r="J21" s="2">
        <f>C21+F21+H21</f>
        <v>3435.7289999999998</v>
      </c>
      <c r="K21" s="1">
        <v>8.6999999999999993</v>
      </c>
      <c r="L21" s="1">
        <f>J21*K21</f>
        <v>29890.842299999997</v>
      </c>
      <c r="M21" s="1">
        <f>L21-G21-E21</f>
        <v>-2109.1577000000034</v>
      </c>
      <c r="N21" s="4">
        <f>M21/(E21+G21)</f>
        <v>-6.5911178125000108E-2</v>
      </c>
    </row>
    <row r="22" spans="1:16" x14ac:dyDescent="0.35">
      <c r="A22" t="s">
        <v>16</v>
      </c>
      <c r="B22">
        <v>1998</v>
      </c>
      <c r="C22" s="2">
        <f>J21</f>
        <v>3435.7289999999998</v>
      </c>
      <c r="D22" s="1">
        <f>K21</f>
        <v>8.6999999999999993</v>
      </c>
      <c r="E22" s="1">
        <f>L21</f>
        <v>29890.842299999997</v>
      </c>
      <c r="F22" s="44"/>
      <c r="G22" s="44"/>
      <c r="H22" s="3">
        <v>54.972000000000001</v>
      </c>
      <c r="I22" s="1">
        <v>8.75</v>
      </c>
      <c r="J22" s="2">
        <f>C22+G22+H22</f>
        <v>3490.701</v>
      </c>
      <c r="K22" s="1">
        <v>9.14</v>
      </c>
      <c r="L22" s="1">
        <f t="shared" ref="L22:L42" si="15">J22*K22</f>
        <v>31905.007140000002</v>
      </c>
      <c r="M22" s="1">
        <f t="shared" si="12"/>
        <v>2014.1648400000049</v>
      </c>
      <c r="N22" s="4">
        <f t="shared" si="9"/>
        <v>6.7384010787812601E-2</v>
      </c>
    </row>
    <row r="23" spans="1:16" x14ac:dyDescent="0.35">
      <c r="A23" t="s">
        <v>16</v>
      </c>
      <c r="B23">
        <v>1999</v>
      </c>
      <c r="C23" s="2">
        <f t="shared" ref="C23:C37" si="16">J22</f>
        <v>3490.701</v>
      </c>
      <c r="D23" s="1">
        <f t="shared" ref="D23:D37" si="17">K22</f>
        <v>9.14</v>
      </c>
      <c r="E23" s="1">
        <f t="shared" ref="E23:E37" si="18">L22</f>
        <v>31905.007140000002</v>
      </c>
      <c r="F23" s="44"/>
      <c r="G23" s="44"/>
      <c r="H23" s="3">
        <v>230.11500000000001</v>
      </c>
      <c r="I23" s="1">
        <v>8.9499999999999993</v>
      </c>
      <c r="J23" s="2">
        <f t="shared" ref="J23:J36" si="19">C23+G23+H23</f>
        <v>3720.8159999999998</v>
      </c>
      <c r="K23" s="1">
        <v>9.56</v>
      </c>
      <c r="L23" s="1">
        <f t="shared" si="15"/>
        <v>35571.000959999998</v>
      </c>
      <c r="M23" s="1">
        <f t="shared" si="12"/>
        <v>3665.993819999996</v>
      </c>
      <c r="N23" s="4">
        <f t="shared" si="9"/>
        <v>0.11490340070803055</v>
      </c>
    </row>
    <row r="24" spans="1:16" x14ac:dyDescent="0.35">
      <c r="A24" t="s">
        <v>16</v>
      </c>
      <c r="B24">
        <v>2000</v>
      </c>
      <c r="C24" s="2">
        <f t="shared" si="16"/>
        <v>3720.8159999999998</v>
      </c>
      <c r="D24" s="1">
        <f t="shared" si="17"/>
        <v>9.56</v>
      </c>
      <c r="E24" s="1">
        <f t="shared" si="18"/>
        <v>35571.000959999998</v>
      </c>
      <c r="F24" s="44"/>
      <c r="G24" s="44"/>
      <c r="H24" s="3">
        <v>517.33299999999997</v>
      </c>
      <c r="I24" s="1">
        <v>9.35</v>
      </c>
      <c r="J24" s="2">
        <f t="shared" si="19"/>
        <v>4238.1489999999994</v>
      </c>
      <c r="K24" s="1">
        <v>9.83</v>
      </c>
      <c r="L24" s="1">
        <f t="shared" si="15"/>
        <v>41661.004669999995</v>
      </c>
      <c r="M24" s="1">
        <f t="shared" si="12"/>
        <v>6090.0037099999972</v>
      </c>
      <c r="N24" s="4">
        <f t="shared" si="9"/>
        <v>0.17120698168849049</v>
      </c>
    </row>
    <row r="25" spans="1:16" x14ac:dyDescent="0.35">
      <c r="A25" t="s">
        <v>16</v>
      </c>
      <c r="B25">
        <v>2001</v>
      </c>
      <c r="C25" s="2">
        <f t="shared" si="16"/>
        <v>4238.1489999999994</v>
      </c>
      <c r="D25" s="1">
        <f t="shared" si="17"/>
        <v>9.83</v>
      </c>
      <c r="E25" s="1">
        <f t="shared" si="18"/>
        <v>41661.004669999995</v>
      </c>
      <c r="F25" s="44"/>
      <c r="G25" s="44"/>
      <c r="H25" s="3">
        <v>94.408000000000001</v>
      </c>
      <c r="I25" s="1">
        <v>10.37</v>
      </c>
      <c r="J25" s="2">
        <f t="shared" si="19"/>
        <v>4332.5569999999998</v>
      </c>
      <c r="K25" s="1">
        <v>10.54</v>
      </c>
      <c r="L25" s="1">
        <f t="shared" si="15"/>
        <v>45665.150779999996</v>
      </c>
      <c r="M25" s="1">
        <f t="shared" si="12"/>
        <v>4004.1461100000015</v>
      </c>
      <c r="N25" s="4">
        <f t="shared" si="9"/>
        <v>9.6112567176839567E-2</v>
      </c>
    </row>
    <row r="26" spans="1:16" x14ac:dyDescent="0.35">
      <c r="A26" t="s">
        <v>16</v>
      </c>
      <c r="B26">
        <v>2002</v>
      </c>
      <c r="C26" s="2">
        <f t="shared" si="16"/>
        <v>4332.5569999999998</v>
      </c>
      <c r="D26" s="1">
        <f t="shared" si="17"/>
        <v>10.54</v>
      </c>
      <c r="E26" s="1">
        <f t="shared" si="18"/>
        <v>45665.150779999996</v>
      </c>
      <c r="F26" s="44"/>
      <c r="G26" s="44"/>
      <c r="H26" s="3">
        <v>153.60499999999999</v>
      </c>
      <c r="I26" s="1">
        <v>9.59</v>
      </c>
      <c r="J26" s="2">
        <f t="shared" si="19"/>
        <v>4486.1619999999994</v>
      </c>
      <c r="K26" s="1">
        <v>9.39</v>
      </c>
      <c r="L26" s="1">
        <f t="shared" si="15"/>
        <v>42125.061179999997</v>
      </c>
      <c r="M26" s="1">
        <f t="shared" si="12"/>
        <v>-3540.0895999999993</v>
      </c>
      <c r="N26" s="4">
        <f t="shared" si="9"/>
        <v>-7.7522783556655969E-2</v>
      </c>
    </row>
    <row r="27" spans="1:16" x14ac:dyDescent="0.35">
      <c r="A27" t="s">
        <v>16</v>
      </c>
      <c r="B27">
        <v>2003</v>
      </c>
      <c r="C27" s="2">
        <f t="shared" si="16"/>
        <v>4486.1619999999994</v>
      </c>
      <c r="D27" s="1">
        <f t="shared" si="17"/>
        <v>9.39</v>
      </c>
      <c r="E27" s="1">
        <f t="shared" si="18"/>
        <v>42125.061179999997</v>
      </c>
      <c r="F27" s="44"/>
      <c r="G27" s="44"/>
      <c r="H27" s="3">
        <v>44.293999999999997</v>
      </c>
      <c r="I27" s="1">
        <v>12.66</v>
      </c>
      <c r="J27" s="2">
        <f t="shared" si="19"/>
        <v>4530.4559999999992</v>
      </c>
      <c r="K27" s="1">
        <v>12.9</v>
      </c>
      <c r="L27" s="1">
        <f t="shared" si="15"/>
        <v>58442.882399999995</v>
      </c>
      <c r="M27" s="1">
        <f t="shared" si="12"/>
        <v>16317.821219999998</v>
      </c>
      <c r="N27" s="4">
        <f t="shared" si="9"/>
        <v>0.38736611325676418</v>
      </c>
    </row>
    <row r="28" spans="1:16" x14ac:dyDescent="0.35">
      <c r="A28" t="s">
        <v>16</v>
      </c>
      <c r="B28">
        <v>2004</v>
      </c>
      <c r="C28" s="2">
        <f t="shared" si="16"/>
        <v>4530.4559999999992</v>
      </c>
      <c r="D28" s="1">
        <f t="shared" si="17"/>
        <v>12.9</v>
      </c>
      <c r="E28" s="1">
        <f t="shared" si="18"/>
        <v>58442.882399999995</v>
      </c>
      <c r="F28" s="44"/>
      <c r="G28" s="44"/>
      <c r="H28" s="3">
        <v>216.88900000000001</v>
      </c>
      <c r="I28" s="1">
        <v>14.86</v>
      </c>
      <c r="J28" s="2">
        <f t="shared" si="19"/>
        <v>4747.3449999999993</v>
      </c>
      <c r="K28" s="1">
        <v>15.12</v>
      </c>
      <c r="L28" s="1">
        <f t="shared" si="15"/>
        <v>71779.85639999999</v>
      </c>
      <c r="M28" s="1">
        <f t="shared" si="12"/>
        <v>13336.973999999995</v>
      </c>
      <c r="N28" s="4">
        <f t="shared" si="9"/>
        <v>0.22820527414643729</v>
      </c>
    </row>
    <row r="29" spans="1:16" x14ac:dyDescent="0.35">
      <c r="A29" t="s">
        <v>16</v>
      </c>
      <c r="B29">
        <v>2005</v>
      </c>
      <c r="C29" s="2">
        <f t="shared" si="16"/>
        <v>4747.3449999999993</v>
      </c>
      <c r="D29" s="1">
        <f t="shared" si="17"/>
        <v>15.12</v>
      </c>
      <c r="E29" s="1">
        <f t="shared" si="18"/>
        <v>71779.85639999999</v>
      </c>
      <c r="F29" s="44"/>
      <c r="G29" s="44"/>
      <c r="H29" s="3">
        <v>236.68899999999999</v>
      </c>
      <c r="I29" s="1">
        <v>16.78</v>
      </c>
      <c r="J29" s="2">
        <f t="shared" si="19"/>
        <v>4984.0339999999997</v>
      </c>
      <c r="K29" s="1">
        <v>16.86</v>
      </c>
      <c r="L29" s="1">
        <f t="shared" si="15"/>
        <v>84030.813239999989</v>
      </c>
      <c r="M29" s="1">
        <f t="shared" si="12"/>
        <v>12250.956839999999</v>
      </c>
      <c r="N29" s="4">
        <f t="shared" si="9"/>
        <v>0.17067402269141346</v>
      </c>
    </row>
    <row r="30" spans="1:16" x14ac:dyDescent="0.35">
      <c r="A30" t="s">
        <v>16</v>
      </c>
      <c r="B30">
        <v>2006</v>
      </c>
      <c r="C30" s="2">
        <f t="shared" si="16"/>
        <v>4984.0339999999997</v>
      </c>
      <c r="D30" s="1">
        <f t="shared" si="17"/>
        <v>16.86</v>
      </c>
      <c r="E30" s="1">
        <f t="shared" si="18"/>
        <v>84030.813239999989</v>
      </c>
      <c r="F30" s="44"/>
      <c r="G30" s="44"/>
      <c r="H30" s="3">
        <v>192.685</v>
      </c>
      <c r="I30" s="1">
        <v>18.03</v>
      </c>
      <c r="J30" s="2">
        <f t="shared" si="19"/>
        <v>5176.7190000000001</v>
      </c>
      <c r="K30" s="1">
        <v>17.66</v>
      </c>
      <c r="L30" s="1">
        <f t="shared" si="15"/>
        <v>91420.857539999997</v>
      </c>
      <c r="M30" s="1">
        <f t="shared" si="12"/>
        <v>7390.0443000000087</v>
      </c>
      <c r="N30" s="4">
        <f t="shared" si="9"/>
        <v>8.7944457694266745E-2</v>
      </c>
    </row>
    <row r="31" spans="1:16" x14ac:dyDescent="0.35">
      <c r="A31" t="s">
        <v>16</v>
      </c>
      <c r="B31">
        <v>2007</v>
      </c>
      <c r="C31" s="2">
        <f t="shared" si="16"/>
        <v>5176.7190000000001</v>
      </c>
      <c r="D31" s="1">
        <f t="shared" si="17"/>
        <v>17.66</v>
      </c>
      <c r="E31" s="1">
        <f t="shared" si="18"/>
        <v>91420.857539999997</v>
      </c>
      <c r="F31" s="44"/>
      <c r="G31" s="44"/>
      <c r="H31" s="3">
        <v>759.86500000000001</v>
      </c>
      <c r="I31" s="1">
        <v>17.59</v>
      </c>
      <c r="J31" s="2">
        <f t="shared" si="19"/>
        <v>5936.5839999999998</v>
      </c>
      <c r="K31" s="1">
        <v>17.36</v>
      </c>
      <c r="L31" s="1">
        <f t="shared" si="15"/>
        <v>103059.09823999999</v>
      </c>
      <c r="M31" s="1">
        <f t="shared" si="12"/>
        <v>11638.240699999995</v>
      </c>
      <c r="N31" s="4">
        <f t="shared" si="9"/>
        <v>0.12730399837813636</v>
      </c>
    </row>
    <row r="32" spans="1:16" x14ac:dyDescent="0.35">
      <c r="A32" t="s">
        <v>16</v>
      </c>
      <c r="B32">
        <v>2008</v>
      </c>
      <c r="C32" s="2">
        <f t="shared" si="16"/>
        <v>5936.5839999999998</v>
      </c>
      <c r="D32" s="1">
        <f t="shared" si="17"/>
        <v>17.36</v>
      </c>
      <c r="E32" s="1">
        <f t="shared" si="18"/>
        <v>103059.09823999999</v>
      </c>
      <c r="F32" s="44"/>
      <c r="G32" s="44"/>
      <c r="H32" s="3">
        <v>101.11199999999999</v>
      </c>
      <c r="I32" s="1">
        <v>11.45</v>
      </c>
      <c r="J32" s="2">
        <f t="shared" si="19"/>
        <v>6037.6959999999999</v>
      </c>
      <c r="K32" s="1">
        <v>12.24</v>
      </c>
      <c r="L32" s="1">
        <f t="shared" si="15"/>
        <v>73901.399040000004</v>
      </c>
      <c r="M32" s="1">
        <f t="shared" si="12"/>
        <v>-29157.699199999988</v>
      </c>
      <c r="N32" s="4">
        <f t="shared" si="9"/>
        <v>-0.2829221262163451</v>
      </c>
    </row>
    <row r="33" spans="1:16" x14ac:dyDescent="0.35">
      <c r="A33" t="s">
        <v>16</v>
      </c>
      <c r="B33">
        <v>2009</v>
      </c>
      <c r="C33" s="2">
        <f t="shared" si="16"/>
        <v>6037.6959999999999</v>
      </c>
      <c r="D33" s="1">
        <f t="shared" si="17"/>
        <v>12.24</v>
      </c>
      <c r="E33" s="1">
        <f t="shared" si="18"/>
        <v>73901.399040000004</v>
      </c>
      <c r="F33" s="44"/>
      <c r="G33" s="44"/>
      <c r="H33" s="3">
        <v>0</v>
      </c>
      <c r="I33" s="1">
        <v>0</v>
      </c>
      <c r="J33" s="2">
        <f t="shared" si="19"/>
        <v>6037.6959999999999</v>
      </c>
      <c r="K33" s="1">
        <v>16.309999999999999</v>
      </c>
      <c r="L33" s="1">
        <f t="shared" si="15"/>
        <v>98474.821759999992</v>
      </c>
      <c r="M33" s="1">
        <f t="shared" si="12"/>
        <v>24573.422719999988</v>
      </c>
      <c r="N33" s="4">
        <f t="shared" si="9"/>
        <v>0.33251633986928086</v>
      </c>
    </row>
    <row r="34" spans="1:16" x14ac:dyDescent="0.35">
      <c r="A34" t="s">
        <v>16</v>
      </c>
      <c r="B34">
        <v>2010</v>
      </c>
      <c r="C34" s="2">
        <f t="shared" si="16"/>
        <v>6037.6959999999999</v>
      </c>
      <c r="D34" s="1">
        <f t="shared" si="17"/>
        <v>16.309999999999999</v>
      </c>
      <c r="E34" s="1">
        <f t="shared" si="18"/>
        <v>98474.821759999992</v>
      </c>
      <c r="F34" s="44"/>
      <c r="G34" s="44"/>
      <c r="H34" s="3">
        <v>81.945999999999998</v>
      </c>
      <c r="I34" s="1">
        <v>19.77</v>
      </c>
      <c r="J34" s="2">
        <f t="shared" si="19"/>
        <v>6119.6419999999998</v>
      </c>
      <c r="K34" s="1">
        <v>20.350000000000001</v>
      </c>
      <c r="L34" s="1">
        <f t="shared" si="15"/>
        <v>124534.71470000001</v>
      </c>
      <c r="M34" s="1">
        <f t="shared" si="12"/>
        <v>26059.89294000002</v>
      </c>
      <c r="N34" s="4">
        <f t="shared" si="9"/>
        <v>0.26463508614935544</v>
      </c>
    </row>
    <row r="35" spans="1:16" x14ac:dyDescent="0.35">
      <c r="A35" t="s">
        <v>16</v>
      </c>
      <c r="B35">
        <v>2011</v>
      </c>
      <c r="C35" s="2">
        <f t="shared" si="16"/>
        <v>6119.6419999999998</v>
      </c>
      <c r="D35" s="1">
        <f t="shared" si="17"/>
        <v>20.350000000000001</v>
      </c>
      <c r="E35" s="1">
        <f t="shared" si="18"/>
        <v>124534.71470000001</v>
      </c>
      <c r="F35" s="44"/>
      <c r="G35" s="44"/>
      <c r="H35" s="3">
        <v>547.19200000000001</v>
      </c>
      <c r="I35" s="1">
        <v>18.39</v>
      </c>
      <c r="J35" s="2">
        <f t="shared" si="19"/>
        <v>6666.8339999999998</v>
      </c>
      <c r="K35" s="1">
        <v>18.52</v>
      </c>
      <c r="L35" s="1">
        <f t="shared" si="15"/>
        <v>123469.76568</v>
      </c>
      <c r="M35" s="1">
        <f t="shared" si="12"/>
        <v>-1064.9490200000146</v>
      </c>
      <c r="N35" s="4">
        <f t="shared" si="9"/>
        <v>-8.5514229712208463E-3</v>
      </c>
    </row>
    <row r="36" spans="1:16" x14ac:dyDescent="0.35">
      <c r="A36" t="s">
        <v>16</v>
      </c>
      <c r="B36">
        <v>2012</v>
      </c>
      <c r="C36" s="2">
        <f t="shared" si="16"/>
        <v>6666.8339999999998</v>
      </c>
      <c r="D36" s="1">
        <f t="shared" si="17"/>
        <v>18.52</v>
      </c>
      <c r="E36" s="1">
        <f t="shared" si="18"/>
        <v>123469.76568</v>
      </c>
      <c r="F36" s="44"/>
      <c r="G36" s="44"/>
      <c r="H36" s="3">
        <v>515.01499999999999</v>
      </c>
      <c r="I36" s="1">
        <v>18.829999999999998</v>
      </c>
      <c r="J36" s="2">
        <f t="shared" si="19"/>
        <v>7181.8490000000002</v>
      </c>
      <c r="K36" s="1">
        <v>19.16</v>
      </c>
      <c r="L36" s="1">
        <f t="shared" si="15"/>
        <v>137604.22684000002</v>
      </c>
      <c r="M36" s="1">
        <f t="shared" si="12"/>
        <v>14134.461160000021</v>
      </c>
      <c r="N36" s="4">
        <f t="shared" si="9"/>
        <v>0.11447710362253942</v>
      </c>
    </row>
    <row r="37" spans="1:16" x14ac:dyDescent="0.35">
      <c r="A37" t="s">
        <v>16</v>
      </c>
      <c r="B37">
        <v>2013</v>
      </c>
      <c r="C37" s="2">
        <f t="shared" si="16"/>
        <v>7181.8490000000002</v>
      </c>
      <c r="D37" s="1">
        <f t="shared" si="17"/>
        <v>19.16</v>
      </c>
      <c r="E37" s="1">
        <f t="shared" si="18"/>
        <v>137604.22684000002</v>
      </c>
      <c r="F37" s="44"/>
      <c r="G37" s="44"/>
      <c r="J37" s="3">
        <v>7182.4160000000002</v>
      </c>
      <c r="K37" s="1">
        <v>20.149999999999999</v>
      </c>
      <c r="L37" s="1">
        <f t="shared" si="15"/>
        <v>144725.68239999999</v>
      </c>
      <c r="M37" s="1">
        <f t="shared" si="12"/>
        <v>7121.455559999973</v>
      </c>
      <c r="N37" s="4">
        <f t="shared" si="9"/>
        <v>5.1753174473924267E-2</v>
      </c>
      <c r="O37" s="1">
        <f>L37-G21</f>
        <v>112725.68239999999</v>
      </c>
      <c r="P37" s="5">
        <f>O37/G21/17</f>
        <v>0.20721632794117648</v>
      </c>
    </row>
    <row r="38" spans="1:16" x14ac:dyDescent="0.35">
      <c r="F38" s="43"/>
      <c r="G38" s="44"/>
      <c r="M38" s="1"/>
    </row>
    <row r="39" spans="1:16" x14ac:dyDescent="0.35">
      <c r="A39" t="s">
        <v>17</v>
      </c>
      <c r="B39">
        <v>1997</v>
      </c>
      <c r="F39" s="43">
        <v>1996.105</v>
      </c>
      <c r="G39" s="44">
        <v>41000</v>
      </c>
      <c r="H39" s="3">
        <v>91.122</v>
      </c>
      <c r="J39" s="3">
        <f>C39+F39</f>
        <v>1996.105</v>
      </c>
      <c r="K39" s="1">
        <v>20.54</v>
      </c>
      <c r="L39" s="1">
        <f t="shared" si="15"/>
        <v>40999.996699999996</v>
      </c>
      <c r="M39" s="1">
        <f>L39-G39-E39</f>
        <v>-3.3000000039464794E-3</v>
      </c>
      <c r="N39" s="4">
        <f t="shared" si="9"/>
        <v>-1.6532196472362323E-6</v>
      </c>
    </row>
    <row r="40" spans="1:16" x14ac:dyDescent="0.35">
      <c r="A40" t="s">
        <v>17</v>
      </c>
      <c r="B40">
        <v>1998</v>
      </c>
      <c r="C40">
        <f>J39</f>
        <v>1996.105</v>
      </c>
      <c r="D40" s="1">
        <f>K39</f>
        <v>20.54</v>
      </c>
      <c r="E40" s="1">
        <f>L39</f>
        <v>40999.996699999996</v>
      </c>
      <c r="F40" s="44"/>
      <c r="G40" s="43"/>
      <c r="H40" s="3">
        <v>104.3018</v>
      </c>
      <c r="J40" s="3">
        <f t="shared" ref="J40:J41" si="20">C40+G40+H40</f>
        <v>2100.4068000000002</v>
      </c>
      <c r="K40" s="1">
        <v>22</v>
      </c>
      <c r="L40" s="1">
        <f t="shared" si="15"/>
        <v>46208.949600000007</v>
      </c>
      <c r="M40" s="1">
        <f t="shared" si="12"/>
        <v>5208.9529000000111</v>
      </c>
      <c r="N40" s="4">
        <f t="shared" si="9"/>
        <v>0.12704764193310317</v>
      </c>
    </row>
    <row r="41" spans="1:16" x14ac:dyDescent="0.35">
      <c r="A41" t="s">
        <v>17</v>
      </c>
      <c r="B41">
        <v>1999</v>
      </c>
      <c r="C41">
        <f t="shared" ref="C41:C42" si="21">J40</f>
        <v>2100.4068000000002</v>
      </c>
      <c r="D41" s="1">
        <f t="shared" ref="D41:D47" si="22">K40</f>
        <v>22</v>
      </c>
      <c r="E41" s="1">
        <f t="shared" ref="E41:E47" si="23">L40</f>
        <v>46208.949600000007</v>
      </c>
      <c r="F41" s="44"/>
      <c r="G41" s="43"/>
      <c r="H41" s="3">
        <v>128.54900000000001</v>
      </c>
      <c r="J41" s="3">
        <f t="shared" si="20"/>
        <v>2228.9558000000002</v>
      </c>
      <c r="K41" s="1">
        <v>23</v>
      </c>
      <c r="L41" s="1">
        <f t="shared" si="15"/>
        <v>51265.983400000005</v>
      </c>
      <c r="M41" s="1">
        <f t="shared" si="12"/>
        <v>5057.0337999999974</v>
      </c>
      <c r="N41" s="4">
        <f t="shared" si="9"/>
        <v>0.10943840627790416</v>
      </c>
    </row>
    <row r="42" spans="1:16" x14ac:dyDescent="0.35">
      <c r="A42" t="s">
        <v>17</v>
      </c>
      <c r="B42">
        <v>2000</v>
      </c>
      <c r="C42">
        <f t="shared" si="21"/>
        <v>2228.9558000000002</v>
      </c>
      <c r="D42" s="1">
        <f t="shared" si="22"/>
        <v>23</v>
      </c>
      <c r="E42" s="1">
        <f t="shared" si="23"/>
        <v>51265.983400000005</v>
      </c>
      <c r="F42" s="44"/>
      <c r="G42" s="43"/>
      <c r="J42" s="3">
        <v>2320.0920000000001</v>
      </c>
      <c r="K42" s="1">
        <v>23.62</v>
      </c>
      <c r="L42" s="1">
        <f t="shared" si="15"/>
        <v>54800.573040000003</v>
      </c>
      <c r="M42" s="1">
        <f t="shared" si="12"/>
        <v>3534.5896399999983</v>
      </c>
      <c r="N42" s="4">
        <f t="shared" si="9"/>
        <v>6.8946100427286411E-2</v>
      </c>
      <c r="O42" s="1">
        <f>L42-G39</f>
        <v>13800.573040000003</v>
      </c>
      <c r="P42" s="5">
        <f>O42/G39/4</f>
        <v>8.4149835609756113E-2</v>
      </c>
    </row>
    <row r="43" spans="1:16" x14ac:dyDescent="0.35">
      <c r="F43" s="43"/>
      <c r="G43" s="44"/>
      <c r="M43" s="1"/>
    </row>
    <row r="44" spans="1:16" x14ac:dyDescent="0.35">
      <c r="A44" t="s">
        <v>18</v>
      </c>
      <c r="B44">
        <v>1998</v>
      </c>
      <c r="C44">
        <v>0</v>
      </c>
      <c r="D44" s="1">
        <v>0</v>
      </c>
      <c r="E44" s="1">
        <v>0</v>
      </c>
      <c r="F44" s="43">
        <v>242.71100000000001</v>
      </c>
      <c r="G44" s="44">
        <v>11429.24</v>
      </c>
      <c r="H44" s="3">
        <v>0.19600000000000001</v>
      </c>
      <c r="I44" s="1">
        <v>9.9600000000000009</v>
      </c>
      <c r="J44" s="3">
        <f>C44+F44+H44</f>
        <v>242.90700000000001</v>
      </c>
      <c r="K44" s="1">
        <v>50.81</v>
      </c>
      <c r="L44" s="1">
        <f>J44*K44</f>
        <v>12342.104670000001</v>
      </c>
      <c r="M44" s="1">
        <f>L44-G44-E44</f>
        <v>912.86467000000084</v>
      </c>
      <c r="N44" s="4">
        <f>M44/(E44+G44)</f>
        <v>7.9870986172308991E-2</v>
      </c>
    </row>
    <row r="45" spans="1:16" x14ac:dyDescent="0.35">
      <c r="A45" t="s">
        <v>18</v>
      </c>
      <c r="B45">
        <v>1999</v>
      </c>
      <c r="C45">
        <f>J44</f>
        <v>242.90700000000001</v>
      </c>
      <c r="D45" s="1">
        <f t="shared" si="22"/>
        <v>50.81</v>
      </c>
      <c r="E45" s="1">
        <f t="shared" si="23"/>
        <v>12342.104670000001</v>
      </c>
      <c r="F45" s="44"/>
      <c r="G45" s="44"/>
      <c r="J45" s="3">
        <f t="shared" ref="J45:J46" si="24">C45+G45+H45</f>
        <v>242.90700000000001</v>
      </c>
      <c r="K45" s="1">
        <v>58.64</v>
      </c>
      <c r="L45" s="1">
        <f t="shared" ref="L45:L47" si="25">J45*K45</f>
        <v>14244.066480000001</v>
      </c>
      <c r="M45" s="1">
        <f t="shared" ref="M45:M47" si="26">L45-G45-E45</f>
        <v>1901.9618100000007</v>
      </c>
      <c r="N45" s="4">
        <f t="shared" ref="N45:N47" si="27">M45/(E45+G45)</f>
        <v>0.15410352292855742</v>
      </c>
    </row>
    <row r="46" spans="1:16" x14ac:dyDescent="0.35">
      <c r="A46" t="s">
        <v>18</v>
      </c>
      <c r="B46">
        <v>2000</v>
      </c>
      <c r="C46">
        <f t="shared" ref="C46:C47" si="28">J45</f>
        <v>242.90700000000001</v>
      </c>
      <c r="D46" s="1">
        <f t="shared" si="22"/>
        <v>58.64</v>
      </c>
      <c r="E46" s="1">
        <f t="shared" si="23"/>
        <v>14244.066480000001</v>
      </c>
      <c r="F46" s="44"/>
      <c r="G46" s="44"/>
      <c r="H46" s="3">
        <v>20.492999999999999</v>
      </c>
      <c r="I46" s="1">
        <v>54.69</v>
      </c>
      <c r="J46" s="3">
        <f t="shared" si="24"/>
        <v>263.40000000000003</v>
      </c>
      <c r="K46" s="1">
        <v>54.39</v>
      </c>
      <c r="L46" s="1">
        <f t="shared" si="25"/>
        <v>14326.326000000003</v>
      </c>
      <c r="M46" s="1">
        <f t="shared" si="26"/>
        <v>82.25952000000143</v>
      </c>
      <c r="N46" s="4">
        <f t="shared" si="27"/>
        <v>5.775002532844218E-3</v>
      </c>
    </row>
    <row r="47" spans="1:16" x14ac:dyDescent="0.35">
      <c r="A47" t="s">
        <v>18</v>
      </c>
      <c r="B47">
        <v>2001</v>
      </c>
      <c r="C47">
        <f t="shared" si="28"/>
        <v>263.40000000000003</v>
      </c>
      <c r="D47" s="1">
        <f t="shared" si="22"/>
        <v>54.39</v>
      </c>
      <c r="E47" s="1">
        <f t="shared" si="23"/>
        <v>14326.326000000003</v>
      </c>
      <c r="F47" s="44"/>
      <c r="G47" s="44"/>
      <c r="J47" s="3">
        <v>263.39999999999998</v>
      </c>
      <c r="K47" s="1">
        <v>36.69</v>
      </c>
      <c r="L47" s="1">
        <f t="shared" si="25"/>
        <v>9664.1459999999988</v>
      </c>
      <c r="M47" s="1">
        <f t="shared" si="26"/>
        <v>-4662.1800000000039</v>
      </c>
      <c r="N47" s="4">
        <f t="shared" si="27"/>
        <v>-0.32542746828461133</v>
      </c>
      <c r="O47" s="1">
        <f>L47-G44</f>
        <v>-1765.094000000001</v>
      </c>
      <c r="P47" s="5">
        <f>O47/G44/4</f>
        <v>-3.8609172613402139E-2</v>
      </c>
    </row>
    <row r="48" spans="1:16" x14ac:dyDescent="0.35">
      <c r="F48" s="44"/>
      <c r="G48" s="44"/>
    </row>
    <row r="49" spans="1:16" x14ac:dyDescent="0.35">
      <c r="A49" t="s">
        <v>19</v>
      </c>
      <c r="B49">
        <v>1998</v>
      </c>
      <c r="F49" s="43">
        <v>100</v>
      </c>
      <c r="G49" s="44">
        <v>2756.25</v>
      </c>
      <c r="H49" s="44"/>
      <c r="J49" s="3">
        <v>100</v>
      </c>
      <c r="K49" s="1">
        <v>30</v>
      </c>
      <c r="L49" s="1">
        <f>J49*K49</f>
        <v>3000</v>
      </c>
      <c r="M49" s="1">
        <f>L49-G49</f>
        <v>243.75</v>
      </c>
      <c r="N49" s="4">
        <f>M49/G49</f>
        <v>8.8435374149659865E-2</v>
      </c>
    </row>
    <row r="50" spans="1:16" x14ac:dyDescent="0.35">
      <c r="A50" t="s">
        <v>19</v>
      </c>
      <c r="B50">
        <v>1999</v>
      </c>
      <c r="C50">
        <v>100</v>
      </c>
      <c r="D50" s="1">
        <v>30</v>
      </c>
      <c r="E50" s="1">
        <v>3000</v>
      </c>
      <c r="F50" s="43">
        <v>100</v>
      </c>
      <c r="G50" s="44">
        <v>3672.5</v>
      </c>
      <c r="H50" s="44"/>
      <c r="J50" s="3">
        <v>200</v>
      </c>
      <c r="K50" s="1">
        <v>62</v>
      </c>
      <c r="L50" s="1">
        <v>12387.58</v>
      </c>
      <c r="M50" s="1">
        <f>L50-G50-E50</f>
        <v>5715.08</v>
      </c>
      <c r="N50" s="4">
        <f>M50/(G50+E50)</f>
        <v>0.85651255151742223</v>
      </c>
      <c r="O50" s="1">
        <f>L50-G50-G49</f>
        <v>5958.83</v>
      </c>
      <c r="P50" s="5">
        <f>O50/(G49+G50)/2</f>
        <v>0.46345168189772507</v>
      </c>
    </row>
    <row r="51" spans="1:16" x14ac:dyDescent="0.35">
      <c r="A51" t="s">
        <v>19</v>
      </c>
      <c r="B51">
        <v>2000</v>
      </c>
      <c r="F51" s="43">
        <v>100</v>
      </c>
      <c r="G51" s="44">
        <v>3137</v>
      </c>
      <c r="H51" s="44"/>
      <c r="J51" s="3">
        <v>100</v>
      </c>
      <c r="K51" s="1">
        <v>3.88</v>
      </c>
      <c r="L51" s="1">
        <v>375.46</v>
      </c>
      <c r="M51" s="1">
        <f t="shared" ref="M51" si="29">L51-G51</f>
        <v>-2761.54</v>
      </c>
      <c r="N51" s="4">
        <f t="shared" ref="N51" si="30">M51/G51</f>
        <v>-0.88031240038253111</v>
      </c>
      <c r="O51" s="1">
        <f>M51</f>
        <v>-2761.54</v>
      </c>
      <c r="P51" s="5">
        <f>O51/G51</f>
        <v>-0.88031240038253111</v>
      </c>
    </row>
    <row r="52" spans="1:16" x14ac:dyDescent="0.35">
      <c r="F52" s="43"/>
      <c r="G52" s="43"/>
      <c r="M52" s="1"/>
    </row>
    <row r="53" spans="1:16" x14ac:dyDescent="0.35">
      <c r="A53" t="s">
        <v>20</v>
      </c>
      <c r="B53">
        <v>1999</v>
      </c>
      <c r="F53" s="43">
        <v>100</v>
      </c>
      <c r="G53" s="44">
        <v>4007.5</v>
      </c>
      <c r="J53" s="3">
        <v>100</v>
      </c>
      <c r="K53" s="1">
        <v>38.19</v>
      </c>
      <c r="L53" s="1">
        <v>3806.62</v>
      </c>
      <c r="M53" s="1">
        <f>L53-G53</f>
        <v>-200.88000000000011</v>
      </c>
      <c r="N53" s="4">
        <f>M53/G53</f>
        <v>-5.0126013724267025E-2</v>
      </c>
    </row>
    <row r="54" spans="1:16" x14ac:dyDescent="0.35">
      <c r="F54" s="43"/>
      <c r="G54" s="43"/>
      <c r="M54" s="1"/>
    </row>
    <row r="55" spans="1:16" x14ac:dyDescent="0.35">
      <c r="A55" t="s">
        <v>21</v>
      </c>
      <c r="B55">
        <v>1999</v>
      </c>
      <c r="F55" s="43">
        <v>1031.326</v>
      </c>
      <c r="G55" s="44">
        <v>41088.04</v>
      </c>
      <c r="H55" s="3">
        <v>11.099</v>
      </c>
      <c r="I55" s="1">
        <v>450.4</v>
      </c>
      <c r="J55" s="3">
        <v>1042.4290000000001</v>
      </c>
      <c r="K55" s="1">
        <v>40.58</v>
      </c>
      <c r="L55" s="1">
        <f>J55*K55</f>
        <v>42301.768820000005</v>
      </c>
      <c r="M55" s="1">
        <f>L55-G55</f>
        <v>1213.7288200000039</v>
      </c>
      <c r="N55" s="4">
        <f>M55/(G55+E55)</f>
        <v>2.9539710825826782E-2</v>
      </c>
    </row>
    <row r="56" spans="1:16" x14ac:dyDescent="0.35">
      <c r="A56" t="s">
        <v>21</v>
      </c>
      <c r="B56">
        <v>2000</v>
      </c>
      <c r="C56">
        <f t="shared" ref="C56:E57" si="31">J55</f>
        <v>1042.4290000000001</v>
      </c>
      <c r="D56" s="1">
        <f t="shared" si="31"/>
        <v>40.58</v>
      </c>
      <c r="E56" s="1">
        <f t="shared" si="31"/>
        <v>42301.768820000005</v>
      </c>
      <c r="F56" s="43">
        <v>237.304</v>
      </c>
      <c r="G56" s="44">
        <v>10000</v>
      </c>
      <c r="H56" s="3">
        <v>17.355</v>
      </c>
      <c r="I56" s="1">
        <v>653.92999999999995</v>
      </c>
      <c r="J56" s="3">
        <f>C56+F56+H56</f>
        <v>1297.0880000000002</v>
      </c>
      <c r="K56" s="1">
        <v>37.68</v>
      </c>
      <c r="L56" s="1">
        <f t="shared" ref="L56:L60" si="32">J56*K56</f>
        <v>48874.275840000009</v>
      </c>
      <c r="M56" s="1">
        <f>L56-G56-E56</f>
        <v>-3427.4929799999954</v>
      </c>
      <c r="N56" s="4">
        <f t="shared" ref="N56:N57" si="33">M56/(F56+E56)</f>
        <v>-8.0572818183017356E-2</v>
      </c>
    </row>
    <row r="57" spans="1:16" x14ac:dyDescent="0.35">
      <c r="A57" t="s">
        <v>21</v>
      </c>
      <c r="B57">
        <v>2001</v>
      </c>
      <c r="C57">
        <f t="shared" si="31"/>
        <v>1297.0880000000002</v>
      </c>
      <c r="D57" s="1">
        <f t="shared" si="31"/>
        <v>37.68</v>
      </c>
      <c r="E57" s="1">
        <f t="shared" si="31"/>
        <v>48874.275840000009</v>
      </c>
      <c r="F57" s="44"/>
      <c r="G57" s="44"/>
      <c r="J57" s="3">
        <v>1297.0840000000001</v>
      </c>
      <c r="K57" s="1">
        <v>25.92</v>
      </c>
      <c r="L57" s="1">
        <f t="shared" si="32"/>
        <v>33620.417280000001</v>
      </c>
      <c r="M57" s="1">
        <f>L57-G57-E57</f>
        <v>-15253.858560000008</v>
      </c>
      <c r="N57" s="4">
        <f t="shared" si="33"/>
        <v>-0.31210403218938015</v>
      </c>
      <c r="O57" s="1">
        <f>L57-G56-G55</f>
        <v>-17467.622719999999</v>
      </c>
      <c r="P57" s="5">
        <f>O57/(G55+G56)/3</f>
        <v>-0.1139707240024606</v>
      </c>
    </row>
    <row r="59" spans="1:16" x14ac:dyDescent="0.35">
      <c r="A59" t="s">
        <v>22</v>
      </c>
      <c r="B59">
        <v>1998</v>
      </c>
      <c r="C59">
        <v>100</v>
      </c>
      <c r="D59" s="1">
        <v>14.5</v>
      </c>
      <c r="E59" s="1">
        <v>1450</v>
      </c>
    </row>
    <row r="60" spans="1:16" x14ac:dyDescent="0.35">
      <c r="A60" t="s">
        <v>22</v>
      </c>
      <c r="B60">
        <v>1999</v>
      </c>
      <c r="J60" s="3">
        <v>100</v>
      </c>
      <c r="K60" s="1">
        <v>16.5</v>
      </c>
      <c r="L60" s="1">
        <f t="shared" si="32"/>
        <v>1650</v>
      </c>
      <c r="M60" s="1">
        <f>L60-E59</f>
        <v>200</v>
      </c>
      <c r="N60" s="4">
        <f>M60/E59</f>
        <v>0.13793103448275862</v>
      </c>
    </row>
    <row r="62" spans="1:16" x14ac:dyDescent="0.35">
      <c r="A62" t="s">
        <v>23</v>
      </c>
      <c r="B62">
        <v>1999</v>
      </c>
      <c r="C62">
        <v>3483.6619999999998</v>
      </c>
      <c r="D62" s="1">
        <v>8.11</v>
      </c>
      <c r="E62" s="1">
        <v>28252.5</v>
      </c>
      <c r="H62" s="3">
        <v>15.295999999999999</v>
      </c>
      <c r="I62" s="1">
        <v>9.11</v>
      </c>
      <c r="J62" s="3">
        <f>C62+F62+H62</f>
        <v>3498.9579999999996</v>
      </c>
      <c r="K62" s="1">
        <v>9.9700000000000006</v>
      </c>
      <c r="L62" s="1">
        <f>J62*K62</f>
        <v>34884.611259999998</v>
      </c>
      <c r="M62" s="1">
        <f>L62-(F62+E62)</f>
        <v>6632.1112599999979</v>
      </c>
      <c r="N62" s="4">
        <f>M62/(E62+F62)</f>
        <v>0.2347442265286257</v>
      </c>
    </row>
    <row r="63" spans="1:16" x14ac:dyDescent="0.35">
      <c r="A63" t="s">
        <v>23</v>
      </c>
      <c r="B63">
        <v>2000</v>
      </c>
      <c r="C63">
        <f t="shared" ref="C63:E64" si="34">J62</f>
        <v>3498.9579999999996</v>
      </c>
      <c r="D63" s="1">
        <f t="shared" si="34"/>
        <v>9.9700000000000006</v>
      </c>
      <c r="E63" s="1">
        <f t="shared" si="34"/>
        <v>34884.611259999998</v>
      </c>
      <c r="F63" s="3">
        <v>537.05700000000002</v>
      </c>
      <c r="G63" s="1">
        <v>5024</v>
      </c>
      <c r="J63" s="3">
        <f>C63+F63+H63</f>
        <v>4036.0149999999994</v>
      </c>
      <c r="K63" s="1">
        <v>6.9</v>
      </c>
      <c r="L63" s="1">
        <f t="shared" ref="L63" si="35">J63*K63</f>
        <v>27848.503499999999</v>
      </c>
      <c r="M63" s="1">
        <f>L63-(G63+E63)</f>
        <v>-12060.107759999999</v>
      </c>
      <c r="N63" s="4">
        <f>M63/(E63+F63)</f>
        <v>-0.34047260765577503</v>
      </c>
    </row>
    <row r="64" spans="1:16" x14ac:dyDescent="0.35">
      <c r="A64" t="s">
        <v>23</v>
      </c>
      <c r="B64">
        <v>2001</v>
      </c>
      <c r="C64">
        <f t="shared" si="34"/>
        <v>4036.0149999999994</v>
      </c>
      <c r="D64" s="1">
        <f t="shared" si="34"/>
        <v>6.9</v>
      </c>
      <c r="E64" s="1">
        <f t="shared" si="34"/>
        <v>27848.503499999999</v>
      </c>
      <c r="J64" s="3">
        <v>4036.0149999999999</v>
      </c>
      <c r="K64" s="1">
        <v>7.35</v>
      </c>
      <c r="L64" s="1">
        <v>29655.25</v>
      </c>
      <c r="M64" s="1">
        <f>L64-(F64+E64)</f>
        <v>1806.7465000000011</v>
      </c>
      <c r="N64" s="4">
        <f>M64/(E64+F64)</f>
        <v>6.4877687233714412E-2</v>
      </c>
    </row>
    <row r="66" spans="1:14" x14ac:dyDescent="0.35">
      <c r="A66" s="10" t="s">
        <v>24</v>
      </c>
      <c r="B66">
        <v>1999</v>
      </c>
      <c r="C66">
        <v>10</v>
      </c>
      <c r="D66" s="1">
        <v>1750</v>
      </c>
      <c r="E66" s="1">
        <v>18489.95</v>
      </c>
      <c r="J66" s="3">
        <v>10</v>
      </c>
      <c r="K66" s="1">
        <v>1830</v>
      </c>
      <c r="L66" s="1">
        <f>J66*K66</f>
        <v>18300</v>
      </c>
      <c r="M66" s="1">
        <f>L66-E66</f>
        <v>-189.95000000000073</v>
      </c>
      <c r="N66" s="4">
        <f>M66/E66</f>
        <v>-1.0273148386015145E-2</v>
      </c>
    </row>
    <row r="67" spans="1:14" x14ac:dyDescent="0.35">
      <c r="A67" s="10" t="s">
        <v>24</v>
      </c>
      <c r="B67">
        <v>2000</v>
      </c>
      <c r="C67">
        <f>J66</f>
        <v>10</v>
      </c>
      <c r="D67" s="1">
        <f>K66</f>
        <v>1830</v>
      </c>
      <c r="E67" s="1">
        <f>L66</f>
        <v>18300</v>
      </c>
      <c r="J67" s="3">
        <v>10</v>
      </c>
      <c r="K67" s="1">
        <v>2354</v>
      </c>
      <c r="L67" s="1">
        <f t="shared" ref="L67:L68" si="36">J67*K67</f>
        <v>23540</v>
      </c>
      <c r="M67" s="1">
        <f t="shared" ref="M67:M70" si="37">L67-E67</f>
        <v>5240</v>
      </c>
      <c r="N67" s="4">
        <f t="shared" ref="N67:N70" si="38">M67/E67</f>
        <v>0.28633879781420762</v>
      </c>
    </row>
    <row r="68" spans="1:14" x14ac:dyDescent="0.35">
      <c r="A68" s="10" t="s">
        <v>24</v>
      </c>
      <c r="B68">
        <v>2001</v>
      </c>
      <c r="C68">
        <f t="shared" ref="C68:C69" si="39">J67</f>
        <v>10</v>
      </c>
      <c r="D68" s="1">
        <f t="shared" ref="D68:D69" si="40">K67</f>
        <v>2354</v>
      </c>
      <c r="E68" s="1">
        <f t="shared" ref="E68:E69" si="41">L67</f>
        <v>23540</v>
      </c>
      <c r="J68" s="3">
        <v>10</v>
      </c>
      <c r="K68" s="1">
        <v>2525</v>
      </c>
      <c r="L68" s="1">
        <f t="shared" si="36"/>
        <v>25250</v>
      </c>
      <c r="M68" s="1">
        <f t="shared" si="37"/>
        <v>1710</v>
      </c>
      <c r="N68" s="4">
        <f t="shared" si="38"/>
        <v>7.2642310960067971E-2</v>
      </c>
    </row>
    <row r="69" spans="1:14" x14ac:dyDescent="0.35">
      <c r="A69" s="10" t="s">
        <v>24</v>
      </c>
      <c r="B69">
        <v>2002</v>
      </c>
      <c r="C69">
        <f t="shared" si="39"/>
        <v>10</v>
      </c>
      <c r="D69" s="1">
        <f t="shared" si="40"/>
        <v>2525</v>
      </c>
      <c r="E69" s="1">
        <f t="shared" si="41"/>
        <v>25250</v>
      </c>
      <c r="J69" s="3">
        <v>10</v>
      </c>
      <c r="K69" s="1">
        <v>2423</v>
      </c>
      <c r="L69" s="1">
        <v>24230</v>
      </c>
      <c r="M69" s="1">
        <f t="shared" si="37"/>
        <v>-1020</v>
      </c>
      <c r="N69" s="4">
        <f t="shared" si="38"/>
        <v>-4.0396039603960397E-2</v>
      </c>
    </row>
    <row r="70" spans="1:14" x14ac:dyDescent="0.35">
      <c r="A70" s="10" t="s">
        <v>24</v>
      </c>
      <c r="B70">
        <v>2005</v>
      </c>
      <c r="C70">
        <v>10</v>
      </c>
      <c r="D70" s="1">
        <v>2980</v>
      </c>
      <c r="E70" s="1">
        <v>29802</v>
      </c>
      <c r="J70" s="3">
        <v>10</v>
      </c>
      <c r="K70" s="1">
        <v>2652.69</v>
      </c>
      <c r="L70" s="1">
        <v>26526.94</v>
      </c>
      <c r="M70" s="1">
        <f t="shared" si="37"/>
        <v>-3275.0600000000013</v>
      </c>
      <c r="N70" s="4">
        <f t="shared" si="38"/>
        <v>-0.10989396684786261</v>
      </c>
    </row>
    <row r="72" spans="1:14" x14ac:dyDescent="0.35">
      <c r="A72" t="s">
        <v>25</v>
      </c>
      <c r="B72">
        <v>2000</v>
      </c>
      <c r="C72">
        <v>1100</v>
      </c>
      <c r="D72" s="1">
        <v>17.5</v>
      </c>
      <c r="E72" s="1">
        <v>20000</v>
      </c>
      <c r="J72" s="3">
        <v>1100</v>
      </c>
      <c r="L72" s="1">
        <v>21162.37</v>
      </c>
      <c r="M72" s="1">
        <f>L72-E72</f>
        <v>1162.369999999999</v>
      </c>
      <c r="N72" s="4">
        <f>M72/E72</f>
        <v>5.8118499999999948E-2</v>
      </c>
    </row>
    <row r="73" spans="1:14" x14ac:dyDescent="0.35">
      <c r="M73" s="1"/>
    </row>
    <row r="74" spans="1:14" x14ac:dyDescent="0.35">
      <c r="A74" t="s">
        <v>26</v>
      </c>
      <c r="B74">
        <v>2000</v>
      </c>
      <c r="C74">
        <v>457.76100000000002</v>
      </c>
      <c r="D74" s="1">
        <v>33.520000000000003</v>
      </c>
      <c r="E74" s="1">
        <v>15344.15</v>
      </c>
      <c r="H74" s="3">
        <v>74.896000000000001</v>
      </c>
      <c r="I74" s="1">
        <v>1625.24</v>
      </c>
      <c r="J74" s="3">
        <f>H74+C74</f>
        <v>532.65700000000004</v>
      </c>
      <c r="K74" s="1">
        <v>21.9</v>
      </c>
      <c r="L74" s="1">
        <f>J74*K74</f>
        <v>11665.1883</v>
      </c>
      <c r="M74" s="1">
        <f t="shared" ref="M74" si="42">L74-E74</f>
        <v>-3678.9616999999998</v>
      </c>
      <c r="N74" s="4">
        <f t="shared" ref="N74:N75" si="43">M74/E74</f>
        <v>-0.23976314751876121</v>
      </c>
    </row>
    <row r="75" spans="1:14" x14ac:dyDescent="0.35">
      <c r="A75" t="s">
        <v>26</v>
      </c>
      <c r="B75">
        <v>2001</v>
      </c>
      <c r="C75" s="3">
        <v>532.65700000000004</v>
      </c>
      <c r="D75" s="1">
        <v>21.9</v>
      </c>
      <c r="E75" s="1">
        <f>L74</f>
        <v>11665.1883</v>
      </c>
      <c r="J75" s="3">
        <v>532.65700000000004</v>
      </c>
      <c r="K75" s="1">
        <v>21.02</v>
      </c>
      <c r="L75" s="1">
        <v>11196.45</v>
      </c>
      <c r="M75" s="1">
        <f>L75-E75</f>
        <v>-468.73829999999907</v>
      </c>
      <c r="N75" s="4">
        <f t="shared" si="43"/>
        <v>-4.0182660403347205E-2</v>
      </c>
    </row>
    <row r="77" spans="1:14" x14ac:dyDescent="0.35">
      <c r="A77" t="s">
        <v>27</v>
      </c>
      <c r="B77">
        <v>2000</v>
      </c>
      <c r="C77">
        <v>272.33</v>
      </c>
      <c r="D77" s="1">
        <v>72.44</v>
      </c>
      <c r="E77" s="1">
        <v>19728.21</v>
      </c>
      <c r="F77" s="1">
        <v>137.31</v>
      </c>
      <c r="G77" s="1">
        <v>7663.51</v>
      </c>
      <c r="H77" s="3">
        <v>13.586</v>
      </c>
      <c r="I77" s="1">
        <v>590.04</v>
      </c>
      <c r="J77" s="2">
        <f>C77+F77+H77</f>
        <v>423.226</v>
      </c>
      <c r="K77" s="1">
        <v>43.43</v>
      </c>
      <c r="L77" s="1">
        <f>J77*K77</f>
        <v>18380.705180000001</v>
      </c>
      <c r="M77" s="1">
        <f>L77-(E77+G77)</f>
        <v>-9011.0148200000003</v>
      </c>
      <c r="N77" s="4">
        <f>M77/(E77+F77)</f>
        <v>-0.45360075245953796</v>
      </c>
    </row>
    <row r="78" spans="1:14" x14ac:dyDescent="0.35">
      <c r="A78" t="s">
        <v>27</v>
      </c>
      <c r="B78">
        <v>2001</v>
      </c>
      <c r="C78" s="2">
        <f>J77</f>
        <v>423.226</v>
      </c>
      <c r="D78" s="1">
        <f>K77</f>
        <v>43.43</v>
      </c>
      <c r="E78" s="1">
        <f>L77</f>
        <v>18380.705180000001</v>
      </c>
      <c r="J78" s="3">
        <v>423.23899999999998</v>
      </c>
      <c r="K78" s="1">
        <v>23.54</v>
      </c>
      <c r="L78" s="1">
        <f>J78*K78</f>
        <v>9963.0460599999988</v>
      </c>
      <c r="M78" s="1">
        <f>L78-(E78+F78)</f>
        <v>-8417.6591200000021</v>
      </c>
      <c r="N78" s="4">
        <f t="shared" ref="N78:N84" si="44">M78/(E78+F78)</f>
        <v>-0.4579617069947477</v>
      </c>
    </row>
    <row r="79" spans="1:14" x14ac:dyDescent="0.35">
      <c r="M79" s="1"/>
    </row>
    <row r="80" spans="1:14" x14ac:dyDescent="0.35">
      <c r="A80" t="s">
        <v>28</v>
      </c>
      <c r="B80">
        <v>2000</v>
      </c>
      <c r="C80">
        <v>452.58600000000001</v>
      </c>
      <c r="D80" s="1">
        <v>43.59</v>
      </c>
      <c r="E80" s="1">
        <v>19728.21</v>
      </c>
      <c r="H80" s="3">
        <v>43.578000000000003</v>
      </c>
      <c r="I80" s="1">
        <v>1389.7</v>
      </c>
      <c r="J80" s="3">
        <f>H80+C80</f>
        <v>496.16399999999999</v>
      </c>
      <c r="K80" s="1">
        <v>31.89</v>
      </c>
      <c r="L80" s="1">
        <f t="shared" ref="L80:L83" si="45">J80*K80</f>
        <v>15822.669959999999</v>
      </c>
      <c r="M80" s="1">
        <f t="shared" ref="M80:M84" si="46">L80-(E80+F80)</f>
        <v>-3905.5400399999999</v>
      </c>
      <c r="N80" s="4">
        <f t="shared" si="44"/>
        <v>-0.19796727832884992</v>
      </c>
    </row>
    <row r="81" spans="1:14" x14ac:dyDescent="0.35">
      <c r="A81" t="s">
        <v>28</v>
      </c>
      <c r="B81">
        <v>2001</v>
      </c>
      <c r="C81">
        <f>J80</f>
        <v>496.16399999999999</v>
      </c>
      <c r="D81" s="1">
        <f>K80</f>
        <v>31.89</v>
      </c>
      <c r="E81" s="1">
        <f>L80</f>
        <v>15822.669959999999</v>
      </c>
      <c r="J81" s="3">
        <f>C81</f>
        <v>496.16399999999999</v>
      </c>
      <c r="K81" s="1">
        <v>16.649999999999999</v>
      </c>
      <c r="L81" s="1">
        <f t="shared" si="45"/>
        <v>8261.1305999999986</v>
      </c>
      <c r="M81" s="1">
        <f t="shared" si="46"/>
        <v>-7561.5393600000007</v>
      </c>
      <c r="N81" s="4">
        <f t="shared" si="44"/>
        <v>-0.47789275634995304</v>
      </c>
    </row>
    <row r="82" spans="1:14" x14ac:dyDescent="0.35">
      <c r="M82" s="1"/>
    </row>
    <row r="83" spans="1:14" x14ac:dyDescent="0.35">
      <c r="A83" t="s">
        <v>29</v>
      </c>
      <c r="B83">
        <v>2000</v>
      </c>
      <c r="C83">
        <v>64.927000000000007</v>
      </c>
      <c r="D83" s="1">
        <v>77.010000000000005</v>
      </c>
      <c r="E83" s="1">
        <v>5024</v>
      </c>
      <c r="H83" s="3">
        <v>7.6230000000000002</v>
      </c>
      <c r="I83" s="1">
        <v>449.3</v>
      </c>
      <c r="J83" s="3">
        <f>C83+H83</f>
        <v>72.550000000000011</v>
      </c>
      <c r="K83" s="1">
        <v>58.94</v>
      </c>
      <c r="L83" s="1">
        <f t="shared" si="45"/>
        <v>4276.0970000000007</v>
      </c>
      <c r="M83" s="1">
        <f t="shared" si="46"/>
        <v>-747.90299999999934</v>
      </c>
      <c r="N83" s="4">
        <f t="shared" si="44"/>
        <v>-0.14886604299363043</v>
      </c>
    </row>
    <row r="84" spans="1:14" x14ac:dyDescent="0.35">
      <c r="A84" t="s">
        <v>29</v>
      </c>
      <c r="B84">
        <v>2001</v>
      </c>
      <c r="C84">
        <f>J83</f>
        <v>72.550000000000011</v>
      </c>
      <c r="D84" s="1">
        <f>K83</f>
        <v>58.94</v>
      </c>
      <c r="E84" s="1">
        <f>L83</f>
        <v>4276.0970000000007</v>
      </c>
      <c r="J84" s="3">
        <v>72.55</v>
      </c>
      <c r="K84" s="1">
        <v>52.12</v>
      </c>
      <c r="L84" s="1">
        <v>3757.31</v>
      </c>
      <c r="M84" s="1">
        <f t="shared" si="46"/>
        <v>-518.78700000000072</v>
      </c>
      <c r="N84" s="4">
        <f t="shared" si="44"/>
        <v>-0.1213225518504376</v>
      </c>
    </row>
    <row r="86" spans="1:14" x14ac:dyDescent="0.35">
      <c r="A86" t="s">
        <v>30</v>
      </c>
      <c r="B86">
        <v>2000</v>
      </c>
      <c r="C86">
        <v>804.2</v>
      </c>
      <c r="D86" s="1">
        <v>9.9499999999999993</v>
      </c>
      <c r="E86" s="1">
        <v>8000</v>
      </c>
      <c r="F86" s="3">
        <v>183.99299999999999</v>
      </c>
      <c r="G86" s="1">
        <v>2000</v>
      </c>
      <c r="J86" s="3">
        <f>C86+F86</f>
        <v>988.19299999999998</v>
      </c>
    </row>
    <row r="87" spans="1:14" x14ac:dyDescent="0.35">
      <c r="A87" t="s">
        <v>30</v>
      </c>
      <c r="B87">
        <v>2001</v>
      </c>
      <c r="C87">
        <v>988.19299999999998</v>
      </c>
      <c r="J87" s="3">
        <v>988.19299999999998</v>
      </c>
      <c r="K87" s="1">
        <v>5.45</v>
      </c>
      <c r="L87" s="1">
        <v>5374.67</v>
      </c>
      <c r="M87" s="1">
        <f>L87-G86-E86</f>
        <v>-4625.33</v>
      </c>
      <c r="N87" s="4">
        <f>M87/(E86+G86)</f>
        <v>-0.46253299999999997</v>
      </c>
    </row>
    <row r="89" spans="1:14" x14ac:dyDescent="0.35">
      <c r="A89" t="s">
        <v>31</v>
      </c>
      <c r="B89">
        <v>2000</v>
      </c>
      <c r="C89">
        <v>136.203</v>
      </c>
      <c r="D89" s="1">
        <v>36.71</v>
      </c>
      <c r="E89" s="1">
        <v>5000</v>
      </c>
      <c r="F89" s="3">
        <v>51.360999999999997</v>
      </c>
      <c r="G89" s="1">
        <v>2000</v>
      </c>
      <c r="H89" s="3">
        <v>3.9049999999999998</v>
      </c>
      <c r="I89" s="1">
        <v>102.39</v>
      </c>
      <c r="J89" s="3">
        <f>C89+F89+H89</f>
        <v>191.46899999999999</v>
      </c>
      <c r="K89" s="1">
        <v>26.22</v>
      </c>
      <c r="L89" s="1">
        <f>K89*J89</f>
        <v>5020.31718</v>
      </c>
      <c r="M89" s="1">
        <f>L89-G89-E89</f>
        <v>-1979.68282</v>
      </c>
      <c r="N89" s="4">
        <f>M89/(E89+F89)</f>
        <v>-0.39191077810514829</v>
      </c>
    </row>
    <row r="90" spans="1:14" x14ac:dyDescent="0.35">
      <c r="A90" t="s">
        <v>31</v>
      </c>
      <c r="B90">
        <v>2001</v>
      </c>
      <c r="C90">
        <f>J89</f>
        <v>191.46899999999999</v>
      </c>
      <c r="D90" s="1">
        <f>K89</f>
        <v>26.22</v>
      </c>
      <c r="E90" s="1">
        <f>L89</f>
        <v>5020.31718</v>
      </c>
      <c r="J90" s="3">
        <f>C90</f>
        <v>191.46899999999999</v>
      </c>
      <c r="K90" s="1">
        <v>23.06</v>
      </c>
      <c r="L90" s="1">
        <f>K90*J90</f>
        <v>4415.2751399999997</v>
      </c>
      <c r="M90" s="1">
        <f>L90-G90-E90</f>
        <v>-605.04204000000027</v>
      </c>
      <c r="N90" s="4">
        <f>M90/(E90+F90)</f>
        <v>-0.1205186880244089</v>
      </c>
    </row>
    <row r="92" spans="1:14" x14ac:dyDescent="0.35">
      <c r="A92" t="s">
        <v>21</v>
      </c>
      <c r="B92">
        <v>1999</v>
      </c>
      <c r="C92">
        <v>1031.326</v>
      </c>
      <c r="D92" s="1">
        <v>39.840000000000003</v>
      </c>
      <c r="E92" s="1">
        <v>41088.04</v>
      </c>
      <c r="H92" s="3">
        <v>11.099</v>
      </c>
      <c r="I92" s="1">
        <v>450.4</v>
      </c>
      <c r="J92" s="3">
        <f>C92+H92</f>
        <v>1042.425</v>
      </c>
      <c r="K92" s="1">
        <v>40.58</v>
      </c>
      <c r="L92" s="1">
        <f t="shared" ref="L92:L93" si="47">K92*J92</f>
        <v>42301.606499999994</v>
      </c>
      <c r="M92" s="1">
        <f>L92-E92</f>
        <v>1213.5664999999935</v>
      </c>
      <c r="N92" s="4">
        <f>M92/E92</f>
        <v>2.9535760284501122E-2</v>
      </c>
    </row>
    <row r="93" spans="1:14" x14ac:dyDescent="0.35">
      <c r="A93" t="s">
        <v>21</v>
      </c>
      <c r="B93">
        <v>2000</v>
      </c>
      <c r="C93">
        <f t="shared" ref="C93:E94" si="48">J92</f>
        <v>1042.425</v>
      </c>
      <c r="D93" s="1">
        <f t="shared" si="48"/>
        <v>40.58</v>
      </c>
      <c r="E93" s="1">
        <f t="shared" si="48"/>
        <v>42301.606499999994</v>
      </c>
      <c r="F93" s="3">
        <v>237.304</v>
      </c>
      <c r="G93" s="1">
        <v>10000</v>
      </c>
      <c r="H93" s="3">
        <v>17.355</v>
      </c>
      <c r="I93" s="1">
        <v>653.92999999999995</v>
      </c>
      <c r="J93" s="3">
        <f>C93+F93+H93</f>
        <v>1297.0840000000001</v>
      </c>
      <c r="K93" s="1">
        <v>37.68</v>
      </c>
      <c r="L93" s="1">
        <f t="shared" si="47"/>
        <v>48874.125120000004</v>
      </c>
      <c r="M93" s="1">
        <f>L93-E93-G93</f>
        <v>-3427.4813799999902</v>
      </c>
      <c r="N93" s="4">
        <f>M93/E93</f>
        <v>-8.1024851384781105E-2</v>
      </c>
    </row>
    <row r="94" spans="1:14" x14ac:dyDescent="0.35">
      <c r="A94" t="s">
        <v>21</v>
      </c>
      <c r="B94">
        <v>2001</v>
      </c>
      <c r="C94">
        <f t="shared" si="48"/>
        <v>1297.0840000000001</v>
      </c>
      <c r="D94" s="1">
        <f t="shared" si="48"/>
        <v>37.68</v>
      </c>
      <c r="E94" s="1">
        <f t="shared" si="48"/>
        <v>48874.125120000004</v>
      </c>
      <c r="J94" s="3">
        <f>C94</f>
        <v>1297.0840000000001</v>
      </c>
      <c r="K94" s="1">
        <v>25.93</v>
      </c>
      <c r="L94" s="1">
        <v>33628.769999999997</v>
      </c>
      <c r="M94" s="1">
        <f>L94-E94-G94</f>
        <v>-15245.355120000007</v>
      </c>
      <c r="N94" s="4">
        <f>M94/E94</f>
        <v>-0.31193100812686231</v>
      </c>
    </row>
    <row r="96" spans="1:14" x14ac:dyDescent="0.35">
      <c r="A96" t="s">
        <v>32</v>
      </c>
      <c r="B96">
        <v>2000</v>
      </c>
      <c r="C96">
        <v>100</v>
      </c>
      <c r="D96" s="1">
        <v>54.06</v>
      </c>
      <c r="E96" s="1">
        <v>5418.25</v>
      </c>
      <c r="I96" s="1">
        <v>67.7</v>
      </c>
      <c r="J96" s="3">
        <v>100</v>
      </c>
      <c r="K96" s="1">
        <v>52.19</v>
      </c>
      <c r="L96" s="1">
        <v>5206.75</v>
      </c>
      <c r="M96" s="1">
        <f>L96-E96+I96</f>
        <v>-143.80000000000001</v>
      </c>
      <c r="N96" s="4">
        <f t="shared" ref="N96:N99" si="49">M96/E96</f>
        <v>-2.6539934480690263E-2</v>
      </c>
    </row>
    <row r="97" spans="1:14" x14ac:dyDescent="0.35">
      <c r="M97" s="1"/>
    </row>
    <row r="98" spans="1:14" x14ac:dyDescent="0.35">
      <c r="A98" t="s">
        <v>33</v>
      </c>
      <c r="B98">
        <v>2000</v>
      </c>
      <c r="C98">
        <v>100</v>
      </c>
      <c r="D98" s="1">
        <v>75.75</v>
      </c>
      <c r="E98" s="1">
        <v>7587</v>
      </c>
      <c r="J98" s="3">
        <v>200</v>
      </c>
      <c r="K98" s="1">
        <v>13.81</v>
      </c>
      <c r="L98" s="1">
        <f>J98*K98</f>
        <v>2762</v>
      </c>
      <c r="M98" s="1">
        <f t="shared" ref="M98:M99" si="50">L98-E98+I98</f>
        <v>-4825</v>
      </c>
      <c r="N98" s="4">
        <f t="shared" si="49"/>
        <v>-0.63595624093844738</v>
      </c>
    </row>
    <row r="99" spans="1:14" x14ac:dyDescent="0.35">
      <c r="A99" t="s">
        <v>33</v>
      </c>
      <c r="B99">
        <v>2001</v>
      </c>
      <c r="C99">
        <v>200</v>
      </c>
      <c r="D99" s="1">
        <f>K98</f>
        <v>13.81</v>
      </c>
      <c r="E99" s="1">
        <f>L98</f>
        <v>2762</v>
      </c>
      <c r="J99" s="3">
        <v>200</v>
      </c>
      <c r="K99" s="1">
        <v>16.989999999999998</v>
      </c>
      <c r="L99" s="1">
        <v>3384.88</v>
      </c>
      <c r="M99" s="1">
        <f t="shared" si="50"/>
        <v>622.88000000000011</v>
      </c>
      <c r="N99" s="4">
        <f t="shared" si="49"/>
        <v>0.22551774076755979</v>
      </c>
    </row>
    <row r="101" spans="1:14" x14ac:dyDescent="0.35">
      <c r="A101" t="s">
        <v>34</v>
      </c>
      <c r="B101">
        <v>2000</v>
      </c>
      <c r="C101">
        <v>600</v>
      </c>
      <c r="D101" s="1">
        <v>10</v>
      </c>
      <c r="E101" s="1">
        <v>6000</v>
      </c>
      <c r="H101" s="3">
        <v>1.7709999999999999</v>
      </c>
      <c r="I101" s="1">
        <v>12.82</v>
      </c>
      <c r="J101" s="3">
        <f>H101+C101</f>
        <v>601.77099999999996</v>
      </c>
      <c r="K101" s="1">
        <v>7.24</v>
      </c>
      <c r="L101" s="1">
        <f>K101*J101</f>
        <v>4356.82204</v>
      </c>
      <c r="M101" s="1">
        <f>L101-E101</f>
        <v>-1643.17796</v>
      </c>
      <c r="N101" s="4">
        <f>M101/E101</f>
        <v>-0.2738629933333333</v>
      </c>
    </row>
    <row r="102" spans="1:14" x14ac:dyDescent="0.35">
      <c r="A102" t="s">
        <v>34</v>
      </c>
      <c r="B102">
        <v>2001</v>
      </c>
      <c r="C102">
        <f>J101</f>
        <v>601.77099999999996</v>
      </c>
      <c r="D102" s="1">
        <f>K101</f>
        <v>7.24</v>
      </c>
      <c r="E102" s="1">
        <f>L101</f>
        <v>4356.82204</v>
      </c>
      <c r="J102" s="3">
        <v>601.77099999999996</v>
      </c>
      <c r="K102" s="1">
        <v>5.76</v>
      </c>
      <c r="L102" s="1">
        <v>3466.2</v>
      </c>
      <c r="M102" s="1">
        <f>L102-E102</f>
        <v>-890.6220400000002</v>
      </c>
      <c r="N102" s="4">
        <f>M102/E102</f>
        <v>-0.2044201098468553</v>
      </c>
    </row>
    <row r="104" spans="1:14" x14ac:dyDescent="0.35">
      <c r="A104" t="s">
        <v>35</v>
      </c>
      <c r="B104">
        <v>2000</v>
      </c>
      <c r="C104">
        <v>200</v>
      </c>
      <c r="D104" s="1">
        <v>4.88</v>
      </c>
      <c r="E104" s="1">
        <v>1076</v>
      </c>
    </row>
    <row r="105" spans="1:14" x14ac:dyDescent="0.35">
      <c r="A105" t="s">
        <v>35</v>
      </c>
      <c r="B105">
        <v>2003</v>
      </c>
      <c r="J105" s="3">
        <v>200</v>
      </c>
      <c r="K105" s="1">
        <v>0</v>
      </c>
      <c r="L105" s="1">
        <v>0</v>
      </c>
      <c r="M105" s="1">
        <v>-1076</v>
      </c>
      <c r="N105" s="4">
        <v>-1</v>
      </c>
    </row>
    <row r="107" spans="1:14" x14ac:dyDescent="0.35">
      <c r="A107" t="s">
        <v>36</v>
      </c>
      <c r="B107">
        <v>2000</v>
      </c>
      <c r="C107">
        <v>100</v>
      </c>
      <c r="D107" s="1">
        <v>48.63</v>
      </c>
      <c r="E107" s="1">
        <v>4874.5</v>
      </c>
      <c r="I107" s="1">
        <v>2</v>
      </c>
      <c r="J107" s="3">
        <v>100</v>
      </c>
      <c r="K107" s="1">
        <v>30.06</v>
      </c>
      <c r="L107" s="1">
        <f>(J107*K107)+I107</f>
        <v>3008</v>
      </c>
      <c r="M107" s="1">
        <f>L107-E107</f>
        <v>-1866.5</v>
      </c>
      <c r="N107" s="4">
        <f>M107/E107</f>
        <v>-0.38291106780182582</v>
      </c>
    </row>
    <row r="108" spans="1:14" x14ac:dyDescent="0.35">
      <c r="A108" t="s">
        <v>36</v>
      </c>
      <c r="B108">
        <v>2001</v>
      </c>
      <c r="C108">
        <v>100</v>
      </c>
      <c r="D108" s="1">
        <f>K107</f>
        <v>30.06</v>
      </c>
      <c r="E108" s="1">
        <f>L107</f>
        <v>3008</v>
      </c>
      <c r="I108" s="1">
        <v>8</v>
      </c>
      <c r="J108" s="3">
        <v>100</v>
      </c>
      <c r="K108" s="1">
        <v>31.45</v>
      </c>
      <c r="L108" s="1">
        <f t="shared" ref="L108:L109" si="51">(J108*K108)+I108</f>
        <v>3153</v>
      </c>
      <c r="M108" s="1">
        <f t="shared" ref="M108:M110" si="52">L108-E108</f>
        <v>145</v>
      </c>
      <c r="N108" s="4">
        <f t="shared" ref="N108:N111" si="53">M108/E108</f>
        <v>4.8204787234042555E-2</v>
      </c>
    </row>
    <row r="109" spans="1:14" x14ac:dyDescent="0.35">
      <c r="A109" t="s">
        <v>36</v>
      </c>
      <c r="B109">
        <v>2002</v>
      </c>
      <c r="C109">
        <v>100</v>
      </c>
      <c r="D109" s="1">
        <f t="shared" ref="D109:D110" si="54">K108</f>
        <v>31.45</v>
      </c>
      <c r="E109" s="1">
        <f t="shared" ref="E109:E110" si="55">L108</f>
        <v>3153</v>
      </c>
      <c r="I109" s="1">
        <v>8</v>
      </c>
      <c r="J109" s="3">
        <v>100</v>
      </c>
      <c r="K109" s="1">
        <v>15.57</v>
      </c>
      <c r="L109" s="1">
        <f t="shared" si="51"/>
        <v>1565</v>
      </c>
      <c r="M109" s="1">
        <f t="shared" si="52"/>
        <v>-1588</v>
      </c>
      <c r="N109" s="4">
        <f t="shared" si="53"/>
        <v>-0.50364732001268631</v>
      </c>
    </row>
    <row r="110" spans="1:14" x14ac:dyDescent="0.35">
      <c r="A110" t="s">
        <v>36</v>
      </c>
      <c r="B110">
        <v>2003</v>
      </c>
      <c r="C110">
        <v>100</v>
      </c>
      <c r="D110" s="1">
        <f t="shared" si="54"/>
        <v>15.57</v>
      </c>
      <c r="E110" s="1">
        <f t="shared" si="55"/>
        <v>1565</v>
      </c>
      <c r="I110" s="1">
        <v>6</v>
      </c>
      <c r="J110" s="3">
        <v>100</v>
      </c>
      <c r="K110" s="1">
        <v>33.770000000000003</v>
      </c>
      <c r="L110" s="1">
        <v>3358.89</v>
      </c>
      <c r="M110" s="1">
        <f t="shared" si="52"/>
        <v>1793.8899999999999</v>
      </c>
      <c r="N110" s="4">
        <f t="shared" si="53"/>
        <v>1.1462555910543131</v>
      </c>
    </row>
    <row r="111" spans="1:14" x14ac:dyDescent="0.35">
      <c r="N111" s="4" t="e">
        <f t="shared" si="53"/>
        <v>#DIV/0!</v>
      </c>
    </row>
    <row r="112" spans="1:14" x14ac:dyDescent="0.35">
      <c r="A112" t="s">
        <v>37</v>
      </c>
      <c r="B112">
        <v>2001</v>
      </c>
      <c r="C112">
        <v>84.201999999999998</v>
      </c>
      <c r="D112" s="1">
        <v>23.43</v>
      </c>
      <c r="E112" s="1">
        <v>2007.86</v>
      </c>
      <c r="F112" s="3">
        <v>1467.1220000000001</v>
      </c>
      <c r="G112" s="1">
        <v>34042.5</v>
      </c>
      <c r="H112" s="3">
        <v>38.253</v>
      </c>
      <c r="I112" s="1">
        <v>722.01</v>
      </c>
      <c r="J112" s="3">
        <f>C112+F112+H112</f>
        <v>1589.577</v>
      </c>
      <c r="K112" s="1">
        <v>18.61</v>
      </c>
      <c r="L112" s="1">
        <f>K112*J112</f>
        <v>29582.027969999999</v>
      </c>
      <c r="M112" s="1">
        <f>L112-E112-G112</f>
        <v>-6468.3320300000014</v>
      </c>
      <c r="N112" s="4">
        <f>M112/(E112+G112)</f>
        <v>-0.17942489423129204</v>
      </c>
    </row>
    <row r="113" spans="1:14" x14ac:dyDescent="0.35">
      <c r="A113" t="s">
        <v>37</v>
      </c>
      <c r="B113">
        <v>2002</v>
      </c>
      <c r="C113">
        <f>J112</f>
        <v>1589.577</v>
      </c>
      <c r="D113" s="1">
        <f>K112</f>
        <v>18.61</v>
      </c>
      <c r="E113" s="1">
        <f>L112</f>
        <v>29582.027969999999</v>
      </c>
      <c r="H113" s="3">
        <v>33.720999999999997</v>
      </c>
      <c r="I113" s="1">
        <v>524.73</v>
      </c>
      <c r="J113" s="3">
        <f t="shared" ref="J113:J119" si="56">C113+F113+H113</f>
        <v>1623.298</v>
      </c>
      <c r="K113" s="1">
        <v>14.53</v>
      </c>
      <c r="L113" s="1">
        <f t="shared" ref="L113:L119" si="57">K113*J113</f>
        <v>23586.519939999998</v>
      </c>
      <c r="M113" s="1">
        <f t="shared" ref="M113:M120" si="58">L113-E113-G113</f>
        <v>-5995.5080300000009</v>
      </c>
      <c r="N113" s="4">
        <f t="shared" ref="N113:N120" si="59">M113/(E113+G113)</f>
        <v>-0.20267400315083947</v>
      </c>
    </row>
    <row r="114" spans="1:14" x14ac:dyDescent="0.35">
      <c r="A114" t="s">
        <v>37</v>
      </c>
      <c r="B114">
        <v>2003</v>
      </c>
      <c r="C114">
        <f t="shared" ref="C114:C120" si="60">J113</f>
        <v>1623.298</v>
      </c>
      <c r="D114" s="1">
        <f t="shared" ref="D114:D120" si="61">K113</f>
        <v>14.53</v>
      </c>
      <c r="E114" s="1">
        <f t="shared" ref="E114:E120" si="62">L113</f>
        <v>23586.519939999998</v>
      </c>
      <c r="H114" s="3">
        <v>31.738</v>
      </c>
      <c r="I114" s="1">
        <v>531.64</v>
      </c>
      <c r="J114" s="3">
        <f t="shared" si="56"/>
        <v>1655.0360000000001</v>
      </c>
      <c r="K114" s="1">
        <v>18.66</v>
      </c>
      <c r="L114" s="1">
        <f t="shared" si="57"/>
        <v>30882.97176</v>
      </c>
      <c r="M114" s="1">
        <f t="shared" si="58"/>
        <v>7296.451820000002</v>
      </c>
      <c r="N114" s="4">
        <f t="shared" si="59"/>
        <v>0.3093483836768165</v>
      </c>
    </row>
    <row r="115" spans="1:14" x14ac:dyDescent="0.35">
      <c r="A115" t="s">
        <v>37</v>
      </c>
      <c r="B115">
        <v>2004</v>
      </c>
      <c r="C115">
        <f t="shared" si="60"/>
        <v>1655.0360000000001</v>
      </c>
      <c r="D115" s="1">
        <f t="shared" si="61"/>
        <v>18.66</v>
      </c>
      <c r="E115" s="1">
        <f t="shared" si="62"/>
        <v>30882.97176</v>
      </c>
      <c r="H115" s="3">
        <v>40.167000000000002</v>
      </c>
      <c r="I115" s="1">
        <v>799.18</v>
      </c>
      <c r="J115" s="3">
        <f t="shared" si="56"/>
        <v>1695.203</v>
      </c>
      <c r="K115" s="1">
        <v>21.35</v>
      </c>
      <c r="L115" s="1">
        <f t="shared" si="57"/>
        <v>36192.584050000005</v>
      </c>
      <c r="M115" s="1">
        <f t="shared" si="58"/>
        <v>5309.6122900000046</v>
      </c>
      <c r="N115" s="4">
        <f t="shared" si="59"/>
        <v>0.17192685766326021</v>
      </c>
    </row>
    <row r="116" spans="1:14" x14ac:dyDescent="0.35">
      <c r="A116" t="s">
        <v>37</v>
      </c>
      <c r="B116">
        <v>2005</v>
      </c>
      <c r="C116">
        <f t="shared" si="60"/>
        <v>1695.203</v>
      </c>
      <c r="D116" s="1">
        <f t="shared" si="61"/>
        <v>21.35</v>
      </c>
      <c r="E116" s="1">
        <f t="shared" si="62"/>
        <v>36192.584050000005</v>
      </c>
      <c r="H116" s="3">
        <v>45.42</v>
      </c>
      <c r="I116" s="1">
        <v>989.6</v>
      </c>
      <c r="J116" s="3">
        <f t="shared" si="56"/>
        <v>1740.623</v>
      </c>
      <c r="K116" s="1">
        <v>22.58</v>
      </c>
      <c r="L116" s="1">
        <f t="shared" si="57"/>
        <v>39303.267339999999</v>
      </c>
      <c r="M116" s="1">
        <f t="shared" si="58"/>
        <v>3110.6832899999936</v>
      </c>
      <c r="N116" s="4">
        <f t="shared" si="59"/>
        <v>8.5948084991737228E-2</v>
      </c>
    </row>
    <row r="117" spans="1:14" x14ac:dyDescent="0.35">
      <c r="A117" t="s">
        <v>37</v>
      </c>
      <c r="B117">
        <v>2006</v>
      </c>
      <c r="C117">
        <f t="shared" si="60"/>
        <v>1740.623</v>
      </c>
      <c r="D117" s="1">
        <f t="shared" si="61"/>
        <v>22.58</v>
      </c>
      <c r="E117" s="1">
        <f t="shared" si="62"/>
        <v>39303.267339999999</v>
      </c>
      <c r="H117" s="3">
        <v>33.613</v>
      </c>
      <c r="I117" s="1">
        <v>824.08</v>
      </c>
      <c r="J117" s="3">
        <f t="shared" si="56"/>
        <v>1774.2360000000001</v>
      </c>
      <c r="K117" s="1">
        <v>26.51</v>
      </c>
      <c r="L117" s="1">
        <f t="shared" si="57"/>
        <v>47034.996360000005</v>
      </c>
      <c r="M117" s="1">
        <f t="shared" si="58"/>
        <v>7731.7290200000061</v>
      </c>
      <c r="N117" s="4">
        <f t="shared" si="59"/>
        <v>0.1967197524092664</v>
      </c>
    </row>
    <row r="118" spans="1:14" x14ac:dyDescent="0.35">
      <c r="A118" t="s">
        <v>37</v>
      </c>
      <c r="B118">
        <v>2007</v>
      </c>
      <c r="C118">
        <f t="shared" si="60"/>
        <v>1774.2360000000001</v>
      </c>
      <c r="D118" s="1">
        <f t="shared" si="61"/>
        <v>26.51</v>
      </c>
      <c r="E118" s="1">
        <f t="shared" si="62"/>
        <v>47034.996360000005</v>
      </c>
      <c r="H118" s="3">
        <v>47.396000000000001</v>
      </c>
      <c r="I118" s="1">
        <v>1279.04</v>
      </c>
      <c r="J118" s="3">
        <f t="shared" si="56"/>
        <v>1821.6320000000001</v>
      </c>
      <c r="K118" s="1">
        <v>25.73</v>
      </c>
      <c r="L118" s="1">
        <f t="shared" si="57"/>
        <v>46870.591360000006</v>
      </c>
      <c r="M118" s="1">
        <f t="shared" si="58"/>
        <v>-164.40499999999884</v>
      </c>
      <c r="N118" s="4">
        <f t="shared" si="59"/>
        <v>-3.4953760544949009E-3</v>
      </c>
    </row>
    <row r="119" spans="1:14" x14ac:dyDescent="0.35">
      <c r="A119" t="s">
        <v>37</v>
      </c>
      <c r="B119">
        <v>2008</v>
      </c>
      <c r="C119">
        <f t="shared" si="60"/>
        <v>1821.6320000000001</v>
      </c>
      <c r="D119" s="1">
        <f t="shared" si="61"/>
        <v>25.73</v>
      </c>
      <c r="E119" s="1">
        <f t="shared" si="62"/>
        <v>46870.591360000006</v>
      </c>
      <c r="H119" s="3">
        <v>62.713999999999999</v>
      </c>
      <c r="I119" s="1">
        <v>1263.68</v>
      </c>
      <c r="J119" s="3">
        <f t="shared" si="56"/>
        <v>1884.346</v>
      </c>
      <c r="K119" s="1">
        <v>15.68</v>
      </c>
      <c r="L119" s="1">
        <f t="shared" si="57"/>
        <v>29546.545279999998</v>
      </c>
      <c r="M119" s="1">
        <f t="shared" si="58"/>
        <v>-17324.046080000007</v>
      </c>
      <c r="N119" s="4">
        <f t="shared" si="59"/>
        <v>-0.36961441230683045</v>
      </c>
    </row>
    <row r="120" spans="1:14" x14ac:dyDescent="0.35">
      <c r="A120" t="s">
        <v>37</v>
      </c>
      <c r="B120">
        <v>2009</v>
      </c>
      <c r="C120">
        <f t="shared" si="60"/>
        <v>1884.346</v>
      </c>
      <c r="D120" s="1">
        <f t="shared" si="61"/>
        <v>15.68</v>
      </c>
      <c r="E120" s="1">
        <f t="shared" si="62"/>
        <v>29546.545279999998</v>
      </c>
      <c r="H120" s="3">
        <v>20.966000000000001</v>
      </c>
      <c r="I120" s="1">
        <v>320.77999999999997</v>
      </c>
      <c r="J120" s="3">
        <v>1986.5170000000001</v>
      </c>
      <c r="K120" s="1">
        <v>14.17</v>
      </c>
      <c r="L120" s="1">
        <v>28099</v>
      </c>
      <c r="M120" s="1">
        <f t="shared" si="58"/>
        <v>-1447.5452799999985</v>
      </c>
      <c r="N120" s="4">
        <f t="shared" si="59"/>
        <v>-4.8992031599032294E-2</v>
      </c>
    </row>
    <row r="122" spans="1:14" x14ac:dyDescent="0.35">
      <c r="A122" s="1" t="s">
        <v>38</v>
      </c>
      <c r="B122">
        <v>2001</v>
      </c>
      <c r="C122">
        <v>83.228999999999999</v>
      </c>
      <c r="D122" s="1">
        <v>24.03</v>
      </c>
      <c r="E122" s="1">
        <v>2000</v>
      </c>
      <c r="F122" s="3">
        <v>93.022999999999996</v>
      </c>
      <c r="G122" s="1">
        <v>2292.09</v>
      </c>
      <c r="H122" s="3">
        <v>0.33300000000000002</v>
      </c>
      <c r="I122" s="1">
        <v>8.84</v>
      </c>
      <c r="J122" s="3">
        <f>C122+F122+H122</f>
        <v>176.58500000000001</v>
      </c>
      <c r="K122" s="1">
        <v>21.67</v>
      </c>
      <c r="L122" s="1">
        <f>J122*K122</f>
        <v>3826.5969500000006</v>
      </c>
      <c r="M122" s="1">
        <f>L122-G122-E122</f>
        <v>-465.49304999999958</v>
      </c>
      <c r="N122" s="4">
        <f>M122/(E122+G122)</f>
        <v>-0.10845370204259454</v>
      </c>
    </row>
    <row r="123" spans="1:14" x14ac:dyDescent="0.35">
      <c r="A123" s="1" t="s">
        <v>38</v>
      </c>
      <c r="B123">
        <v>2002</v>
      </c>
      <c r="C123">
        <f>J122</f>
        <v>176.58500000000001</v>
      </c>
      <c r="D123" s="1">
        <f>K122</f>
        <v>21.67</v>
      </c>
      <c r="E123" s="1">
        <f>L122</f>
        <v>3826.5969500000006</v>
      </c>
      <c r="F123" s="3">
        <v>138.44</v>
      </c>
      <c r="G123" s="1">
        <v>3000</v>
      </c>
      <c r="H123" s="3">
        <v>0.39500000000000002</v>
      </c>
      <c r="I123" s="1">
        <v>7.25</v>
      </c>
      <c r="J123" s="3">
        <f t="shared" ref="J123:J129" si="63">C123+F123+H123</f>
        <v>315.41999999999996</v>
      </c>
      <c r="K123" s="1">
        <v>21.67</v>
      </c>
      <c r="L123" s="1">
        <f t="shared" ref="L123:L128" si="64">J123*K123</f>
        <v>6835.1513999999997</v>
      </c>
      <c r="M123" s="1">
        <f t="shared" ref="M123:M129" si="65">L123-G123-E123</f>
        <v>8.5544499999991785</v>
      </c>
      <c r="N123" s="4">
        <f t="shared" ref="N123:N139" si="66">M123/(E123+G123)</f>
        <v>1.2531060589418828E-3</v>
      </c>
    </row>
    <row r="124" spans="1:14" x14ac:dyDescent="0.35">
      <c r="A124" s="1" t="s">
        <v>38</v>
      </c>
      <c r="B124">
        <v>2003</v>
      </c>
      <c r="C124">
        <f t="shared" ref="C124:C129" si="67">J123</f>
        <v>315.41999999999996</v>
      </c>
      <c r="D124" s="1">
        <f t="shared" ref="D124:D129" si="68">K123</f>
        <v>21.67</v>
      </c>
      <c r="E124" s="1">
        <f t="shared" ref="E124:E129" si="69">L123</f>
        <v>6835.1513999999997</v>
      </c>
      <c r="F124" s="3">
        <v>222.68100000000001</v>
      </c>
      <c r="G124" s="1">
        <v>6838</v>
      </c>
      <c r="H124" s="3">
        <v>0.53900000000000003</v>
      </c>
      <c r="I124" s="1">
        <v>16.32</v>
      </c>
      <c r="J124" s="3">
        <f t="shared" si="63"/>
        <v>538.64</v>
      </c>
      <c r="K124" s="1">
        <v>30.57</v>
      </c>
      <c r="L124" s="1">
        <f t="shared" si="64"/>
        <v>16466.2248</v>
      </c>
      <c r="M124" s="1">
        <f t="shared" si="65"/>
        <v>2793.0734000000002</v>
      </c>
      <c r="N124" s="4">
        <f t="shared" si="66"/>
        <v>0.20427429773066072</v>
      </c>
    </row>
    <row r="125" spans="1:14" x14ac:dyDescent="0.35">
      <c r="A125" s="1" t="s">
        <v>38</v>
      </c>
      <c r="B125">
        <v>2004</v>
      </c>
      <c r="C125">
        <f t="shared" si="67"/>
        <v>538.64</v>
      </c>
      <c r="D125" s="1">
        <f t="shared" si="68"/>
        <v>30.57</v>
      </c>
      <c r="E125" s="1">
        <f t="shared" si="69"/>
        <v>16466.2248</v>
      </c>
      <c r="F125" s="3"/>
      <c r="H125" s="3">
        <v>4.0359999999999996</v>
      </c>
      <c r="I125" s="1">
        <v>131.09</v>
      </c>
      <c r="J125" s="3">
        <f t="shared" si="63"/>
        <v>542.67599999999993</v>
      </c>
      <c r="K125" s="1">
        <v>32.479999999999997</v>
      </c>
      <c r="L125" s="1">
        <f t="shared" si="64"/>
        <v>17626.116479999997</v>
      </c>
      <c r="M125" s="1">
        <f t="shared" si="65"/>
        <v>1159.891679999997</v>
      </c>
      <c r="N125" s="4">
        <f t="shared" si="66"/>
        <v>7.0440656197041415E-2</v>
      </c>
    </row>
    <row r="126" spans="1:14" x14ac:dyDescent="0.35">
      <c r="A126" s="1" t="s">
        <v>38</v>
      </c>
      <c r="B126">
        <v>2005</v>
      </c>
      <c r="C126">
        <f t="shared" si="67"/>
        <v>542.67599999999993</v>
      </c>
      <c r="D126" s="1">
        <f t="shared" si="68"/>
        <v>32.479999999999997</v>
      </c>
      <c r="E126" s="1">
        <f t="shared" si="69"/>
        <v>17626.116479999997</v>
      </c>
      <c r="F126" s="3"/>
      <c r="H126" s="3">
        <v>34.052999999999997</v>
      </c>
      <c r="I126" s="1">
        <v>1137.1300000000001</v>
      </c>
      <c r="J126" s="3">
        <f t="shared" si="63"/>
        <v>576.72899999999993</v>
      </c>
      <c r="K126" s="1">
        <v>33.159999999999997</v>
      </c>
      <c r="L126" s="1">
        <f t="shared" si="64"/>
        <v>19124.333639999997</v>
      </c>
      <c r="M126" s="1">
        <f t="shared" si="65"/>
        <v>1498.2171600000001</v>
      </c>
      <c r="N126" s="4">
        <f t="shared" si="66"/>
        <v>8.499984450346719E-2</v>
      </c>
    </row>
    <row r="127" spans="1:14" x14ac:dyDescent="0.35">
      <c r="A127" s="1" t="s">
        <v>38</v>
      </c>
      <c r="B127">
        <v>2006</v>
      </c>
      <c r="C127">
        <f t="shared" si="67"/>
        <v>576.72899999999993</v>
      </c>
      <c r="D127" s="1">
        <f t="shared" si="68"/>
        <v>33.159999999999997</v>
      </c>
      <c r="E127" s="1">
        <f t="shared" si="69"/>
        <v>19124.333639999997</v>
      </c>
      <c r="F127" s="3"/>
      <c r="H127" s="3">
        <v>67.061999999999998</v>
      </c>
      <c r="I127" s="1">
        <v>2258.65</v>
      </c>
      <c r="J127" s="3">
        <f t="shared" si="63"/>
        <v>643.79099999999994</v>
      </c>
      <c r="K127" s="1">
        <v>33.68</v>
      </c>
      <c r="L127" s="1">
        <f t="shared" si="64"/>
        <v>21682.880879999997</v>
      </c>
      <c r="M127" s="1">
        <f t="shared" si="65"/>
        <v>2558.5472399999999</v>
      </c>
      <c r="N127" s="4">
        <f t="shared" si="66"/>
        <v>0.13378490922416267</v>
      </c>
    </row>
    <row r="128" spans="1:14" x14ac:dyDescent="0.35">
      <c r="A128" s="1" t="s">
        <v>38</v>
      </c>
      <c r="B128">
        <v>2007</v>
      </c>
      <c r="C128">
        <f t="shared" si="67"/>
        <v>643.79099999999994</v>
      </c>
      <c r="D128" s="1">
        <f t="shared" si="68"/>
        <v>33.68</v>
      </c>
      <c r="E128" s="1">
        <f t="shared" si="69"/>
        <v>21682.880879999997</v>
      </c>
      <c r="F128" s="3"/>
      <c r="H128" s="3">
        <v>83.938999999999993</v>
      </c>
      <c r="I128" s="1">
        <v>2208.44</v>
      </c>
      <c r="J128" s="3">
        <f t="shared" si="63"/>
        <v>727.7299999999999</v>
      </c>
      <c r="K128" s="1">
        <v>26.31</v>
      </c>
      <c r="L128" s="1">
        <f t="shared" si="64"/>
        <v>19146.576299999997</v>
      </c>
      <c r="M128" s="1">
        <f t="shared" si="65"/>
        <v>-2536.30458</v>
      </c>
      <c r="N128" s="4">
        <f t="shared" si="66"/>
        <v>-0.11697267508117216</v>
      </c>
    </row>
    <row r="129" spans="1:14" x14ac:dyDescent="0.35">
      <c r="A129" s="1" t="s">
        <v>38</v>
      </c>
      <c r="B129">
        <v>2008</v>
      </c>
      <c r="C129">
        <f t="shared" si="67"/>
        <v>727.7299999999999</v>
      </c>
      <c r="D129" s="1">
        <f t="shared" si="68"/>
        <v>26.31</v>
      </c>
      <c r="E129" s="1">
        <f t="shared" si="69"/>
        <v>19146.576299999997</v>
      </c>
      <c r="F129" s="3"/>
      <c r="J129" s="3">
        <f t="shared" si="63"/>
        <v>727.7299999999999</v>
      </c>
      <c r="K129" s="1">
        <v>22.85</v>
      </c>
      <c r="L129" s="1">
        <v>16626.349999999999</v>
      </c>
      <c r="M129" s="1">
        <f t="shared" si="65"/>
        <v>-2520.2262999999984</v>
      </c>
      <c r="N129" s="4">
        <f t="shared" si="66"/>
        <v>-0.13162803942133502</v>
      </c>
    </row>
    <row r="131" spans="1:14" x14ac:dyDescent="0.35">
      <c r="A131" t="s">
        <v>39</v>
      </c>
      <c r="B131">
        <v>2001</v>
      </c>
      <c r="C131">
        <v>1117.0060000000001</v>
      </c>
      <c r="D131" s="1">
        <v>35.81</v>
      </c>
      <c r="E131" s="1">
        <v>40000</v>
      </c>
      <c r="H131" s="3">
        <v>33.034999999999997</v>
      </c>
      <c r="I131" s="1">
        <v>1167.4100000000001</v>
      </c>
      <c r="J131" s="3">
        <f>H131+C131</f>
        <v>1150.0410000000002</v>
      </c>
      <c r="K131" s="1">
        <v>34.33</v>
      </c>
      <c r="L131" s="1">
        <f>K131*J131</f>
        <v>39480.907530000004</v>
      </c>
      <c r="M131" s="1">
        <f>L131-E131</f>
        <v>-519.09246999999596</v>
      </c>
      <c r="N131" s="4">
        <f t="shared" si="66"/>
        <v>-1.2977311749999899E-2</v>
      </c>
    </row>
    <row r="132" spans="1:14" x14ac:dyDescent="0.35">
      <c r="A132" t="s">
        <v>39</v>
      </c>
      <c r="B132">
        <v>2002</v>
      </c>
      <c r="C132">
        <f>J131</f>
        <v>1150.0410000000002</v>
      </c>
      <c r="D132" s="1">
        <f>K131</f>
        <v>34.33</v>
      </c>
      <c r="E132" s="1">
        <f>L131</f>
        <v>39480.907530000004</v>
      </c>
      <c r="H132" s="3">
        <v>20.794</v>
      </c>
      <c r="I132" s="1">
        <v>592.44000000000005</v>
      </c>
      <c r="J132" s="3">
        <f t="shared" ref="J132:J138" si="70">H132+C132</f>
        <v>1170.8350000000003</v>
      </c>
      <c r="K132" s="1">
        <v>27.72</v>
      </c>
      <c r="L132" s="1">
        <f t="shared" ref="L132:L139" si="71">K132*J132</f>
        <v>32455.546200000004</v>
      </c>
      <c r="M132" s="1">
        <f t="shared" ref="M132:M139" si="72">L132-E132</f>
        <v>-7025.3613299999997</v>
      </c>
      <c r="N132" s="4">
        <f t="shared" si="66"/>
        <v>-0.1779432583879107</v>
      </c>
    </row>
    <row r="133" spans="1:14" x14ac:dyDescent="0.35">
      <c r="A133" t="s">
        <v>39</v>
      </c>
      <c r="B133">
        <v>2003</v>
      </c>
      <c r="C133">
        <f t="shared" ref="C133:C139" si="73">J132</f>
        <v>1170.8350000000003</v>
      </c>
      <c r="D133" s="1">
        <f t="shared" ref="D133:D139" si="74">K132</f>
        <v>27.72</v>
      </c>
      <c r="E133" s="1">
        <f t="shared" ref="E133:E139" si="75">L132</f>
        <v>32455.546200000004</v>
      </c>
      <c r="H133" s="3">
        <v>2.823</v>
      </c>
      <c r="I133" s="1">
        <v>100.89</v>
      </c>
      <c r="J133" s="3">
        <f t="shared" si="70"/>
        <v>1173.6580000000004</v>
      </c>
      <c r="K133" s="1">
        <v>35.74</v>
      </c>
      <c r="L133" s="1">
        <f t="shared" si="71"/>
        <v>41946.536920000013</v>
      </c>
      <c r="M133" s="1">
        <f t="shared" si="72"/>
        <v>9490.9907200000089</v>
      </c>
      <c r="N133" s="4">
        <f t="shared" si="66"/>
        <v>0.29243047279235151</v>
      </c>
    </row>
    <row r="134" spans="1:14" x14ac:dyDescent="0.35">
      <c r="A134" t="s">
        <v>39</v>
      </c>
      <c r="B134">
        <v>2004</v>
      </c>
      <c r="C134">
        <f t="shared" si="73"/>
        <v>1173.6580000000004</v>
      </c>
      <c r="D134" s="1">
        <f t="shared" si="74"/>
        <v>35.74</v>
      </c>
      <c r="E134" s="1">
        <f t="shared" si="75"/>
        <v>41946.536920000013</v>
      </c>
      <c r="H134" s="3">
        <v>115.77500000000001</v>
      </c>
      <c r="I134" s="1">
        <v>4232.05</v>
      </c>
      <c r="J134" s="3">
        <f t="shared" si="70"/>
        <v>1289.4330000000004</v>
      </c>
      <c r="K134" s="1">
        <v>37.729999999999997</v>
      </c>
      <c r="L134" s="1">
        <f t="shared" si="71"/>
        <v>48650.307090000009</v>
      </c>
      <c r="M134" s="1">
        <f t="shared" si="72"/>
        <v>6703.7701699999961</v>
      </c>
      <c r="N134" s="4">
        <f t="shared" si="66"/>
        <v>0.15981701142064134</v>
      </c>
    </row>
    <row r="135" spans="1:14" x14ac:dyDescent="0.35">
      <c r="A135" t="s">
        <v>39</v>
      </c>
      <c r="B135">
        <v>2005</v>
      </c>
      <c r="C135">
        <f t="shared" si="73"/>
        <v>1289.4330000000004</v>
      </c>
      <c r="D135" s="1">
        <f t="shared" si="74"/>
        <v>37.729999999999997</v>
      </c>
      <c r="E135" s="1">
        <f t="shared" si="75"/>
        <v>48650.307090000009</v>
      </c>
      <c r="H135" s="3">
        <v>45.017000000000003</v>
      </c>
      <c r="I135" s="1">
        <v>1608.64</v>
      </c>
      <c r="J135" s="3">
        <f t="shared" si="70"/>
        <v>1334.4500000000005</v>
      </c>
      <c r="K135" s="1">
        <v>35.47</v>
      </c>
      <c r="L135" s="1">
        <f t="shared" si="71"/>
        <v>47332.941500000015</v>
      </c>
      <c r="M135" s="1">
        <f t="shared" si="72"/>
        <v>-1317.365589999994</v>
      </c>
      <c r="N135" s="4">
        <f t="shared" si="66"/>
        <v>-2.7078258469426523E-2</v>
      </c>
    </row>
    <row r="136" spans="1:14" x14ac:dyDescent="0.35">
      <c r="A136" t="s">
        <v>39</v>
      </c>
      <c r="B136">
        <v>2006</v>
      </c>
      <c r="C136">
        <f t="shared" si="73"/>
        <v>1334.4500000000005</v>
      </c>
      <c r="D136" s="1">
        <f t="shared" si="74"/>
        <v>35.47</v>
      </c>
      <c r="E136" s="1">
        <f t="shared" si="75"/>
        <v>47332.941500000015</v>
      </c>
      <c r="H136" s="3">
        <v>82.373999999999995</v>
      </c>
      <c r="I136" s="1">
        <v>3315.18</v>
      </c>
      <c r="J136" s="3">
        <f t="shared" si="70"/>
        <v>1416.8240000000005</v>
      </c>
      <c r="K136" s="1">
        <v>40.4</v>
      </c>
      <c r="L136" s="1">
        <f t="shared" si="71"/>
        <v>57239.68960000002</v>
      </c>
      <c r="M136" s="1">
        <f t="shared" si="72"/>
        <v>9906.7481000000043</v>
      </c>
      <c r="N136" s="4">
        <f t="shared" si="66"/>
        <v>0.20929922768480386</v>
      </c>
    </row>
    <row r="137" spans="1:14" x14ac:dyDescent="0.35">
      <c r="A137" t="s">
        <v>39</v>
      </c>
      <c r="B137">
        <v>2007</v>
      </c>
      <c r="C137">
        <f t="shared" si="73"/>
        <v>1416.8240000000005</v>
      </c>
      <c r="D137" s="1">
        <f t="shared" si="74"/>
        <v>40.4</v>
      </c>
      <c r="E137" s="1">
        <f t="shared" si="75"/>
        <v>57239.68960000002</v>
      </c>
      <c r="H137" s="3">
        <v>140.19399999999999</v>
      </c>
      <c r="I137" s="1">
        <v>4581.3</v>
      </c>
      <c r="J137" s="3">
        <f t="shared" si="70"/>
        <v>1557.0180000000005</v>
      </c>
      <c r="K137" s="1">
        <v>31.68</v>
      </c>
      <c r="L137" s="1">
        <f t="shared" si="71"/>
        <v>49326.330240000018</v>
      </c>
      <c r="M137" s="1">
        <f t="shared" si="72"/>
        <v>-7913.3593600000022</v>
      </c>
      <c r="N137" s="4">
        <f t="shared" si="66"/>
        <v>-0.13824951559485743</v>
      </c>
    </row>
    <row r="138" spans="1:14" x14ac:dyDescent="0.35">
      <c r="A138" t="s">
        <v>39</v>
      </c>
      <c r="B138">
        <v>2008</v>
      </c>
      <c r="C138">
        <f t="shared" si="73"/>
        <v>1557.0180000000005</v>
      </c>
      <c r="D138" s="1">
        <f t="shared" si="74"/>
        <v>31.68</v>
      </c>
      <c r="E138" s="1">
        <f t="shared" si="75"/>
        <v>49326.330240000018</v>
      </c>
      <c r="J138" s="3">
        <f t="shared" si="70"/>
        <v>1557.0180000000005</v>
      </c>
      <c r="K138" s="1">
        <v>31.67</v>
      </c>
      <c r="L138" s="1">
        <f t="shared" si="71"/>
        <v>49310.760060000015</v>
      </c>
      <c r="M138" s="1">
        <f t="shared" si="72"/>
        <v>-15.570180000002438</v>
      </c>
      <c r="N138" s="4">
        <f t="shared" si="66"/>
        <v>-3.1565656565661496E-4</v>
      </c>
    </row>
    <row r="139" spans="1:14" x14ac:dyDescent="0.35">
      <c r="A139" t="s">
        <v>39</v>
      </c>
      <c r="B139">
        <v>2009</v>
      </c>
      <c r="C139">
        <f t="shared" si="73"/>
        <v>1557.0180000000005</v>
      </c>
      <c r="D139" s="1">
        <f t="shared" si="74"/>
        <v>31.67</v>
      </c>
      <c r="E139" s="1">
        <f t="shared" si="75"/>
        <v>49310.760060000015</v>
      </c>
      <c r="J139" s="3">
        <v>1644.547</v>
      </c>
      <c r="K139" s="1">
        <v>17.8</v>
      </c>
      <c r="L139" s="1">
        <f t="shared" si="71"/>
        <v>29272.936600000001</v>
      </c>
      <c r="M139" s="1">
        <f t="shared" si="72"/>
        <v>-20037.823460000014</v>
      </c>
      <c r="N139" s="4">
        <f t="shared" si="66"/>
        <v>-0.40635803292462996</v>
      </c>
    </row>
    <row r="141" spans="1:14" x14ac:dyDescent="0.35">
      <c r="A141" t="s">
        <v>40</v>
      </c>
      <c r="B141">
        <v>2001</v>
      </c>
      <c r="C141">
        <v>100</v>
      </c>
      <c r="D141" s="1">
        <v>23.29</v>
      </c>
      <c r="E141" s="1">
        <v>2341</v>
      </c>
      <c r="I141" s="1">
        <v>14.19</v>
      </c>
      <c r="J141" s="3">
        <v>100</v>
      </c>
    </row>
    <row r="142" spans="1:14" x14ac:dyDescent="0.35">
      <c r="A142" t="s">
        <v>40</v>
      </c>
      <c r="B142">
        <v>2002</v>
      </c>
      <c r="C142">
        <v>100</v>
      </c>
      <c r="I142" s="1">
        <v>11.25</v>
      </c>
      <c r="J142" s="3">
        <v>100</v>
      </c>
      <c r="L142" s="1">
        <v>1000.96</v>
      </c>
      <c r="M142" s="1">
        <f>L142-E141+I141+I142</f>
        <v>-1314.6</v>
      </c>
      <c r="N142" s="4">
        <f>M142/E141</f>
        <v>-0.56155489107219136</v>
      </c>
    </row>
    <row r="144" spans="1:14" x14ac:dyDescent="0.35">
      <c r="A144" t="s">
        <v>41</v>
      </c>
      <c r="B144">
        <v>2001</v>
      </c>
      <c r="C144">
        <v>127.175</v>
      </c>
      <c r="D144" s="1">
        <v>28.53</v>
      </c>
      <c r="E144" s="1">
        <v>3628.3</v>
      </c>
      <c r="F144" s="3">
        <v>153.82900000000001</v>
      </c>
      <c r="G144" s="1">
        <v>4138</v>
      </c>
      <c r="H144" s="3">
        <v>18.632000000000001</v>
      </c>
      <c r="I144" s="1">
        <v>480.52</v>
      </c>
      <c r="J144" s="3">
        <f>C144+F144+H144</f>
        <v>299.63600000000002</v>
      </c>
      <c r="K144" s="1">
        <v>25.79</v>
      </c>
      <c r="L144" s="1">
        <f>K144*J144</f>
        <v>7727.6124400000008</v>
      </c>
      <c r="M144" s="1">
        <f>L144-E144-G144</f>
        <v>-38.687559999999394</v>
      </c>
      <c r="N144" s="4">
        <f>M144/(E144+G144)</f>
        <v>-4.9814660777975864E-3</v>
      </c>
    </row>
    <row r="145" spans="1:14" x14ac:dyDescent="0.35">
      <c r="A145" t="s">
        <v>41</v>
      </c>
      <c r="B145">
        <v>2002</v>
      </c>
      <c r="C145">
        <f>J144</f>
        <v>299.63600000000002</v>
      </c>
      <c r="D145" s="1">
        <f>K144</f>
        <v>25.79</v>
      </c>
      <c r="E145" s="1">
        <f>L144</f>
        <v>7727.6124400000008</v>
      </c>
      <c r="J145" s="3">
        <v>299.63600000000002</v>
      </c>
      <c r="K145" s="1">
        <v>16.38</v>
      </c>
      <c r="L145" s="1">
        <v>4908.04</v>
      </c>
      <c r="M145" s="1">
        <f>L145-E145-G145</f>
        <v>-2819.5724400000008</v>
      </c>
      <c r="N145" s="4">
        <f>M145/(E145+G145)</f>
        <v>-0.36486980446964556</v>
      </c>
    </row>
    <row r="147" spans="1:14" x14ac:dyDescent="0.35">
      <c r="A147" t="s">
        <v>42</v>
      </c>
      <c r="B147">
        <v>2001</v>
      </c>
      <c r="C147">
        <v>131.79599999999999</v>
      </c>
      <c r="D147" s="1">
        <v>30.35</v>
      </c>
      <c r="E147" s="1">
        <v>4000</v>
      </c>
      <c r="F147" s="3">
        <v>77.784000000000006</v>
      </c>
      <c r="G147" s="1">
        <v>2934</v>
      </c>
      <c r="H147" s="3">
        <v>14.446</v>
      </c>
      <c r="I147" s="1">
        <v>453.07</v>
      </c>
      <c r="J147" s="3">
        <f>C147+F147+H147</f>
        <v>224.02599999999998</v>
      </c>
      <c r="K147" s="1">
        <v>32.74</v>
      </c>
      <c r="L147" s="1">
        <f>K147*J147</f>
        <v>7334.6112400000002</v>
      </c>
      <c r="M147" s="1">
        <f>L147-G147-E147</f>
        <v>400.61124000000018</v>
      </c>
      <c r="N147" s="4">
        <f>M147/(G147+E147)</f>
        <v>5.7774912027689668E-2</v>
      </c>
    </row>
    <row r="148" spans="1:14" x14ac:dyDescent="0.35">
      <c r="A148" t="s">
        <v>42</v>
      </c>
      <c r="B148">
        <v>2002</v>
      </c>
      <c r="C148">
        <f>J147</f>
        <v>224.02599999999998</v>
      </c>
      <c r="D148" s="1">
        <f>K147</f>
        <v>32.74</v>
      </c>
      <c r="E148" s="1">
        <f>L147</f>
        <v>7334.6112400000002</v>
      </c>
      <c r="F148" s="3">
        <v>227.74700000000001</v>
      </c>
      <c r="G148" s="1">
        <v>6908.47</v>
      </c>
      <c r="J148" s="3">
        <f>C148+F148+H148</f>
        <v>451.77300000000002</v>
      </c>
      <c r="K148" s="1">
        <v>26.68</v>
      </c>
      <c r="L148" s="1">
        <f t="shared" ref="L148:L154" si="76">K148*J148</f>
        <v>12053.30364</v>
      </c>
      <c r="M148" s="1">
        <f t="shared" ref="M148:M154" si="77">L148-G148-E148</f>
        <v>-2189.7776000000003</v>
      </c>
      <c r="N148" s="4">
        <f t="shared" ref="N148:N154" si="78">M148/(G148+E148)</f>
        <v>-0.15374325001041703</v>
      </c>
    </row>
    <row r="149" spans="1:14" x14ac:dyDescent="0.35">
      <c r="A149" t="s">
        <v>42</v>
      </c>
      <c r="B149">
        <v>2003</v>
      </c>
      <c r="C149">
        <f t="shared" ref="C149:C154" si="79">J148</f>
        <v>451.77300000000002</v>
      </c>
      <c r="D149" s="1">
        <f t="shared" ref="D149:D154" si="80">K148</f>
        <v>26.68</v>
      </c>
      <c r="E149" s="1">
        <f t="shared" ref="E149:E154" si="81">L148</f>
        <v>12053.30364</v>
      </c>
      <c r="H149" s="3">
        <v>0.26800000000000002</v>
      </c>
      <c r="I149" s="1">
        <v>9.74</v>
      </c>
      <c r="J149" s="3">
        <f t="shared" ref="J149:J153" si="82">C149+F149+H149</f>
        <v>452.041</v>
      </c>
      <c r="K149" s="1">
        <v>36.36</v>
      </c>
      <c r="L149" s="1">
        <f t="shared" si="76"/>
        <v>16436.210759999998</v>
      </c>
      <c r="M149" s="1">
        <f t="shared" si="77"/>
        <v>4382.907119999998</v>
      </c>
      <c r="N149" s="4">
        <f t="shared" si="78"/>
        <v>0.36362703959891263</v>
      </c>
    </row>
    <row r="150" spans="1:14" x14ac:dyDescent="0.35">
      <c r="A150" t="s">
        <v>42</v>
      </c>
      <c r="B150">
        <v>2004</v>
      </c>
      <c r="C150">
        <f t="shared" si="79"/>
        <v>452.041</v>
      </c>
      <c r="D150" s="1">
        <f t="shared" si="80"/>
        <v>36.36</v>
      </c>
      <c r="E150" s="1">
        <f t="shared" si="81"/>
        <v>16436.210759999998</v>
      </c>
      <c r="H150" s="3">
        <v>16.317</v>
      </c>
      <c r="I150" s="1">
        <v>648.14</v>
      </c>
      <c r="J150" s="3">
        <f t="shared" si="82"/>
        <v>468.358</v>
      </c>
      <c r="K150" s="1">
        <v>42.37</v>
      </c>
      <c r="L150" s="1">
        <f t="shared" si="76"/>
        <v>19844.328460000001</v>
      </c>
      <c r="M150" s="1">
        <f t="shared" si="77"/>
        <v>3408.1177000000025</v>
      </c>
      <c r="N150" s="4">
        <f t="shared" si="78"/>
        <v>0.20735422231833214</v>
      </c>
    </row>
    <row r="151" spans="1:14" x14ac:dyDescent="0.35">
      <c r="A151" t="s">
        <v>42</v>
      </c>
      <c r="B151">
        <v>2005</v>
      </c>
      <c r="C151">
        <f t="shared" si="79"/>
        <v>468.358</v>
      </c>
      <c r="D151" s="1">
        <f t="shared" si="80"/>
        <v>42.37</v>
      </c>
      <c r="E151" s="1">
        <f t="shared" si="81"/>
        <v>19844.328460000001</v>
      </c>
      <c r="H151" s="3">
        <v>1.2769999999999999</v>
      </c>
      <c r="I151" s="1">
        <v>55.22</v>
      </c>
      <c r="J151" s="3">
        <f t="shared" si="82"/>
        <v>469.63499999999999</v>
      </c>
      <c r="K151" s="1">
        <v>40.76</v>
      </c>
      <c r="L151" s="1">
        <f t="shared" si="76"/>
        <v>19142.3226</v>
      </c>
      <c r="M151" s="1">
        <f t="shared" si="77"/>
        <v>-702.00586000000112</v>
      </c>
      <c r="N151" s="4">
        <f t="shared" si="78"/>
        <v>-3.5375642033693748E-2</v>
      </c>
    </row>
    <row r="152" spans="1:14" x14ac:dyDescent="0.35">
      <c r="A152" t="s">
        <v>42</v>
      </c>
      <c r="B152">
        <v>2006</v>
      </c>
      <c r="C152">
        <f t="shared" si="79"/>
        <v>469.63499999999999</v>
      </c>
      <c r="D152" s="1">
        <f t="shared" si="80"/>
        <v>40.76</v>
      </c>
      <c r="E152" s="1">
        <f t="shared" si="81"/>
        <v>19142.3226</v>
      </c>
      <c r="H152" s="3">
        <v>47.445999999999998</v>
      </c>
      <c r="I152" s="1">
        <v>1899.72</v>
      </c>
      <c r="J152" s="3">
        <f t="shared" si="82"/>
        <v>517.08100000000002</v>
      </c>
      <c r="K152" s="1">
        <v>40.04</v>
      </c>
      <c r="L152" s="1">
        <f t="shared" si="76"/>
        <v>20703.92324</v>
      </c>
      <c r="M152" s="1">
        <f t="shared" si="77"/>
        <v>1561.6006400000006</v>
      </c>
      <c r="N152" s="4">
        <f t="shared" si="78"/>
        <v>8.1578430822182496E-2</v>
      </c>
    </row>
    <row r="153" spans="1:14" x14ac:dyDescent="0.35">
      <c r="A153" t="s">
        <v>42</v>
      </c>
      <c r="B153">
        <v>2007</v>
      </c>
      <c r="C153">
        <f t="shared" si="79"/>
        <v>517.08100000000002</v>
      </c>
      <c r="D153" s="1">
        <f t="shared" si="80"/>
        <v>40.04</v>
      </c>
      <c r="E153" s="1">
        <f t="shared" si="81"/>
        <v>20703.92324</v>
      </c>
      <c r="H153" s="3">
        <v>126.348</v>
      </c>
      <c r="I153" s="1">
        <v>4385.5600000000004</v>
      </c>
      <c r="J153" s="3">
        <f t="shared" si="82"/>
        <v>643.42899999999997</v>
      </c>
      <c r="K153" s="1">
        <v>34.71</v>
      </c>
      <c r="L153" s="1">
        <f t="shared" si="76"/>
        <v>22333.420589999998</v>
      </c>
      <c r="M153" s="1">
        <f t="shared" si="77"/>
        <v>1629.4973499999978</v>
      </c>
      <c r="N153" s="4">
        <f t="shared" si="78"/>
        <v>7.8704761948296217E-2</v>
      </c>
    </row>
    <row r="154" spans="1:14" x14ac:dyDescent="0.35">
      <c r="A154" t="s">
        <v>42</v>
      </c>
      <c r="B154">
        <v>2008</v>
      </c>
      <c r="C154">
        <f t="shared" si="79"/>
        <v>643.42899999999997</v>
      </c>
      <c r="D154" s="1">
        <f t="shared" si="80"/>
        <v>34.71</v>
      </c>
      <c r="E154" s="1">
        <f t="shared" si="81"/>
        <v>22333.420589999998</v>
      </c>
      <c r="J154" s="3">
        <v>688.125</v>
      </c>
      <c r="K154" s="1">
        <v>33.17</v>
      </c>
      <c r="L154" s="1">
        <f t="shared" si="76"/>
        <v>22825.106250000001</v>
      </c>
      <c r="M154" s="1">
        <f t="shared" si="77"/>
        <v>491.68566000000283</v>
      </c>
      <c r="N154" s="4">
        <f t="shared" si="78"/>
        <v>2.201568980526699E-2</v>
      </c>
    </row>
    <row r="156" spans="1:14" x14ac:dyDescent="0.35">
      <c r="A156" t="s">
        <v>43</v>
      </c>
      <c r="B156">
        <v>2001</v>
      </c>
      <c r="C156">
        <v>100</v>
      </c>
      <c r="D156" s="1">
        <v>30.44</v>
      </c>
      <c r="E156" s="1">
        <v>3074</v>
      </c>
    </row>
    <row r="157" spans="1:14" x14ac:dyDescent="0.35">
      <c r="A157" t="s">
        <v>43</v>
      </c>
      <c r="B157">
        <v>2002</v>
      </c>
      <c r="C157">
        <v>100</v>
      </c>
    </row>
    <row r="158" spans="1:14" x14ac:dyDescent="0.35">
      <c r="A158" t="s">
        <v>43</v>
      </c>
      <c r="B158">
        <v>2003</v>
      </c>
      <c r="C158">
        <v>100</v>
      </c>
      <c r="J158" s="3">
        <v>100</v>
      </c>
      <c r="K158" s="1">
        <v>15.63</v>
      </c>
      <c r="L158" s="1">
        <v>1532.97</v>
      </c>
      <c r="M158" s="1">
        <f>L158-E156</f>
        <v>-1541.03</v>
      </c>
      <c r="N158" s="4">
        <f>M158/E156</f>
        <v>-0.50131099544567337</v>
      </c>
    </row>
    <row r="160" spans="1:14" x14ac:dyDescent="0.35">
      <c r="A160" t="s">
        <v>44</v>
      </c>
      <c r="B160">
        <v>2001</v>
      </c>
      <c r="C160">
        <v>100</v>
      </c>
      <c r="D160" s="1">
        <v>35.19</v>
      </c>
      <c r="E160" s="1">
        <v>3619</v>
      </c>
      <c r="H160" s="3">
        <v>18.620899999999999</v>
      </c>
      <c r="I160" s="1">
        <v>660.67</v>
      </c>
      <c r="J160" s="3">
        <f>H160+C160</f>
        <v>118.62090000000001</v>
      </c>
      <c r="K160" s="1">
        <v>40.08</v>
      </c>
      <c r="L160" s="1">
        <f>K160*J160</f>
        <v>4754.3256719999999</v>
      </c>
      <c r="M160" s="1">
        <f>L160-E160</f>
        <v>1135.3256719999999</v>
      </c>
      <c r="N160" s="4">
        <f>M160/E160</f>
        <v>0.31371253716496267</v>
      </c>
    </row>
    <row r="161" spans="1:14" x14ac:dyDescent="0.35">
      <c r="A161" t="s">
        <v>44</v>
      </c>
      <c r="B161">
        <v>2002</v>
      </c>
      <c r="C161">
        <f t="shared" ref="C161:E162" si="83">J160</f>
        <v>118.62090000000001</v>
      </c>
      <c r="D161" s="1">
        <f t="shared" si="83"/>
        <v>40.08</v>
      </c>
      <c r="E161" s="1">
        <f t="shared" si="83"/>
        <v>4754.3256719999999</v>
      </c>
      <c r="F161" s="3">
        <v>400</v>
      </c>
      <c r="G161" s="1">
        <v>14072</v>
      </c>
      <c r="H161" s="3">
        <v>6.9405999999999999</v>
      </c>
      <c r="J161" s="3">
        <f>C161+F161+H161</f>
        <v>525.56150000000002</v>
      </c>
      <c r="K161" s="1">
        <v>24.35</v>
      </c>
      <c r="L161" s="1">
        <f>K161*J161</f>
        <v>12797.422525000002</v>
      </c>
      <c r="M161" s="1">
        <f>L161-G161-E161</f>
        <v>-6028.9031469999982</v>
      </c>
      <c r="N161" s="4">
        <f>M161/(E161+G161)</f>
        <v>-0.32023790791883833</v>
      </c>
    </row>
    <row r="162" spans="1:14" x14ac:dyDescent="0.35">
      <c r="A162" t="s">
        <v>44</v>
      </c>
      <c r="B162">
        <v>2003</v>
      </c>
      <c r="C162">
        <f t="shared" si="83"/>
        <v>525.56150000000002</v>
      </c>
      <c r="D162" s="1">
        <f t="shared" si="83"/>
        <v>24.35</v>
      </c>
      <c r="E162" s="1">
        <f t="shared" si="83"/>
        <v>12797.422525000002</v>
      </c>
      <c r="J162" s="3">
        <f>C162</f>
        <v>525.56150000000002</v>
      </c>
      <c r="K162" s="1">
        <v>28.55</v>
      </c>
      <c r="L162" s="1">
        <v>14974.11</v>
      </c>
      <c r="M162" s="1">
        <f>L162-G162-E162</f>
        <v>2176.6874749999988</v>
      </c>
      <c r="N162" s="4">
        <f>M162/(E162+G162)</f>
        <v>0.1700879587860602</v>
      </c>
    </row>
    <row r="164" spans="1:14" x14ac:dyDescent="0.35">
      <c r="A164" t="s">
        <v>45</v>
      </c>
      <c r="B164">
        <v>2001</v>
      </c>
      <c r="F164" s="3">
        <v>200</v>
      </c>
      <c r="G164" s="1">
        <v>7410</v>
      </c>
      <c r="J164" s="3">
        <v>200</v>
      </c>
      <c r="K164" s="1">
        <v>51.01</v>
      </c>
      <c r="L164" s="1">
        <f>J164*K164</f>
        <v>10202</v>
      </c>
      <c r="M164" s="1">
        <f>L164-G164</f>
        <v>2792</v>
      </c>
      <c r="N164" s="4">
        <f>M164/G164</f>
        <v>0.37678812415654522</v>
      </c>
    </row>
    <row r="165" spans="1:14" x14ac:dyDescent="0.35">
      <c r="A165" t="s">
        <v>45</v>
      </c>
      <c r="B165">
        <v>2002</v>
      </c>
      <c r="C165">
        <v>200</v>
      </c>
      <c r="D165" s="1">
        <f>K164</f>
        <v>51.01</v>
      </c>
      <c r="E165" s="1">
        <f>L164</f>
        <v>10202</v>
      </c>
      <c r="H165" s="3">
        <v>1.9775</v>
      </c>
      <c r="I165" s="1">
        <v>48.84</v>
      </c>
      <c r="J165" s="3">
        <f>C165+F165+H165</f>
        <v>201.97749999999999</v>
      </c>
      <c r="K165" s="1">
        <v>24.02</v>
      </c>
      <c r="L165" s="1">
        <f>J165*K165</f>
        <v>4851.4995499999995</v>
      </c>
      <c r="M165" s="1">
        <f>L165-E165</f>
        <v>-5350.5004500000005</v>
      </c>
      <c r="N165" s="4">
        <f>M165/E165</f>
        <v>-0.52445603313075873</v>
      </c>
    </row>
    <row r="166" spans="1:14" x14ac:dyDescent="0.35">
      <c r="A166" t="s">
        <v>45</v>
      </c>
      <c r="B166">
        <v>2003</v>
      </c>
      <c r="C166">
        <f>J165</f>
        <v>201.97749999999999</v>
      </c>
      <c r="D166" s="1">
        <f>K165</f>
        <v>24.02</v>
      </c>
      <c r="E166" s="1">
        <f>L165</f>
        <v>4851.4995499999995</v>
      </c>
      <c r="H166" s="3">
        <v>0.42849999999999999</v>
      </c>
      <c r="I166" s="1">
        <v>14.16</v>
      </c>
      <c r="J166" s="3">
        <f>C166+F166+H166</f>
        <v>202.40600000000001</v>
      </c>
      <c r="K166" s="1">
        <v>37.29</v>
      </c>
      <c r="L166" s="1">
        <v>7531</v>
      </c>
      <c r="M166" s="1">
        <f t="shared" ref="M166" si="84">L166-G166</f>
        <v>7531</v>
      </c>
      <c r="N166" s="4">
        <f>M166/E166</f>
        <v>1.5523035552997217</v>
      </c>
    </row>
    <row r="168" spans="1:14" x14ac:dyDescent="0.35">
      <c r="A168" t="s">
        <v>46</v>
      </c>
      <c r="B168">
        <v>2001</v>
      </c>
      <c r="F168" s="3">
        <v>208.34800000000001</v>
      </c>
      <c r="G168" s="1">
        <v>13185.86</v>
      </c>
      <c r="J168" s="3">
        <v>208.34800000000001</v>
      </c>
      <c r="K168" s="1">
        <v>30.37</v>
      </c>
      <c r="L168" s="1">
        <v>12308.28</v>
      </c>
      <c r="M168" s="1">
        <f>L168-G168</f>
        <v>-877.57999999999993</v>
      </c>
      <c r="N168" s="4">
        <f>M168/G168</f>
        <v>-6.6554627456988008E-2</v>
      </c>
    </row>
    <row r="169" spans="1:14" x14ac:dyDescent="0.35">
      <c r="F169" s="3"/>
      <c r="M169" s="1"/>
    </row>
    <row r="170" spans="1:14" x14ac:dyDescent="0.35">
      <c r="A170" t="s">
        <v>46</v>
      </c>
      <c r="B170">
        <v>2001</v>
      </c>
      <c r="F170" s="3">
        <v>56.863</v>
      </c>
      <c r="G170" s="1">
        <v>2000</v>
      </c>
      <c r="J170" s="3">
        <f>C170+F170+H170</f>
        <v>56.863</v>
      </c>
      <c r="K170" s="1">
        <v>38.53</v>
      </c>
      <c r="L170" s="1">
        <f>J170*K170</f>
        <v>2190.9313900000002</v>
      </c>
      <c r="M170" s="1">
        <f>L170-G170</f>
        <v>190.93139000000019</v>
      </c>
      <c r="N170" s="4">
        <f>M170/G170</f>
        <v>9.54656950000001E-2</v>
      </c>
    </row>
    <row r="171" spans="1:14" x14ac:dyDescent="0.35">
      <c r="A171" t="s">
        <v>46</v>
      </c>
      <c r="B171">
        <v>2002</v>
      </c>
      <c r="C171">
        <f>J170</f>
        <v>56.863</v>
      </c>
      <c r="D171" s="1">
        <f>K170</f>
        <v>38.53</v>
      </c>
      <c r="E171" s="1">
        <f>L170</f>
        <v>2190.9313900000002</v>
      </c>
      <c r="F171" s="3">
        <v>91.192999999999998</v>
      </c>
      <c r="G171" s="1">
        <v>2975</v>
      </c>
      <c r="J171" s="3">
        <f t="shared" ref="J171:J188" si="85">C171+F171+H171</f>
        <v>148.05599999999998</v>
      </c>
      <c r="K171" s="1">
        <v>31.59</v>
      </c>
      <c r="L171" s="1">
        <f t="shared" ref="L171:L188" si="86">J171*K171</f>
        <v>4677.0890399999998</v>
      </c>
      <c r="M171" s="1">
        <f t="shared" ref="M171" si="87">L171-G171</f>
        <v>1702.0890399999998</v>
      </c>
      <c r="N171" s="4">
        <f>M171/(G171+E171)</f>
        <v>0.32948347771223496</v>
      </c>
    </row>
    <row r="172" spans="1:14" x14ac:dyDescent="0.35">
      <c r="A172" t="s">
        <v>46</v>
      </c>
      <c r="B172">
        <v>2003</v>
      </c>
      <c r="C172">
        <f t="shared" ref="C172:C177" si="88">J171</f>
        <v>148.05599999999998</v>
      </c>
      <c r="D172" s="1">
        <f t="shared" ref="D172:D177" si="89">K171</f>
        <v>31.59</v>
      </c>
      <c r="E172" s="1">
        <f t="shared" ref="E172:E177" si="90">L171</f>
        <v>4677.0890399999998</v>
      </c>
      <c r="F172" s="3">
        <v>317.125</v>
      </c>
      <c r="G172" s="1">
        <v>15050</v>
      </c>
      <c r="H172" s="3">
        <v>-125</v>
      </c>
      <c r="I172" s="6">
        <v>6028.75</v>
      </c>
      <c r="J172" s="3">
        <f t="shared" si="85"/>
        <v>340.18099999999998</v>
      </c>
      <c r="K172" s="1">
        <v>48.64</v>
      </c>
      <c r="L172" s="1">
        <f t="shared" si="86"/>
        <v>16546.403839999999</v>
      </c>
      <c r="M172" s="1">
        <f>L172-G172-E172</f>
        <v>-3180.6852000000008</v>
      </c>
      <c r="N172" s="4">
        <f>M172/(G172+E172)</f>
        <v>-0.16123439163024131</v>
      </c>
    </row>
    <row r="173" spans="1:14" x14ac:dyDescent="0.35">
      <c r="A173" t="s">
        <v>46</v>
      </c>
      <c r="B173">
        <v>2004</v>
      </c>
      <c r="C173">
        <f t="shared" si="88"/>
        <v>340.18099999999998</v>
      </c>
      <c r="D173" s="1">
        <f t="shared" si="89"/>
        <v>48.64</v>
      </c>
      <c r="E173" s="1">
        <f t="shared" si="90"/>
        <v>16546.403839999999</v>
      </c>
      <c r="J173" s="3">
        <f t="shared" si="85"/>
        <v>340.18099999999998</v>
      </c>
      <c r="K173" s="1">
        <v>54.58</v>
      </c>
      <c r="L173" s="1">
        <f t="shared" si="86"/>
        <v>18567.078979999998</v>
      </c>
      <c r="M173" s="1">
        <f t="shared" ref="M173:M205" si="91">L173-G173-E173</f>
        <v>2020.6751399999994</v>
      </c>
      <c r="N173" s="4">
        <f t="shared" ref="N173:N205" si="92">M173/(G173+E173)</f>
        <v>0.12212171052631576</v>
      </c>
    </row>
    <row r="174" spans="1:14" x14ac:dyDescent="0.35">
      <c r="A174" t="s">
        <v>46</v>
      </c>
      <c r="B174">
        <v>2005</v>
      </c>
      <c r="C174">
        <f t="shared" si="88"/>
        <v>340.18099999999998</v>
      </c>
      <c r="D174" s="1">
        <f t="shared" si="89"/>
        <v>54.58</v>
      </c>
      <c r="E174" s="1">
        <f t="shared" si="90"/>
        <v>18567.078979999998</v>
      </c>
      <c r="H174" s="3">
        <v>38.646000000000001</v>
      </c>
      <c r="I174" s="1">
        <v>2215.5700000000002</v>
      </c>
      <c r="J174" s="3">
        <f t="shared" si="85"/>
        <v>378.827</v>
      </c>
      <c r="K174" s="1">
        <v>57.33</v>
      </c>
      <c r="L174" s="1">
        <f t="shared" si="86"/>
        <v>21718.15191</v>
      </c>
      <c r="M174" s="1">
        <f t="shared" si="91"/>
        <v>3151.0729300000021</v>
      </c>
      <c r="N174" s="4">
        <f t="shared" si="92"/>
        <v>0.16971290602007244</v>
      </c>
    </row>
    <row r="175" spans="1:14" x14ac:dyDescent="0.35">
      <c r="A175" t="s">
        <v>46</v>
      </c>
      <c r="B175">
        <v>2006</v>
      </c>
      <c r="C175">
        <f t="shared" si="88"/>
        <v>378.827</v>
      </c>
      <c r="D175" s="1">
        <f t="shared" si="89"/>
        <v>57.33</v>
      </c>
      <c r="E175" s="1">
        <f t="shared" si="90"/>
        <v>21718.15191</v>
      </c>
      <c r="H175" s="3">
        <v>40.942</v>
      </c>
      <c r="I175" s="1">
        <v>2265.73</v>
      </c>
      <c r="J175" s="3">
        <f t="shared" si="85"/>
        <v>419.76900000000001</v>
      </c>
      <c r="K175" s="1">
        <v>55.34</v>
      </c>
      <c r="L175" s="1">
        <f t="shared" si="86"/>
        <v>23230.016460000003</v>
      </c>
      <c r="M175" s="1">
        <f t="shared" si="91"/>
        <v>1511.8645500000021</v>
      </c>
      <c r="N175" s="4">
        <f t="shared" si="92"/>
        <v>6.9612946638607523E-2</v>
      </c>
    </row>
    <row r="176" spans="1:14" x14ac:dyDescent="0.35">
      <c r="A176" t="s">
        <v>46</v>
      </c>
      <c r="B176">
        <v>2007</v>
      </c>
      <c r="C176">
        <f t="shared" si="88"/>
        <v>419.76900000000001</v>
      </c>
      <c r="D176" s="1">
        <f t="shared" si="89"/>
        <v>55.34</v>
      </c>
      <c r="E176" s="1">
        <f t="shared" si="90"/>
        <v>23230.016460000003</v>
      </c>
      <c r="H176" s="3">
        <v>78.832999999999998</v>
      </c>
      <c r="I176" s="1">
        <v>4402.0200000000004</v>
      </c>
      <c r="J176" s="3">
        <f t="shared" si="85"/>
        <v>498.60199999999998</v>
      </c>
      <c r="K176" s="1">
        <v>55.84</v>
      </c>
      <c r="L176" s="1">
        <f t="shared" si="86"/>
        <v>27841.935679999999</v>
      </c>
      <c r="M176" s="1">
        <f t="shared" si="91"/>
        <v>4611.9192199999961</v>
      </c>
      <c r="N176" s="4">
        <f t="shared" si="92"/>
        <v>0.19853275730309128</v>
      </c>
    </row>
    <row r="177" spans="1:14" x14ac:dyDescent="0.35">
      <c r="A177" t="s">
        <v>46</v>
      </c>
      <c r="B177">
        <v>2008</v>
      </c>
      <c r="C177">
        <f t="shared" si="88"/>
        <v>498.60199999999998</v>
      </c>
      <c r="D177" s="1">
        <f t="shared" si="89"/>
        <v>55.84</v>
      </c>
      <c r="E177" s="1">
        <f t="shared" si="90"/>
        <v>27841.935679999999</v>
      </c>
      <c r="J177" s="3">
        <f t="shared" si="85"/>
        <v>498.60199999999998</v>
      </c>
      <c r="K177" s="1">
        <v>49.13</v>
      </c>
      <c r="L177" s="1">
        <f t="shared" si="86"/>
        <v>24496.31626</v>
      </c>
      <c r="M177" s="1">
        <f t="shared" si="91"/>
        <v>-3345.6194199999991</v>
      </c>
      <c r="N177" s="4">
        <f t="shared" si="92"/>
        <v>-0.12016475644699137</v>
      </c>
    </row>
    <row r="178" spans="1:14" x14ac:dyDescent="0.35">
      <c r="M178" s="1"/>
    </row>
    <row r="179" spans="1:14" x14ac:dyDescent="0.35">
      <c r="A179" t="s">
        <v>46</v>
      </c>
      <c r="B179">
        <v>2001</v>
      </c>
      <c r="C179">
        <v>633.09400000000005</v>
      </c>
      <c r="D179" s="1">
        <v>34.75</v>
      </c>
      <c r="E179" s="1">
        <v>22095.200000000001</v>
      </c>
      <c r="J179" s="3">
        <f t="shared" si="85"/>
        <v>633.09400000000005</v>
      </c>
      <c r="K179" s="1">
        <v>38.53</v>
      </c>
      <c r="L179" s="1">
        <f t="shared" si="86"/>
        <v>24393.111820000002</v>
      </c>
      <c r="M179" s="1">
        <f t="shared" si="91"/>
        <v>2297.9118200000012</v>
      </c>
      <c r="N179" s="4">
        <f t="shared" si="92"/>
        <v>0.10400049875085997</v>
      </c>
    </row>
    <row r="180" spans="1:14" x14ac:dyDescent="0.35">
      <c r="A180" t="s">
        <v>46</v>
      </c>
      <c r="B180">
        <v>2002</v>
      </c>
      <c r="C180">
        <f>J179</f>
        <v>633.09400000000005</v>
      </c>
      <c r="D180" s="1">
        <f>K179</f>
        <v>38.53</v>
      </c>
      <c r="E180" s="1">
        <f>L179</f>
        <v>24393.111820000002</v>
      </c>
      <c r="J180" s="3">
        <f t="shared" si="85"/>
        <v>633.09400000000005</v>
      </c>
      <c r="K180" s="1">
        <v>31.59</v>
      </c>
      <c r="L180" s="1">
        <f t="shared" si="86"/>
        <v>19999.439460000001</v>
      </c>
      <c r="M180" s="1">
        <f t="shared" si="91"/>
        <v>-4393.6723600000005</v>
      </c>
      <c r="N180" s="4">
        <f t="shared" si="92"/>
        <v>-0.18011938749026732</v>
      </c>
    </row>
    <row r="181" spans="1:14" x14ac:dyDescent="0.35">
      <c r="A181" t="s">
        <v>46</v>
      </c>
      <c r="B181">
        <v>2003</v>
      </c>
      <c r="C181">
        <f t="shared" ref="C181:C189" si="93">J180</f>
        <v>633.09400000000005</v>
      </c>
      <c r="D181" s="1">
        <f t="shared" ref="D181:D189" si="94">K180</f>
        <v>31.59</v>
      </c>
      <c r="E181" s="1">
        <f t="shared" ref="E181:E189" si="95">L180</f>
        <v>19999.439460000001</v>
      </c>
      <c r="J181" s="3">
        <f t="shared" si="85"/>
        <v>633.09400000000005</v>
      </c>
      <c r="K181" s="1">
        <v>48.64</v>
      </c>
      <c r="L181" s="1">
        <f t="shared" si="86"/>
        <v>30793.692160000002</v>
      </c>
      <c r="M181" s="1">
        <f t="shared" si="91"/>
        <v>10794.252700000001</v>
      </c>
      <c r="N181" s="4">
        <f t="shared" si="92"/>
        <v>0.53972776194998417</v>
      </c>
    </row>
    <row r="182" spans="1:14" x14ac:dyDescent="0.35">
      <c r="A182" t="s">
        <v>46</v>
      </c>
      <c r="B182">
        <v>2004</v>
      </c>
      <c r="C182">
        <f t="shared" si="93"/>
        <v>633.09400000000005</v>
      </c>
      <c r="D182" s="1">
        <f t="shared" si="94"/>
        <v>48.64</v>
      </c>
      <c r="E182" s="1">
        <f t="shared" si="95"/>
        <v>30793.692160000002</v>
      </c>
      <c r="J182" s="3">
        <f t="shared" si="85"/>
        <v>633.09400000000005</v>
      </c>
      <c r="K182" s="1">
        <v>54.58</v>
      </c>
      <c r="L182" s="1">
        <f t="shared" si="86"/>
        <v>34554.270519999998</v>
      </c>
      <c r="M182" s="1">
        <f t="shared" si="91"/>
        <v>3760.5783599999959</v>
      </c>
      <c r="N182" s="4">
        <f t="shared" si="92"/>
        <v>0.12212171052631565</v>
      </c>
    </row>
    <row r="183" spans="1:14" x14ac:dyDescent="0.35">
      <c r="A183" t="s">
        <v>46</v>
      </c>
      <c r="B183">
        <v>2005</v>
      </c>
      <c r="C183">
        <f t="shared" si="93"/>
        <v>633.09400000000005</v>
      </c>
      <c r="D183" s="1">
        <f t="shared" si="94"/>
        <v>54.58</v>
      </c>
      <c r="E183" s="1">
        <f t="shared" si="95"/>
        <v>34554.270519999998</v>
      </c>
      <c r="H183" s="3">
        <v>71.912000000000006</v>
      </c>
      <c r="I183" s="1">
        <v>4123.28</v>
      </c>
      <c r="J183" s="3">
        <f t="shared" si="85"/>
        <v>705.00600000000009</v>
      </c>
      <c r="K183" s="1">
        <v>57.33</v>
      </c>
      <c r="L183" s="1">
        <f t="shared" si="86"/>
        <v>40417.993980000007</v>
      </c>
      <c r="M183" s="1">
        <f t="shared" si="91"/>
        <v>5863.7234600000083</v>
      </c>
      <c r="N183" s="4">
        <f t="shared" si="92"/>
        <v>0.16969605700708071</v>
      </c>
    </row>
    <row r="184" spans="1:14" x14ac:dyDescent="0.35">
      <c r="A184" t="s">
        <v>46</v>
      </c>
      <c r="B184">
        <v>2006</v>
      </c>
      <c r="C184">
        <f t="shared" si="93"/>
        <v>705.00600000000009</v>
      </c>
      <c r="D184" s="1">
        <f t="shared" si="94"/>
        <v>57.33</v>
      </c>
      <c r="E184" s="1">
        <f t="shared" si="95"/>
        <v>40417.993980000007</v>
      </c>
      <c r="H184" s="3">
        <v>76.194999999999993</v>
      </c>
      <c r="I184" s="1">
        <v>4216.63</v>
      </c>
      <c r="J184" s="3">
        <f t="shared" si="85"/>
        <v>781.20100000000002</v>
      </c>
      <c r="K184" s="1">
        <v>55.34</v>
      </c>
      <c r="L184" s="1">
        <f t="shared" si="86"/>
        <v>43231.663340000006</v>
      </c>
      <c r="M184" s="1">
        <f t="shared" si="91"/>
        <v>2813.6693599999999</v>
      </c>
      <c r="N184" s="4">
        <f t="shared" si="92"/>
        <v>6.9614275300062756E-2</v>
      </c>
    </row>
    <row r="185" spans="1:14" x14ac:dyDescent="0.35">
      <c r="A185" t="s">
        <v>46</v>
      </c>
      <c r="B185">
        <v>2007</v>
      </c>
      <c r="C185">
        <f t="shared" si="93"/>
        <v>781.20100000000002</v>
      </c>
      <c r="D185" s="1">
        <f t="shared" si="94"/>
        <v>55.34</v>
      </c>
      <c r="E185" s="1">
        <f t="shared" si="95"/>
        <v>43231.663340000006</v>
      </c>
      <c r="H185" s="3">
        <v>146.71100000000001</v>
      </c>
      <c r="I185" s="1">
        <v>8192.3700000000008</v>
      </c>
      <c r="J185" s="3">
        <f t="shared" si="85"/>
        <v>927.91200000000003</v>
      </c>
      <c r="K185" s="1">
        <v>55.84</v>
      </c>
      <c r="L185" s="1">
        <f t="shared" si="86"/>
        <v>51814.606080000005</v>
      </c>
      <c r="M185" s="1">
        <f t="shared" si="91"/>
        <v>8582.9427399999986</v>
      </c>
      <c r="N185" s="4">
        <f t="shared" si="92"/>
        <v>0.19853371526555744</v>
      </c>
    </row>
    <row r="186" spans="1:14" x14ac:dyDescent="0.35">
      <c r="A186" t="s">
        <v>46</v>
      </c>
      <c r="B186">
        <v>2008</v>
      </c>
      <c r="C186">
        <f t="shared" si="93"/>
        <v>927.91200000000003</v>
      </c>
      <c r="D186" s="1">
        <f t="shared" si="94"/>
        <v>55.84</v>
      </c>
      <c r="E186" s="1">
        <f t="shared" si="95"/>
        <v>51814.606080000005</v>
      </c>
      <c r="H186" s="3">
        <v>31.777999999999999</v>
      </c>
      <c r="I186" s="1">
        <v>530.16999999999996</v>
      </c>
      <c r="J186" s="3">
        <f t="shared" si="85"/>
        <v>959.69</v>
      </c>
      <c r="K186" s="1">
        <v>24.95</v>
      </c>
      <c r="L186" s="1">
        <f t="shared" si="86"/>
        <v>23944.265500000001</v>
      </c>
      <c r="M186" s="1">
        <f t="shared" si="91"/>
        <v>-27870.340580000004</v>
      </c>
      <c r="N186" s="4">
        <f t="shared" si="92"/>
        <v>-0.53788579492371591</v>
      </c>
    </row>
    <row r="187" spans="1:14" x14ac:dyDescent="0.35">
      <c r="A187" t="s">
        <v>46</v>
      </c>
      <c r="B187">
        <v>2009</v>
      </c>
      <c r="C187">
        <f t="shared" si="93"/>
        <v>959.69</v>
      </c>
      <c r="D187" s="1">
        <f t="shared" si="94"/>
        <v>24.95</v>
      </c>
      <c r="E187" s="1">
        <f t="shared" si="95"/>
        <v>23944.265500000001</v>
      </c>
      <c r="H187" s="3">
        <v>7.4409999999999998</v>
      </c>
      <c r="I187" s="1">
        <v>223.84</v>
      </c>
      <c r="J187" s="3">
        <f t="shared" si="85"/>
        <v>967.13100000000009</v>
      </c>
      <c r="K187" s="1">
        <v>30.69</v>
      </c>
      <c r="L187" s="1">
        <f t="shared" si="86"/>
        <v>29681.250390000005</v>
      </c>
      <c r="M187" s="1">
        <f t="shared" si="91"/>
        <v>5736.9848900000034</v>
      </c>
      <c r="N187" s="4">
        <f t="shared" si="92"/>
        <v>0.23959744724681586</v>
      </c>
    </row>
    <row r="188" spans="1:14" x14ac:dyDescent="0.35">
      <c r="A188" t="s">
        <v>46</v>
      </c>
      <c r="B188">
        <v>2010</v>
      </c>
      <c r="C188">
        <f t="shared" si="93"/>
        <v>967.13100000000009</v>
      </c>
      <c r="D188" s="1">
        <f t="shared" si="94"/>
        <v>30.69</v>
      </c>
      <c r="E188" s="1">
        <f t="shared" si="95"/>
        <v>29681.250390000005</v>
      </c>
      <c r="H188" s="3">
        <v>19.193999999999999</v>
      </c>
      <c r="I188" s="1">
        <v>676.4</v>
      </c>
      <c r="J188" s="3">
        <f t="shared" si="85"/>
        <v>986.32500000000005</v>
      </c>
      <c r="K188" s="1">
        <v>35.44</v>
      </c>
      <c r="L188" s="1">
        <f t="shared" si="86"/>
        <v>34955.358</v>
      </c>
      <c r="M188" s="1">
        <f t="shared" si="91"/>
        <v>5274.1076099999955</v>
      </c>
      <c r="N188" s="4">
        <f t="shared" si="92"/>
        <v>0.17769155748832299</v>
      </c>
    </row>
    <row r="189" spans="1:14" x14ac:dyDescent="0.35">
      <c r="A189" t="s">
        <v>46</v>
      </c>
      <c r="B189">
        <v>2011</v>
      </c>
      <c r="C189">
        <f t="shared" si="93"/>
        <v>986.32500000000005</v>
      </c>
      <c r="D189" s="1">
        <f t="shared" si="94"/>
        <v>35.44</v>
      </c>
      <c r="E189" s="1">
        <f t="shared" si="95"/>
        <v>34955.358</v>
      </c>
      <c r="J189" s="3">
        <v>966.89400000000001</v>
      </c>
      <c r="K189" s="1">
        <v>31.5</v>
      </c>
      <c r="L189" s="1">
        <v>30407.21</v>
      </c>
      <c r="M189" s="1">
        <f t="shared" si="91"/>
        <v>-4548.148000000001</v>
      </c>
      <c r="N189" s="4">
        <f t="shared" si="92"/>
        <v>-0.13011304304192797</v>
      </c>
    </row>
    <row r="190" spans="1:14" x14ac:dyDescent="0.35">
      <c r="M190" s="1"/>
    </row>
    <row r="191" spans="1:14" x14ac:dyDescent="0.35">
      <c r="A191" t="s">
        <v>47</v>
      </c>
      <c r="B191">
        <v>2001</v>
      </c>
      <c r="C191">
        <v>100</v>
      </c>
      <c r="D191" s="1">
        <v>37.549999999999997</v>
      </c>
      <c r="E191" s="1">
        <v>3767</v>
      </c>
      <c r="J191" s="3">
        <v>100</v>
      </c>
      <c r="K191" s="1">
        <v>36</v>
      </c>
      <c r="L191" s="1">
        <v>3600</v>
      </c>
      <c r="M191" s="1">
        <f t="shared" si="91"/>
        <v>-167</v>
      </c>
      <c r="N191" s="4">
        <f t="shared" si="92"/>
        <v>-4.4332359968144414E-2</v>
      </c>
    </row>
    <row r="192" spans="1:14" x14ac:dyDescent="0.35">
      <c r="A192" t="s">
        <v>47</v>
      </c>
      <c r="B192">
        <v>2002</v>
      </c>
      <c r="C192">
        <v>100</v>
      </c>
      <c r="D192" s="1">
        <v>36</v>
      </c>
      <c r="E192" s="1">
        <v>3600</v>
      </c>
      <c r="J192" s="3">
        <v>100</v>
      </c>
      <c r="K192" s="1">
        <v>17.87</v>
      </c>
      <c r="L192" s="1">
        <v>1772.39</v>
      </c>
      <c r="M192" s="1">
        <f t="shared" si="91"/>
        <v>-1827.61</v>
      </c>
      <c r="N192" s="4">
        <f t="shared" si="92"/>
        <v>-0.5076694444444444</v>
      </c>
    </row>
    <row r="193" spans="1:14" x14ac:dyDescent="0.35">
      <c r="M193" s="1"/>
    </row>
    <row r="194" spans="1:14" x14ac:dyDescent="0.35">
      <c r="A194" t="s">
        <v>48</v>
      </c>
      <c r="B194">
        <v>2001</v>
      </c>
      <c r="C194">
        <v>100</v>
      </c>
      <c r="D194" s="1">
        <v>8.3800000000000008</v>
      </c>
      <c r="E194" s="1">
        <v>850</v>
      </c>
      <c r="J194" s="3">
        <v>100</v>
      </c>
      <c r="K194" s="1">
        <v>7</v>
      </c>
      <c r="L194" s="1">
        <f>J194*K194</f>
        <v>700</v>
      </c>
      <c r="M194" s="1">
        <f t="shared" si="91"/>
        <v>-150</v>
      </c>
      <c r="N194" s="4">
        <f t="shared" si="92"/>
        <v>-0.17647058823529413</v>
      </c>
    </row>
    <row r="195" spans="1:14" x14ac:dyDescent="0.35">
      <c r="A195" t="s">
        <v>48</v>
      </c>
      <c r="B195">
        <v>2002</v>
      </c>
      <c r="C195">
        <v>100</v>
      </c>
      <c r="D195" s="1">
        <v>7</v>
      </c>
      <c r="E195" s="1">
        <v>700</v>
      </c>
      <c r="F195" s="3">
        <v>200</v>
      </c>
      <c r="G195" s="1">
        <v>1310.95</v>
      </c>
      <c r="J195" s="3">
        <f>C195+F195+H195</f>
        <v>300</v>
      </c>
      <c r="K195" s="1">
        <v>3.37</v>
      </c>
      <c r="L195" s="1">
        <f t="shared" ref="L195:L197" si="96">J195*K195</f>
        <v>1011</v>
      </c>
      <c r="M195" s="1">
        <f t="shared" si="91"/>
        <v>-999.95</v>
      </c>
      <c r="N195" s="4">
        <f t="shared" si="92"/>
        <v>-0.49725254233073923</v>
      </c>
    </row>
    <row r="196" spans="1:14" x14ac:dyDescent="0.35">
      <c r="M196" s="1"/>
    </row>
    <row r="197" spans="1:14" x14ac:dyDescent="0.35">
      <c r="A197" t="s">
        <v>57</v>
      </c>
      <c r="B197">
        <v>2012</v>
      </c>
      <c r="C197">
        <v>20</v>
      </c>
      <c r="D197" s="1">
        <v>632.85</v>
      </c>
      <c r="E197" s="1">
        <v>12665.93</v>
      </c>
      <c r="J197" s="3">
        <v>20</v>
      </c>
      <c r="K197" s="1">
        <v>705.44</v>
      </c>
      <c r="L197" s="1">
        <f t="shared" si="96"/>
        <v>14108.800000000001</v>
      </c>
      <c r="M197" s="1">
        <f t="shared" si="91"/>
        <v>1442.8700000000008</v>
      </c>
      <c r="N197" s="4">
        <f t="shared" si="92"/>
        <v>0.11391741467069538</v>
      </c>
    </row>
    <row r="198" spans="1:14" x14ac:dyDescent="0.35">
      <c r="A198" t="s">
        <v>57</v>
      </c>
      <c r="B198">
        <v>2013</v>
      </c>
      <c r="C198">
        <v>20</v>
      </c>
      <c r="D198" s="1">
        <f>K197</f>
        <v>705.44</v>
      </c>
      <c r="E198" s="1">
        <f>L197</f>
        <v>14108.800000000001</v>
      </c>
      <c r="J198" s="3">
        <v>20</v>
      </c>
      <c r="K198" s="1">
        <v>870.12</v>
      </c>
      <c r="L198" s="1">
        <v>17393.349999999999</v>
      </c>
      <c r="M198" s="1">
        <f t="shared" si="91"/>
        <v>3284.5499999999975</v>
      </c>
      <c r="N198" s="4">
        <f t="shared" si="92"/>
        <v>0.23280151394874102</v>
      </c>
    </row>
    <row r="199" spans="1:14" x14ac:dyDescent="0.35">
      <c r="M199" s="1"/>
    </row>
    <row r="200" spans="1:14" x14ac:dyDescent="0.35">
      <c r="A200" t="s">
        <v>88</v>
      </c>
      <c r="B200">
        <v>2002</v>
      </c>
      <c r="C200">
        <v>200</v>
      </c>
      <c r="D200" s="1">
        <v>4.2</v>
      </c>
      <c r="E200" s="1">
        <v>854.95</v>
      </c>
      <c r="F200" s="11">
        <v>700</v>
      </c>
      <c r="G200" s="1">
        <v>2128.9499999999998</v>
      </c>
      <c r="J200" s="11">
        <v>900</v>
      </c>
      <c r="K200" s="1">
        <v>6.21</v>
      </c>
      <c r="L200" s="1">
        <v>5570.88</v>
      </c>
      <c r="M200" s="1">
        <f t="shared" si="91"/>
        <v>2586.9800000000005</v>
      </c>
      <c r="N200" s="4">
        <f t="shared" si="92"/>
        <v>0.86697945641609997</v>
      </c>
    </row>
    <row r="201" spans="1:14" x14ac:dyDescent="0.35">
      <c r="M201" s="1"/>
    </row>
    <row r="202" spans="1:14" x14ac:dyDescent="0.35">
      <c r="A202" t="s">
        <v>89</v>
      </c>
      <c r="B202">
        <v>2002</v>
      </c>
      <c r="F202" s="12">
        <v>128.42500000000001</v>
      </c>
      <c r="G202" s="1">
        <v>3000</v>
      </c>
      <c r="J202" s="3">
        <v>128.42500000000001</v>
      </c>
      <c r="K202" s="1">
        <v>19.68</v>
      </c>
      <c r="L202" s="1">
        <f>J202*K202</f>
        <v>2527.404</v>
      </c>
      <c r="M202" s="1">
        <f t="shared" si="91"/>
        <v>-472.596</v>
      </c>
      <c r="N202" s="4">
        <f t="shared" si="92"/>
        <v>-0.15753200000000001</v>
      </c>
    </row>
    <row r="203" spans="1:14" x14ac:dyDescent="0.35">
      <c r="A203" t="s">
        <v>89</v>
      </c>
      <c r="B203">
        <v>2003</v>
      </c>
      <c r="C203">
        <f t="shared" ref="C203:E205" si="97">J202</f>
        <v>128.42500000000001</v>
      </c>
      <c r="D203" s="1">
        <f t="shared" si="97"/>
        <v>19.68</v>
      </c>
      <c r="E203" s="1">
        <f t="shared" si="97"/>
        <v>2527.404</v>
      </c>
      <c r="F203" s="12">
        <v>109.68899999999999</v>
      </c>
      <c r="G203" s="1">
        <v>3000</v>
      </c>
      <c r="H203" s="3">
        <v>1.5760000000000001</v>
      </c>
      <c r="I203" s="1">
        <v>41.7</v>
      </c>
      <c r="J203" s="2">
        <v>89.959000000000003</v>
      </c>
      <c r="K203" s="1">
        <v>28.17</v>
      </c>
      <c r="L203" s="1">
        <f>J203*K203</f>
        <v>2534.1450300000001</v>
      </c>
      <c r="M203" s="1">
        <f>L203-G203-E203+4164</f>
        <v>1170.7410300000001</v>
      </c>
      <c r="N203" s="4">
        <f t="shared" si="92"/>
        <v>0.21180666909818788</v>
      </c>
    </row>
    <row r="204" spans="1:14" x14ac:dyDescent="0.35">
      <c r="A204" t="s">
        <v>89</v>
      </c>
      <c r="B204">
        <v>2004</v>
      </c>
      <c r="C204" s="2">
        <f t="shared" si="97"/>
        <v>89.959000000000003</v>
      </c>
      <c r="D204" s="1">
        <f t="shared" si="97"/>
        <v>28.17</v>
      </c>
      <c r="E204" s="1">
        <f t="shared" si="97"/>
        <v>2534.1450300000001</v>
      </c>
      <c r="H204" s="3">
        <v>3.6840000000000002</v>
      </c>
      <c r="I204" s="1">
        <v>26.02</v>
      </c>
      <c r="J204" s="3">
        <v>93.643000000000001</v>
      </c>
      <c r="K204" s="1">
        <v>26.84</v>
      </c>
      <c r="L204" s="1">
        <f>J204*K204</f>
        <v>2513.3781199999999</v>
      </c>
      <c r="M204" s="1">
        <f t="shared" si="91"/>
        <v>-20.76691000000028</v>
      </c>
      <c r="N204" s="4">
        <f t="shared" si="92"/>
        <v>-8.1948387934214946E-3</v>
      </c>
    </row>
    <row r="205" spans="1:14" x14ac:dyDescent="0.35">
      <c r="A205" t="s">
        <v>89</v>
      </c>
      <c r="B205">
        <v>2005</v>
      </c>
      <c r="C205">
        <f t="shared" si="97"/>
        <v>93.643000000000001</v>
      </c>
      <c r="D205" s="1">
        <f t="shared" si="97"/>
        <v>26.84</v>
      </c>
      <c r="E205" s="1">
        <f t="shared" si="97"/>
        <v>2513.3781199999999</v>
      </c>
      <c r="J205" s="3">
        <v>93.643000000000001</v>
      </c>
      <c r="K205" s="1">
        <v>27.15</v>
      </c>
      <c r="L205" s="1">
        <v>2542.4</v>
      </c>
      <c r="M205" s="1">
        <f t="shared" si="91"/>
        <v>29.021880000000237</v>
      </c>
      <c r="N205" s="4">
        <f t="shared" si="92"/>
        <v>1.1546961346190219E-2</v>
      </c>
    </row>
    <row r="207" spans="1:14" x14ac:dyDescent="0.35">
      <c r="A207" t="s">
        <v>148</v>
      </c>
      <c r="B207">
        <v>2002</v>
      </c>
      <c r="F207" s="12">
        <v>300</v>
      </c>
      <c r="G207" s="1">
        <v>3620.95</v>
      </c>
    </row>
    <row r="208" spans="1:14" x14ac:dyDescent="0.35">
      <c r="A208" t="s">
        <v>148</v>
      </c>
      <c r="B208">
        <v>2003</v>
      </c>
      <c r="J208" s="3">
        <v>300</v>
      </c>
      <c r="K208" s="1">
        <v>12.99</v>
      </c>
      <c r="L208" s="1">
        <v>3878.86</v>
      </c>
      <c r="M208" s="1">
        <f>L208-G207</f>
        <v>257.91000000000031</v>
      </c>
      <c r="N208" s="4">
        <f>M208/G207</f>
        <v>7.1227164142007027E-2</v>
      </c>
    </row>
    <row r="210" spans="1:14" x14ac:dyDescent="0.35">
      <c r="A210" t="s">
        <v>44</v>
      </c>
      <c r="B210">
        <v>2001</v>
      </c>
      <c r="F210" s="3">
        <v>100</v>
      </c>
      <c r="G210" s="1">
        <v>3619</v>
      </c>
      <c r="H210" s="3">
        <v>18.620899999999999</v>
      </c>
      <c r="I210" s="1">
        <v>660.67</v>
      </c>
      <c r="J210" s="3">
        <v>118.62090000000001</v>
      </c>
      <c r="K210" s="1">
        <v>40.08</v>
      </c>
      <c r="L210" s="1">
        <f>K210*J210</f>
        <v>4754.3256719999999</v>
      </c>
      <c r="M210" s="1">
        <f>L210-G210</f>
        <v>1135.3256719999999</v>
      </c>
      <c r="N210" s="4">
        <f>M210/(G210+E210)</f>
        <v>0.31371253716496267</v>
      </c>
    </row>
    <row r="211" spans="1:14" x14ac:dyDescent="0.35">
      <c r="A211" t="s">
        <v>44</v>
      </c>
      <c r="B211">
        <v>2002</v>
      </c>
      <c r="C211">
        <f t="shared" ref="C211:E212" si="98">J210</f>
        <v>118.62090000000001</v>
      </c>
      <c r="D211" s="1">
        <f t="shared" si="98"/>
        <v>40.08</v>
      </c>
      <c r="E211" s="1">
        <f t="shared" si="98"/>
        <v>4754.3256719999999</v>
      </c>
      <c r="F211" s="3">
        <v>400</v>
      </c>
      <c r="G211" s="1">
        <v>14072</v>
      </c>
      <c r="J211" s="3">
        <v>518.62090000000001</v>
      </c>
      <c r="K211" s="1">
        <v>24.35</v>
      </c>
      <c r="L211" s="1">
        <f>K211*J211</f>
        <v>12628.418915</v>
      </c>
      <c r="M211" s="1">
        <f>L211-G211-E211</f>
        <v>-6197.9067569999997</v>
      </c>
      <c r="N211" s="4">
        <f t="shared" ref="N211:N215" si="99">M211/(G211+E211)</f>
        <v>-0.32921489115733388</v>
      </c>
    </row>
    <row r="212" spans="1:14" x14ac:dyDescent="0.35">
      <c r="A212" t="s">
        <v>44</v>
      </c>
      <c r="B212">
        <v>2003</v>
      </c>
      <c r="C212">
        <f t="shared" si="98"/>
        <v>518.62090000000001</v>
      </c>
      <c r="D212" s="1">
        <f t="shared" si="98"/>
        <v>24.35</v>
      </c>
      <c r="E212" s="1">
        <f t="shared" si="98"/>
        <v>12628.418915</v>
      </c>
      <c r="J212" s="3">
        <v>525.56150000000002</v>
      </c>
      <c r="K212" s="1">
        <v>28.55</v>
      </c>
      <c r="L212" s="1">
        <v>14974.11</v>
      </c>
      <c r="M212" s="1">
        <f>L212-G212-E212</f>
        <v>2345.6910850000004</v>
      </c>
      <c r="N212" s="4">
        <f t="shared" si="99"/>
        <v>0.18574701241608282</v>
      </c>
    </row>
    <row r="213" spans="1:14" x14ac:dyDescent="0.35">
      <c r="M213" s="1"/>
    </row>
    <row r="214" spans="1:14" x14ac:dyDescent="0.35">
      <c r="A214" t="s">
        <v>149</v>
      </c>
      <c r="B214">
        <v>2002</v>
      </c>
      <c r="F214" s="3">
        <v>1000</v>
      </c>
      <c r="G214" s="1">
        <v>26280</v>
      </c>
      <c r="H214" s="3">
        <v>3.4571999999999998</v>
      </c>
      <c r="I214" s="1">
        <v>182.37</v>
      </c>
      <c r="J214" s="3">
        <v>1003.457</v>
      </c>
      <c r="K214" s="1">
        <v>25.85</v>
      </c>
      <c r="L214" s="1">
        <f t="shared" ref="L214:L215" si="100">K214*J214</f>
        <v>25939.363450000001</v>
      </c>
      <c r="M214" s="1">
        <f t="shared" ref="M214:M215" si="101">L214-G214-E214</f>
        <v>-340.63654999999926</v>
      </c>
      <c r="N214" s="4">
        <f t="shared" si="99"/>
        <v>-1.2961816971080642E-2</v>
      </c>
    </row>
    <row r="215" spans="1:14" x14ac:dyDescent="0.35">
      <c r="A215" t="s">
        <v>149</v>
      </c>
      <c r="B215">
        <v>2003</v>
      </c>
      <c r="C215" s="3">
        <f>J214</f>
        <v>1003.457</v>
      </c>
      <c r="D215" s="1">
        <f>K214</f>
        <v>25.85</v>
      </c>
      <c r="E215" s="1">
        <f>L214</f>
        <v>25939.363450000001</v>
      </c>
      <c r="J215" s="3">
        <v>1003.457</v>
      </c>
      <c r="K215" s="1">
        <v>26.13</v>
      </c>
      <c r="L215" s="1">
        <f t="shared" si="100"/>
        <v>26220.331409999999</v>
      </c>
      <c r="M215" s="1">
        <f t="shared" si="101"/>
        <v>280.96795999999813</v>
      </c>
      <c r="N215" s="4">
        <f t="shared" si="99"/>
        <v>1.0831721470019271E-2</v>
      </c>
    </row>
    <row r="217" spans="1:14" x14ac:dyDescent="0.35">
      <c r="A217" t="s">
        <v>150</v>
      </c>
      <c r="B217">
        <v>2002</v>
      </c>
      <c r="F217" s="3">
        <v>213.858</v>
      </c>
      <c r="G217" s="1">
        <v>2500</v>
      </c>
      <c r="H217" s="3">
        <v>3.5030000000000001</v>
      </c>
      <c r="I217" s="1">
        <v>40.630000000000003</v>
      </c>
      <c r="J217" s="3">
        <f>C217+F217+H217</f>
        <v>217.36099999999999</v>
      </c>
      <c r="K217" s="1">
        <v>11.6</v>
      </c>
      <c r="L217" s="1">
        <f>J217*K217</f>
        <v>2521.3876</v>
      </c>
      <c r="M217" s="1">
        <f>L217-G217</f>
        <v>21.38760000000002</v>
      </c>
      <c r="N217" s="4">
        <f>M217/(E217+G217)</f>
        <v>8.5550400000000085E-3</v>
      </c>
    </row>
    <row r="218" spans="1:14" x14ac:dyDescent="0.35">
      <c r="A218" t="s">
        <v>150</v>
      </c>
      <c r="B218">
        <v>2003</v>
      </c>
      <c r="C218">
        <f>J217</f>
        <v>217.36099999999999</v>
      </c>
      <c r="D218" s="1">
        <f>K217</f>
        <v>11.6</v>
      </c>
      <c r="E218" s="1">
        <f>L217</f>
        <v>2521.3876</v>
      </c>
      <c r="H218" s="3">
        <v>8.2449999999999992</v>
      </c>
      <c r="I218" s="1">
        <v>101.57</v>
      </c>
      <c r="J218" s="3">
        <f>C218+F218+H218</f>
        <v>225.60599999999999</v>
      </c>
      <c r="K218" s="1">
        <v>12.08</v>
      </c>
      <c r="L218" s="1">
        <v>2725.34</v>
      </c>
      <c r="M218" s="1">
        <f>L218-G218-E218</f>
        <v>203.95240000000013</v>
      </c>
      <c r="N218" s="4">
        <f>M218/(E218+G218)</f>
        <v>8.0888951781947424E-2</v>
      </c>
    </row>
    <row r="220" spans="1:14" x14ac:dyDescent="0.35">
      <c r="A220" t="s">
        <v>151</v>
      </c>
      <c r="B220">
        <v>2002</v>
      </c>
      <c r="F220" s="3">
        <v>874.63599999999997</v>
      </c>
      <c r="G220" s="1">
        <v>3000</v>
      </c>
      <c r="J220" s="3">
        <f>F220</f>
        <v>874.63599999999997</v>
      </c>
      <c r="K220" s="1">
        <v>3.43</v>
      </c>
      <c r="L220" s="1">
        <f>K220*J220</f>
        <v>3000.0014799999999</v>
      </c>
      <c r="M220" s="1">
        <f>L220-G220-E220</f>
        <v>1.479999999901338E-3</v>
      </c>
      <c r="N220" s="4">
        <f>M220/(G220+E220)</f>
        <v>4.9333333330044598E-7</v>
      </c>
    </row>
    <row r="221" spans="1:14" x14ac:dyDescent="0.35">
      <c r="A221" t="s">
        <v>151</v>
      </c>
      <c r="B221">
        <v>2003</v>
      </c>
      <c r="C221">
        <f>J220</f>
        <v>874.63599999999997</v>
      </c>
      <c r="D221" s="1">
        <f>K220</f>
        <v>3.43</v>
      </c>
      <c r="E221" s="1">
        <f>L220</f>
        <v>3000.0014799999999</v>
      </c>
      <c r="F221" s="3">
        <v>-200</v>
      </c>
      <c r="G221" s="1">
        <v>-1022</v>
      </c>
      <c r="H221" s="3">
        <v>0.20499999999999999</v>
      </c>
      <c r="I221" s="1">
        <v>1.07</v>
      </c>
      <c r="J221" s="3">
        <f>C221+F221+H221</f>
        <v>674.84100000000001</v>
      </c>
      <c r="K221" s="1">
        <v>5.21</v>
      </c>
      <c r="L221" s="1">
        <f>J221*K221</f>
        <v>3515.9216099999999</v>
      </c>
      <c r="M221" s="1">
        <f>L221-G221-E221</f>
        <v>1537.9201299999995</v>
      </c>
      <c r="N221" s="4">
        <f t="shared" ref="N221:N284" si="102">M221/(G221+E221)</f>
        <v>0.77751212299396233</v>
      </c>
    </row>
    <row r="222" spans="1:14" x14ac:dyDescent="0.35">
      <c r="A222" t="s">
        <v>151</v>
      </c>
      <c r="B222">
        <v>2004</v>
      </c>
      <c r="C222">
        <f t="shared" ref="C222:C223" si="103">J221</f>
        <v>674.84100000000001</v>
      </c>
      <c r="D222" s="1">
        <f t="shared" ref="D222:D223" si="104">K221</f>
        <v>5.21</v>
      </c>
      <c r="E222" s="1">
        <f t="shared" ref="E222:E223" si="105">L221</f>
        <v>3515.9216099999999</v>
      </c>
      <c r="H222" s="3">
        <v>111.51300000000001</v>
      </c>
      <c r="I222" s="1">
        <v>529.69000000000005</v>
      </c>
      <c r="J222" s="3">
        <f>C222+F222+H222</f>
        <v>786.35400000000004</v>
      </c>
      <c r="K222" s="1">
        <v>4.75</v>
      </c>
      <c r="L222" s="1">
        <f>K222*J222</f>
        <v>3735.1815000000001</v>
      </c>
      <c r="M222" s="1">
        <f t="shared" ref="M222:M284" si="106">L222-G222-E222</f>
        <v>219.25989000000027</v>
      </c>
      <c r="N222" s="4">
        <f t="shared" si="102"/>
        <v>6.2361996176587192E-2</v>
      </c>
    </row>
    <row r="223" spans="1:14" x14ac:dyDescent="0.35">
      <c r="A223" t="s">
        <v>151</v>
      </c>
      <c r="B223">
        <v>2005</v>
      </c>
      <c r="C223">
        <f t="shared" si="103"/>
        <v>786.35400000000004</v>
      </c>
      <c r="D223" s="1">
        <f t="shared" si="104"/>
        <v>4.75</v>
      </c>
      <c r="E223" s="1">
        <f t="shared" si="105"/>
        <v>3735.1815000000001</v>
      </c>
      <c r="J223" s="3">
        <v>786.35400000000004</v>
      </c>
      <c r="K223" s="1">
        <v>5.51</v>
      </c>
      <c r="L223" s="1">
        <v>4332.8100000000004</v>
      </c>
      <c r="M223" s="1">
        <f t="shared" si="106"/>
        <v>597.62850000000026</v>
      </c>
      <c r="N223" s="4">
        <f t="shared" si="102"/>
        <v>0.15999985542871217</v>
      </c>
    </row>
    <row r="224" spans="1:14" x14ac:dyDescent="0.35">
      <c r="M224" s="1"/>
    </row>
    <row r="225" spans="1:14" x14ac:dyDescent="0.35">
      <c r="A225" t="s">
        <v>152</v>
      </c>
      <c r="B225">
        <v>2003</v>
      </c>
      <c r="C225">
        <v>500</v>
      </c>
      <c r="D225" s="1">
        <v>3.78</v>
      </c>
      <c r="E225" s="1">
        <v>1907.95</v>
      </c>
      <c r="J225" s="3">
        <v>500</v>
      </c>
      <c r="K225" s="1">
        <v>3.06</v>
      </c>
      <c r="L225" s="1">
        <v>1511.97</v>
      </c>
      <c r="M225" s="1">
        <f t="shared" si="106"/>
        <v>-395.98</v>
      </c>
      <c r="N225" s="4">
        <f t="shared" si="102"/>
        <v>-0.20754212636599492</v>
      </c>
    </row>
    <row r="226" spans="1:14" x14ac:dyDescent="0.35">
      <c r="M226" s="1"/>
    </row>
    <row r="227" spans="1:14" x14ac:dyDescent="0.35">
      <c r="A227" t="s">
        <v>153</v>
      </c>
      <c r="B227">
        <v>2003</v>
      </c>
      <c r="F227">
        <v>4196.116</v>
      </c>
      <c r="G227" s="1">
        <v>90000</v>
      </c>
      <c r="J227">
        <v>4196.116</v>
      </c>
      <c r="K227" s="1">
        <v>23.82</v>
      </c>
      <c r="L227" s="1">
        <f>K227*J227</f>
        <v>99951.483120000004</v>
      </c>
      <c r="M227" s="1">
        <f t="shared" si="106"/>
        <v>9951.4831200000044</v>
      </c>
      <c r="N227" s="4">
        <f t="shared" si="102"/>
        <v>0.11057203466666672</v>
      </c>
    </row>
    <row r="228" spans="1:14" x14ac:dyDescent="0.35">
      <c r="A228" t="s">
        <v>153</v>
      </c>
      <c r="B228">
        <v>2004</v>
      </c>
      <c r="C228">
        <f>J227</f>
        <v>4196.116</v>
      </c>
      <c r="D228" s="1">
        <f>K227</f>
        <v>23.82</v>
      </c>
      <c r="E228" s="1">
        <f>L227</f>
        <v>99951.483120000004</v>
      </c>
      <c r="J228" s="3">
        <f>C228+F228+H228</f>
        <v>4196.116</v>
      </c>
      <c r="K228" s="1">
        <v>28.41</v>
      </c>
      <c r="L228" s="1">
        <f t="shared" ref="L228:L235" si="107">K228*J228</f>
        <v>119211.65556</v>
      </c>
      <c r="M228" s="1">
        <f t="shared" si="106"/>
        <v>19260.172439999995</v>
      </c>
      <c r="N228" s="4">
        <f t="shared" si="102"/>
        <v>0.19269521410579338</v>
      </c>
    </row>
    <row r="229" spans="1:14" x14ac:dyDescent="0.35">
      <c r="A229" t="s">
        <v>153</v>
      </c>
      <c r="B229">
        <v>2005</v>
      </c>
      <c r="C229">
        <f t="shared" ref="C229:C235" si="108">J228</f>
        <v>4196.116</v>
      </c>
      <c r="D229" s="1">
        <f t="shared" ref="D229:D235" si="109">K228</f>
        <v>28.41</v>
      </c>
      <c r="E229" s="1">
        <f t="shared" ref="E229:E235" si="110">L228</f>
        <v>119211.65556</v>
      </c>
      <c r="H229" s="3">
        <v>172.25800000000001</v>
      </c>
      <c r="I229" s="1">
        <v>4778.45</v>
      </c>
      <c r="J229" s="3">
        <f t="shared" ref="J229:J234" si="111">C229+F229+H229</f>
        <v>4368.3739999999998</v>
      </c>
      <c r="K229" s="1">
        <v>29.69</v>
      </c>
      <c r="L229" s="1">
        <f t="shared" si="107"/>
        <v>129697.02406</v>
      </c>
      <c r="M229" s="1">
        <f t="shared" si="106"/>
        <v>10485.368499999997</v>
      </c>
      <c r="N229" s="4">
        <f t="shared" si="102"/>
        <v>8.7955900375216611E-2</v>
      </c>
    </row>
    <row r="230" spans="1:14" x14ac:dyDescent="0.35">
      <c r="A230" t="s">
        <v>153</v>
      </c>
      <c r="B230">
        <v>2006</v>
      </c>
      <c r="C230">
        <f t="shared" si="108"/>
        <v>4368.3739999999998</v>
      </c>
      <c r="D230" s="1">
        <f t="shared" si="109"/>
        <v>29.69</v>
      </c>
      <c r="E230" s="1">
        <f t="shared" si="110"/>
        <v>129697.02406</v>
      </c>
      <c r="H230" s="3">
        <v>151.709</v>
      </c>
      <c r="I230" s="1">
        <v>4813.72</v>
      </c>
      <c r="J230" s="3">
        <f t="shared" si="111"/>
        <v>4520.0829999999996</v>
      </c>
      <c r="K230" s="1">
        <v>31.7</v>
      </c>
      <c r="L230" s="1">
        <f t="shared" si="107"/>
        <v>143286.6311</v>
      </c>
      <c r="M230" s="1">
        <f t="shared" si="106"/>
        <v>13589.607040000003</v>
      </c>
      <c r="N230" s="4">
        <f t="shared" si="102"/>
        <v>0.10477963652977285</v>
      </c>
    </row>
    <row r="231" spans="1:14" x14ac:dyDescent="0.35">
      <c r="A231" t="s">
        <v>153</v>
      </c>
      <c r="B231">
        <v>2007</v>
      </c>
      <c r="C231">
        <f t="shared" si="108"/>
        <v>4520.0829999999996</v>
      </c>
      <c r="D231" s="1">
        <f t="shared" si="109"/>
        <v>31.7</v>
      </c>
      <c r="E231" s="1">
        <f t="shared" si="110"/>
        <v>143286.6311</v>
      </c>
      <c r="H231" s="3">
        <v>492.536</v>
      </c>
      <c r="I231" s="1">
        <v>17529.36</v>
      </c>
      <c r="J231" s="3">
        <f t="shared" si="111"/>
        <v>5012.6189999999997</v>
      </c>
      <c r="K231" s="1">
        <v>35.29</v>
      </c>
      <c r="L231" s="1">
        <f t="shared" si="107"/>
        <v>176895.32450999998</v>
      </c>
      <c r="M231" s="1">
        <f t="shared" si="106"/>
        <v>33608.693409999978</v>
      </c>
      <c r="N231" s="4">
        <f t="shared" si="102"/>
        <v>0.23455568151745021</v>
      </c>
    </row>
    <row r="232" spans="1:14" x14ac:dyDescent="0.35">
      <c r="A232" t="s">
        <v>153</v>
      </c>
      <c r="B232">
        <v>2008</v>
      </c>
      <c r="C232">
        <f t="shared" si="108"/>
        <v>5012.6189999999997</v>
      </c>
      <c r="D232" s="1">
        <f t="shared" si="109"/>
        <v>35.29</v>
      </c>
      <c r="E232" s="1">
        <f t="shared" si="110"/>
        <v>176895.32450999998</v>
      </c>
      <c r="J232" s="3">
        <f t="shared" si="111"/>
        <v>5012.6189999999997</v>
      </c>
      <c r="K232" s="1">
        <v>19.82</v>
      </c>
      <c r="L232" s="1">
        <f t="shared" si="107"/>
        <v>99350.10858</v>
      </c>
      <c r="M232" s="1">
        <f t="shared" si="106"/>
        <v>-77545.215929999977</v>
      </c>
      <c r="N232" s="4">
        <f t="shared" si="102"/>
        <v>-0.43836780957778398</v>
      </c>
    </row>
    <row r="233" spans="1:14" x14ac:dyDescent="0.35">
      <c r="A233" t="s">
        <v>153</v>
      </c>
      <c r="B233">
        <v>2009</v>
      </c>
      <c r="C233">
        <f t="shared" si="108"/>
        <v>5012.6189999999997</v>
      </c>
      <c r="D233" s="1">
        <f t="shared" si="109"/>
        <v>19.82</v>
      </c>
      <c r="E233" s="1">
        <f t="shared" si="110"/>
        <v>99350.10858</v>
      </c>
      <c r="H233" s="3">
        <v>11.446999999999999</v>
      </c>
      <c r="I233" s="1">
        <v>234.47</v>
      </c>
      <c r="J233" s="3">
        <f t="shared" si="111"/>
        <v>5024.0659999999998</v>
      </c>
      <c r="K233" s="1">
        <v>21.59</v>
      </c>
      <c r="L233" s="1">
        <f t="shared" si="107"/>
        <v>108469.58494</v>
      </c>
      <c r="M233" s="1">
        <f t="shared" si="106"/>
        <v>9119.4763600000006</v>
      </c>
      <c r="N233" s="4">
        <f t="shared" si="102"/>
        <v>9.1791307431301858E-2</v>
      </c>
    </row>
    <row r="234" spans="1:14" x14ac:dyDescent="0.35">
      <c r="A234" t="s">
        <v>153</v>
      </c>
      <c r="B234">
        <v>2010</v>
      </c>
      <c r="C234">
        <f t="shared" si="108"/>
        <v>5024.0659999999998</v>
      </c>
      <c r="D234" s="1">
        <f t="shared" si="109"/>
        <v>21.59</v>
      </c>
      <c r="E234" s="1">
        <f t="shared" si="110"/>
        <v>108469.58494</v>
      </c>
      <c r="J234" s="3">
        <f t="shared" si="111"/>
        <v>5024.0659999999998</v>
      </c>
      <c r="K234" s="1">
        <v>25.64</v>
      </c>
      <c r="L234" s="1">
        <f t="shared" si="107"/>
        <v>128817.05224</v>
      </c>
      <c r="M234" s="1">
        <f t="shared" si="106"/>
        <v>20347.467300000004</v>
      </c>
      <c r="N234" s="4">
        <f t="shared" si="102"/>
        <v>0.18758684576192686</v>
      </c>
    </row>
    <row r="235" spans="1:14" x14ac:dyDescent="0.35">
      <c r="A235" t="s">
        <v>153</v>
      </c>
      <c r="B235">
        <v>2011</v>
      </c>
      <c r="C235">
        <f t="shared" si="108"/>
        <v>5024.0659999999998</v>
      </c>
      <c r="D235" s="1">
        <f t="shared" si="109"/>
        <v>25.64</v>
      </c>
      <c r="E235" s="1">
        <f t="shared" si="110"/>
        <v>128817.05224</v>
      </c>
      <c r="J235" s="3">
        <v>5028.7240000000002</v>
      </c>
      <c r="K235" s="1">
        <v>27.16</v>
      </c>
      <c r="L235" s="1">
        <f t="shared" si="107"/>
        <v>136580.14384</v>
      </c>
      <c r="M235" s="1">
        <f t="shared" si="106"/>
        <v>7763.0915999999997</v>
      </c>
      <c r="N235" s="4">
        <f t="shared" si="102"/>
        <v>6.0264471706249934E-2</v>
      </c>
    </row>
    <row r="236" spans="1:14" x14ac:dyDescent="0.35">
      <c r="M236" s="1"/>
    </row>
    <row r="237" spans="1:14" x14ac:dyDescent="0.35">
      <c r="A237" t="s">
        <v>154</v>
      </c>
      <c r="B237">
        <v>2003</v>
      </c>
      <c r="F237" s="3">
        <v>500</v>
      </c>
      <c r="G237" s="1">
        <v>4517.95</v>
      </c>
      <c r="J237" s="3">
        <f>C237+F237+H237</f>
        <v>500</v>
      </c>
      <c r="K237" s="1">
        <v>9</v>
      </c>
      <c r="L237" s="1">
        <f>K237*J237</f>
        <v>4500</v>
      </c>
      <c r="M237" s="1">
        <f t="shared" si="106"/>
        <v>-17.949999999999818</v>
      </c>
      <c r="N237" s="4">
        <f t="shared" si="102"/>
        <v>-3.9730408703061828E-3</v>
      </c>
    </row>
    <row r="238" spans="1:14" x14ac:dyDescent="0.35">
      <c r="A238" t="s">
        <v>154</v>
      </c>
      <c r="B238">
        <v>2004</v>
      </c>
      <c r="C238">
        <f t="shared" ref="C238:E239" si="112">J237</f>
        <v>500</v>
      </c>
      <c r="D238" s="1">
        <f t="shared" si="112"/>
        <v>9</v>
      </c>
      <c r="E238" s="1">
        <f t="shared" si="112"/>
        <v>4500</v>
      </c>
      <c r="F238" s="3">
        <v>500</v>
      </c>
      <c r="G238" s="1">
        <v>8350</v>
      </c>
      <c r="J238" s="3">
        <f>C238+F238+H238</f>
        <v>1000</v>
      </c>
      <c r="K238" s="1">
        <v>10.61</v>
      </c>
      <c r="L238" s="1">
        <f>K238*J238</f>
        <v>10610</v>
      </c>
      <c r="M238" s="1">
        <f t="shared" si="106"/>
        <v>-2240</v>
      </c>
      <c r="N238" s="4">
        <f t="shared" si="102"/>
        <v>-0.17431906614785991</v>
      </c>
    </row>
    <row r="239" spans="1:14" x14ac:dyDescent="0.35">
      <c r="A239" t="s">
        <v>154</v>
      </c>
      <c r="B239">
        <v>2005</v>
      </c>
      <c r="C239">
        <f t="shared" si="112"/>
        <v>1000</v>
      </c>
      <c r="D239" s="1">
        <f t="shared" si="112"/>
        <v>10.61</v>
      </c>
      <c r="E239" s="1">
        <f t="shared" si="112"/>
        <v>10610</v>
      </c>
      <c r="J239" s="3">
        <v>1000</v>
      </c>
      <c r="K239" s="1">
        <v>1.31</v>
      </c>
      <c r="L239" s="1">
        <v>1298</v>
      </c>
      <c r="M239" s="1">
        <f t="shared" si="106"/>
        <v>-9312</v>
      </c>
      <c r="N239" s="4">
        <f t="shared" si="102"/>
        <v>-0.87766258246936857</v>
      </c>
    </row>
    <row r="240" spans="1:14" x14ac:dyDescent="0.35">
      <c r="M240" s="1"/>
    </row>
    <row r="241" spans="1:14" x14ac:dyDescent="0.35">
      <c r="A241" t="s">
        <v>155</v>
      </c>
      <c r="B241">
        <v>2004</v>
      </c>
      <c r="F241" s="1">
        <v>817.95500000000004</v>
      </c>
      <c r="G241" s="1">
        <v>13000</v>
      </c>
      <c r="J241" s="3">
        <f>C241+F241+H241</f>
        <v>817.95500000000004</v>
      </c>
      <c r="L241" s="1">
        <v>13000</v>
      </c>
      <c r="M241" s="1">
        <f t="shared" si="106"/>
        <v>0</v>
      </c>
      <c r="N241" s="4">
        <f t="shared" si="102"/>
        <v>0</v>
      </c>
    </row>
    <row r="242" spans="1:14" x14ac:dyDescent="0.35">
      <c r="A242" t="s">
        <v>155</v>
      </c>
      <c r="B242">
        <v>2005</v>
      </c>
      <c r="C242">
        <f>J241</f>
        <v>817.95500000000004</v>
      </c>
      <c r="D242" s="1">
        <f>K241</f>
        <v>0</v>
      </c>
      <c r="E242" s="1">
        <f>L241</f>
        <v>13000</v>
      </c>
      <c r="J242" s="3">
        <f>C242+F242+H242</f>
        <v>817.95500000000004</v>
      </c>
      <c r="L242" s="1">
        <v>13610.48</v>
      </c>
      <c r="M242" s="1">
        <f t="shared" si="106"/>
        <v>610.47999999999956</v>
      </c>
      <c r="N242" s="4">
        <f t="shared" si="102"/>
        <v>4.6959999999999967E-2</v>
      </c>
    </row>
    <row r="243" spans="1:14" x14ac:dyDescent="0.35">
      <c r="M243" s="1"/>
    </row>
    <row r="244" spans="1:14" x14ac:dyDescent="0.35">
      <c r="A244" t="s">
        <v>156</v>
      </c>
      <c r="B244">
        <v>2005</v>
      </c>
      <c r="F244" s="3">
        <v>928.505</v>
      </c>
      <c r="G244" s="1">
        <v>10000</v>
      </c>
      <c r="H244" s="3">
        <v>24.376999999999999</v>
      </c>
      <c r="I244" s="1">
        <v>278.38</v>
      </c>
      <c r="J244" s="3">
        <f t="shared" ref="J244:J251" si="113">C244+F244+H244</f>
        <v>952.88199999999995</v>
      </c>
      <c r="K244" s="1">
        <v>11.42</v>
      </c>
      <c r="L244" s="1">
        <f>K244*J244</f>
        <v>10881.91244</v>
      </c>
      <c r="M244" s="1">
        <f t="shared" si="106"/>
        <v>881.91244000000006</v>
      </c>
      <c r="N244" s="4">
        <f t="shared" si="102"/>
        <v>8.8191244000000002E-2</v>
      </c>
    </row>
    <row r="245" spans="1:14" x14ac:dyDescent="0.35">
      <c r="A245" t="s">
        <v>156</v>
      </c>
      <c r="B245">
        <v>2006</v>
      </c>
      <c r="C245">
        <f>J244</f>
        <v>952.88199999999995</v>
      </c>
      <c r="D245" s="1">
        <f>K244</f>
        <v>11.42</v>
      </c>
      <c r="E245" s="1">
        <f>L244</f>
        <v>10881.91244</v>
      </c>
      <c r="F245" s="3"/>
      <c r="H245" s="3">
        <v>28.777000000000001</v>
      </c>
      <c r="I245" s="1">
        <v>337.26</v>
      </c>
      <c r="J245" s="3">
        <f t="shared" si="113"/>
        <v>981.65899999999999</v>
      </c>
      <c r="K245" s="1">
        <v>11.72</v>
      </c>
      <c r="L245" s="1">
        <f t="shared" ref="L245:L251" si="114">K245*J245</f>
        <v>11505.04348</v>
      </c>
      <c r="M245" s="1">
        <f t="shared" si="106"/>
        <v>623.13104000000021</v>
      </c>
      <c r="N245" s="4">
        <f t="shared" si="102"/>
        <v>5.7263008082061008E-2</v>
      </c>
    </row>
    <row r="246" spans="1:14" x14ac:dyDescent="0.35">
      <c r="A246" t="s">
        <v>156</v>
      </c>
      <c r="B246">
        <v>2007</v>
      </c>
      <c r="C246">
        <f t="shared" ref="C246:C247" si="115">J245</f>
        <v>981.65899999999999</v>
      </c>
      <c r="D246" s="1">
        <f t="shared" ref="D246:D247" si="116">K245</f>
        <v>11.72</v>
      </c>
      <c r="E246" s="1">
        <f t="shared" ref="E246:E247" si="117">L245</f>
        <v>11505.04348</v>
      </c>
      <c r="F246" s="3"/>
      <c r="H246" s="3">
        <v>94.114999999999995</v>
      </c>
      <c r="I246" s="1">
        <v>1045.6199999999999</v>
      </c>
      <c r="J246" s="3">
        <f t="shared" si="113"/>
        <v>1075.7739999999999</v>
      </c>
      <c r="K246" s="1">
        <v>11.11</v>
      </c>
      <c r="L246" s="1">
        <f t="shared" si="114"/>
        <v>11951.849139999998</v>
      </c>
      <c r="M246" s="1">
        <f t="shared" si="106"/>
        <v>446.80565999999817</v>
      </c>
      <c r="N246" s="4">
        <f t="shared" si="102"/>
        <v>3.8835634196142832E-2</v>
      </c>
    </row>
    <row r="247" spans="1:14" x14ac:dyDescent="0.35">
      <c r="A247" t="s">
        <v>156</v>
      </c>
      <c r="B247">
        <v>2008</v>
      </c>
      <c r="C247">
        <f t="shared" si="115"/>
        <v>1075.7739999999999</v>
      </c>
      <c r="D247" s="1">
        <f t="shared" si="116"/>
        <v>11.11</v>
      </c>
      <c r="E247" s="1">
        <f t="shared" si="117"/>
        <v>11951.849139999998</v>
      </c>
      <c r="F247" s="3"/>
      <c r="J247" s="3">
        <v>1076.7739999999999</v>
      </c>
      <c r="K247" s="1">
        <v>9.7899999999999991</v>
      </c>
      <c r="L247" s="1">
        <f t="shared" si="114"/>
        <v>10541.617459999998</v>
      </c>
      <c r="M247" s="1">
        <f t="shared" si="106"/>
        <v>-1410.2316800000008</v>
      </c>
      <c r="N247" s="4">
        <f t="shared" si="102"/>
        <v>-0.11799276107663462</v>
      </c>
    </row>
    <row r="248" spans="1:14" x14ac:dyDescent="0.35">
      <c r="F248" s="3"/>
      <c r="J248" s="3">
        <f t="shared" si="113"/>
        <v>0</v>
      </c>
      <c r="M248" s="1"/>
    </row>
    <row r="249" spans="1:14" x14ac:dyDescent="0.35">
      <c r="A249" t="s">
        <v>157</v>
      </c>
      <c r="B249">
        <v>2005</v>
      </c>
      <c r="F249" s="3">
        <v>361.27199999999999</v>
      </c>
      <c r="G249" s="1">
        <v>10000</v>
      </c>
      <c r="H249" s="3">
        <v>18.167999999999999</v>
      </c>
      <c r="I249" s="1">
        <v>532.87</v>
      </c>
      <c r="J249" s="3">
        <f t="shared" si="113"/>
        <v>379.44</v>
      </c>
      <c r="K249" s="1">
        <v>29.33</v>
      </c>
      <c r="L249" s="1">
        <f t="shared" si="114"/>
        <v>11128.975199999999</v>
      </c>
      <c r="M249" s="1">
        <f t="shared" si="106"/>
        <v>1128.9751999999989</v>
      </c>
      <c r="N249" s="4">
        <f t="shared" si="102"/>
        <v>0.11289751999999989</v>
      </c>
    </row>
    <row r="250" spans="1:14" x14ac:dyDescent="0.35">
      <c r="A250" t="s">
        <v>157</v>
      </c>
      <c r="B250">
        <v>2006</v>
      </c>
      <c r="C250">
        <f>J249</f>
        <v>379.44</v>
      </c>
      <c r="D250" s="1">
        <f>K249</f>
        <v>29.33</v>
      </c>
      <c r="E250" s="1">
        <f>L249</f>
        <v>11128.975199999999</v>
      </c>
      <c r="F250" s="3"/>
      <c r="H250" s="3">
        <v>39.174999999999997</v>
      </c>
      <c r="I250" s="1">
        <v>1337.04</v>
      </c>
      <c r="J250" s="3">
        <f t="shared" si="113"/>
        <v>418.61500000000001</v>
      </c>
      <c r="K250" s="1">
        <v>34.130000000000003</v>
      </c>
      <c r="L250" s="1">
        <f t="shared" si="114"/>
        <v>14287.329950000001</v>
      </c>
      <c r="M250" s="1">
        <f t="shared" si="106"/>
        <v>3158.3547500000022</v>
      </c>
      <c r="N250" s="4">
        <f t="shared" si="102"/>
        <v>0.28379564993549472</v>
      </c>
    </row>
    <row r="251" spans="1:14" x14ac:dyDescent="0.35">
      <c r="A251" t="s">
        <v>157</v>
      </c>
      <c r="B251">
        <v>2007</v>
      </c>
      <c r="C251">
        <f t="shared" ref="C251:C252" si="118">J250</f>
        <v>418.61500000000001</v>
      </c>
      <c r="D251" s="1">
        <f t="shared" ref="D251:D252" si="119">K250</f>
        <v>34.130000000000003</v>
      </c>
      <c r="E251" s="1">
        <f t="shared" ref="E251:E252" si="120">L250</f>
        <v>14287.329950000001</v>
      </c>
      <c r="F251" s="3"/>
      <c r="H251" s="3">
        <v>58.924999999999997</v>
      </c>
      <c r="I251" s="1">
        <v>1610.42</v>
      </c>
      <c r="J251" s="3">
        <f t="shared" si="113"/>
        <v>477.54</v>
      </c>
      <c r="K251" s="1">
        <v>27.32</v>
      </c>
      <c r="L251" s="1">
        <f t="shared" si="114"/>
        <v>13046.392800000001</v>
      </c>
      <c r="M251" s="1">
        <f t="shared" si="106"/>
        <v>-1240.9371499999997</v>
      </c>
      <c r="N251" s="4">
        <f t="shared" si="102"/>
        <v>-8.6855777415569491E-2</v>
      </c>
    </row>
    <row r="252" spans="1:14" x14ac:dyDescent="0.35">
      <c r="A252" t="s">
        <v>157</v>
      </c>
      <c r="B252">
        <v>2008</v>
      </c>
      <c r="C252">
        <f t="shared" si="118"/>
        <v>477.54</v>
      </c>
      <c r="D252" s="1">
        <f t="shared" si="119"/>
        <v>27.32</v>
      </c>
      <c r="E252" s="1">
        <f t="shared" si="120"/>
        <v>13046.392800000001</v>
      </c>
      <c r="F252" s="3"/>
      <c r="J252" s="3">
        <v>477.54</v>
      </c>
      <c r="K252" s="1">
        <v>25.22</v>
      </c>
      <c r="L252" s="1">
        <v>12043.56</v>
      </c>
      <c r="M252" s="1">
        <f t="shared" si="106"/>
        <v>-1002.832800000002</v>
      </c>
      <c r="N252" s="4">
        <f t="shared" si="102"/>
        <v>-7.6866672295808985E-2</v>
      </c>
    </row>
    <row r="253" spans="1:14" x14ac:dyDescent="0.35">
      <c r="F253" s="3"/>
      <c r="M253" s="1"/>
    </row>
    <row r="254" spans="1:14" x14ac:dyDescent="0.35">
      <c r="A254" t="s">
        <v>158</v>
      </c>
      <c r="B254">
        <v>2005</v>
      </c>
      <c r="F254" s="3">
        <v>333.22199999999998</v>
      </c>
      <c r="G254" s="1">
        <v>10030</v>
      </c>
      <c r="H254" s="3">
        <v>31.109000000000002</v>
      </c>
      <c r="I254" s="1">
        <v>1021.8</v>
      </c>
      <c r="J254" s="3">
        <f t="shared" ref="J254:J290" si="121">C254+F254+H254</f>
        <v>364.33099999999996</v>
      </c>
      <c r="K254" s="1">
        <v>33.11</v>
      </c>
      <c r="L254" s="1">
        <f t="shared" ref="L254:L264" si="122">K254*J254</f>
        <v>12062.999409999999</v>
      </c>
      <c r="M254" s="1">
        <f t="shared" si="106"/>
        <v>2032.9994099999985</v>
      </c>
      <c r="N254" s="4">
        <f t="shared" si="102"/>
        <v>0.2026918654037885</v>
      </c>
    </row>
    <row r="255" spans="1:14" x14ac:dyDescent="0.35">
      <c r="A255" t="s">
        <v>158</v>
      </c>
      <c r="B255">
        <v>2006</v>
      </c>
      <c r="C255">
        <f t="shared" ref="C255:C265" si="123">J254</f>
        <v>364.33099999999996</v>
      </c>
      <c r="D255" s="1">
        <f>K254</f>
        <v>33.11</v>
      </c>
      <c r="E255" s="1">
        <f>L254</f>
        <v>12062.999409999999</v>
      </c>
      <c r="F255" s="3"/>
      <c r="H255" s="3">
        <v>14.353</v>
      </c>
      <c r="I255" s="1">
        <v>554.55999999999995</v>
      </c>
      <c r="J255" s="3">
        <f t="shared" si="121"/>
        <v>378.68399999999997</v>
      </c>
      <c r="K255" s="1">
        <v>38.64</v>
      </c>
      <c r="L255" s="1">
        <f t="shared" si="122"/>
        <v>14632.349759999999</v>
      </c>
      <c r="M255" s="1">
        <f t="shared" si="106"/>
        <v>2569.3503500000006</v>
      </c>
      <c r="N255" s="4">
        <f t="shared" si="102"/>
        <v>0.21299431946171346</v>
      </c>
    </row>
    <row r="256" spans="1:14" x14ac:dyDescent="0.35">
      <c r="A256" t="s">
        <v>158</v>
      </c>
      <c r="B256">
        <v>2007</v>
      </c>
      <c r="C256">
        <f t="shared" si="123"/>
        <v>378.68399999999997</v>
      </c>
      <c r="D256" s="1">
        <f t="shared" ref="D256:D257" si="124">K255</f>
        <v>38.64</v>
      </c>
      <c r="E256" s="1">
        <f t="shared" ref="E256:E257" si="125">L255</f>
        <v>14632.349759999999</v>
      </c>
      <c r="F256" s="3"/>
      <c r="H256" s="3">
        <v>53.21</v>
      </c>
      <c r="I256" s="1">
        <v>2009.62</v>
      </c>
      <c r="J256" s="3">
        <f t="shared" si="121"/>
        <v>431.89399999999995</v>
      </c>
      <c r="K256" s="1">
        <v>37.17</v>
      </c>
      <c r="L256" s="1">
        <f t="shared" si="122"/>
        <v>16053.499979999999</v>
      </c>
      <c r="M256" s="1">
        <f t="shared" si="106"/>
        <v>1421.1502199999995</v>
      </c>
      <c r="N256" s="4">
        <f t="shared" si="102"/>
        <v>9.7123855246062651E-2</v>
      </c>
    </row>
    <row r="257" spans="1:14" x14ac:dyDescent="0.35">
      <c r="A257" t="s">
        <v>158</v>
      </c>
      <c r="B257">
        <v>2008</v>
      </c>
      <c r="C257">
        <f t="shared" si="123"/>
        <v>431.89399999999995</v>
      </c>
      <c r="D257" s="1">
        <f t="shared" si="124"/>
        <v>37.17</v>
      </c>
      <c r="E257" s="1">
        <f t="shared" si="125"/>
        <v>16053.499979999999</v>
      </c>
      <c r="F257" s="3"/>
      <c r="J257" s="3">
        <v>434.137</v>
      </c>
      <c r="K257" s="1">
        <v>35.049999999999997</v>
      </c>
      <c r="L257" s="1">
        <f t="shared" si="122"/>
        <v>15216.501849999999</v>
      </c>
      <c r="M257" s="1">
        <f t="shared" si="106"/>
        <v>-836.99812999999995</v>
      </c>
      <c r="N257" s="4">
        <f t="shared" si="102"/>
        <v>-5.2138046596864294E-2</v>
      </c>
    </row>
    <row r="258" spans="1:14" x14ac:dyDescent="0.35">
      <c r="F258" s="3"/>
      <c r="M258" s="1"/>
    </row>
    <row r="259" spans="1:14" x14ac:dyDescent="0.35">
      <c r="A259" t="s">
        <v>159</v>
      </c>
      <c r="B259">
        <v>2005</v>
      </c>
      <c r="C259">
        <f t="shared" si="123"/>
        <v>0</v>
      </c>
      <c r="F259" s="3">
        <v>775.79499999999996</v>
      </c>
      <c r="G259" s="1">
        <v>10000</v>
      </c>
      <c r="H259" s="3">
        <v>3.1030000000000002</v>
      </c>
      <c r="I259" s="1">
        <v>45.93</v>
      </c>
      <c r="J259" s="3">
        <f t="shared" si="121"/>
        <v>778.89799999999991</v>
      </c>
      <c r="K259" s="1">
        <v>14.8</v>
      </c>
      <c r="L259" s="1">
        <f t="shared" si="122"/>
        <v>11527.690399999999</v>
      </c>
      <c r="M259" s="1">
        <f t="shared" si="106"/>
        <v>1527.6903999999995</v>
      </c>
      <c r="N259" s="4">
        <f t="shared" si="102"/>
        <v>0.15276903999999994</v>
      </c>
    </row>
    <row r="260" spans="1:14" x14ac:dyDescent="0.35">
      <c r="A260" t="s">
        <v>159</v>
      </c>
      <c r="B260">
        <v>2006</v>
      </c>
      <c r="C260">
        <f t="shared" si="123"/>
        <v>778.89799999999991</v>
      </c>
      <c r="D260" s="1">
        <f>K259</f>
        <v>14.8</v>
      </c>
      <c r="E260" s="1">
        <f>L259</f>
        <v>11527.690399999999</v>
      </c>
      <c r="F260" s="3"/>
      <c r="H260" s="3">
        <v>25.733000000000001</v>
      </c>
      <c r="I260" s="1">
        <v>453.42</v>
      </c>
      <c r="J260" s="3">
        <f t="shared" si="121"/>
        <v>804.63099999999986</v>
      </c>
      <c r="K260" s="1">
        <v>16.62</v>
      </c>
      <c r="L260" s="1">
        <f t="shared" si="122"/>
        <v>13372.967219999999</v>
      </c>
      <c r="M260" s="1">
        <f t="shared" si="106"/>
        <v>1845.2768199999991</v>
      </c>
      <c r="N260" s="4">
        <f t="shared" si="102"/>
        <v>0.16007341939023617</v>
      </c>
    </row>
    <row r="261" spans="1:14" x14ac:dyDescent="0.35">
      <c r="A261" t="s">
        <v>159</v>
      </c>
      <c r="B261">
        <v>2007</v>
      </c>
      <c r="C261">
        <f t="shared" si="123"/>
        <v>804.63099999999986</v>
      </c>
      <c r="D261" s="1">
        <f t="shared" ref="D261:D265" si="126">K260</f>
        <v>16.62</v>
      </c>
      <c r="E261" s="1">
        <f t="shared" ref="E261:E265" si="127">L260</f>
        <v>13372.967219999999</v>
      </c>
      <c r="F261" s="3"/>
      <c r="H261" s="3">
        <v>76.569000000000003</v>
      </c>
      <c r="I261" s="1">
        <v>1408.11</v>
      </c>
      <c r="J261" s="3">
        <f t="shared" si="121"/>
        <v>881.19999999999982</v>
      </c>
      <c r="K261" s="1">
        <v>18.39</v>
      </c>
      <c r="L261" s="1">
        <f t="shared" si="122"/>
        <v>16205.267999999996</v>
      </c>
      <c r="M261" s="1">
        <f t="shared" si="106"/>
        <v>2832.3007799999978</v>
      </c>
      <c r="N261" s="4">
        <f t="shared" si="102"/>
        <v>0.2117929950328554</v>
      </c>
    </row>
    <row r="262" spans="1:14" x14ac:dyDescent="0.35">
      <c r="A262" t="s">
        <v>159</v>
      </c>
      <c r="B262">
        <v>2008</v>
      </c>
      <c r="C262">
        <f t="shared" si="123"/>
        <v>881.19999999999982</v>
      </c>
      <c r="D262" s="1">
        <f t="shared" si="126"/>
        <v>18.39</v>
      </c>
      <c r="E262" s="1">
        <f t="shared" si="127"/>
        <v>16205.267999999996</v>
      </c>
      <c r="F262" s="3"/>
      <c r="H262" s="3">
        <v>69.084999999999994</v>
      </c>
      <c r="I262" s="1">
        <v>666.67</v>
      </c>
      <c r="J262" s="3">
        <f t="shared" si="121"/>
        <v>950.28499999999985</v>
      </c>
      <c r="K262" s="1">
        <v>9.65</v>
      </c>
      <c r="L262" s="1">
        <f t="shared" si="122"/>
        <v>9170.2502499999991</v>
      </c>
      <c r="M262" s="1">
        <f t="shared" si="106"/>
        <v>-7035.0177499999972</v>
      </c>
      <c r="N262" s="4">
        <f t="shared" si="102"/>
        <v>-0.43411918581044134</v>
      </c>
    </row>
    <row r="263" spans="1:14" x14ac:dyDescent="0.35">
      <c r="A263" t="s">
        <v>159</v>
      </c>
      <c r="B263">
        <v>2009</v>
      </c>
      <c r="C263">
        <f t="shared" si="123"/>
        <v>950.28499999999985</v>
      </c>
      <c r="D263" s="1">
        <f t="shared" si="126"/>
        <v>9.65</v>
      </c>
      <c r="E263" s="1">
        <f t="shared" si="127"/>
        <v>9170.2502499999991</v>
      </c>
      <c r="F263" s="3">
        <v>260.14800000000002</v>
      </c>
      <c r="G263" s="1">
        <v>2820</v>
      </c>
      <c r="H263" s="3">
        <v>19.898</v>
      </c>
      <c r="I263" s="1">
        <v>288.12</v>
      </c>
      <c r="J263" s="3">
        <f t="shared" si="121"/>
        <v>1230.3309999999999</v>
      </c>
      <c r="K263" s="1">
        <v>14.48</v>
      </c>
      <c r="L263" s="1">
        <f t="shared" si="122"/>
        <v>17815.192879999999</v>
      </c>
      <c r="M263" s="1">
        <f t="shared" si="106"/>
        <v>5824.9426299999996</v>
      </c>
      <c r="N263" s="4">
        <f t="shared" si="102"/>
        <v>0.48580659356963796</v>
      </c>
    </row>
    <row r="264" spans="1:14" x14ac:dyDescent="0.35">
      <c r="A264" t="s">
        <v>159</v>
      </c>
      <c r="B264">
        <v>2010</v>
      </c>
      <c r="C264">
        <f t="shared" si="123"/>
        <v>1230.3309999999999</v>
      </c>
      <c r="D264" s="1">
        <f t="shared" si="126"/>
        <v>14.48</v>
      </c>
      <c r="E264" s="1">
        <f t="shared" si="127"/>
        <v>17815.192879999999</v>
      </c>
      <c r="F264" s="3"/>
      <c r="H264" s="3">
        <v>10.715</v>
      </c>
      <c r="I264" s="1">
        <v>189.34</v>
      </c>
      <c r="J264" s="3">
        <f t="shared" si="121"/>
        <v>1241.0459999999998</v>
      </c>
      <c r="K264" s="1">
        <v>17.670000000000002</v>
      </c>
      <c r="L264" s="1">
        <f t="shared" si="122"/>
        <v>21929.28282</v>
      </c>
      <c r="M264" s="1">
        <f t="shared" si="106"/>
        <v>4114.0899400000017</v>
      </c>
      <c r="N264" s="4">
        <f t="shared" si="102"/>
        <v>0.23093154071986685</v>
      </c>
    </row>
    <row r="265" spans="1:14" x14ac:dyDescent="0.35">
      <c r="A265" t="s">
        <v>159</v>
      </c>
      <c r="B265">
        <v>2011</v>
      </c>
      <c r="C265">
        <f t="shared" si="123"/>
        <v>1241.0459999999998</v>
      </c>
      <c r="D265" s="1">
        <f t="shared" si="126"/>
        <v>17.670000000000002</v>
      </c>
      <c r="E265" s="1">
        <f t="shared" si="127"/>
        <v>21929.28282</v>
      </c>
      <c r="F265" s="3"/>
      <c r="J265" s="3">
        <f t="shared" si="121"/>
        <v>1241.0459999999998</v>
      </c>
      <c r="K265" s="1">
        <v>16.61</v>
      </c>
      <c r="L265" s="1">
        <v>20615.25</v>
      </c>
      <c r="M265" s="1">
        <f t="shared" si="106"/>
        <v>-1314.0328200000004</v>
      </c>
      <c r="N265" s="4">
        <f t="shared" si="102"/>
        <v>-5.9921376854220366E-2</v>
      </c>
    </row>
    <row r="266" spans="1:14" x14ac:dyDescent="0.35">
      <c r="F266" s="3"/>
      <c r="M266" s="1"/>
    </row>
    <row r="267" spans="1:14" x14ac:dyDescent="0.35">
      <c r="A267" t="s">
        <v>160</v>
      </c>
      <c r="B267">
        <v>2005</v>
      </c>
      <c r="F267" s="3">
        <v>363.22300000000001</v>
      </c>
      <c r="G267" s="1">
        <v>5793.41</v>
      </c>
      <c r="H267" s="3">
        <v>9.6850000000000005</v>
      </c>
      <c r="I267" s="1">
        <v>161.93</v>
      </c>
      <c r="J267" s="3">
        <f t="shared" si="121"/>
        <v>372.90800000000002</v>
      </c>
      <c r="K267" s="1">
        <v>16.72</v>
      </c>
      <c r="L267" s="1">
        <f t="shared" ref="L267:L290" si="128">K267*J267</f>
        <v>6235.0217599999996</v>
      </c>
      <c r="M267" s="1">
        <f t="shared" si="106"/>
        <v>441.61175999999978</v>
      </c>
      <c r="N267" s="4">
        <f t="shared" si="102"/>
        <v>7.6226567772693418E-2</v>
      </c>
    </row>
    <row r="268" spans="1:14" x14ac:dyDescent="0.35">
      <c r="A268" t="s">
        <v>160</v>
      </c>
      <c r="B268">
        <v>2006</v>
      </c>
      <c r="C268">
        <f t="shared" ref="C268:E284" si="129">J267</f>
        <v>372.90800000000002</v>
      </c>
      <c r="D268" s="1">
        <f t="shared" si="129"/>
        <v>16.72</v>
      </c>
      <c r="E268" s="1">
        <f t="shared" si="129"/>
        <v>6235.0217599999996</v>
      </c>
      <c r="H268" s="3">
        <v>14.211</v>
      </c>
      <c r="I268" s="1">
        <v>306.24</v>
      </c>
      <c r="J268" s="3">
        <f t="shared" si="121"/>
        <v>387.11900000000003</v>
      </c>
      <c r="K268" s="1">
        <v>21.55</v>
      </c>
      <c r="L268" s="1">
        <f t="shared" si="128"/>
        <v>8342.4144500000002</v>
      </c>
      <c r="M268" s="1">
        <f t="shared" si="106"/>
        <v>2107.3926900000006</v>
      </c>
      <c r="N268" s="4">
        <f t="shared" si="102"/>
        <v>0.33799283645162465</v>
      </c>
    </row>
    <row r="269" spans="1:14" x14ac:dyDescent="0.35">
      <c r="A269" t="s">
        <v>160</v>
      </c>
      <c r="B269">
        <v>2007</v>
      </c>
      <c r="C269">
        <f t="shared" si="129"/>
        <v>387.11900000000003</v>
      </c>
      <c r="D269" s="1">
        <f t="shared" ref="D269:D284" si="130">K268</f>
        <v>21.55</v>
      </c>
      <c r="E269" s="1">
        <f t="shared" ref="E269:E284" si="131">L268</f>
        <v>8342.4144500000002</v>
      </c>
      <c r="H269" s="3">
        <v>11.897</v>
      </c>
      <c r="I269" s="1">
        <v>385.22</v>
      </c>
      <c r="J269" s="3">
        <f t="shared" si="121"/>
        <v>399.01600000000002</v>
      </c>
      <c r="K269" s="1">
        <v>32.380000000000003</v>
      </c>
      <c r="L269" s="1">
        <f t="shared" si="128"/>
        <v>12920.138080000002</v>
      </c>
      <c r="M269" s="1">
        <f t="shared" si="106"/>
        <v>4577.7236300000022</v>
      </c>
      <c r="N269" s="4">
        <f t="shared" si="102"/>
        <v>0.5487288670967434</v>
      </c>
    </row>
    <row r="270" spans="1:14" x14ac:dyDescent="0.35">
      <c r="A270" t="s">
        <v>160</v>
      </c>
      <c r="B270">
        <v>2008</v>
      </c>
      <c r="C270">
        <f t="shared" si="129"/>
        <v>399.01600000000002</v>
      </c>
      <c r="D270" s="1">
        <f t="shared" si="130"/>
        <v>32.380000000000003</v>
      </c>
      <c r="E270" s="1">
        <f t="shared" si="131"/>
        <v>12920.138080000002</v>
      </c>
      <c r="F270" s="1">
        <v>359.26400000000001</v>
      </c>
      <c r="G270" s="1">
        <v>10839</v>
      </c>
      <c r="H270" s="3">
        <v>27.893000000000001</v>
      </c>
      <c r="I270" s="1">
        <v>326.07</v>
      </c>
      <c r="J270" s="3">
        <f t="shared" si="121"/>
        <v>786.173</v>
      </c>
      <c r="K270" s="1">
        <v>11.69</v>
      </c>
      <c r="L270" s="1">
        <f t="shared" si="128"/>
        <v>9190.3623699999989</v>
      </c>
      <c r="M270" s="1">
        <f t="shared" si="106"/>
        <v>-14568.775710000004</v>
      </c>
      <c r="N270" s="4">
        <f t="shared" si="102"/>
        <v>-0.6131862048591622</v>
      </c>
    </row>
    <row r="271" spans="1:14" x14ac:dyDescent="0.35">
      <c r="A271" t="s">
        <v>160</v>
      </c>
      <c r="B271">
        <v>2009</v>
      </c>
      <c r="C271">
        <f t="shared" si="129"/>
        <v>786.173</v>
      </c>
      <c r="D271" s="1">
        <f t="shared" si="130"/>
        <v>11.69</v>
      </c>
      <c r="E271" s="1">
        <f t="shared" si="131"/>
        <v>9190.3623699999989</v>
      </c>
      <c r="J271" s="3">
        <v>793.50599999999997</v>
      </c>
      <c r="K271" s="1">
        <v>12.01</v>
      </c>
      <c r="L271" s="1">
        <f t="shared" si="128"/>
        <v>9530.0070599999999</v>
      </c>
      <c r="M271" s="1">
        <f t="shared" si="106"/>
        <v>339.64469000000099</v>
      </c>
      <c r="N271" s="4">
        <f t="shared" si="102"/>
        <v>3.6956615672598447E-2</v>
      </c>
    </row>
    <row r="272" spans="1:14" x14ac:dyDescent="0.35">
      <c r="M272" s="1"/>
    </row>
    <row r="273" spans="1:14" x14ac:dyDescent="0.35">
      <c r="A273" t="s">
        <v>114</v>
      </c>
      <c r="B273">
        <v>2005</v>
      </c>
      <c r="F273" s="3">
        <v>1178.8979999999999</v>
      </c>
      <c r="G273" s="1">
        <v>40075</v>
      </c>
      <c r="H273" s="3">
        <v>39.273499999999999</v>
      </c>
      <c r="I273" s="1">
        <v>1362.79</v>
      </c>
      <c r="J273" s="3">
        <f t="shared" si="121"/>
        <v>1218.1714999999999</v>
      </c>
      <c r="K273" s="1">
        <v>34.700000000000003</v>
      </c>
      <c r="L273" s="1">
        <f t="shared" si="128"/>
        <v>42270.551050000002</v>
      </c>
      <c r="M273" s="1">
        <f t="shared" si="106"/>
        <v>2195.5510500000019</v>
      </c>
      <c r="N273" s="4">
        <f t="shared" si="102"/>
        <v>5.478605240174677E-2</v>
      </c>
    </row>
    <row r="274" spans="1:14" x14ac:dyDescent="0.35">
      <c r="A274" t="s">
        <v>114</v>
      </c>
      <c r="B274">
        <v>2006</v>
      </c>
      <c r="C274">
        <f t="shared" si="129"/>
        <v>1218.1714999999999</v>
      </c>
      <c r="D274" s="1">
        <f t="shared" si="130"/>
        <v>34.700000000000003</v>
      </c>
      <c r="E274" s="1">
        <f t="shared" si="131"/>
        <v>42270.551050000002</v>
      </c>
      <c r="H274" s="3">
        <v>122.78700000000001</v>
      </c>
      <c r="I274" s="1">
        <v>4909.0200000000004</v>
      </c>
      <c r="J274" s="3">
        <f t="shared" si="121"/>
        <v>1340.9585</v>
      </c>
      <c r="K274" s="1">
        <v>39.979999999999997</v>
      </c>
      <c r="L274" s="1">
        <f t="shared" si="128"/>
        <v>53611.520829999994</v>
      </c>
      <c r="M274" s="1">
        <f t="shared" si="106"/>
        <v>11340.969779999992</v>
      </c>
      <c r="N274" s="4">
        <f t="shared" si="102"/>
        <v>0.26829481750983686</v>
      </c>
    </row>
    <row r="275" spans="1:14" x14ac:dyDescent="0.35">
      <c r="A275" t="s">
        <v>114</v>
      </c>
      <c r="B275">
        <v>2007</v>
      </c>
      <c r="C275">
        <f t="shared" si="129"/>
        <v>1340.9585</v>
      </c>
      <c r="D275" s="1">
        <f t="shared" si="130"/>
        <v>39.979999999999997</v>
      </c>
      <c r="E275" s="1">
        <f t="shared" si="131"/>
        <v>53611.520829999994</v>
      </c>
      <c r="H275" s="3">
        <v>112.143</v>
      </c>
      <c r="I275" s="1">
        <v>4556.37</v>
      </c>
      <c r="J275" s="3">
        <f t="shared" si="121"/>
        <v>1453.1015</v>
      </c>
      <c r="K275" s="1">
        <v>40.630000000000003</v>
      </c>
      <c r="L275" s="1">
        <f t="shared" si="128"/>
        <v>59039.513945000006</v>
      </c>
      <c r="M275" s="1">
        <f t="shared" si="106"/>
        <v>5427.993115000012</v>
      </c>
      <c r="N275" s="4">
        <f t="shared" si="102"/>
        <v>0.1012467661981081</v>
      </c>
    </row>
    <row r="276" spans="1:14" x14ac:dyDescent="0.35">
      <c r="A276" t="s">
        <v>114</v>
      </c>
      <c r="B276">
        <v>2008</v>
      </c>
      <c r="C276">
        <f t="shared" si="129"/>
        <v>1453.1015</v>
      </c>
      <c r="D276" s="1">
        <f t="shared" si="130"/>
        <v>40.630000000000003</v>
      </c>
      <c r="E276" s="1">
        <f t="shared" si="131"/>
        <v>59039.513945000006</v>
      </c>
      <c r="H276" s="3">
        <v>64.497</v>
      </c>
      <c r="I276" s="1">
        <v>1456.99</v>
      </c>
      <c r="J276" s="3">
        <f t="shared" si="121"/>
        <v>1517.5985000000001</v>
      </c>
      <c r="K276" s="1">
        <v>22.59</v>
      </c>
      <c r="L276" s="1">
        <f t="shared" si="128"/>
        <v>34282.550114999998</v>
      </c>
      <c r="M276" s="1">
        <f t="shared" si="106"/>
        <v>-24756.963830000008</v>
      </c>
      <c r="N276" s="4">
        <f t="shared" si="102"/>
        <v>-0.41932872030523632</v>
      </c>
    </row>
    <row r="277" spans="1:14" x14ac:dyDescent="0.35">
      <c r="A277" t="s">
        <v>114</v>
      </c>
      <c r="B277">
        <v>2009</v>
      </c>
      <c r="C277">
        <f t="shared" si="129"/>
        <v>1517.5985000000001</v>
      </c>
      <c r="D277" s="1">
        <f t="shared" si="130"/>
        <v>22.59</v>
      </c>
      <c r="E277" s="1">
        <f t="shared" si="131"/>
        <v>34282.550114999998</v>
      </c>
      <c r="H277" s="3">
        <v>36.671999999999997</v>
      </c>
      <c r="I277" s="1">
        <v>1128.02</v>
      </c>
      <c r="J277" s="3">
        <f t="shared" si="121"/>
        <v>1554.2705000000001</v>
      </c>
      <c r="K277" s="1">
        <v>30.76</v>
      </c>
      <c r="L277" s="1">
        <f t="shared" si="128"/>
        <v>47809.360580000008</v>
      </c>
      <c r="M277" s="1">
        <f t="shared" si="106"/>
        <v>13526.81046500001</v>
      </c>
      <c r="N277" s="4">
        <f t="shared" si="102"/>
        <v>0.39456838594633847</v>
      </c>
    </row>
    <row r="278" spans="1:14" x14ac:dyDescent="0.35">
      <c r="A278" t="s">
        <v>114</v>
      </c>
      <c r="B278">
        <v>2010</v>
      </c>
      <c r="C278">
        <f t="shared" si="129"/>
        <v>1554.2705000000001</v>
      </c>
      <c r="D278" s="1">
        <f t="shared" si="130"/>
        <v>30.76</v>
      </c>
      <c r="E278" s="1">
        <f t="shared" si="131"/>
        <v>47809.360580000008</v>
      </c>
      <c r="H278" s="3">
        <v>33.581000000000003</v>
      </c>
      <c r="I278" s="1">
        <v>1068.55</v>
      </c>
      <c r="J278" s="3">
        <f t="shared" si="121"/>
        <v>1587.8515</v>
      </c>
      <c r="K278" s="1">
        <v>31.82</v>
      </c>
      <c r="L278" s="1">
        <f t="shared" si="128"/>
        <v>50525.434730000001</v>
      </c>
      <c r="M278" s="1">
        <f t="shared" si="106"/>
        <v>2716.0741499999931</v>
      </c>
      <c r="N278" s="4">
        <f t="shared" si="102"/>
        <v>5.6810509846814454E-2</v>
      </c>
    </row>
    <row r="279" spans="1:14" x14ac:dyDescent="0.35">
      <c r="A279" t="s">
        <v>114</v>
      </c>
      <c r="B279">
        <v>2011</v>
      </c>
      <c r="C279">
        <f t="shared" si="129"/>
        <v>1587.8515</v>
      </c>
      <c r="D279" s="1">
        <f t="shared" si="130"/>
        <v>31.82</v>
      </c>
      <c r="E279" s="1">
        <f t="shared" si="131"/>
        <v>50525.434730000001</v>
      </c>
      <c r="J279" s="3">
        <v>1604.9739999999999</v>
      </c>
      <c r="K279" s="1">
        <v>31.37</v>
      </c>
      <c r="L279" s="1">
        <v>50298.04</v>
      </c>
      <c r="M279" s="1">
        <f t="shared" si="106"/>
        <v>-227.39472999999998</v>
      </c>
      <c r="N279" s="4">
        <f t="shared" si="102"/>
        <v>-4.5005991777242842E-3</v>
      </c>
    </row>
    <row r="280" spans="1:14" x14ac:dyDescent="0.35">
      <c r="J280" s="3">
        <f t="shared" si="121"/>
        <v>0</v>
      </c>
      <c r="M280" s="1"/>
    </row>
    <row r="281" spans="1:14" x14ac:dyDescent="0.35">
      <c r="A281" t="s">
        <v>114</v>
      </c>
      <c r="B281">
        <v>2013</v>
      </c>
      <c r="C281">
        <f t="shared" si="129"/>
        <v>0</v>
      </c>
      <c r="D281" s="1">
        <f t="shared" si="130"/>
        <v>0</v>
      </c>
      <c r="E281" s="1">
        <f t="shared" si="131"/>
        <v>0</v>
      </c>
      <c r="F281" s="3">
        <v>5688.2820000000002</v>
      </c>
      <c r="G281" s="1">
        <v>200076</v>
      </c>
      <c r="H281" s="3">
        <v>107.3</v>
      </c>
      <c r="I281" s="1">
        <v>3964.73</v>
      </c>
      <c r="J281" s="3">
        <f t="shared" si="121"/>
        <v>5795.5820000000003</v>
      </c>
      <c r="K281" s="1">
        <v>36.96</v>
      </c>
      <c r="L281" s="1">
        <f t="shared" si="128"/>
        <v>214204.71072000003</v>
      </c>
      <c r="M281" s="1">
        <f t="shared" si="106"/>
        <v>14128.710720000032</v>
      </c>
      <c r="N281" s="4">
        <f t="shared" si="102"/>
        <v>7.0616719246686416E-2</v>
      </c>
    </row>
    <row r="282" spans="1:14" x14ac:dyDescent="0.35">
      <c r="A282" t="s">
        <v>114</v>
      </c>
      <c r="B282">
        <v>2014</v>
      </c>
      <c r="C282">
        <f t="shared" si="129"/>
        <v>5795.5820000000003</v>
      </c>
      <c r="D282" s="1">
        <f t="shared" si="130"/>
        <v>36.96</v>
      </c>
      <c r="E282" s="1">
        <f t="shared" si="131"/>
        <v>214204.71072000003</v>
      </c>
      <c r="H282" s="3">
        <v>158.77799999999999</v>
      </c>
      <c r="I282" s="1">
        <v>5482.62</v>
      </c>
      <c r="J282" s="3">
        <f t="shared" si="121"/>
        <v>5954.3600000000006</v>
      </c>
      <c r="K282" s="1">
        <v>34.53</v>
      </c>
      <c r="L282" s="1">
        <f t="shared" si="128"/>
        <v>205604.05080000003</v>
      </c>
      <c r="M282" s="1">
        <f t="shared" si="106"/>
        <v>-8600.6599200000055</v>
      </c>
      <c r="N282" s="4">
        <f t="shared" si="102"/>
        <v>-4.0151590929493844E-2</v>
      </c>
    </row>
    <row r="283" spans="1:14" x14ac:dyDescent="0.35">
      <c r="A283" t="s">
        <v>114</v>
      </c>
      <c r="B283">
        <v>2015</v>
      </c>
      <c r="C283">
        <f t="shared" si="129"/>
        <v>5954.3600000000006</v>
      </c>
      <c r="D283" s="1">
        <f t="shared" si="130"/>
        <v>34.53</v>
      </c>
      <c r="E283" s="1">
        <f t="shared" si="131"/>
        <v>205604.05080000003</v>
      </c>
      <c r="H283" s="3">
        <v>128.81700000000001</v>
      </c>
      <c r="I283" s="1">
        <v>3941.79</v>
      </c>
      <c r="J283" s="3">
        <f t="shared" si="121"/>
        <v>6083.1770000000006</v>
      </c>
      <c r="K283" s="1">
        <v>30.6</v>
      </c>
      <c r="L283" s="1">
        <f t="shared" si="128"/>
        <v>186145.21620000002</v>
      </c>
      <c r="M283" s="1">
        <f t="shared" si="106"/>
        <v>-19458.834600000002</v>
      </c>
      <c r="N283" s="4">
        <f t="shared" si="102"/>
        <v>-9.4642272485810378E-2</v>
      </c>
    </row>
    <row r="284" spans="1:14" x14ac:dyDescent="0.35">
      <c r="A284" t="s">
        <v>114</v>
      </c>
      <c r="B284">
        <v>2016</v>
      </c>
      <c r="C284">
        <f t="shared" si="129"/>
        <v>6083.1770000000006</v>
      </c>
      <c r="D284" s="1">
        <f t="shared" si="130"/>
        <v>30.6</v>
      </c>
      <c r="E284" s="1">
        <f t="shared" si="131"/>
        <v>186145.21620000002</v>
      </c>
      <c r="J284" s="3">
        <f t="shared" si="121"/>
        <v>6083.1770000000006</v>
      </c>
      <c r="K284" s="1">
        <v>29.32</v>
      </c>
      <c r="L284" s="1">
        <f t="shared" si="128"/>
        <v>178358.74964000002</v>
      </c>
      <c r="M284" s="1">
        <f t="shared" si="106"/>
        <v>-7786.4665600000008</v>
      </c>
      <c r="N284" s="4">
        <f t="shared" si="102"/>
        <v>-4.1830065359477121E-2</v>
      </c>
    </row>
    <row r="285" spans="1:14" x14ac:dyDescent="0.35">
      <c r="M285" s="1"/>
    </row>
    <row r="286" spans="1:14" x14ac:dyDescent="0.35">
      <c r="A286" t="s">
        <v>161</v>
      </c>
      <c r="B286">
        <v>2001</v>
      </c>
      <c r="F286" s="3">
        <v>3418.8029999999999</v>
      </c>
      <c r="G286" s="1">
        <v>40119.199999999997</v>
      </c>
      <c r="H286" s="3">
        <v>123.504</v>
      </c>
      <c r="I286" s="1">
        <v>3779.22</v>
      </c>
      <c r="J286" s="3">
        <f t="shared" si="121"/>
        <v>3542.3069999999998</v>
      </c>
      <c r="K286" s="1">
        <v>13</v>
      </c>
      <c r="L286" s="1">
        <f t="shared" si="128"/>
        <v>46049.990999999995</v>
      </c>
      <c r="M286" s="1">
        <f t="shared" ref="M286:M290" si="132">L286-G286-E286</f>
        <v>5930.7909999999974</v>
      </c>
      <c r="N286" s="4">
        <f t="shared" ref="N286:N290" si="133">M286/(G286+E286)</f>
        <v>0.14782924385331705</v>
      </c>
    </row>
    <row r="287" spans="1:14" x14ac:dyDescent="0.35">
      <c r="A287" t="s">
        <v>161</v>
      </c>
      <c r="B287">
        <v>2002</v>
      </c>
      <c r="C287">
        <f t="shared" ref="C287:E288" si="134">J286</f>
        <v>3542.3069999999998</v>
      </c>
      <c r="D287" s="1">
        <f t="shared" si="134"/>
        <v>13</v>
      </c>
      <c r="E287" s="1">
        <f t="shared" si="134"/>
        <v>46049.990999999995</v>
      </c>
      <c r="F287" s="3"/>
      <c r="H287" s="3">
        <v>282.89600000000002</v>
      </c>
      <c r="I287" s="1">
        <v>6973.45</v>
      </c>
      <c r="J287" s="3">
        <f t="shared" si="121"/>
        <v>3825.203</v>
      </c>
      <c r="K287" s="1">
        <v>11.8</v>
      </c>
      <c r="L287" s="1">
        <f t="shared" si="128"/>
        <v>45137.395400000001</v>
      </c>
      <c r="M287" s="1">
        <f t="shared" si="132"/>
        <v>-912.59559999999328</v>
      </c>
      <c r="N287" s="4">
        <f t="shared" si="133"/>
        <v>-1.9817497901356666E-2</v>
      </c>
    </row>
    <row r="288" spans="1:14" x14ac:dyDescent="0.35">
      <c r="A288" t="s">
        <v>161</v>
      </c>
      <c r="B288">
        <v>2003</v>
      </c>
      <c r="C288">
        <f t="shared" si="134"/>
        <v>3825.203</v>
      </c>
      <c r="D288" s="1">
        <f t="shared" si="134"/>
        <v>11.8</v>
      </c>
      <c r="E288" s="1">
        <f t="shared" si="134"/>
        <v>45137.395400000001</v>
      </c>
      <c r="F288" s="3"/>
      <c r="H288" s="3">
        <v>28.027999999999999</v>
      </c>
      <c r="I288" s="1">
        <v>663.7</v>
      </c>
      <c r="J288" s="3">
        <f t="shared" si="121"/>
        <v>3853.2309999999998</v>
      </c>
      <c r="K288" s="1">
        <v>11.69</v>
      </c>
      <c r="L288" s="1">
        <f t="shared" si="128"/>
        <v>45044.270389999998</v>
      </c>
      <c r="M288" s="1">
        <f t="shared" si="132"/>
        <v>-93.125010000003385</v>
      </c>
      <c r="N288" s="4">
        <f t="shared" si="133"/>
        <v>-2.0631454069235766E-3</v>
      </c>
    </row>
    <row r="289" spans="1:14" x14ac:dyDescent="0.35">
      <c r="A289" t="s">
        <v>161</v>
      </c>
      <c r="B289">
        <v>2008</v>
      </c>
      <c r="F289" s="3">
        <v>2220.2849999999999</v>
      </c>
      <c r="G289" s="1">
        <v>26952.400000000001</v>
      </c>
      <c r="H289" s="3">
        <v>198.05199999999999</v>
      </c>
      <c r="J289" s="3">
        <f t="shared" si="121"/>
        <v>2418.337</v>
      </c>
      <c r="K289" s="1">
        <v>11.21</v>
      </c>
      <c r="L289" s="1">
        <f t="shared" si="128"/>
        <v>27109.557770000003</v>
      </c>
      <c r="M289" s="1">
        <f t="shared" si="132"/>
        <v>157.15777000000162</v>
      </c>
      <c r="N289" s="4">
        <f t="shared" si="133"/>
        <v>5.8309378756623382E-3</v>
      </c>
    </row>
    <row r="290" spans="1:14" x14ac:dyDescent="0.35">
      <c r="A290" t="s">
        <v>161</v>
      </c>
      <c r="B290">
        <v>2009</v>
      </c>
      <c r="C290">
        <f>J289</f>
        <v>2418.337</v>
      </c>
      <c r="D290" s="1">
        <f>K289</f>
        <v>11.21</v>
      </c>
      <c r="E290" s="1">
        <f>L289</f>
        <v>27109.557770000003</v>
      </c>
      <c r="F290" s="3"/>
      <c r="H290" s="3">
        <v>144.23699999999999</v>
      </c>
      <c r="J290" s="3">
        <f t="shared" si="121"/>
        <v>2562.5740000000001</v>
      </c>
      <c r="K290" s="1">
        <v>12.24</v>
      </c>
      <c r="L290" s="1">
        <f t="shared" si="128"/>
        <v>31365.905760000001</v>
      </c>
      <c r="M290" s="1">
        <f t="shared" si="132"/>
        <v>4256.3479899999984</v>
      </c>
      <c r="N290" s="4">
        <f t="shared" si="133"/>
        <v>0.15700543793857683</v>
      </c>
    </row>
    <row r="291" spans="1:14" x14ac:dyDescent="0.35">
      <c r="A291" t="s">
        <v>161</v>
      </c>
      <c r="B291">
        <v>2010</v>
      </c>
      <c r="C291">
        <f t="shared" ref="C291:C293" si="135">J290</f>
        <v>2562.5740000000001</v>
      </c>
      <c r="D291" s="1">
        <f t="shared" ref="D291:D294" si="136">K290</f>
        <v>12.24</v>
      </c>
      <c r="E291" s="1">
        <f t="shared" ref="E291:E294" si="137">L290</f>
        <v>31365.905760000001</v>
      </c>
      <c r="F291" s="3"/>
      <c r="H291" s="3">
        <v>257.02999999999997</v>
      </c>
      <c r="J291" s="3">
        <f t="shared" ref="J291:J293" si="138">C291+F291+H291</f>
        <v>2819.6040000000003</v>
      </c>
      <c r="K291" s="1">
        <v>12.02</v>
      </c>
      <c r="L291" s="1">
        <f t="shared" ref="L291:L294" si="139">K291*J291</f>
        <v>33891.640080000005</v>
      </c>
      <c r="M291" s="1">
        <f t="shared" ref="M291:M304" si="140">L291-G291-E291</f>
        <v>2525.7343200000032</v>
      </c>
      <c r="N291" s="4">
        <f t="shared" ref="N291:N304" si="141">M291/(G291+E291)</f>
        <v>8.0524832897412968E-2</v>
      </c>
    </row>
    <row r="292" spans="1:14" x14ac:dyDescent="0.35">
      <c r="A292" t="s">
        <v>161</v>
      </c>
      <c r="B292">
        <v>2011</v>
      </c>
      <c r="C292">
        <f t="shared" si="135"/>
        <v>2819.6040000000003</v>
      </c>
      <c r="D292" s="1">
        <f t="shared" si="136"/>
        <v>12.02</v>
      </c>
      <c r="E292" s="1">
        <f t="shared" si="137"/>
        <v>33891.640080000005</v>
      </c>
      <c r="F292" s="3">
        <v>3053.761</v>
      </c>
      <c r="G292" s="1">
        <v>37872.980000000003</v>
      </c>
      <c r="H292" s="3">
        <v>117.712</v>
      </c>
      <c r="J292" s="3">
        <f t="shared" si="138"/>
        <v>5991.0770000000002</v>
      </c>
      <c r="K292" s="1">
        <v>12.14</v>
      </c>
      <c r="L292" s="1">
        <f t="shared" si="139"/>
        <v>72731.674780000001</v>
      </c>
      <c r="M292" s="1">
        <f t="shared" si="140"/>
        <v>967.05469999999332</v>
      </c>
      <c r="N292" s="4">
        <f t="shared" si="141"/>
        <v>1.3475368488288014E-2</v>
      </c>
    </row>
    <row r="293" spans="1:14" x14ac:dyDescent="0.35">
      <c r="A293" t="s">
        <v>161</v>
      </c>
      <c r="B293">
        <v>2012</v>
      </c>
      <c r="C293">
        <f t="shared" si="135"/>
        <v>5991.0770000000002</v>
      </c>
      <c r="D293" s="1">
        <f t="shared" si="136"/>
        <v>12.14</v>
      </c>
      <c r="E293" s="1">
        <f t="shared" si="137"/>
        <v>72731.674780000001</v>
      </c>
      <c r="F293" s="3"/>
      <c r="H293" s="3">
        <v>402.01299999999998</v>
      </c>
      <c r="J293" s="3">
        <f t="shared" si="138"/>
        <v>6393.09</v>
      </c>
      <c r="K293" s="1">
        <v>12.43</v>
      </c>
      <c r="L293" s="1">
        <f t="shared" si="139"/>
        <v>79466.108699999997</v>
      </c>
      <c r="M293" s="1">
        <f t="shared" si="140"/>
        <v>6734.4339199999959</v>
      </c>
      <c r="N293" s="4">
        <f t="shared" si="141"/>
        <v>9.2592861918420352E-2</v>
      </c>
    </row>
    <row r="294" spans="1:14" x14ac:dyDescent="0.35">
      <c r="A294" t="s">
        <v>161</v>
      </c>
      <c r="B294">
        <v>2013</v>
      </c>
      <c r="C294">
        <f>J293</f>
        <v>6393.09</v>
      </c>
      <c r="D294" s="1">
        <f t="shared" si="136"/>
        <v>12.43</v>
      </c>
      <c r="E294" s="1">
        <f t="shared" si="137"/>
        <v>79466.108699999997</v>
      </c>
      <c r="J294" s="3">
        <v>6349.54</v>
      </c>
      <c r="K294" s="1">
        <v>12.46</v>
      </c>
      <c r="L294" s="1">
        <f t="shared" si="139"/>
        <v>79115.268400000001</v>
      </c>
      <c r="M294" s="1">
        <f t="shared" si="140"/>
        <v>-350.8402999999962</v>
      </c>
      <c r="N294" s="4">
        <f t="shared" si="141"/>
        <v>-4.4149676602951143E-3</v>
      </c>
    </row>
    <row r="295" spans="1:14" x14ac:dyDescent="0.35">
      <c r="M295" s="1"/>
    </row>
    <row r="296" spans="1:14" x14ac:dyDescent="0.35">
      <c r="A296" t="s">
        <v>162</v>
      </c>
      <c r="B296">
        <v>2008</v>
      </c>
      <c r="F296" s="3">
        <v>1000</v>
      </c>
      <c r="G296" s="1">
        <v>10045.99</v>
      </c>
      <c r="I296" s="1">
        <v>270</v>
      </c>
      <c r="J296" s="3">
        <v>1000</v>
      </c>
      <c r="K296" s="1">
        <v>16.04</v>
      </c>
      <c r="L296" s="1">
        <f>J296*K296+I296</f>
        <v>16310</v>
      </c>
      <c r="M296" s="1">
        <f t="shared" si="140"/>
        <v>6264.01</v>
      </c>
      <c r="N296" s="4">
        <f t="shared" si="141"/>
        <v>0.62353337003122644</v>
      </c>
    </row>
    <row r="297" spans="1:14" x14ac:dyDescent="0.35">
      <c r="A297" t="s">
        <v>162</v>
      </c>
      <c r="B297">
        <v>2009</v>
      </c>
      <c r="C297">
        <f t="shared" ref="C297:E304" si="142">J296</f>
        <v>1000</v>
      </c>
      <c r="D297" s="1">
        <f t="shared" si="142"/>
        <v>16.04</v>
      </c>
      <c r="E297" s="1">
        <f t="shared" si="142"/>
        <v>16310</v>
      </c>
      <c r="F297" s="3"/>
      <c r="J297" s="3">
        <v>1000</v>
      </c>
      <c r="K297" s="1">
        <v>20.49</v>
      </c>
      <c r="L297" s="1">
        <v>20484.89</v>
      </c>
      <c r="M297" s="1">
        <f t="shared" si="140"/>
        <v>4174.8899999999994</v>
      </c>
      <c r="N297" s="4">
        <f t="shared" si="141"/>
        <v>0.25597118332311464</v>
      </c>
    </row>
    <row r="298" spans="1:14" x14ac:dyDescent="0.35">
      <c r="F298" s="3"/>
      <c r="M298" s="1"/>
    </row>
    <row r="299" spans="1:14" x14ac:dyDescent="0.35">
      <c r="A299" t="s">
        <v>163</v>
      </c>
      <c r="B299">
        <v>2008</v>
      </c>
      <c r="C299">
        <f t="shared" si="142"/>
        <v>0</v>
      </c>
      <c r="D299" s="1">
        <f t="shared" ref="D299:D304" si="143">K298</f>
        <v>0</v>
      </c>
      <c r="E299" s="1">
        <f t="shared" ref="E299:E304" si="144">L298</f>
        <v>0</v>
      </c>
      <c r="F299" s="3">
        <v>500</v>
      </c>
      <c r="G299" s="1">
        <v>48759.99</v>
      </c>
      <c r="I299" s="1">
        <v>175</v>
      </c>
      <c r="J299" s="3">
        <f>C299+F299</f>
        <v>500</v>
      </c>
      <c r="K299" s="1">
        <v>84.39</v>
      </c>
      <c r="L299" s="1">
        <f>J299*K299+I299</f>
        <v>42370</v>
      </c>
      <c r="M299" s="1">
        <f t="shared" si="140"/>
        <v>-6389.989999999998</v>
      </c>
      <c r="N299" s="4">
        <f t="shared" si="141"/>
        <v>-0.13104986280760103</v>
      </c>
    </row>
    <row r="300" spans="1:14" x14ac:dyDescent="0.35">
      <c r="A300" t="s">
        <v>163</v>
      </c>
      <c r="B300">
        <v>2009</v>
      </c>
      <c r="C300">
        <f t="shared" si="142"/>
        <v>500</v>
      </c>
      <c r="D300" s="1">
        <f t="shared" si="143"/>
        <v>84.39</v>
      </c>
      <c r="E300" s="1">
        <f t="shared" si="144"/>
        <v>42370</v>
      </c>
      <c r="F300" s="3">
        <v>100</v>
      </c>
      <c r="G300" s="1">
        <v>18442.98</v>
      </c>
      <c r="I300" s="1">
        <v>793.33</v>
      </c>
      <c r="J300" s="3">
        <f>C300+F300</f>
        <v>600</v>
      </c>
      <c r="K300" s="1">
        <v>168.84</v>
      </c>
      <c r="L300" s="1">
        <f>J300*K300+I300</f>
        <v>102097.33</v>
      </c>
      <c r="M300" s="1">
        <f t="shared" si="140"/>
        <v>41284.350000000006</v>
      </c>
      <c r="N300" s="4">
        <f t="shared" si="141"/>
        <v>0.67887398381069319</v>
      </c>
    </row>
    <row r="301" spans="1:14" x14ac:dyDescent="0.35">
      <c r="A301" t="s">
        <v>163</v>
      </c>
      <c r="B301">
        <v>2010</v>
      </c>
      <c r="C301">
        <f t="shared" si="142"/>
        <v>600</v>
      </c>
      <c r="D301" s="1">
        <f t="shared" si="143"/>
        <v>168.84</v>
      </c>
      <c r="E301" s="1">
        <f t="shared" si="144"/>
        <v>102097.33</v>
      </c>
      <c r="I301" s="1">
        <v>840</v>
      </c>
      <c r="J301" s="3">
        <f t="shared" ref="J301:J306" si="145">C301+F301</f>
        <v>600</v>
      </c>
      <c r="K301" s="1">
        <v>168.16</v>
      </c>
      <c r="L301" s="1">
        <f t="shared" ref="L301:L306" si="146">J301*K301+I301</f>
        <v>101736</v>
      </c>
      <c r="M301" s="1">
        <f t="shared" si="140"/>
        <v>-361.33000000000175</v>
      </c>
      <c r="N301" s="4">
        <f t="shared" si="141"/>
        <v>-3.5390739405232411E-3</v>
      </c>
    </row>
    <row r="302" spans="1:14" x14ac:dyDescent="0.35">
      <c r="A302" t="s">
        <v>163</v>
      </c>
      <c r="B302">
        <v>2011</v>
      </c>
      <c r="C302">
        <f t="shared" si="142"/>
        <v>600</v>
      </c>
      <c r="D302" s="1">
        <f t="shared" si="143"/>
        <v>168.16</v>
      </c>
      <c r="E302" s="1">
        <f t="shared" si="144"/>
        <v>101736</v>
      </c>
      <c r="F302" s="3">
        <v>100</v>
      </c>
      <c r="G302" s="1">
        <v>16833.89</v>
      </c>
      <c r="I302" s="1">
        <v>980</v>
      </c>
      <c r="J302" s="3">
        <f t="shared" si="145"/>
        <v>700</v>
      </c>
      <c r="K302" s="1">
        <v>90.43</v>
      </c>
      <c r="L302" s="1">
        <f t="shared" si="146"/>
        <v>64281.000000000007</v>
      </c>
      <c r="M302" s="1">
        <f t="shared" si="140"/>
        <v>-54288.889999999992</v>
      </c>
      <c r="N302" s="4">
        <f t="shared" si="141"/>
        <v>-0.45786404963351146</v>
      </c>
    </row>
    <row r="303" spans="1:14" x14ac:dyDescent="0.35">
      <c r="A303" t="s">
        <v>163</v>
      </c>
      <c r="B303">
        <v>2012</v>
      </c>
      <c r="C303">
        <f t="shared" si="142"/>
        <v>700</v>
      </c>
      <c r="D303" s="1">
        <f t="shared" si="143"/>
        <v>90.43</v>
      </c>
      <c r="E303" s="1">
        <f t="shared" si="144"/>
        <v>64281.000000000007</v>
      </c>
      <c r="F303" s="3"/>
      <c r="I303" s="1">
        <v>1239</v>
      </c>
      <c r="J303" s="3">
        <f t="shared" si="145"/>
        <v>700</v>
      </c>
      <c r="K303" s="1">
        <v>127.56</v>
      </c>
      <c r="L303" s="1">
        <f t="shared" si="146"/>
        <v>90531</v>
      </c>
      <c r="M303" s="1">
        <f t="shared" si="140"/>
        <v>26249.999999999993</v>
      </c>
      <c r="N303" s="4">
        <f t="shared" si="141"/>
        <v>0.40836327997386457</v>
      </c>
    </row>
    <row r="304" spans="1:14" x14ac:dyDescent="0.35">
      <c r="A304" t="s">
        <v>163</v>
      </c>
      <c r="B304">
        <v>2013</v>
      </c>
      <c r="C304">
        <f t="shared" si="142"/>
        <v>700</v>
      </c>
      <c r="D304" s="1">
        <f t="shared" si="143"/>
        <v>127.56</v>
      </c>
      <c r="E304" s="1">
        <f t="shared" si="144"/>
        <v>90531</v>
      </c>
      <c r="F304" s="3"/>
      <c r="I304" s="1">
        <v>1435</v>
      </c>
      <c r="J304" s="3">
        <f t="shared" si="145"/>
        <v>700</v>
      </c>
      <c r="K304" s="1">
        <v>177.26</v>
      </c>
      <c r="L304" s="1">
        <f t="shared" si="146"/>
        <v>125517</v>
      </c>
      <c r="M304" s="1">
        <f t="shared" si="140"/>
        <v>34986</v>
      </c>
      <c r="N304" s="4">
        <f t="shared" si="141"/>
        <v>0.38645325910461609</v>
      </c>
    </row>
    <row r="305" spans="1:14" x14ac:dyDescent="0.35">
      <c r="A305" t="s">
        <v>163</v>
      </c>
      <c r="B305">
        <v>2014</v>
      </c>
      <c r="C305">
        <f t="shared" ref="C305:C306" si="147">J304</f>
        <v>700</v>
      </c>
      <c r="D305" s="1">
        <f t="shared" ref="D305:D306" si="148">K304</f>
        <v>177.26</v>
      </c>
      <c r="E305" s="1">
        <f t="shared" ref="E305:E306" si="149">L304</f>
        <v>125517</v>
      </c>
      <c r="I305" s="1">
        <v>1575</v>
      </c>
      <c r="J305" s="3">
        <f t="shared" si="145"/>
        <v>700</v>
      </c>
      <c r="K305" s="1">
        <v>193.83</v>
      </c>
      <c r="L305" s="1">
        <f t="shared" si="146"/>
        <v>137256</v>
      </c>
      <c r="M305" s="1">
        <f t="shared" ref="M305:M309" si="150">L305-G305-E305</f>
        <v>11739</v>
      </c>
      <c r="N305" s="4">
        <f t="shared" ref="N305:N309" si="151">M305/(G305+E305)</f>
        <v>9.3525179856115109E-2</v>
      </c>
    </row>
    <row r="306" spans="1:14" x14ac:dyDescent="0.35">
      <c r="A306" t="s">
        <v>163</v>
      </c>
      <c r="B306">
        <v>2015</v>
      </c>
      <c r="C306">
        <f t="shared" si="147"/>
        <v>700</v>
      </c>
      <c r="D306" s="1">
        <f t="shared" si="148"/>
        <v>193.83</v>
      </c>
      <c r="E306" s="1">
        <f t="shared" si="149"/>
        <v>137256</v>
      </c>
      <c r="I306" s="1">
        <v>1330</v>
      </c>
      <c r="J306" s="3">
        <f t="shared" si="145"/>
        <v>700</v>
      </c>
      <c r="K306" s="1">
        <v>175.47</v>
      </c>
      <c r="L306" s="1">
        <f t="shared" si="146"/>
        <v>124159</v>
      </c>
      <c r="M306" s="1">
        <f t="shared" si="150"/>
        <v>-13097</v>
      </c>
      <c r="N306" s="4">
        <f t="shared" si="151"/>
        <v>-9.5420236638106892E-2</v>
      </c>
    </row>
    <row r="307" spans="1:14" x14ac:dyDescent="0.35">
      <c r="M307" s="1"/>
    </row>
    <row r="308" spans="1:14" x14ac:dyDescent="0.35">
      <c r="A308" t="s">
        <v>164</v>
      </c>
      <c r="B308">
        <v>2008</v>
      </c>
      <c r="F308" s="3">
        <v>2779.1129999999998</v>
      </c>
      <c r="G308" s="1">
        <v>24952.62</v>
      </c>
      <c r="H308" s="3">
        <v>0.42499999999999999</v>
      </c>
      <c r="I308" s="1">
        <v>3.67</v>
      </c>
      <c r="J308" s="3">
        <f>C308+F308+H308</f>
        <v>2779.538</v>
      </c>
      <c r="K308" s="1">
        <v>8.6300000000000008</v>
      </c>
      <c r="L308" s="1">
        <f>J308*K308</f>
        <v>23987.412940000002</v>
      </c>
      <c r="M308" s="1">
        <f t="shared" si="150"/>
        <v>-965.207059999997</v>
      </c>
      <c r="N308" s="4">
        <f t="shared" si="151"/>
        <v>-3.8681591752689579E-2</v>
      </c>
    </row>
    <row r="309" spans="1:14" x14ac:dyDescent="0.35">
      <c r="A309" t="s">
        <v>164</v>
      </c>
      <c r="B309">
        <v>2009</v>
      </c>
      <c r="C309">
        <f t="shared" ref="C309" si="152">J308</f>
        <v>2779.538</v>
      </c>
      <c r="D309" s="1">
        <f t="shared" ref="D309" si="153">K308</f>
        <v>8.6300000000000008</v>
      </c>
      <c r="E309" s="1">
        <f t="shared" ref="E309" si="154">L308</f>
        <v>23987.412940000002</v>
      </c>
      <c r="F309" s="3"/>
      <c r="J309" s="3">
        <v>2779.538</v>
      </c>
      <c r="K309" s="1">
        <v>9.4700000000000006</v>
      </c>
      <c r="L309" s="1">
        <v>26318.2</v>
      </c>
      <c r="M309" s="1">
        <f t="shared" si="150"/>
        <v>2330.7870599999987</v>
      </c>
      <c r="N309" s="4">
        <f t="shared" si="151"/>
        <v>9.7167087831856805E-2</v>
      </c>
    </row>
    <row r="310" spans="1:14" x14ac:dyDescent="0.35">
      <c r="F310" s="3"/>
    </row>
    <row r="311" spans="1:14" x14ac:dyDescent="0.35">
      <c r="A311" t="s">
        <v>166</v>
      </c>
      <c r="B311">
        <v>2009</v>
      </c>
      <c r="F311" s="3">
        <v>857.75599999999997</v>
      </c>
      <c r="G311" s="1">
        <v>12000.01</v>
      </c>
      <c r="H311" s="3">
        <v>5.7000000000000002E-2</v>
      </c>
      <c r="I311" s="1">
        <v>0.86</v>
      </c>
      <c r="J311" s="3">
        <f>C311+F311+H311</f>
        <v>857.81299999999999</v>
      </c>
      <c r="K311" s="1">
        <v>19.260000000000002</v>
      </c>
      <c r="L311" s="1">
        <f>J311*K311</f>
        <v>16521.47838</v>
      </c>
      <c r="M311" s="1">
        <f>L311-G311-E311</f>
        <v>4521.4683800000003</v>
      </c>
      <c r="N311" s="4">
        <f>M311/(E311+G311)</f>
        <v>0.37678871767606864</v>
      </c>
    </row>
    <row r="312" spans="1:14" x14ac:dyDescent="0.35">
      <c r="B312">
        <v>2010</v>
      </c>
      <c r="C312">
        <f t="shared" ref="C312:E313" si="155">J311</f>
        <v>857.81299999999999</v>
      </c>
      <c r="D312" s="1">
        <f t="shared" si="155"/>
        <v>19.260000000000002</v>
      </c>
      <c r="E312" s="1">
        <f t="shared" si="155"/>
        <v>16521.47838</v>
      </c>
      <c r="F312" s="3"/>
      <c r="J312" s="3">
        <f>C312+F312+H312</f>
        <v>857.81299999999999</v>
      </c>
      <c r="K312" s="1">
        <v>23.78</v>
      </c>
      <c r="L312" s="1">
        <f>J312*K312</f>
        <v>20398.793140000002</v>
      </c>
      <c r="M312" s="1">
        <f>L312-G312-E312</f>
        <v>3877.3147600000011</v>
      </c>
      <c r="N312" s="4">
        <f>M312/(E312+G312)</f>
        <v>0.23468328141225345</v>
      </c>
    </row>
    <row r="313" spans="1:14" x14ac:dyDescent="0.35">
      <c r="B313">
        <v>2011</v>
      </c>
      <c r="C313">
        <f t="shared" si="155"/>
        <v>857.81299999999999</v>
      </c>
      <c r="D313" s="1">
        <f t="shared" si="155"/>
        <v>23.78</v>
      </c>
      <c r="E313" s="1">
        <f t="shared" si="155"/>
        <v>20398.793140000002</v>
      </c>
      <c r="F313" s="3">
        <v>1186.24</v>
      </c>
      <c r="G313" s="1">
        <v>30000</v>
      </c>
      <c r="J313" s="3">
        <v>2044.0530000000001</v>
      </c>
      <c r="K313" s="1">
        <v>22.42</v>
      </c>
      <c r="L313" s="1">
        <v>45777.68</v>
      </c>
      <c r="M313" s="1">
        <f>L313-G313-E313</f>
        <v>-4621.1131400000013</v>
      </c>
      <c r="N313" s="4">
        <f>M313/(E313+G313)</f>
        <v>-9.1690948375753131E-2</v>
      </c>
    </row>
    <row r="314" spans="1:14" x14ac:dyDescent="0.35">
      <c r="F314" s="3"/>
    </row>
    <row r="315" spans="1:14" x14ac:dyDescent="0.35">
      <c r="A315" t="s">
        <v>167</v>
      </c>
      <c r="B315">
        <v>2009</v>
      </c>
      <c r="F315" s="3">
        <v>1204.819</v>
      </c>
      <c r="G315" s="1">
        <v>12000</v>
      </c>
      <c r="H315" s="3">
        <v>9.7029999999999994</v>
      </c>
      <c r="I315" s="1">
        <v>118.38</v>
      </c>
      <c r="J315" s="3">
        <f>C315+F315+H315</f>
        <v>1214.5219999999999</v>
      </c>
      <c r="K315" s="1">
        <v>12.2</v>
      </c>
      <c r="L315" s="1">
        <f>J315*K315</f>
        <v>14817.168399999999</v>
      </c>
      <c r="M315" s="1">
        <f>L315-G315-E315</f>
        <v>2817.1683999999987</v>
      </c>
      <c r="N315" s="4">
        <f>M315/(E315+G315)</f>
        <v>0.23476403333333323</v>
      </c>
    </row>
    <row r="316" spans="1:14" x14ac:dyDescent="0.35">
      <c r="B316">
        <v>2010</v>
      </c>
      <c r="C316">
        <f t="shared" ref="C316:E317" si="156">J315</f>
        <v>1214.5219999999999</v>
      </c>
      <c r="D316" s="1">
        <f t="shared" si="156"/>
        <v>12.2</v>
      </c>
      <c r="E316" s="1">
        <f t="shared" si="156"/>
        <v>14817.168399999999</v>
      </c>
      <c r="F316" s="3"/>
      <c r="H316" s="3">
        <v>8.3369999999999997</v>
      </c>
      <c r="I316" s="1">
        <v>127.22</v>
      </c>
      <c r="J316" s="3">
        <f>C316+F316+H316</f>
        <v>1222.8589999999999</v>
      </c>
      <c r="K316" s="1">
        <v>15.26</v>
      </c>
      <c r="L316" s="1">
        <f>J316*K316</f>
        <v>18660.82834</v>
      </c>
      <c r="M316" s="1">
        <f>L316-G316-E316</f>
        <v>3843.6599400000014</v>
      </c>
      <c r="N316" s="4">
        <f>M316/(E316+G316)</f>
        <v>0.25940583492322339</v>
      </c>
    </row>
    <row r="317" spans="1:14" x14ac:dyDescent="0.35">
      <c r="B317">
        <v>2011</v>
      </c>
      <c r="C317">
        <f t="shared" si="156"/>
        <v>1222.8589999999999</v>
      </c>
      <c r="D317" s="1">
        <f t="shared" si="156"/>
        <v>15.26</v>
      </c>
      <c r="E317" s="1">
        <f t="shared" si="156"/>
        <v>18660.82834</v>
      </c>
      <c r="F317" s="3">
        <v>1905.972</v>
      </c>
      <c r="G317" s="1">
        <v>30000</v>
      </c>
      <c r="J317" s="3">
        <v>3128.8310000000001</v>
      </c>
      <c r="K317" s="1">
        <v>13.47</v>
      </c>
      <c r="L317" s="1">
        <v>42095.360000000001</v>
      </c>
      <c r="M317" s="1">
        <f>L317-G317-E317</f>
        <v>-6565.4683399999994</v>
      </c>
      <c r="N317" s="4">
        <f>M317/(E317+G317)</f>
        <v>-0.13492306982787378</v>
      </c>
    </row>
    <row r="318" spans="1:14" x14ac:dyDescent="0.35">
      <c r="A318" t="s">
        <v>168</v>
      </c>
      <c r="B318">
        <v>2009</v>
      </c>
      <c r="F318" s="3">
        <v>500</v>
      </c>
      <c r="G318" s="1">
        <v>16359.94</v>
      </c>
      <c r="I318" s="1">
        <v>630</v>
      </c>
      <c r="J318" s="3">
        <f>C318+F318+H318</f>
        <v>500</v>
      </c>
      <c r="K318" s="1">
        <v>56.99</v>
      </c>
      <c r="L318" s="1">
        <f>J318*K318</f>
        <v>28495</v>
      </c>
      <c r="M318" s="1">
        <f>L318-G318-E318+I318</f>
        <v>12765.06</v>
      </c>
      <c r="N318" s="4">
        <f>M318/(E318+G318)</f>
        <v>0.7802632527992156</v>
      </c>
    </row>
    <row r="319" spans="1:14" x14ac:dyDescent="0.35">
      <c r="A319" t="s">
        <v>168</v>
      </c>
      <c r="B319">
        <v>2010</v>
      </c>
      <c r="C319">
        <f>J318</f>
        <v>500</v>
      </c>
      <c r="D319" s="1">
        <f>K318</f>
        <v>56.99</v>
      </c>
      <c r="E319" s="1">
        <f>L318</f>
        <v>28495</v>
      </c>
      <c r="F319" s="3"/>
      <c r="I319" s="1">
        <v>860</v>
      </c>
      <c r="J319" s="3">
        <f t="shared" ref="J319:J323" si="157">C319+F319+H319</f>
        <v>500</v>
      </c>
      <c r="K319" s="1">
        <v>93.66</v>
      </c>
      <c r="L319" s="1">
        <f t="shared" ref="L319:L323" si="158">J319*K319</f>
        <v>46830</v>
      </c>
      <c r="M319" s="1">
        <f t="shared" ref="M319:M323" si="159">L319-G319-E319+I319</f>
        <v>19195</v>
      </c>
      <c r="N319" s="4">
        <f t="shared" ref="N319:N323" si="160">M319/(E319+G319)</f>
        <v>0.67362695209685908</v>
      </c>
    </row>
    <row r="320" spans="1:14" x14ac:dyDescent="0.35">
      <c r="A320" t="s">
        <v>168</v>
      </c>
      <c r="B320">
        <v>2011</v>
      </c>
      <c r="C320">
        <f t="shared" ref="C320:C324" si="161">J319</f>
        <v>500</v>
      </c>
      <c r="D320" s="1">
        <f t="shared" ref="D320:D324" si="162">K319</f>
        <v>93.66</v>
      </c>
      <c r="E320" s="1">
        <f t="shared" ref="E320:E324" si="163">L319</f>
        <v>46830</v>
      </c>
      <c r="F320" s="3"/>
      <c r="I320" s="1">
        <v>900</v>
      </c>
      <c r="J320" s="3">
        <f t="shared" si="157"/>
        <v>500</v>
      </c>
      <c r="K320" s="1">
        <v>90.6</v>
      </c>
      <c r="L320" s="1">
        <f t="shared" si="158"/>
        <v>45300</v>
      </c>
      <c r="M320" s="1">
        <f t="shared" si="159"/>
        <v>-630</v>
      </c>
      <c r="N320" s="4">
        <f t="shared" si="160"/>
        <v>-1.3452914798206279E-2</v>
      </c>
    </row>
    <row r="321" spans="1:14" x14ac:dyDescent="0.35">
      <c r="A321" t="s">
        <v>168</v>
      </c>
      <c r="B321">
        <v>2012</v>
      </c>
      <c r="C321">
        <f t="shared" si="161"/>
        <v>500</v>
      </c>
      <c r="D321" s="1">
        <f t="shared" si="162"/>
        <v>90.6</v>
      </c>
      <c r="E321" s="1">
        <f t="shared" si="163"/>
        <v>45300</v>
      </c>
      <c r="F321" s="3"/>
      <c r="I321" s="1">
        <v>980</v>
      </c>
      <c r="J321" s="3">
        <f t="shared" si="157"/>
        <v>500</v>
      </c>
      <c r="K321" s="1">
        <v>89.61</v>
      </c>
      <c r="L321" s="1">
        <f t="shared" si="158"/>
        <v>44805</v>
      </c>
      <c r="M321" s="1">
        <f t="shared" si="159"/>
        <v>485</v>
      </c>
      <c r="N321" s="4">
        <f t="shared" si="160"/>
        <v>1.0706401766004415E-2</v>
      </c>
    </row>
    <row r="322" spans="1:14" x14ac:dyDescent="0.35">
      <c r="A322" t="s">
        <v>168</v>
      </c>
      <c r="B322">
        <v>2013</v>
      </c>
      <c r="C322">
        <f t="shared" si="161"/>
        <v>500</v>
      </c>
      <c r="D322" s="1">
        <f t="shared" si="162"/>
        <v>89.61</v>
      </c>
      <c r="E322" s="1">
        <f t="shared" si="163"/>
        <v>44805</v>
      </c>
      <c r="F322" s="3">
        <v>500</v>
      </c>
      <c r="G322" s="1">
        <v>43087.57</v>
      </c>
      <c r="I322" s="1">
        <v>1720</v>
      </c>
      <c r="J322" s="3">
        <f t="shared" si="157"/>
        <v>1000</v>
      </c>
      <c r="K322" s="1">
        <v>90.81</v>
      </c>
      <c r="L322" s="1">
        <f t="shared" si="158"/>
        <v>90810</v>
      </c>
      <c r="M322" s="1">
        <f t="shared" si="159"/>
        <v>4637.43</v>
      </c>
      <c r="N322" s="4">
        <f t="shared" si="160"/>
        <v>5.2762480378034229E-2</v>
      </c>
    </row>
    <row r="323" spans="1:14" x14ac:dyDescent="0.35">
      <c r="A323" t="s">
        <v>168</v>
      </c>
      <c r="B323">
        <v>2014</v>
      </c>
      <c r="C323">
        <f t="shared" si="161"/>
        <v>1000</v>
      </c>
      <c r="D323" s="1">
        <f t="shared" si="162"/>
        <v>90.81</v>
      </c>
      <c r="E323" s="1">
        <f t="shared" si="163"/>
        <v>90810</v>
      </c>
      <c r="F323" s="3"/>
      <c r="I323" s="1">
        <v>2600</v>
      </c>
      <c r="J323" s="3">
        <f t="shared" si="157"/>
        <v>1000</v>
      </c>
      <c r="K323" s="1">
        <v>91.53</v>
      </c>
      <c r="L323" s="1">
        <f t="shared" si="158"/>
        <v>91530</v>
      </c>
      <c r="M323" s="1">
        <f t="shared" si="159"/>
        <v>3320</v>
      </c>
      <c r="N323" s="4">
        <f t="shared" si="160"/>
        <v>3.6559850236758069E-2</v>
      </c>
    </row>
    <row r="324" spans="1:14" x14ac:dyDescent="0.35">
      <c r="A324" t="s">
        <v>168</v>
      </c>
      <c r="B324">
        <v>2015</v>
      </c>
      <c r="C324">
        <f t="shared" si="161"/>
        <v>1000</v>
      </c>
      <c r="D324" s="1">
        <f t="shared" si="162"/>
        <v>91.53</v>
      </c>
      <c r="E324" s="1">
        <f t="shared" si="163"/>
        <v>91530</v>
      </c>
      <c r="F324" s="3"/>
      <c r="I324" s="1">
        <v>1400</v>
      </c>
      <c r="J324" s="3">
        <v>1000</v>
      </c>
      <c r="K324" s="1">
        <v>84.42</v>
      </c>
      <c r="L324" s="1">
        <v>84442.25</v>
      </c>
      <c r="M324" s="1">
        <f t="shared" ref="M324" si="164">L324-G324-E324+I324</f>
        <v>-5687.75</v>
      </c>
      <c r="N324" s="4">
        <f t="shared" ref="N324" si="165">M324/(E324+G324)</f>
        <v>-6.2140828143777999E-2</v>
      </c>
    </row>
    <row r="325" spans="1:14" x14ac:dyDescent="0.35">
      <c r="A325" t="s">
        <v>169</v>
      </c>
      <c r="B325">
        <v>2009</v>
      </c>
      <c r="F325" s="3">
        <v>2000</v>
      </c>
      <c r="G325" s="1">
        <v>3949.99</v>
      </c>
      <c r="J325" s="3">
        <v>2000</v>
      </c>
      <c r="K325" s="1">
        <v>3.03</v>
      </c>
      <c r="L325" s="1">
        <v>6049.97</v>
      </c>
      <c r="M325" s="1">
        <f t="shared" ref="M325:M327" si="166">L325-G325-E325+I325</f>
        <v>2099.9800000000005</v>
      </c>
      <c r="N325" s="4">
        <f t="shared" ref="N325:N327" si="167">M325/(E325+G325)</f>
        <v>0.53164185225785399</v>
      </c>
    </row>
    <row r="327" spans="1:14" x14ac:dyDescent="0.35">
      <c r="A327" t="s">
        <v>170</v>
      </c>
      <c r="B327">
        <v>2009</v>
      </c>
      <c r="F327" s="3">
        <v>259.93900000000002</v>
      </c>
      <c r="G327" s="1">
        <v>2586.9899999999998</v>
      </c>
      <c r="H327" s="3">
        <v>1.0469999999999999</v>
      </c>
      <c r="I327" s="1">
        <v>12.97</v>
      </c>
      <c r="J327" s="3">
        <f>C327+F327+H327</f>
        <v>260.98600000000005</v>
      </c>
      <c r="K327" s="1">
        <v>12.39</v>
      </c>
      <c r="L327" s="1">
        <f>J327*K327</f>
        <v>3233.6165400000009</v>
      </c>
      <c r="M327" s="1">
        <f t="shared" si="166"/>
        <v>659.59654000000114</v>
      </c>
      <c r="N327" s="4">
        <f t="shared" si="167"/>
        <v>0.2549667915221942</v>
      </c>
    </row>
    <row r="328" spans="1:14" x14ac:dyDescent="0.35">
      <c r="A328" t="s">
        <v>170</v>
      </c>
      <c r="B328">
        <v>2010</v>
      </c>
      <c r="C328">
        <f t="shared" ref="C328:E329" si="168">J327</f>
        <v>260.98600000000005</v>
      </c>
      <c r="D328" s="1">
        <f t="shared" si="168"/>
        <v>12.39</v>
      </c>
      <c r="E328" s="1">
        <f t="shared" si="168"/>
        <v>3233.6165400000009</v>
      </c>
      <c r="H328" s="3">
        <v>1.8779999999999999</v>
      </c>
      <c r="I328" s="1">
        <v>26.31</v>
      </c>
      <c r="J328" s="3">
        <f>C328+F328+H328</f>
        <v>262.86400000000003</v>
      </c>
      <c r="K328" s="1">
        <v>14.01</v>
      </c>
      <c r="L328" s="1">
        <f>J328*K328</f>
        <v>3682.7246400000004</v>
      </c>
      <c r="M328" s="1">
        <f t="shared" ref="M328:M329" si="169">L328-G328-E328+I328</f>
        <v>475.41809999999947</v>
      </c>
      <c r="N328" s="4">
        <f t="shared" ref="N328:N329" si="170">M328/(E328+G328)</f>
        <v>0.14702364801733706</v>
      </c>
    </row>
    <row r="329" spans="1:14" x14ac:dyDescent="0.35">
      <c r="A329" t="s">
        <v>170</v>
      </c>
      <c r="B329">
        <v>2011</v>
      </c>
      <c r="C329">
        <f t="shared" si="168"/>
        <v>262.86400000000003</v>
      </c>
      <c r="D329" s="1">
        <f t="shared" si="168"/>
        <v>14.01</v>
      </c>
      <c r="E329" s="1">
        <f t="shared" si="168"/>
        <v>3682.7246400000004</v>
      </c>
      <c r="J329" s="3">
        <v>262.86399999999998</v>
      </c>
      <c r="K329" s="1">
        <v>12.68</v>
      </c>
      <c r="L329" s="1">
        <v>3283.13</v>
      </c>
      <c r="M329" s="1">
        <f t="shared" si="169"/>
        <v>-399.59464000000025</v>
      </c>
      <c r="N329" s="4">
        <f t="shared" si="170"/>
        <v>-0.10850516372030471</v>
      </c>
    </row>
    <row r="331" spans="1:14" x14ac:dyDescent="0.35">
      <c r="A331" t="s">
        <v>99</v>
      </c>
      <c r="B331">
        <v>2009</v>
      </c>
      <c r="F331" s="3">
        <v>9000</v>
      </c>
      <c r="G331" s="1">
        <v>20487.939999999999</v>
      </c>
      <c r="J331" s="3">
        <v>9000</v>
      </c>
      <c r="K331" s="1">
        <v>4.9400000000000004</v>
      </c>
      <c r="L331" s="1">
        <v>44380.800000000003</v>
      </c>
      <c r="M331" s="1">
        <f t="shared" ref="M331" si="171">L331-G331-E331+I331</f>
        <v>23892.860000000004</v>
      </c>
      <c r="N331" s="4">
        <f t="shared" ref="N331" si="172">M331/(E331+G331)</f>
        <v>1.1661914277374887</v>
      </c>
    </row>
    <row r="332" spans="1:14" x14ac:dyDescent="0.35">
      <c r="M332" s="1"/>
    </row>
    <row r="333" spans="1:14" x14ac:dyDescent="0.35">
      <c r="A333" t="s">
        <v>171</v>
      </c>
      <c r="B333">
        <v>2009</v>
      </c>
      <c r="F333" s="1">
        <v>200</v>
      </c>
      <c r="G333" s="1">
        <v>1241.97</v>
      </c>
      <c r="J333" s="3">
        <v>200</v>
      </c>
      <c r="K333" s="1">
        <v>10.41</v>
      </c>
      <c r="L333" s="1">
        <v>2071.9699999999998</v>
      </c>
      <c r="M333" s="1">
        <f t="shared" ref="M333" si="173">L333-G333-E333+I333</f>
        <v>829.99999999999977</v>
      </c>
      <c r="N333" s="4">
        <f t="shared" ref="N333:N335" si="174">M333/(E333+G333)</f>
        <v>0.66829311497057076</v>
      </c>
    </row>
    <row r="335" spans="1:14" x14ac:dyDescent="0.35">
      <c r="A335" t="s">
        <v>115</v>
      </c>
      <c r="B335">
        <v>2009</v>
      </c>
      <c r="F335" s="3">
        <v>6048.0910000000003</v>
      </c>
      <c r="G335" s="1">
        <v>58572.94</v>
      </c>
      <c r="H335" s="3">
        <v>79.653999999999996</v>
      </c>
      <c r="J335" s="3">
        <f>C335+F335+H335</f>
        <v>6127.7450000000008</v>
      </c>
      <c r="K335" s="1">
        <v>15.35</v>
      </c>
      <c r="L335" s="1">
        <f>J335*K335</f>
        <v>94060.885750000016</v>
      </c>
      <c r="M335" s="1">
        <f>L335-G335-E335</f>
        <v>35487.945750000014</v>
      </c>
      <c r="N335" s="4">
        <f t="shared" si="174"/>
        <v>0.60587612214787256</v>
      </c>
    </row>
    <row r="336" spans="1:14" x14ac:dyDescent="0.35">
      <c r="A336" t="s">
        <v>115</v>
      </c>
      <c r="B336">
        <v>2010</v>
      </c>
      <c r="C336">
        <f>J335</f>
        <v>6127.7450000000008</v>
      </c>
      <c r="D336" s="1">
        <f>K335</f>
        <v>15.35</v>
      </c>
      <c r="E336" s="1">
        <f>L335</f>
        <v>94060.885750000016</v>
      </c>
      <c r="H336" s="3">
        <v>223.78299999999999</v>
      </c>
      <c r="J336" s="3">
        <f t="shared" ref="J336:J342" si="175">C336+F336+H336</f>
        <v>6351.5280000000012</v>
      </c>
      <c r="K336" s="1">
        <v>16.53</v>
      </c>
      <c r="L336" s="1">
        <f t="shared" ref="L336:L342" si="176">J336*K336</f>
        <v>104990.75784000002</v>
      </c>
      <c r="M336" s="1">
        <f t="shared" ref="M336:M342" si="177">L336-G336-E336</f>
        <v>10929.872090000004</v>
      </c>
      <c r="N336" s="4">
        <f t="shared" ref="N336:N342" si="178">M336/(E336+G336)</f>
        <v>0.11619996986898459</v>
      </c>
    </row>
    <row r="337" spans="1:14" x14ac:dyDescent="0.35">
      <c r="A337" t="s">
        <v>115</v>
      </c>
      <c r="B337">
        <v>2011</v>
      </c>
      <c r="C337">
        <f t="shared" ref="C337:C343" si="179">J336</f>
        <v>6351.5280000000012</v>
      </c>
      <c r="D337" s="1">
        <f t="shared" ref="D337:D343" si="180">K336</f>
        <v>16.53</v>
      </c>
      <c r="E337" s="1">
        <f t="shared" ref="E337:E343" si="181">L336</f>
        <v>104990.75784000002</v>
      </c>
      <c r="H337" s="3">
        <v>86.197000000000003</v>
      </c>
      <c r="J337" s="3">
        <f t="shared" si="175"/>
        <v>6437.7250000000013</v>
      </c>
      <c r="K337" s="1">
        <v>17.57</v>
      </c>
      <c r="L337" s="1">
        <f t="shared" si="176"/>
        <v>113110.82825000002</v>
      </c>
      <c r="M337" s="1">
        <f t="shared" si="177"/>
        <v>8120.0704100000003</v>
      </c>
      <c r="N337" s="4">
        <f t="shared" si="178"/>
        <v>7.7340811487183747E-2</v>
      </c>
    </row>
    <row r="338" spans="1:14" x14ac:dyDescent="0.35">
      <c r="A338" t="s">
        <v>115</v>
      </c>
      <c r="B338">
        <v>2012</v>
      </c>
      <c r="C338">
        <f t="shared" si="179"/>
        <v>6437.7250000000013</v>
      </c>
      <c r="D338" s="1">
        <f t="shared" si="180"/>
        <v>17.57</v>
      </c>
      <c r="E338" s="1">
        <f t="shared" si="181"/>
        <v>113110.82825000002</v>
      </c>
      <c r="F338" s="3">
        <v>6840.768</v>
      </c>
      <c r="G338" s="1">
        <v>121499.63</v>
      </c>
      <c r="H338" s="3">
        <v>277.233</v>
      </c>
      <c r="J338" s="3">
        <f t="shared" si="175"/>
        <v>13555.726000000002</v>
      </c>
      <c r="K338" s="1">
        <v>19.079999999999998</v>
      </c>
      <c r="L338" s="1">
        <f t="shared" si="176"/>
        <v>258643.25208000003</v>
      </c>
      <c r="M338" s="1">
        <f t="shared" si="177"/>
        <v>24032.79383000001</v>
      </c>
      <c r="N338" s="4">
        <f t="shared" si="178"/>
        <v>0.10243700988125071</v>
      </c>
    </row>
    <row r="339" spans="1:14" x14ac:dyDescent="0.35">
      <c r="A339" t="s">
        <v>115</v>
      </c>
      <c r="B339">
        <v>2013</v>
      </c>
      <c r="C339">
        <f t="shared" si="179"/>
        <v>13555.726000000002</v>
      </c>
      <c r="D339" s="1">
        <f t="shared" si="180"/>
        <v>19.079999999999998</v>
      </c>
      <c r="E339" s="1">
        <f t="shared" si="181"/>
        <v>258643.25208000003</v>
      </c>
      <c r="F339" s="3"/>
      <c r="J339" s="3">
        <v>13556.18</v>
      </c>
      <c r="K339" s="1">
        <v>21.97</v>
      </c>
      <c r="L339" s="1">
        <v>297829.32</v>
      </c>
      <c r="M339" s="1">
        <f t="shared" si="177"/>
        <v>39186.067919999972</v>
      </c>
      <c r="N339" s="4">
        <f t="shared" si="178"/>
        <v>0.15150624501071255</v>
      </c>
    </row>
    <row r="340" spans="1:14" x14ac:dyDescent="0.35">
      <c r="A340" t="s">
        <v>115</v>
      </c>
      <c r="B340">
        <v>2013</v>
      </c>
      <c r="F340" s="3">
        <v>9892.0859999999993</v>
      </c>
      <c r="G340" s="1">
        <v>220076</v>
      </c>
      <c r="H340" s="3">
        <v>371.36399999999998</v>
      </c>
      <c r="J340" s="3">
        <f>C340+F340+H340</f>
        <v>10263.449999999999</v>
      </c>
      <c r="K340" s="1">
        <v>23.43</v>
      </c>
      <c r="L340" s="1">
        <f>J340*K340</f>
        <v>240472.63349999997</v>
      </c>
      <c r="M340" s="1">
        <f t="shared" ref="M340" si="182">L340-G340-E340</f>
        <v>20396.633499999967</v>
      </c>
      <c r="N340" s="4">
        <f t="shared" ref="N340" si="183">M340/(E340+G340)</f>
        <v>9.2679953743252178E-2</v>
      </c>
    </row>
    <row r="341" spans="1:14" x14ac:dyDescent="0.35">
      <c r="A341" t="s">
        <v>115</v>
      </c>
      <c r="B341">
        <v>2014</v>
      </c>
      <c r="C341">
        <f>J340</f>
        <v>10263.449999999999</v>
      </c>
      <c r="D341" s="1">
        <f>K340</f>
        <v>23.43</v>
      </c>
      <c r="E341" s="1">
        <f>L340</f>
        <v>240472.63349999997</v>
      </c>
      <c r="H341" s="3">
        <v>444.334</v>
      </c>
      <c r="J341" s="3">
        <f t="shared" si="175"/>
        <v>10707.784</v>
      </c>
      <c r="K341" s="1">
        <v>25.48</v>
      </c>
      <c r="L341" s="1">
        <f t="shared" si="176"/>
        <v>272834.33632</v>
      </c>
      <c r="M341" s="1">
        <f t="shared" si="177"/>
        <v>32361.702820000035</v>
      </c>
      <c r="N341" s="4">
        <f t="shared" si="178"/>
        <v>0.1345754082241547</v>
      </c>
    </row>
    <row r="342" spans="1:14" x14ac:dyDescent="0.35">
      <c r="A342" t="s">
        <v>115</v>
      </c>
      <c r="B342">
        <v>2015</v>
      </c>
      <c r="C342">
        <f t="shared" si="179"/>
        <v>10707.784</v>
      </c>
      <c r="D342" s="1">
        <f t="shared" si="180"/>
        <v>25.48</v>
      </c>
      <c r="E342" s="1">
        <f t="shared" si="181"/>
        <v>272834.33632</v>
      </c>
      <c r="H342" s="3">
        <v>1454.3510000000001</v>
      </c>
      <c r="J342" s="3">
        <f t="shared" si="175"/>
        <v>12162.135</v>
      </c>
      <c r="K342" s="1">
        <v>20.99</v>
      </c>
      <c r="L342" s="1">
        <f t="shared" si="176"/>
        <v>255283.21364999999</v>
      </c>
      <c r="M342" s="1">
        <f t="shared" si="177"/>
        <v>-17551.122670000012</v>
      </c>
      <c r="N342" s="4">
        <f t="shared" si="178"/>
        <v>-6.4328863099601855E-2</v>
      </c>
    </row>
    <row r="343" spans="1:14" x14ac:dyDescent="0.35">
      <c r="A343" t="s">
        <v>115</v>
      </c>
      <c r="B343">
        <v>2016</v>
      </c>
      <c r="C343">
        <f t="shared" si="179"/>
        <v>12162.135</v>
      </c>
      <c r="D343" s="1">
        <f t="shared" si="180"/>
        <v>20.99</v>
      </c>
      <c r="E343" s="1">
        <f t="shared" si="181"/>
        <v>255283.21364999999</v>
      </c>
      <c r="J343" s="3">
        <v>12162.13</v>
      </c>
      <c r="K343" s="1">
        <v>20.55</v>
      </c>
      <c r="L343" s="1">
        <v>249931.87</v>
      </c>
      <c r="M343" s="1">
        <f t="shared" ref="M343" si="184">L343-G343-E343</f>
        <v>-5351.3436499999953</v>
      </c>
      <c r="N343" s="4">
        <f t="shared" ref="N343" si="185">M343/(E343+G343)</f>
        <v>-2.0962379678190781E-2</v>
      </c>
    </row>
    <row r="345" spans="1:14" x14ac:dyDescent="0.35">
      <c r="A345" t="s">
        <v>68</v>
      </c>
      <c r="B345">
        <v>2009</v>
      </c>
      <c r="F345" s="3">
        <v>469.79899999999998</v>
      </c>
      <c r="G345" s="1">
        <v>7049.99</v>
      </c>
      <c r="H345" s="3">
        <v>2.0089999999999999</v>
      </c>
      <c r="I345" s="1">
        <v>34.06</v>
      </c>
      <c r="J345" s="3">
        <f t="shared" ref="J345" si="186">C345+F345+H345</f>
        <v>471.80799999999999</v>
      </c>
      <c r="K345" s="1">
        <v>16.95</v>
      </c>
      <c r="L345" s="1">
        <f t="shared" ref="L345" si="187">J345*K345</f>
        <v>7997.1455999999998</v>
      </c>
      <c r="M345" s="1">
        <f t="shared" ref="M345" si="188">L345-G345-E345</f>
        <v>947.15560000000005</v>
      </c>
      <c r="N345" s="4">
        <f t="shared" ref="N345" si="189">M345/(E345+G345)</f>
        <v>0.13434850262198955</v>
      </c>
    </row>
    <row r="346" spans="1:14" x14ac:dyDescent="0.35">
      <c r="A346" t="s">
        <v>68</v>
      </c>
      <c r="B346">
        <v>2010</v>
      </c>
      <c r="C346">
        <f>J345</f>
        <v>471.80799999999999</v>
      </c>
      <c r="D346" s="1">
        <f>K345</f>
        <v>16.95</v>
      </c>
      <c r="E346" s="1">
        <f>L345</f>
        <v>7997.1455999999998</v>
      </c>
      <c r="F346" s="3"/>
      <c r="H346" s="3">
        <v>1.4079999999999999</v>
      </c>
      <c r="I346" s="1">
        <v>29.11</v>
      </c>
      <c r="J346" s="3">
        <f t="shared" ref="J346:J354" si="190">C346+F346+H346</f>
        <v>473.21600000000001</v>
      </c>
      <c r="K346" s="1">
        <v>20.68</v>
      </c>
      <c r="L346" s="1">
        <f t="shared" ref="L346:L351" si="191">J346*K346</f>
        <v>9786.1068799999994</v>
      </c>
      <c r="M346" s="1">
        <f t="shared" ref="M346:M349" si="192">L346-G346-E346</f>
        <v>1788.9612799999995</v>
      </c>
      <c r="N346" s="4">
        <f t="shared" ref="N346:N351" si="193">M346/(E346+G346)</f>
        <v>0.22369997615149079</v>
      </c>
    </row>
    <row r="347" spans="1:14" x14ac:dyDescent="0.35">
      <c r="A347" t="s">
        <v>68</v>
      </c>
      <c r="B347">
        <v>2011</v>
      </c>
      <c r="C347">
        <f t="shared" ref="C347:C349" si="194">J346</f>
        <v>473.21600000000001</v>
      </c>
      <c r="D347" s="1">
        <f t="shared" ref="D347:D349" si="195">K346</f>
        <v>20.68</v>
      </c>
      <c r="E347" s="1">
        <f t="shared" ref="E347:E349" si="196">L346</f>
        <v>9786.1068799999994</v>
      </c>
      <c r="F347" s="3">
        <v>398.185</v>
      </c>
      <c r="G347" s="1">
        <v>7949.99</v>
      </c>
      <c r="H347" s="3">
        <v>52.503999999999998</v>
      </c>
      <c r="I347" s="1">
        <v>1020.14</v>
      </c>
      <c r="J347" s="3">
        <f t="shared" si="190"/>
        <v>923.90500000000009</v>
      </c>
      <c r="K347" s="1">
        <v>19.43</v>
      </c>
      <c r="L347" s="1">
        <f t="shared" si="191"/>
        <v>17951.474150000002</v>
      </c>
      <c r="M347" s="1">
        <f t="shared" si="192"/>
        <v>215.37727000000268</v>
      </c>
      <c r="N347" s="4">
        <f t="shared" si="193"/>
        <v>1.21434423513367E-2</v>
      </c>
    </row>
    <row r="348" spans="1:14" x14ac:dyDescent="0.35">
      <c r="A348" t="s">
        <v>68</v>
      </c>
      <c r="B348">
        <v>2012</v>
      </c>
      <c r="C348">
        <f t="shared" si="194"/>
        <v>923.90500000000009</v>
      </c>
      <c r="D348" s="1">
        <f t="shared" si="195"/>
        <v>19.43</v>
      </c>
      <c r="E348" s="1">
        <f t="shared" si="196"/>
        <v>17951.474150000002</v>
      </c>
      <c r="H348" s="3">
        <v>69.819000000000003</v>
      </c>
      <c r="I348" s="1">
        <v>1445.29</v>
      </c>
      <c r="J348" s="3">
        <f t="shared" si="190"/>
        <v>993.72400000000005</v>
      </c>
      <c r="K348" s="1">
        <v>20.73</v>
      </c>
      <c r="L348" s="1">
        <f t="shared" si="191"/>
        <v>20599.898520000002</v>
      </c>
      <c r="M348" s="1">
        <f t="shared" si="192"/>
        <v>2648.4243700000006</v>
      </c>
      <c r="N348" s="4">
        <f t="shared" si="193"/>
        <v>0.14753241699651726</v>
      </c>
    </row>
    <row r="349" spans="1:14" x14ac:dyDescent="0.35">
      <c r="A349" t="s">
        <v>68</v>
      </c>
      <c r="B349">
        <v>2013</v>
      </c>
      <c r="C349">
        <f t="shared" si="194"/>
        <v>993.72400000000005</v>
      </c>
      <c r="D349" s="1">
        <f t="shared" si="195"/>
        <v>20.73</v>
      </c>
      <c r="E349" s="1">
        <f t="shared" si="196"/>
        <v>20599.898520000002</v>
      </c>
      <c r="J349" s="3">
        <f t="shared" si="190"/>
        <v>993.72400000000005</v>
      </c>
      <c r="K349" s="1">
        <v>23.6</v>
      </c>
      <c r="L349" s="1">
        <v>23401.9</v>
      </c>
      <c r="M349" s="1">
        <f t="shared" si="192"/>
        <v>2802.001479999999</v>
      </c>
      <c r="N349" s="4">
        <f t="shared" si="193"/>
        <v>0.13602015938474626</v>
      </c>
    </row>
    <row r="351" spans="1:14" x14ac:dyDescent="0.35">
      <c r="A351" t="s">
        <v>172</v>
      </c>
      <c r="B351">
        <v>2009</v>
      </c>
      <c r="F351" s="3">
        <v>200</v>
      </c>
      <c r="G351" s="1">
        <v>7613.19</v>
      </c>
      <c r="I351" s="1">
        <v>13.03</v>
      </c>
      <c r="J351" s="3">
        <f t="shared" si="190"/>
        <v>200</v>
      </c>
      <c r="K351" s="1">
        <v>41.41</v>
      </c>
      <c r="L351" s="1">
        <f t="shared" si="191"/>
        <v>8282</v>
      </c>
      <c r="M351" s="1">
        <f>L351-G351-E351+I351</f>
        <v>681.84000000000037</v>
      </c>
      <c r="N351" s="4">
        <f t="shared" si="193"/>
        <v>8.9560355120521143E-2</v>
      </c>
    </row>
    <row r="352" spans="1:14" x14ac:dyDescent="0.35">
      <c r="A352" t="s">
        <v>172</v>
      </c>
      <c r="B352">
        <v>2010</v>
      </c>
      <c r="C352">
        <f>J351</f>
        <v>200</v>
      </c>
      <c r="D352" s="1">
        <f>K351</f>
        <v>41.41</v>
      </c>
      <c r="E352" s="1">
        <f>L351</f>
        <v>8282</v>
      </c>
      <c r="F352" s="3"/>
      <c r="I352" s="1">
        <v>111.67</v>
      </c>
      <c r="J352" s="3">
        <f t="shared" si="190"/>
        <v>200</v>
      </c>
      <c r="K352" s="1">
        <v>51.95</v>
      </c>
      <c r="L352" s="1">
        <f t="shared" ref="L352:L354" si="197">J352*K352</f>
        <v>10390</v>
      </c>
      <c r="M352" s="1">
        <f t="shared" ref="M352:M354" si="198">L352-G352-E352+I352</f>
        <v>2219.67</v>
      </c>
      <c r="N352" s="4">
        <f t="shared" ref="N352:N354" si="199">M352/(E352+G352)</f>
        <v>0.26801134991547937</v>
      </c>
    </row>
    <row r="353" spans="1:14" x14ac:dyDescent="0.35">
      <c r="A353" t="s">
        <v>172</v>
      </c>
      <c r="B353">
        <v>2011</v>
      </c>
      <c r="C353">
        <f t="shared" ref="C353:C355" si="200">J352</f>
        <v>200</v>
      </c>
      <c r="D353" s="1">
        <f t="shared" ref="D353:D355" si="201">K352</f>
        <v>51.95</v>
      </c>
      <c r="E353" s="1">
        <f t="shared" ref="E353:E355" si="202">L352</f>
        <v>10390</v>
      </c>
      <c r="F353" s="3">
        <v>200</v>
      </c>
      <c r="G353" s="1">
        <v>10987.79</v>
      </c>
      <c r="I353" s="1">
        <v>260.12</v>
      </c>
      <c r="J353" s="3">
        <f t="shared" si="190"/>
        <v>400</v>
      </c>
      <c r="K353" s="1">
        <v>50.31</v>
      </c>
      <c r="L353" s="1">
        <f t="shared" si="197"/>
        <v>20124</v>
      </c>
      <c r="M353" s="1">
        <f t="shared" si="198"/>
        <v>-993.67000000000087</v>
      </c>
      <c r="N353" s="4">
        <f t="shared" si="199"/>
        <v>-4.6481418331829477E-2</v>
      </c>
    </row>
    <row r="354" spans="1:14" x14ac:dyDescent="0.35">
      <c r="A354" t="s">
        <v>172</v>
      </c>
      <c r="B354">
        <v>2012</v>
      </c>
      <c r="C354">
        <f t="shared" si="200"/>
        <v>400</v>
      </c>
      <c r="D354" s="1">
        <f t="shared" si="201"/>
        <v>50.31</v>
      </c>
      <c r="E354" s="1">
        <f t="shared" si="202"/>
        <v>20124</v>
      </c>
      <c r="I354" s="1">
        <v>472.67</v>
      </c>
      <c r="J354" s="3">
        <f t="shared" si="190"/>
        <v>400</v>
      </c>
      <c r="K354" s="1">
        <v>56.71</v>
      </c>
      <c r="L354" s="1">
        <f t="shared" si="197"/>
        <v>22684</v>
      </c>
      <c r="M354" s="1">
        <f t="shared" si="198"/>
        <v>3032.67</v>
      </c>
      <c r="N354" s="4">
        <f t="shared" si="199"/>
        <v>0.15069916517590937</v>
      </c>
    </row>
    <row r="355" spans="1:14" x14ac:dyDescent="0.35">
      <c r="A355" t="s">
        <v>172</v>
      </c>
      <c r="B355">
        <v>2013</v>
      </c>
      <c r="C355">
        <f t="shared" si="200"/>
        <v>400</v>
      </c>
      <c r="D355" s="1">
        <f t="shared" si="201"/>
        <v>56.71</v>
      </c>
      <c r="E355" s="1">
        <f t="shared" si="202"/>
        <v>22684</v>
      </c>
      <c r="I355" s="1">
        <v>42.44</v>
      </c>
      <c r="J355" s="3">
        <v>400</v>
      </c>
      <c r="K355" s="1">
        <v>65.75</v>
      </c>
      <c r="L355" s="1">
        <v>26289.59</v>
      </c>
      <c r="M355" s="1">
        <f t="shared" ref="M355" si="203">L355-G355-E355+I355</f>
        <v>3648.03</v>
      </c>
      <c r="N355" s="4">
        <f t="shared" ref="N355:N360" si="204">M355/(E355+G355)</f>
        <v>0.16081952036677835</v>
      </c>
    </row>
    <row r="357" spans="1:14" x14ac:dyDescent="0.35">
      <c r="A357" t="s">
        <v>173</v>
      </c>
      <c r="B357">
        <v>2009</v>
      </c>
      <c r="F357" s="3">
        <v>200</v>
      </c>
      <c r="G357" s="1">
        <v>2925.79</v>
      </c>
      <c r="I357" s="1">
        <v>6</v>
      </c>
      <c r="J357" s="3">
        <f>C357+F357+H357</f>
        <v>200</v>
      </c>
      <c r="K357" s="1">
        <v>14.58</v>
      </c>
      <c r="L357" s="1">
        <f>J357*K357</f>
        <v>2916</v>
      </c>
      <c r="M357" s="1">
        <f>L357-G357-E357+I357</f>
        <v>-3.7899999999999636</v>
      </c>
      <c r="N357" s="4">
        <f t="shared" si="204"/>
        <v>-1.2953766333195355E-3</v>
      </c>
    </row>
    <row r="358" spans="1:14" x14ac:dyDescent="0.35">
      <c r="A358" t="s">
        <v>173</v>
      </c>
      <c r="B358">
        <v>2010</v>
      </c>
      <c r="C358">
        <f>J357</f>
        <v>200</v>
      </c>
      <c r="D358" s="1">
        <f>K357</f>
        <v>14.58</v>
      </c>
      <c r="E358" s="1">
        <f>L357</f>
        <v>2916</v>
      </c>
      <c r="F358" s="3">
        <v>300</v>
      </c>
      <c r="G358" s="1">
        <v>4026.95</v>
      </c>
      <c r="I358" s="1">
        <v>51</v>
      </c>
      <c r="J358" s="3">
        <f t="shared" ref="J358:J360" si="205">C358+F358+H358</f>
        <v>500</v>
      </c>
      <c r="K358" s="1">
        <v>13.39</v>
      </c>
      <c r="L358" s="1">
        <f>J358*K358</f>
        <v>6695</v>
      </c>
      <c r="M358" s="1">
        <f>L358-G358-E358+I358</f>
        <v>-196.94999999999982</v>
      </c>
      <c r="N358" s="4">
        <f t="shared" si="204"/>
        <v>-2.8366904557860825E-2</v>
      </c>
    </row>
    <row r="359" spans="1:14" x14ac:dyDescent="0.35">
      <c r="A359" t="s">
        <v>173</v>
      </c>
      <c r="B359">
        <v>2011</v>
      </c>
      <c r="C359">
        <f t="shared" ref="C359:C360" si="206">J358</f>
        <v>500</v>
      </c>
      <c r="D359" s="1">
        <f t="shared" ref="D359:D360" si="207">K358</f>
        <v>13.39</v>
      </c>
      <c r="E359" s="1">
        <f t="shared" ref="E359:E360" si="208">L358</f>
        <v>6695</v>
      </c>
      <c r="I359" s="1">
        <v>45</v>
      </c>
      <c r="J359" s="3">
        <f t="shared" si="205"/>
        <v>500</v>
      </c>
      <c r="K359" s="1">
        <v>10</v>
      </c>
      <c r="L359" s="1">
        <f>J359*K359</f>
        <v>5000</v>
      </c>
      <c r="M359" s="1">
        <f t="shared" ref="M359:M360" si="209">L359-G359-E359+I359</f>
        <v>-1650</v>
      </c>
      <c r="N359" s="4">
        <f t="shared" si="204"/>
        <v>-0.24645257654966393</v>
      </c>
    </row>
    <row r="360" spans="1:14" x14ac:dyDescent="0.35">
      <c r="A360" t="s">
        <v>173</v>
      </c>
      <c r="B360">
        <v>2012</v>
      </c>
      <c r="C360">
        <f t="shared" si="206"/>
        <v>500</v>
      </c>
      <c r="D360" s="1">
        <f t="shared" si="207"/>
        <v>10</v>
      </c>
      <c r="E360" s="1">
        <f t="shared" si="208"/>
        <v>5000</v>
      </c>
      <c r="I360" s="1">
        <v>60</v>
      </c>
      <c r="J360" s="3">
        <f t="shared" si="205"/>
        <v>500</v>
      </c>
      <c r="K360" s="1">
        <v>8.32</v>
      </c>
      <c r="L360" s="1">
        <v>4149.96</v>
      </c>
      <c r="M360" s="1">
        <f t="shared" si="209"/>
        <v>-790.04</v>
      </c>
      <c r="N360" s="4">
        <f t="shared" si="204"/>
        <v>-0.15800799999999998</v>
      </c>
    </row>
    <row r="362" spans="1:14" x14ac:dyDescent="0.35">
      <c r="A362" t="s">
        <v>174</v>
      </c>
      <c r="B362">
        <v>2009</v>
      </c>
      <c r="F362" s="3">
        <v>3201.0239999999999</v>
      </c>
      <c r="G362" s="1">
        <v>25000</v>
      </c>
      <c r="H362" s="3">
        <v>9.2319999999999993</v>
      </c>
      <c r="I362" s="1">
        <v>73.3</v>
      </c>
      <c r="J362" s="3">
        <f t="shared" ref="J362:J365" si="210">C362+F362+H362</f>
        <v>3210.2559999999999</v>
      </c>
      <c r="K362" s="1">
        <v>7.94</v>
      </c>
      <c r="L362" s="1">
        <f t="shared" ref="L362" si="211">J362*K362</f>
        <v>25489.432639999999</v>
      </c>
      <c r="M362" s="1">
        <f t="shared" ref="M362" si="212">L362-G362-E362</f>
        <v>489.43263999999908</v>
      </c>
      <c r="N362" s="4">
        <f t="shared" ref="N362" si="213">M362/(E362+G362)</f>
        <v>1.9577305599999963E-2</v>
      </c>
    </row>
    <row r="363" spans="1:14" x14ac:dyDescent="0.35">
      <c r="A363" t="s">
        <v>174</v>
      </c>
      <c r="B363">
        <v>2010</v>
      </c>
      <c r="C363">
        <f>J362</f>
        <v>3210.2559999999999</v>
      </c>
      <c r="D363" s="1">
        <f>K362</f>
        <v>7.94</v>
      </c>
      <c r="E363" s="1">
        <f>L362</f>
        <v>25489.432639999999</v>
      </c>
      <c r="H363" s="3">
        <v>94.659000000000006</v>
      </c>
      <c r="J363" s="3">
        <f t="shared" si="210"/>
        <v>3304.915</v>
      </c>
      <c r="K363" s="1">
        <v>8.42</v>
      </c>
      <c r="L363" s="1">
        <f t="shared" ref="L363:L365" si="214">J363*K363</f>
        <v>27827.384299999998</v>
      </c>
      <c r="M363" s="1">
        <f t="shared" ref="M363:M365" si="215">L363-G363-E363</f>
        <v>2337.9516599999988</v>
      </c>
      <c r="N363" s="4">
        <f t="shared" ref="N363:N365" si="216">M363/(E363+G363)</f>
        <v>9.1722389157109105E-2</v>
      </c>
    </row>
    <row r="364" spans="1:14" x14ac:dyDescent="0.35">
      <c r="A364" t="s">
        <v>174</v>
      </c>
      <c r="B364">
        <v>2011</v>
      </c>
      <c r="C364">
        <f t="shared" ref="C364:C366" si="217">J363</f>
        <v>3304.915</v>
      </c>
      <c r="D364" s="1">
        <f t="shared" ref="D364:D366" si="218">K363</f>
        <v>8.42</v>
      </c>
      <c r="E364" s="1">
        <f t="shared" ref="E364:E366" si="219">L363</f>
        <v>27827.384299999998</v>
      </c>
      <c r="H364" s="3">
        <v>21.12</v>
      </c>
      <c r="J364" s="3">
        <f t="shared" si="210"/>
        <v>3326.0349999999999</v>
      </c>
      <c r="K364" s="1">
        <v>7.5</v>
      </c>
      <c r="L364" s="1">
        <f t="shared" si="214"/>
        <v>24945.262499999997</v>
      </c>
      <c r="M364" s="1">
        <f t="shared" si="215"/>
        <v>-2882.1218000000008</v>
      </c>
      <c r="N364" s="4">
        <f t="shared" si="216"/>
        <v>-0.10357142334789983</v>
      </c>
    </row>
    <row r="365" spans="1:14" x14ac:dyDescent="0.35">
      <c r="A365" t="s">
        <v>174</v>
      </c>
      <c r="B365">
        <v>2012</v>
      </c>
      <c r="C365">
        <f t="shared" si="217"/>
        <v>3326.0349999999999</v>
      </c>
      <c r="D365" s="1">
        <f t="shared" si="218"/>
        <v>7.5</v>
      </c>
      <c r="E365" s="1">
        <f t="shared" si="219"/>
        <v>24945.262499999997</v>
      </c>
      <c r="H365" s="3">
        <v>56.753999999999998</v>
      </c>
      <c r="I365" s="1">
        <v>435.3</v>
      </c>
      <c r="J365" s="3">
        <f t="shared" si="210"/>
        <v>3382.7889999999998</v>
      </c>
      <c r="K365" s="1">
        <v>7.67</v>
      </c>
      <c r="L365" s="1">
        <f t="shared" si="214"/>
        <v>25945.991629999997</v>
      </c>
      <c r="M365" s="1">
        <f t="shared" si="215"/>
        <v>1000.7291299999997</v>
      </c>
      <c r="N365" s="4">
        <f t="shared" si="216"/>
        <v>4.0117001374509478E-2</v>
      </c>
    </row>
    <row r="366" spans="1:14" x14ac:dyDescent="0.35">
      <c r="A366" t="s">
        <v>174</v>
      </c>
      <c r="B366">
        <v>2013</v>
      </c>
      <c r="C366">
        <f t="shared" si="217"/>
        <v>3382.7889999999998</v>
      </c>
      <c r="D366" s="1">
        <f t="shared" si="218"/>
        <v>7.67</v>
      </c>
      <c r="E366" s="1">
        <f t="shared" si="219"/>
        <v>25945.991629999997</v>
      </c>
      <c r="J366" s="3">
        <v>3660.2190000000001</v>
      </c>
      <c r="K366" s="1">
        <v>8</v>
      </c>
      <c r="L366" s="1">
        <v>29281.75</v>
      </c>
      <c r="M366" s="1">
        <f t="shared" ref="M366" si="220">L366-G366-E366</f>
        <v>3335.7583700000032</v>
      </c>
      <c r="N366" s="4">
        <f t="shared" ref="N366:N368" si="221">M366/(E366+G366)</f>
        <v>0.12856546080678757</v>
      </c>
    </row>
    <row r="368" spans="1:14" x14ac:dyDescent="0.35">
      <c r="A368" t="s">
        <v>175</v>
      </c>
      <c r="B368">
        <v>2009</v>
      </c>
      <c r="F368" s="3">
        <v>2000</v>
      </c>
      <c r="G368" s="1">
        <v>4409.79</v>
      </c>
      <c r="J368" s="3">
        <f>C368+F368+H368</f>
        <v>2000</v>
      </c>
      <c r="K368" s="1">
        <v>2.42</v>
      </c>
      <c r="L368" s="1">
        <f>J368*K368</f>
        <v>4840</v>
      </c>
      <c r="M368" s="1">
        <f>L368-G368-E368</f>
        <v>430.21000000000004</v>
      </c>
      <c r="N368" s="4">
        <f t="shared" si="221"/>
        <v>9.755793359774502E-2</v>
      </c>
    </row>
    <row r="369" spans="1:14" x14ac:dyDescent="0.35">
      <c r="A369" t="s">
        <v>175</v>
      </c>
      <c r="B369">
        <v>2010</v>
      </c>
      <c r="C369">
        <f t="shared" ref="C369:E370" si="222">J368</f>
        <v>2000</v>
      </c>
      <c r="D369" s="1">
        <f t="shared" si="222"/>
        <v>2.42</v>
      </c>
      <c r="E369" s="1">
        <f t="shared" si="222"/>
        <v>4840</v>
      </c>
      <c r="J369" s="3">
        <f>C369+F369+H369</f>
        <v>2000</v>
      </c>
      <c r="K369" s="1">
        <v>5.52</v>
      </c>
      <c r="L369" s="1">
        <f t="shared" ref="L369:L370" si="223">J369*K369</f>
        <v>11040</v>
      </c>
      <c r="M369" s="1">
        <f t="shared" ref="M369:M370" si="224">L369-G369-E369</f>
        <v>6200</v>
      </c>
      <c r="N369" s="4">
        <f t="shared" ref="N369:N370" si="225">M369/(E369+G369)</f>
        <v>1.28099173553719</v>
      </c>
    </row>
    <row r="370" spans="1:14" x14ac:dyDescent="0.35">
      <c r="A370" t="s">
        <v>175</v>
      </c>
      <c r="B370">
        <v>2011</v>
      </c>
      <c r="C370">
        <f t="shared" si="222"/>
        <v>2000</v>
      </c>
      <c r="D370" s="1">
        <f t="shared" si="222"/>
        <v>5.52</v>
      </c>
      <c r="E370" s="1">
        <f t="shared" si="222"/>
        <v>11040</v>
      </c>
      <c r="J370" s="3">
        <f>C370+F370+H370</f>
        <v>2000</v>
      </c>
      <c r="K370" s="1">
        <v>10.98</v>
      </c>
      <c r="L370" s="1">
        <f t="shared" si="223"/>
        <v>21960</v>
      </c>
      <c r="M370" s="1">
        <f t="shared" si="224"/>
        <v>10920</v>
      </c>
      <c r="N370" s="4">
        <f t="shared" si="225"/>
        <v>0.98913043478260865</v>
      </c>
    </row>
    <row r="371" spans="1:14" x14ac:dyDescent="0.35">
      <c r="M371" s="1"/>
    </row>
    <row r="372" spans="1:14" x14ac:dyDescent="0.35">
      <c r="A372" t="s">
        <v>176</v>
      </c>
      <c r="B372">
        <v>2011</v>
      </c>
      <c r="F372" s="3">
        <v>3916.4490000000001</v>
      </c>
      <c r="G372" s="1">
        <v>30049.99</v>
      </c>
      <c r="J372" s="3">
        <v>3916.4490000000001</v>
      </c>
      <c r="K372" s="1">
        <v>5.66</v>
      </c>
      <c r="L372" s="1">
        <v>22117.11</v>
      </c>
      <c r="M372" s="1">
        <f t="shared" ref="M372" si="226">L372-G372-E372</f>
        <v>-7932.880000000001</v>
      </c>
      <c r="N372" s="4">
        <f t="shared" ref="N372" si="227">M372/(E372+G372)</f>
        <v>-0.26398943893159366</v>
      </c>
    </row>
    <row r="373" spans="1:14" x14ac:dyDescent="0.35">
      <c r="A373" t="s">
        <v>177</v>
      </c>
      <c r="B373">
        <v>2011</v>
      </c>
      <c r="F373" s="3">
        <v>2000</v>
      </c>
      <c r="G373" s="1">
        <v>11169.79</v>
      </c>
      <c r="J373" s="3">
        <v>2000</v>
      </c>
      <c r="K373" s="1">
        <v>3.66</v>
      </c>
      <c r="L373" s="1">
        <v>7310.26</v>
      </c>
      <c r="M373" s="1">
        <f t="shared" ref="M373" si="228">L373-G373-E373</f>
        <v>-3859.5300000000007</v>
      </c>
      <c r="N373" s="4">
        <f t="shared" ref="N373" si="229">M373/(E373+G373)</f>
        <v>-0.34553290616922971</v>
      </c>
    </row>
    <row r="374" spans="1:14" x14ac:dyDescent="0.35">
      <c r="F374" s="3"/>
      <c r="M374" s="1"/>
    </row>
    <row r="375" spans="1:14" x14ac:dyDescent="0.35">
      <c r="A375" t="s">
        <v>178</v>
      </c>
      <c r="B375">
        <v>2011</v>
      </c>
      <c r="F375" s="3">
        <v>1000</v>
      </c>
      <c r="G375" s="1">
        <v>2287.9899999999998</v>
      </c>
      <c r="M375" s="1"/>
    </row>
    <row r="376" spans="1:14" x14ac:dyDescent="0.35">
      <c r="A376" t="s">
        <v>178</v>
      </c>
      <c r="B376">
        <v>2012</v>
      </c>
      <c r="F376" s="3"/>
      <c r="J376" s="3">
        <v>1000</v>
      </c>
      <c r="K376" s="1">
        <v>0.49</v>
      </c>
      <c r="L376" s="1">
        <v>480.29</v>
      </c>
      <c r="M376" s="1">
        <f>L376-G375</f>
        <v>-1807.6999999999998</v>
      </c>
      <c r="N376" s="4">
        <f>M376/(E376+G375)</f>
        <v>-0.79008212448480986</v>
      </c>
    </row>
    <row r="377" spans="1:14" x14ac:dyDescent="0.35">
      <c r="A377" t="s">
        <v>179</v>
      </c>
      <c r="B377">
        <v>2011</v>
      </c>
      <c r="F377" s="3">
        <v>1086.7280000000001</v>
      </c>
      <c r="G377" s="1">
        <v>44879.9</v>
      </c>
      <c r="H377" s="3">
        <v>128.51900000000001</v>
      </c>
      <c r="I377" s="1">
        <v>4363.8</v>
      </c>
      <c r="J377" s="3">
        <f t="shared" ref="J377" si="230">C377+F377+H377</f>
        <v>1215.2470000000001</v>
      </c>
      <c r="K377" s="1">
        <v>34.14</v>
      </c>
      <c r="L377" s="1">
        <f>J377*K377</f>
        <v>41488.532580000006</v>
      </c>
      <c r="M377" s="1">
        <f>L377-G377-E377</f>
        <v>-3391.367419999995</v>
      </c>
      <c r="N377" s="4">
        <f>M377/(E377+G377)</f>
        <v>-7.5565396090454637E-2</v>
      </c>
    </row>
    <row r="378" spans="1:14" x14ac:dyDescent="0.35">
      <c r="A378" t="s">
        <v>179</v>
      </c>
      <c r="B378">
        <v>2012</v>
      </c>
      <c r="C378">
        <f>J377</f>
        <v>1215.2470000000001</v>
      </c>
      <c r="D378" s="1">
        <f>K377</f>
        <v>34.14</v>
      </c>
      <c r="E378" s="1">
        <f>L377</f>
        <v>41488.532580000006</v>
      </c>
      <c r="F378" s="3"/>
      <c r="J378" s="3">
        <v>1212.0550000000001</v>
      </c>
      <c r="K378" s="1">
        <v>30.75</v>
      </c>
      <c r="L378" s="1">
        <f>J378*K378</f>
        <v>37270.691250000003</v>
      </c>
      <c r="M378" s="1">
        <f>L378-G378-E378</f>
        <v>-4217.8413300000029</v>
      </c>
      <c r="N378" s="4">
        <f>M378/(E378+G378)</f>
        <v>-0.10166282265748919</v>
      </c>
    </row>
    <row r="380" spans="1:14" x14ac:dyDescent="0.35">
      <c r="A380" t="s">
        <v>180</v>
      </c>
      <c r="B380">
        <v>2013</v>
      </c>
      <c r="F380" s="3">
        <v>2000</v>
      </c>
      <c r="G380" s="1">
        <v>29944.99</v>
      </c>
      <c r="I380" s="1">
        <v>200</v>
      </c>
      <c r="J380" s="3">
        <f t="shared" ref="J380" si="231">C380+F380+H380</f>
        <v>2000</v>
      </c>
      <c r="K380" s="1">
        <v>17.82</v>
      </c>
      <c r="L380" s="1">
        <f>J380*K380</f>
        <v>35640</v>
      </c>
      <c r="M380" s="1">
        <f t="shared" ref="M380" si="232">L380-G380-E380+I380</f>
        <v>5895.0099999999984</v>
      </c>
      <c r="N380" s="4">
        <f t="shared" ref="N380" si="233">M380/(E380+G380)</f>
        <v>0.19686131135792659</v>
      </c>
    </row>
    <row r="381" spans="1:14" x14ac:dyDescent="0.35">
      <c r="A381" t="s">
        <v>180</v>
      </c>
      <c r="B381">
        <v>2014</v>
      </c>
      <c r="C381">
        <f t="shared" ref="C381:E382" si="234">J380</f>
        <v>2000</v>
      </c>
      <c r="D381" s="1">
        <f t="shared" si="234"/>
        <v>17.82</v>
      </c>
      <c r="E381" s="1">
        <f t="shared" si="234"/>
        <v>35640</v>
      </c>
      <c r="I381" s="1">
        <v>800</v>
      </c>
      <c r="J381" s="3">
        <f t="shared" ref="J381:J382" si="235">C381+F381+H381</f>
        <v>2000</v>
      </c>
      <c r="K381" s="1">
        <v>22.93</v>
      </c>
      <c r="L381" s="1">
        <f t="shared" ref="L381" si="236">J381*K381</f>
        <v>45860</v>
      </c>
      <c r="M381" s="1">
        <f t="shared" ref="M381:M382" si="237">L381-G381-E381+I381</f>
        <v>11020</v>
      </c>
      <c r="N381" s="4">
        <f t="shared" ref="N381:N382" si="238">M381/(E381+G381)</f>
        <v>0.30920314253647585</v>
      </c>
    </row>
    <row r="382" spans="1:14" x14ac:dyDescent="0.35">
      <c r="A382" t="s">
        <v>180</v>
      </c>
      <c r="B382">
        <v>2015</v>
      </c>
      <c r="C382">
        <f t="shared" si="234"/>
        <v>2000</v>
      </c>
      <c r="D382" s="1">
        <f t="shared" si="234"/>
        <v>22.93</v>
      </c>
      <c r="E382" s="1">
        <f t="shared" si="234"/>
        <v>45860</v>
      </c>
      <c r="I382" s="1">
        <v>240</v>
      </c>
      <c r="J382" s="3">
        <f t="shared" si="235"/>
        <v>2000</v>
      </c>
      <c r="K382" s="1">
        <v>21.43</v>
      </c>
      <c r="L382" s="1">
        <v>42860.22</v>
      </c>
      <c r="M382" s="1">
        <f t="shared" si="237"/>
        <v>-2759.7799999999988</v>
      </c>
      <c r="N382" s="4">
        <f t="shared" si="238"/>
        <v>-6.0178368948975117E-2</v>
      </c>
    </row>
    <row r="383" spans="1:14" x14ac:dyDescent="0.35">
      <c r="M383" s="1"/>
    </row>
    <row r="384" spans="1:14" x14ac:dyDescent="0.35">
      <c r="A384" t="s">
        <v>181</v>
      </c>
      <c r="B384">
        <v>2015</v>
      </c>
      <c r="F384" s="3">
        <v>120</v>
      </c>
      <c r="G384" s="1">
        <v>11172.39</v>
      </c>
      <c r="I384" s="1">
        <v>118.56</v>
      </c>
      <c r="J384" s="3">
        <f t="shared" ref="J384" si="239">C384+F384+H384</f>
        <v>120</v>
      </c>
      <c r="K384" s="1">
        <v>88.36</v>
      </c>
      <c r="L384" s="1">
        <f>J384*K384</f>
        <v>10603.2</v>
      </c>
      <c r="M384" s="1">
        <f t="shared" ref="M384" si="240">L384-G384-E384+I384</f>
        <v>-450.62999999999869</v>
      </c>
      <c r="N384" s="4">
        <f t="shared" ref="N384" si="241">M384/(E384+G384)</f>
        <v>-4.0334252563685898E-2</v>
      </c>
    </row>
    <row r="386" spans="1:14" x14ac:dyDescent="0.35">
      <c r="A386" t="s">
        <v>182</v>
      </c>
      <c r="B386">
        <v>2015</v>
      </c>
      <c r="F386" s="3">
        <v>500</v>
      </c>
      <c r="G386" s="1">
        <v>40118.639999999999</v>
      </c>
      <c r="I386" s="1">
        <v>662.9</v>
      </c>
      <c r="J386" s="3">
        <f t="shared" ref="J386" si="242">C386+F386+H386</f>
        <v>500</v>
      </c>
      <c r="K386" s="1">
        <v>79.81</v>
      </c>
      <c r="L386" s="1">
        <f t="shared" ref="L386" si="243">J386*K386</f>
        <v>39905</v>
      </c>
      <c r="M386" s="1">
        <f t="shared" ref="M386" si="244">L386-G386-E386+I386</f>
        <v>449.26000000000056</v>
      </c>
      <c r="N386" s="4">
        <f t="shared" ref="N386" si="245">M386/(E386+G386)</f>
        <v>1.1198285884067868E-2</v>
      </c>
    </row>
    <row r="387" spans="1:14" x14ac:dyDescent="0.35">
      <c r="A387" t="s">
        <v>182</v>
      </c>
      <c r="B387">
        <v>2016</v>
      </c>
      <c r="C387">
        <v>500</v>
      </c>
      <c r="D387" s="1">
        <f>K386</f>
        <v>79.81</v>
      </c>
      <c r="E387" s="1">
        <f>L386</f>
        <v>39905</v>
      </c>
      <c r="F387" s="3">
        <v>100</v>
      </c>
      <c r="G387" s="1">
        <v>8209.61</v>
      </c>
      <c r="I387" s="1">
        <v>733.15</v>
      </c>
      <c r="J387" s="3">
        <v>600</v>
      </c>
      <c r="K387" s="1">
        <v>83.04</v>
      </c>
      <c r="L387" s="1">
        <f t="shared" ref="L387" si="246">J387*K387</f>
        <v>49824.000000000007</v>
      </c>
      <c r="M387" s="1">
        <f t="shared" ref="M387" si="247">L387-G387-E387+I387</f>
        <v>2442.5400000000068</v>
      </c>
      <c r="N387" s="4">
        <f t="shared" ref="N387" si="248">M387/(E387+G387)</f>
        <v>5.076503789597394E-2</v>
      </c>
    </row>
    <row r="388" spans="1:14" x14ac:dyDescent="0.35">
      <c r="F388" s="3"/>
      <c r="M388" s="1"/>
    </row>
    <row r="389" spans="1:14" x14ac:dyDescent="0.35">
      <c r="A389" t="s">
        <v>183</v>
      </c>
      <c r="B389">
        <v>2015</v>
      </c>
      <c r="F389" s="3">
        <v>350</v>
      </c>
      <c r="G389" s="1">
        <v>38642.99</v>
      </c>
      <c r="I389" s="1">
        <v>121.45</v>
      </c>
      <c r="J389" s="1">
        <v>350</v>
      </c>
      <c r="K389" s="1">
        <v>100.31</v>
      </c>
      <c r="L389" s="1">
        <v>35097.9</v>
      </c>
      <c r="M389" s="1">
        <f t="shared" ref="M389" si="249">L389-G389-E389+I389</f>
        <v>-3423.6399999999967</v>
      </c>
      <c r="N389" s="4">
        <f t="shared" ref="N389:N390" si="250">M389/(E389+G389)</f>
        <v>-8.8596663974500861E-2</v>
      </c>
    </row>
    <row r="390" spans="1:14" x14ac:dyDescent="0.35">
      <c r="A390" t="s">
        <v>184</v>
      </c>
      <c r="B390">
        <v>2015</v>
      </c>
      <c r="F390" s="3">
        <v>500</v>
      </c>
      <c r="G390" s="1">
        <v>17552.689999999999</v>
      </c>
      <c r="J390" s="3">
        <v>500</v>
      </c>
      <c r="K390" s="1">
        <v>35.54</v>
      </c>
      <c r="L390" s="1">
        <f>K390*J390</f>
        <v>17770</v>
      </c>
      <c r="M390" s="1">
        <f>L390-G390</f>
        <v>217.31000000000131</v>
      </c>
      <c r="N390" s="4">
        <f t="shared" si="250"/>
        <v>1.238043855386276E-2</v>
      </c>
    </row>
    <row r="391" spans="1:14" x14ac:dyDescent="0.35">
      <c r="A391" t="s">
        <v>184</v>
      </c>
      <c r="B391">
        <v>2016</v>
      </c>
      <c r="C391">
        <v>500</v>
      </c>
      <c r="D391" s="1">
        <v>35.54</v>
      </c>
      <c r="E391" s="1">
        <v>17770</v>
      </c>
      <c r="J391" s="3">
        <v>500</v>
      </c>
      <c r="K391" s="1">
        <v>30.01</v>
      </c>
      <c r="L391" s="1">
        <v>14992.18</v>
      </c>
      <c r="M391" s="1">
        <f>L391-E391</f>
        <v>-2777.8199999999997</v>
      </c>
      <c r="N391" s="4">
        <f t="shared" ref="N391" si="251">M391/(E391+G391)</f>
        <v>-0.15632076533483397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4"/>
  <sheetViews>
    <sheetView tabSelected="1" topLeftCell="A15" workbookViewId="0">
      <selection activeCell="K30" sqref="K30"/>
    </sheetView>
  </sheetViews>
  <sheetFormatPr defaultRowHeight="14.5" x14ac:dyDescent="0.35"/>
  <cols>
    <col min="4" max="4" width="9.81640625" bestFit="1" customWidth="1"/>
    <col min="5" max="5" width="10.81640625" bestFit="1" customWidth="1"/>
    <col min="7" max="7" width="10.81640625" bestFit="1" customWidth="1"/>
    <col min="9" max="9" width="9.81640625" bestFit="1" customWidth="1"/>
    <col min="12" max="13" width="10.81640625" bestFit="1" customWidth="1"/>
    <col min="14" max="14" width="10.26953125" customWidth="1"/>
  </cols>
  <sheetData>
    <row r="1" spans="1:15" x14ac:dyDescent="0.35">
      <c r="A1" s="40" t="s">
        <v>74</v>
      </c>
      <c r="B1" s="41" t="s">
        <v>75</v>
      </c>
      <c r="C1" s="42" t="s">
        <v>76</v>
      </c>
      <c r="D1" s="41" t="s">
        <v>77</v>
      </c>
      <c r="E1" s="41" t="s">
        <v>78</v>
      </c>
      <c r="F1" s="41" t="s">
        <v>79</v>
      </c>
      <c r="G1" s="41" t="s">
        <v>80</v>
      </c>
      <c r="H1" s="41" t="s">
        <v>81</v>
      </c>
      <c r="I1" s="41" t="s">
        <v>82</v>
      </c>
      <c r="J1" s="41" t="s">
        <v>83</v>
      </c>
      <c r="K1" s="41" t="s">
        <v>84</v>
      </c>
      <c r="L1" s="41" t="s">
        <v>85</v>
      </c>
      <c r="M1" s="41" t="s">
        <v>86</v>
      </c>
      <c r="N1" s="41" t="s">
        <v>87</v>
      </c>
      <c r="O1" s="41" t="s">
        <v>165</v>
      </c>
    </row>
    <row r="2" spans="1:15" hidden="1" x14ac:dyDescent="0.35">
      <c r="A2" t="s">
        <v>49</v>
      </c>
      <c r="B2">
        <v>2015</v>
      </c>
      <c r="C2" s="7">
        <v>300</v>
      </c>
      <c r="D2" s="1">
        <v>115.02</v>
      </c>
      <c r="E2" s="1">
        <v>34515.99</v>
      </c>
      <c r="J2">
        <f>C2+F2+H2</f>
        <v>300</v>
      </c>
      <c r="K2" s="1">
        <v>115.02</v>
      </c>
      <c r="L2" s="1">
        <f>J2*K2</f>
        <v>34506</v>
      </c>
      <c r="M2" s="1">
        <f>L2-E2</f>
        <v>-9.9899999999979627</v>
      </c>
      <c r="N2" s="5">
        <f>M2/E2</f>
        <v>-2.8943107238117645E-4</v>
      </c>
      <c r="O2" s="5"/>
    </row>
    <row r="3" spans="1:15" hidden="1" x14ac:dyDescent="0.35">
      <c r="A3" t="s">
        <v>49</v>
      </c>
      <c r="B3">
        <v>2016</v>
      </c>
      <c r="C3" s="7">
        <v>300</v>
      </c>
      <c r="D3" s="1">
        <f>K2</f>
        <v>115.02</v>
      </c>
      <c r="E3" s="1">
        <f>L2</f>
        <v>34506</v>
      </c>
      <c r="I3" s="1">
        <v>669</v>
      </c>
      <c r="J3">
        <f>C3+F3+H3</f>
        <v>300</v>
      </c>
      <c r="K3" s="1">
        <v>115.55</v>
      </c>
      <c r="L3" s="1">
        <f>(J3*K3)</f>
        <v>34665</v>
      </c>
      <c r="M3" s="1">
        <f>L3-E3+I3</f>
        <v>828</v>
      </c>
      <c r="N3" s="5">
        <f>M3/E3</f>
        <v>2.3995826812728223E-2</v>
      </c>
      <c r="O3" s="5">
        <f t="shared" ref="O3:O83" si="0">I3/(L3-I3)</f>
        <v>1.9678785739498765E-2</v>
      </c>
    </row>
    <row r="4" spans="1:15" x14ac:dyDescent="0.35">
      <c r="A4" t="s">
        <v>49</v>
      </c>
      <c r="B4">
        <v>2017</v>
      </c>
      <c r="C4" s="7">
        <f>J3</f>
        <v>300</v>
      </c>
      <c r="D4" s="1">
        <f>K3</f>
        <v>115.55</v>
      </c>
      <c r="E4" s="1">
        <f>L3</f>
        <v>34665</v>
      </c>
      <c r="I4" s="1">
        <v>171</v>
      </c>
      <c r="J4">
        <v>300</v>
      </c>
      <c r="K4" s="1">
        <v>139.1</v>
      </c>
      <c r="L4" s="1">
        <f>(J4*K4)</f>
        <v>41730</v>
      </c>
      <c r="M4" s="1">
        <f>L4-E4+I4</f>
        <v>7236</v>
      </c>
      <c r="N4" s="5">
        <f>M4/E4</f>
        <v>0.20874080484638685</v>
      </c>
      <c r="O4" s="5">
        <f t="shared" ref="O4" si="1">I4/(L4-I4)</f>
        <v>4.1146322096296834E-3</v>
      </c>
    </row>
    <row r="5" spans="1:15" hidden="1" x14ac:dyDescent="0.35">
      <c r="A5" s="7" t="s">
        <v>50</v>
      </c>
      <c r="B5">
        <v>2016</v>
      </c>
      <c r="C5" s="7">
        <v>400</v>
      </c>
      <c r="D5" s="1">
        <v>50.44</v>
      </c>
      <c r="E5" s="1">
        <v>20184.79</v>
      </c>
      <c r="J5">
        <v>400</v>
      </c>
      <c r="K5" s="1">
        <v>53.85</v>
      </c>
      <c r="L5" s="1">
        <v>21652</v>
      </c>
      <c r="M5" s="1">
        <f>L5-E5</f>
        <v>1467.2099999999991</v>
      </c>
      <c r="N5" s="5">
        <f>M5/E5</f>
        <v>7.2688890991682298E-2</v>
      </c>
      <c r="O5" s="5"/>
    </row>
    <row r="6" spans="1:15" x14ac:dyDescent="0.35">
      <c r="A6" s="7" t="s">
        <v>50</v>
      </c>
      <c r="B6">
        <v>2017</v>
      </c>
      <c r="C6" s="7">
        <f>J5</f>
        <v>400</v>
      </c>
      <c r="D6" s="31">
        <f t="shared" ref="D6:E6" si="2">K5</f>
        <v>53.85</v>
      </c>
      <c r="E6" s="31">
        <f t="shared" si="2"/>
        <v>21652</v>
      </c>
      <c r="J6">
        <v>400</v>
      </c>
      <c r="K6" s="1">
        <v>62.71</v>
      </c>
      <c r="L6" s="1">
        <f>(J6*K6)</f>
        <v>25084</v>
      </c>
      <c r="M6" s="1">
        <f>L6-E6+I6</f>
        <v>3432</v>
      </c>
      <c r="N6" s="5">
        <f>M6/E6</f>
        <v>0.15850729724736745</v>
      </c>
      <c r="O6" s="5"/>
    </row>
    <row r="7" spans="1:15" hidden="1" x14ac:dyDescent="0.35">
      <c r="A7" t="s">
        <v>51</v>
      </c>
      <c r="B7">
        <v>2015</v>
      </c>
      <c r="C7" s="7">
        <v>300</v>
      </c>
      <c r="D7" s="1">
        <v>60.64</v>
      </c>
      <c r="E7" s="1">
        <v>18201.990000000002</v>
      </c>
      <c r="F7">
        <v>100</v>
      </c>
      <c r="G7" s="1">
        <v>6631.24</v>
      </c>
      <c r="J7">
        <v>400</v>
      </c>
      <c r="K7" s="1">
        <v>77.84</v>
      </c>
      <c r="L7" s="1">
        <f>K7*J7</f>
        <v>31136</v>
      </c>
      <c r="M7" s="1">
        <f>L7-E7-G7</f>
        <v>6302.7699999999986</v>
      </c>
      <c r="N7" s="5">
        <f>M7/(E7+G7)</f>
        <v>0.25380387488860684</v>
      </c>
      <c r="O7" s="5"/>
    </row>
    <row r="8" spans="1:15" hidden="1" x14ac:dyDescent="0.35">
      <c r="A8" t="s">
        <v>51</v>
      </c>
      <c r="B8">
        <v>2016</v>
      </c>
      <c r="C8" s="7">
        <v>400</v>
      </c>
      <c r="D8" s="1">
        <f>K7</f>
        <v>77.84</v>
      </c>
      <c r="E8" s="1">
        <f>L7</f>
        <v>31136</v>
      </c>
      <c r="J8">
        <v>400</v>
      </c>
      <c r="K8" s="1">
        <v>96.77</v>
      </c>
      <c r="L8" s="1">
        <v>38708</v>
      </c>
      <c r="M8" s="1">
        <f>L8-E8-G8</f>
        <v>7572</v>
      </c>
      <c r="N8" s="5">
        <f>M8/(E8+G8)</f>
        <v>0.24319116135662899</v>
      </c>
      <c r="O8" s="5"/>
    </row>
    <row r="9" spans="1:15" x14ac:dyDescent="0.35">
      <c r="A9" t="s">
        <v>51</v>
      </c>
      <c r="B9">
        <v>2017</v>
      </c>
      <c r="C9" s="7">
        <f>J8</f>
        <v>400</v>
      </c>
      <c r="D9" s="31">
        <f t="shared" ref="D9" si="3">K8</f>
        <v>96.77</v>
      </c>
      <c r="E9" s="31">
        <f t="shared" ref="E9" si="4">L8</f>
        <v>38708</v>
      </c>
      <c r="J9">
        <v>400</v>
      </c>
      <c r="K9" s="1">
        <v>119.61</v>
      </c>
      <c r="L9" s="1">
        <f>(J9*K9)</f>
        <v>47844</v>
      </c>
      <c r="M9" s="1">
        <f>L9-E9+I9</f>
        <v>9136</v>
      </c>
      <c r="N9" s="5">
        <f>M9/E9</f>
        <v>0.23602356102097757</v>
      </c>
      <c r="O9" s="5">
        <f t="shared" ref="O9" si="5">I9/(L9-I9)</f>
        <v>0</v>
      </c>
    </row>
    <row r="10" spans="1:15" hidden="1" x14ac:dyDescent="0.35">
      <c r="A10" t="s">
        <v>52</v>
      </c>
      <c r="B10">
        <v>2016</v>
      </c>
      <c r="C10" s="7">
        <v>10000</v>
      </c>
      <c r="D10" s="1">
        <v>6.31</v>
      </c>
      <c r="E10" s="1">
        <v>63098.95</v>
      </c>
      <c r="I10" s="1">
        <v>2598.39</v>
      </c>
      <c r="J10">
        <v>10000</v>
      </c>
      <c r="K10" s="1">
        <v>6.77</v>
      </c>
      <c r="L10" s="1">
        <v>67700</v>
      </c>
      <c r="M10" s="1">
        <f>L10-E10+I10</f>
        <v>7199.4400000000023</v>
      </c>
      <c r="N10" s="5">
        <f>M10/E10</f>
        <v>0.11409761969097747</v>
      </c>
      <c r="O10" s="5">
        <f>(I10+882)/(L10-I10)</f>
        <v>5.3460889830527998E-2</v>
      </c>
    </row>
    <row r="11" spans="1:15" x14ac:dyDescent="0.35">
      <c r="A11" t="s">
        <v>52</v>
      </c>
      <c r="B11">
        <v>2017</v>
      </c>
      <c r="C11" s="7">
        <f>J10</f>
        <v>10000</v>
      </c>
      <c r="D11" s="31">
        <f t="shared" ref="D11" si="6">K10</f>
        <v>6.77</v>
      </c>
      <c r="E11" s="31">
        <f t="shared" ref="E11" si="7">L10</f>
        <v>67700</v>
      </c>
      <c r="I11" s="1">
        <v>687.84</v>
      </c>
      <c r="J11">
        <v>10000</v>
      </c>
      <c r="K11" s="1">
        <v>6.98</v>
      </c>
      <c r="L11" s="1">
        <f>(J11*K11)</f>
        <v>69800</v>
      </c>
      <c r="M11" s="1">
        <f>L11-E11+I11</f>
        <v>2787.84</v>
      </c>
      <c r="N11" s="5">
        <f>M11/E11</f>
        <v>4.1179320531757754E-2</v>
      </c>
      <c r="O11" s="5">
        <f t="shared" ref="O11" si="8">I11/(L11-I11)</f>
        <v>9.9525177624313864E-3</v>
      </c>
    </row>
    <row r="12" spans="1:15" hidden="1" x14ac:dyDescent="0.35">
      <c r="A12" t="s">
        <v>53</v>
      </c>
      <c r="B12">
        <v>2016</v>
      </c>
      <c r="C12" s="7">
        <v>5000</v>
      </c>
      <c r="D12" s="1">
        <v>7.38</v>
      </c>
      <c r="E12" s="1">
        <v>36903.949999999997</v>
      </c>
      <c r="I12" s="1">
        <v>257.08999999999997</v>
      </c>
      <c r="J12">
        <v>5000</v>
      </c>
      <c r="K12" s="1">
        <v>11</v>
      </c>
      <c r="L12" s="1">
        <v>55000</v>
      </c>
      <c r="M12" s="1">
        <f t="shared" ref="M12:M14" si="9">L12-E12+I12</f>
        <v>18353.140000000003</v>
      </c>
      <c r="N12" s="5">
        <f t="shared" ref="N12:N14" si="10">M12/E12</f>
        <v>0.49732183140287162</v>
      </c>
      <c r="O12" s="5">
        <f>(I12+975)/(L12-I12)</f>
        <v>2.2506841525231303E-2</v>
      </c>
    </row>
    <row r="13" spans="1:15" x14ac:dyDescent="0.35">
      <c r="A13" t="s">
        <v>53</v>
      </c>
      <c r="B13">
        <v>2017</v>
      </c>
      <c r="C13" s="7">
        <f>J12</f>
        <v>5000</v>
      </c>
      <c r="D13" s="31">
        <f t="shared" ref="D13" si="11">K12</f>
        <v>11</v>
      </c>
      <c r="E13" s="31">
        <f t="shared" ref="E13" si="12">L12</f>
        <v>55000</v>
      </c>
      <c r="I13" s="1"/>
      <c r="J13">
        <v>5000</v>
      </c>
      <c r="K13" s="1">
        <v>11.18</v>
      </c>
      <c r="L13" s="1">
        <f>(J13*K13)</f>
        <v>55900</v>
      </c>
      <c r="M13" s="1">
        <f>L13-E13+I13</f>
        <v>900</v>
      </c>
      <c r="N13" s="5">
        <f>M13/E13</f>
        <v>1.6363636363636365E-2</v>
      </c>
      <c r="O13" s="5">
        <f t="shared" ref="O13" si="13">I13/(L13-I13)</f>
        <v>0</v>
      </c>
    </row>
    <row r="14" spans="1:15" hidden="1" x14ac:dyDescent="0.35">
      <c r="A14" t="s">
        <v>54</v>
      </c>
      <c r="B14">
        <v>2016</v>
      </c>
      <c r="C14" s="7">
        <v>200</v>
      </c>
      <c r="D14">
        <v>174.45</v>
      </c>
      <c r="E14">
        <v>34899.39</v>
      </c>
      <c r="I14" s="1">
        <v>-4</v>
      </c>
      <c r="J14">
        <v>200</v>
      </c>
      <c r="K14" s="1">
        <v>164.02</v>
      </c>
      <c r="L14" s="1">
        <f>K14*J14</f>
        <v>32804</v>
      </c>
      <c r="M14" s="1">
        <f t="shared" si="9"/>
        <v>-2099.3899999999994</v>
      </c>
      <c r="N14" s="5">
        <f t="shared" si="10"/>
        <v>-6.0155492689127218E-2</v>
      </c>
      <c r="O14" s="5"/>
    </row>
    <row r="15" spans="1:15" x14ac:dyDescent="0.35">
      <c r="A15" t="s">
        <v>54</v>
      </c>
      <c r="B15">
        <v>2017</v>
      </c>
      <c r="C15" s="7">
        <f>J14</f>
        <v>200</v>
      </c>
      <c r="D15" s="31">
        <f t="shared" ref="D15" si="14">K14</f>
        <v>164.02</v>
      </c>
      <c r="E15" s="31">
        <f t="shared" ref="E15" si="15">L14</f>
        <v>32804</v>
      </c>
      <c r="I15" s="1"/>
      <c r="J15">
        <v>200</v>
      </c>
      <c r="K15" s="1">
        <v>191.42</v>
      </c>
      <c r="L15" s="1">
        <f>(J15*K15)</f>
        <v>38284</v>
      </c>
      <c r="M15" s="1">
        <f>L15-E15+I15</f>
        <v>5480</v>
      </c>
      <c r="N15" s="5">
        <f>M15/E15</f>
        <v>0.16705279843921472</v>
      </c>
      <c r="O15" s="5"/>
    </row>
    <row r="16" spans="1:15" hidden="1" x14ac:dyDescent="0.35">
      <c r="A16" t="s">
        <v>24</v>
      </c>
      <c r="B16">
        <v>2015</v>
      </c>
      <c r="C16">
        <v>400</v>
      </c>
      <c r="D16" s="1">
        <v>145.72999999999999</v>
      </c>
      <c r="E16" s="1">
        <v>58301.99</v>
      </c>
      <c r="F16" s="1"/>
      <c r="G16" s="2"/>
      <c r="H16" s="3"/>
      <c r="I16" s="1"/>
      <c r="J16" s="3">
        <v>400</v>
      </c>
      <c r="K16" s="1">
        <v>132.04</v>
      </c>
      <c r="L16" s="1">
        <f>J16*K16</f>
        <v>52816</v>
      </c>
      <c r="M16" s="1">
        <f>L16-E16</f>
        <v>-5485.989999999998</v>
      </c>
      <c r="N16" s="4">
        <f t="shared" ref="N16:N17" si="16">M16/E16</f>
        <v>-9.4096102036997337E-2</v>
      </c>
      <c r="O16" s="5"/>
    </row>
    <row r="17" spans="1:15" hidden="1" x14ac:dyDescent="0.35">
      <c r="A17" t="s">
        <v>24</v>
      </c>
      <c r="B17">
        <v>2016</v>
      </c>
      <c r="C17">
        <f>J16</f>
        <v>400</v>
      </c>
      <c r="D17" s="1">
        <f>K16</f>
        <v>132.04</v>
      </c>
      <c r="E17" s="1">
        <f>L16</f>
        <v>52816</v>
      </c>
      <c r="F17" s="1"/>
      <c r="G17" s="2"/>
      <c r="H17" s="3"/>
      <c r="I17" s="1"/>
      <c r="J17" s="3">
        <v>400</v>
      </c>
      <c r="K17" s="1">
        <v>162.97999999999999</v>
      </c>
      <c r="L17" s="1">
        <v>65192</v>
      </c>
      <c r="M17" s="1">
        <f>L17-E17</f>
        <v>12376</v>
      </c>
      <c r="N17" s="4">
        <f t="shared" si="16"/>
        <v>0.23432293244471372</v>
      </c>
      <c r="O17" s="5"/>
    </row>
    <row r="18" spans="1:15" x14ac:dyDescent="0.35">
      <c r="A18" t="s">
        <v>24</v>
      </c>
      <c r="B18">
        <v>2017</v>
      </c>
      <c r="C18" s="7">
        <f>J17</f>
        <v>400</v>
      </c>
      <c r="D18" s="31">
        <f t="shared" ref="D18" si="17">K17</f>
        <v>162.97999999999999</v>
      </c>
      <c r="E18" s="31">
        <f t="shared" ref="E18" si="18">L17</f>
        <v>65192</v>
      </c>
      <c r="F18" s="1"/>
      <c r="G18" s="2"/>
      <c r="H18" s="3"/>
      <c r="I18" s="1"/>
      <c r="J18" s="3">
        <v>400</v>
      </c>
      <c r="K18" s="1">
        <v>165.43</v>
      </c>
      <c r="L18" s="1">
        <f>(J18*K18)</f>
        <v>66172</v>
      </c>
      <c r="M18" s="1">
        <f>L18-E18+I18</f>
        <v>980</v>
      </c>
      <c r="N18" s="5">
        <f>M18/E18</f>
        <v>1.503251932752485E-2</v>
      </c>
      <c r="O18" s="5">
        <f t="shared" ref="O18" si="19">I18/(L18-I18)</f>
        <v>0</v>
      </c>
    </row>
    <row r="19" spans="1:15" hidden="1" x14ac:dyDescent="0.35">
      <c r="A19" t="s">
        <v>55</v>
      </c>
      <c r="B19">
        <v>2016</v>
      </c>
      <c r="C19" s="7">
        <v>500</v>
      </c>
      <c r="D19" s="1">
        <v>100.67</v>
      </c>
      <c r="E19" s="1">
        <v>50342.99</v>
      </c>
      <c r="I19" s="1">
        <v>1075</v>
      </c>
      <c r="J19">
        <v>500</v>
      </c>
      <c r="K19" s="1">
        <v>117.7</v>
      </c>
      <c r="L19" s="1">
        <f>K19*J19</f>
        <v>58850</v>
      </c>
      <c r="M19" s="1">
        <f>L19-E19+I19</f>
        <v>9582.010000000002</v>
      </c>
      <c r="N19" s="5">
        <f>M19/(E19+G19)</f>
        <v>0.19033454310123421</v>
      </c>
      <c r="O19" s="5">
        <f>I19*2/(L19-I19)</f>
        <v>3.7213327563825185E-2</v>
      </c>
    </row>
    <row r="20" spans="1:15" x14ac:dyDescent="0.35">
      <c r="A20" t="s">
        <v>55</v>
      </c>
      <c r="B20">
        <v>2017</v>
      </c>
      <c r="C20" s="7">
        <f>J19</f>
        <v>500</v>
      </c>
      <c r="D20" s="31">
        <f t="shared" ref="D20" si="20">K19</f>
        <v>117.7</v>
      </c>
      <c r="E20" s="31">
        <f t="shared" ref="E20" si="21">L19</f>
        <v>58850</v>
      </c>
      <c r="I20" s="1"/>
      <c r="J20">
        <v>500</v>
      </c>
      <c r="K20" s="1">
        <v>106.36</v>
      </c>
      <c r="L20" s="1">
        <f>J20*K20</f>
        <v>53180</v>
      </c>
      <c r="M20" s="1">
        <f>L20-E20+I20</f>
        <v>-5670</v>
      </c>
      <c r="N20" s="4">
        <f t="shared" ref="N20" si="22">M20/E20</f>
        <v>-9.6346644010195409E-2</v>
      </c>
      <c r="O20" s="5">
        <f t="shared" si="0"/>
        <v>0</v>
      </c>
    </row>
    <row r="21" spans="1:15" hidden="1" x14ac:dyDescent="0.35">
      <c r="A21" t="s">
        <v>56</v>
      </c>
      <c r="B21">
        <v>2016</v>
      </c>
      <c r="C21" s="7">
        <v>300</v>
      </c>
      <c r="D21" s="1">
        <v>107</v>
      </c>
      <c r="E21" s="1">
        <v>32110.15</v>
      </c>
      <c r="I21" s="1">
        <v>553.08000000000004</v>
      </c>
      <c r="J21">
        <v>300</v>
      </c>
      <c r="K21" s="1">
        <v>103.94</v>
      </c>
      <c r="L21" s="1">
        <v>31182</v>
      </c>
      <c r="M21" s="1">
        <f>L21-E21+I21</f>
        <v>-375.07000000000141</v>
      </c>
      <c r="N21" s="5">
        <f t="shared" ref="N21" si="23">M21/(E21+G21)</f>
        <v>-1.1680730236389473E-2</v>
      </c>
      <c r="O21" s="5">
        <f>(390+I21)/(L21-I21)</f>
        <v>3.0790507794594132E-2</v>
      </c>
    </row>
    <row r="22" spans="1:15" x14ac:dyDescent="0.35">
      <c r="A22" t="s">
        <v>56</v>
      </c>
      <c r="B22">
        <v>2017</v>
      </c>
      <c r="C22" s="7">
        <f>J21</f>
        <v>300</v>
      </c>
      <c r="D22" s="31">
        <f t="shared" ref="D22" si="24">K21</f>
        <v>103.94</v>
      </c>
      <c r="E22" s="31">
        <f t="shared" ref="E22" si="25">L21</f>
        <v>31182</v>
      </c>
      <c r="I22" s="1"/>
      <c r="J22">
        <v>300</v>
      </c>
      <c r="K22" s="1">
        <v>111.98</v>
      </c>
      <c r="L22" s="1">
        <f>J22*K22</f>
        <v>33594</v>
      </c>
      <c r="M22" s="1">
        <f>L22-E22+I22</f>
        <v>2412</v>
      </c>
      <c r="N22" s="4">
        <f t="shared" ref="N22" si="26">M22/E22</f>
        <v>7.7352318645372328E-2</v>
      </c>
      <c r="O22" s="5">
        <f t="shared" si="0"/>
        <v>0</v>
      </c>
    </row>
    <row r="23" spans="1:15" hidden="1" x14ac:dyDescent="0.35">
      <c r="A23" t="s">
        <v>57</v>
      </c>
      <c r="B23">
        <v>2015</v>
      </c>
      <c r="C23" s="7">
        <v>100</v>
      </c>
      <c r="D23" s="1">
        <v>638.98</v>
      </c>
      <c r="E23" s="1">
        <v>63907.99</v>
      </c>
      <c r="J23">
        <v>100</v>
      </c>
      <c r="K23" s="1">
        <v>758.88</v>
      </c>
      <c r="L23" s="1">
        <f>J23*K23</f>
        <v>75888</v>
      </c>
      <c r="M23" s="1">
        <f>L23-E23</f>
        <v>11980.010000000002</v>
      </c>
      <c r="N23" s="5">
        <f>M23/E23</f>
        <v>0.18745715520078166</v>
      </c>
      <c r="O23" s="5"/>
    </row>
    <row r="24" spans="1:15" hidden="1" x14ac:dyDescent="0.35">
      <c r="A24" t="s">
        <v>57</v>
      </c>
      <c r="B24">
        <v>2016</v>
      </c>
      <c r="C24" s="7">
        <v>100</v>
      </c>
      <c r="D24" s="1">
        <f>K23</f>
        <v>758.88</v>
      </c>
      <c r="E24" s="1">
        <f>L23</f>
        <v>75888</v>
      </c>
      <c r="J24">
        <v>100</v>
      </c>
      <c r="K24" s="1">
        <v>771.8</v>
      </c>
      <c r="L24" s="1">
        <f>J24*K24</f>
        <v>77180</v>
      </c>
      <c r="M24" s="1">
        <f>L24-E24</f>
        <v>1292</v>
      </c>
      <c r="N24" s="5">
        <f>M24/E24</f>
        <v>1.7025089605734768E-2</v>
      </c>
      <c r="O24" s="5"/>
    </row>
    <row r="25" spans="1:15" x14ac:dyDescent="0.35">
      <c r="A25" t="s">
        <v>57</v>
      </c>
      <c r="B25">
        <v>2017</v>
      </c>
      <c r="C25" s="7">
        <f>J24</f>
        <v>100</v>
      </c>
      <c r="D25" s="31">
        <f t="shared" ref="D25" si="27">K24</f>
        <v>771.8</v>
      </c>
      <c r="E25" s="31">
        <f t="shared" ref="E25" si="28">L24</f>
        <v>77180</v>
      </c>
      <c r="J25">
        <v>100</v>
      </c>
      <c r="K25" s="1">
        <v>946.58</v>
      </c>
      <c r="L25" s="1">
        <f>J25*K25</f>
        <v>94658</v>
      </c>
      <c r="M25" s="1">
        <f>L25-E25</f>
        <v>17478</v>
      </c>
      <c r="N25" s="5">
        <f>M25/E25</f>
        <v>0.22645763151075407</v>
      </c>
      <c r="O25" s="5"/>
    </row>
    <row r="26" spans="1:15" hidden="1" x14ac:dyDescent="0.35">
      <c r="A26" t="s">
        <v>58</v>
      </c>
      <c r="B26">
        <v>2016</v>
      </c>
      <c r="C26" s="7">
        <v>3000</v>
      </c>
      <c r="D26" s="1">
        <v>7.39</v>
      </c>
      <c r="E26" s="1">
        <v>22179.69</v>
      </c>
      <c r="I26" s="1">
        <v>990</v>
      </c>
      <c r="J26">
        <v>1000</v>
      </c>
      <c r="K26" s="1">
        <v>27.54</v>
      </c>
      <c r="L26" s="1">
        <v>27540</v>
      </c>
      <c r="M26" s="1">
        <f>L26-E26+I26</f>
        <v>6350.3100000000013</v>
      </c>
      <c r="N26" s="5">
        <f t="shared" ref="N26:N44" si="29">M26/E26</f>
        <v>0.28631193673130695</v>
      </c>
      <c r="O26" s="5">
        <f t="shared" si="0"/>
        <v>3.7288135593220341E-2</v>
      </c>
    </row>
    <row r="27" spans="1:15" x14ac:dyDescent="0.35">
      <c r="A27" t="s">
        <v>58</v>
      </c>
      <c r="B27">
        <v>2017</v>
      </c>
      <c r="C27" s="7">
        <f>J26</f>
        <v>1000</v>
      </c>
      <c r="D27" s="31">
        <f t="shared" ref="D27" si="30">K26</f>
        <v>27.54</v>
      </c>
      <c r="E27" s="31">
        <f t="shared" ref="E27" si="31">L26</f>
        <v>27540</v>
      </c>
      <c r="I27" s="1">
        <v>375</v>
      </c>
      <c r="J27">
        <v>1000</v>
      </c>
      <c r="K27" s="1">
        <v>29.25</v>
      </c>
      <c r="L27" s="1">
        <v>27541</v>
      </c>
      <c r="M27" s="1">
        <f>L27-E27+I27</f>
        <v>376</v>
      </c>
      <c r="N27" s="5">
        <f t="shared" ref="N27" si="32">M27/E27</f>
        <v>1.3652868554829339E-2</v>
      </c>
      <c r="O27" s="5">
        <f t="shared" ref="O27" si="33">I27/(L27-I27)</f>
        <v>1.3804019730545534E-2</v>
      </c>
    </row>
    <row r="28" spans="1:15" hidden="1" x14ac:dyDescent="0.35">
      <c r="A28" t="s">
        <v>59</v>
      </c>
      <c r="B28">
        <v>2015</v>
      </c>
      <c r="C28" s="7">
        <v>1500</v>
      </c>
      <c r="D28" s="1">
        <v>23.65</v>
      </c>
      <c r="E28" s="1">
        <v>35481.19</v>
      </c>
      <c r="I28" s="1">
        <v>135.9</v>
      </c>
      <c r="J28">
        <v>1500</v>
      </c>
      <c r="K28" s="1">
        <v>23.97</v>
      </c>
      <c r="L28" s="1">
        <f>K28*J28</f>
        <v>35955</v>
      </c>
      <c r="M28" s="1">
        <f>L28-E28+I28</f>
        <v>609.70999999999765</v>
      </c>
      <c r="N28" s="5">
        <f t="shared" si="29"/>
        <v>1.7184034695566796E-2</v>
      </c>
      <c r="O28" s="5">
        <f t="shared" si="0"/>
        <v>3.7940651775170233E-3</v>
      </c>
    </row>
    <row r="29" spans="1:15" hidden="1" x14ac:dyDescent="0.35">
      <c r="A29" t="s">
        <v>59</v>
      </c>
      <c r="B29">
        <v>2016</v>
      </c>
      <c r="C29" s="7">
        <f>J28</f>
        <v>1500</v>
      </c>
      <c r="D29" s="1">
        <f>K28</f>
        <v>23.97</v>
      </c>
      <c r="E29" s="1">
        <f>L28</f>
        <v>35955</v>
      </c>
      <c r="I29" s="1">
        <v>795</v>
      </c>
      <c r="J29">
        <v>1500</v>
      </c>
      <c r="K29">
        <v>23.19</v>
      </c>
      <c r="L29" s="1">
        <f>K29*J29</f>
        <v>34785</v>
      </c>
      <c r="M29" s="1">
        <f>L29-E29+I29</f>
        <v>-375</v>
      </c>
      <c r="N29" s="5">
        <f t="shared" si="29"/>
        <v>-1.0429703796412181E-2</v>
      </c>
      <c r="O29" s="5">
        <f t="shared" si="0"/>
        <v>2.3389232127096204E-2</v>
      </c>
    </row>
    <row r="30" spans="1:15" x14ac:dyDescent="0.35">
      <c r="A30" t="s">
        <v>59</v>
      </c>
      <c r="B30">
        <v>2017</v>
      </c>
      <c r="C30" s="7">
        <f>J29</f>
        <v>1500</v>
      </c>
      <c r="D30" s="31">
        <f t="shared" ref="D30" si="34">K29</f>
        <v>23.19</v>
      </c>
      <c r="E30" s="31">
        <f t="shared" ref="E30" si="35">L29</f>
        <v>34785</v>
      </c>
      <c r="I30" s="1">
        <v>136.80000000000001</v>
      </c>
      <c r="J30">
        <v>1500</v>
      </c>
      <c r="K30" s="1">
        <v>29.2</v>
      </c>
      <c r="L30" s="1">
        <f>K30*J30</f>
        <v>43800</v>
      </c>
      <c r="M30" s="1">
        <f>L30-E30+I30</f>
        <v>9151.7999999999993</v>
      </c>
      <c r="N30" s="5">
        <f t="shared" ref="N30" si="36">M30/E30</f>
        <v>0.26309616213885295</v>
      </c>
      <c r="O30" s="5">
        <f t="shared" ref="O30" si="37">I30/(L30-I30)</f>
        <v>3.1330731600065966E-3</v>
      </c>
    </row>
    <row r="31" spans="1:15" hidden="1" x14ac:dyDescent="0.35">
      <c r="A31" s="7" t="s">
        <v>60</v>
      </c>
      <c r="B31">
        <v>2012</v>
      </c>
      <c r="C31" s="7">
        <v>500</v>
      </c>
      <c r="D31" s="1">
        <v>63.91</v>
      </c>
      <c r="E31" s="1">
        <v>31964.99</v>
      </c>
      <c r="I31" s="1">
        <v>915</v>
      </c>
      <c r="J31">
        <v>500</v>
      </c>
      <c r="K31" s="1">
        <v>70.099999999999994</v>
      </c>
      <c r="L31" s="1">
        <f t="shared" ref="L31:L35" si="38">K31*J31</f>
        <v>35050</v>
      </c>
      <c r="M31" s="1">
        <f t="shared" ref="M31:M35" si="39">L31-E31+I31</f>
        <v>4000.0099999999984</v>
      </c>
      <c r="N31" s="5">
        <f t="shared" si="29"/>
        <v>0.12513722044023784</v>
      </c>
      <c r="O31" s="5">
        <f t="shared" si="0"/>
        <v>2.6805331770909623E-2</v>
      </c>
    </row>
    <row r="32" spans="1:15" hidden="1" x14ac:dyDescent="0.35">
      <c r="A32" s="7" t="s">
        <v>60</v>
      </c>
      <c r="B32">
        <v>2013</v>
      </c>
      <c r="C32" s="7">
        <f>J31</f>
        <v>500</v>
      </c>
      <c r="D32" s="1">
        <f>K31</f>
        <v>70.099999999999994</v>
      </c>
      <c r="E32" s="1">
        <f>L31</f>
        <v>35050</v>
      </c>
      <c r="F32">
        <v>500</v>
      </c>
      <c r="G32" s="1">
        <v>44989.94</v>
      </c>
      <c r="I32" s="1">
        <v>1955</v>
      </c>
      <c r="J32">
        <v>1000</v>
      </c>
      <c r="K32" s="1">
        <v>91.59</v>
      </c>
      <c r="L32" s="1">
        <f t="shared" si="38"/>
        <v>91590</v>
      </c>
      <c r="M32" s="1">
        <f>L32-E32-G32+I32</f>
        <v>13505.059999999998</v>
      </c>
      <c r="N32" s="5">
        <f t="shared" si="29"/>
        <v>0.3853084165477888</v>
      </c>
      <c r="O32" s="5">
        <f t="shared" si="0"/>
        <v>2.1810676633011658E-2</v>
      </c>
    </row>
    <row r="33" spans="1:15" hidden="1" x14ac:dyDescent="0.35">
      <c r="A33" s="7" t="s">
        <v>60</v>
      </c>
      <c r="B33">
        <v>2014</v>
      </c>
      <c r="C33" s="7">
        <f t="shared" ref="C33:C35" si="40">J32</f>
        <v>1000</v>
      </c>
      <c r="D33" s="1">
        <f t="shared" ref="D33:D36" si="41">K32</f>
        <v>91.59</v>
      </c>
      <c r="E33" s="1">
        <f t="shared" ref="E33:E36" si="42">L32</f>
        <v>91590</v>
      </c>
      <c r="I33" s="1">
        <v>2760</v>
      </c>
      <c r="J33">
        <v>1000</v>
      </c>
      <c r="K33" s="1">
        <v>104.57</v>
      </c>
      <c r="L33" s="1">
        <f t="shared" si="38"/>
        <v>104570</v>
      </c>
      <c r="M33" s="1">
        <f t="shared" si="39"/>
        <v>15740</v>
      </c>
      <c r="N33" s="5">
        <f t="shared" si="29"/>
        <v>0.17185282236051971</v>
      </c>
      <c r="O33" s="5">
        <f t="shared" si="0"/>
        <v>2.7109321284746097E-2</v>
      </c>
    </row>
    <row r="34" spans="1:15" hidden="1" x14ac:dyDescent="0.35">
      <c r="A34" s="7" t="s">
        <v>60</v>
      </c>
      <c r="B34">
        <v>2015</v>
      </c>
      <c r="C34" s="7">
        <f t="shared" si="40"/>
        <v>1000</v>
      </c>
      <c r="D34" s="1">
        <f t="shared" si="41"/>
        <v>104.57</v>
      </c>
      <c r="E34" s="1">
        <f t="shared" si="42"/>
        <v>104570</v>
      </c>
      <c r="I34" s="1">
        <v>2950</v>
      </c>
      <c r="J34">
        <v>1000</v>
      </c>
      <c r="K34" s="1">
        <v>102.72</v>
      </c>
      <c r="L34" s="1">
        <f t="shared" si="38"/>
        <v>102720</v>
      </c>
      <c r="M34" s="1">
        <f t="shared" si="39"/>
        <v>1100</v>
      </c>
      <c r="N34" s="5">
        <f t="shared" si="29"/>
        <v>1.0519269388926078E-2</v>
      </c>
      <c r="O34" s="5">
        <f t="shared" si="0"/>
        <v>2.9568006414753933E-2</v>
      </c>
    </row>
    <row r="35" spans="1:15" hidden="1" x14ac:dyDescent="0.35">
      <c r="A35" s="7" t="s">
        <v>60</v>
      </c>
      <c r="B35">
        <v>2016</v>
      </c>
      <c r="C35" s="7">
        <f t="shared" si="40"/>
        <v>1000</v>
      </c>
      <c r="D35" s="1">
        <f t="shared" si="41"/>
        <v>102.72</v>
      </c>
      <c r="E35" s="1">
        <f t="shared" si="42"/>
        <v>102720</v>
      </c>
      <c r="I35" s="1">
        <v>3150</v>
      </c>
      <c r="J35">
        <v>1000</v>
      </c>
      <c r="K35" s="1">
        <v>115.21</v>
      </c>
      <c r="L35" s="1">
        <f t="shared" si="38"/>
        <v>115210</v>
      </c>
      <c r="M35" s="1">
        <f t="shared" si="39"/>
        <v>15640</v>
      </c>
      <c r="N35" s="5">
        <f t="shared" si="29"/>
        <v>0.15225856697819315</v>
      </c>
      <c r="O35" s="5">
        <f t="shared" si="0"/>
        <v>2.8109941102980547E-2</v>
      </c>
    </row>
    <row r="36" spans="1:15" x14ac:dyDescent="0.35">
      <c r="A36" s="7" t="s">
        <v>60</v>
      </c>
      <c r="B36">
        <v>2017</v>
      </c>
      <c r="C36" s="7">
        <f>J35</f>
        <v>1000</v>
      </c>
      <c r="D36" s="31">
        <f t="shared" si="41"/>
        <v>115.21</v>
      </c>
      <c r="E36" s="31">
        <f t="shared" si="42"/>
        <v>115210</v>
      </c>
      <c r="I36" s="1"/>
      <c r="J36">
        <v>1000</v>
      </c>
      <c r="K36" s="1">
        <v>127.57</v>
      </c>
      <c r="L36" s="1">
        <f t="shared" ref="L36" si="43">K36*J36</f>
        <v>127570</v>
      </c>
      <c r="M36" s="1">
        <f t="shared" ref="M36" si="44">L36-E36+I36</f>
        <v>12360</v>
      </c>
      <c r="N36" s="5">
        <f t="shared" ref="N36" si="45">M36/E36</f>
        <v>0.10728235396232966</v>
      </c>
      <c r="O36" s="5">
        <f t="shared" ref="O36" si="46">I36/(L36-I36)</f>
        <v>0</v>
      </c>
    </row>
    <row r="37" spans="1:15" hidden="1" x14ac:dyDescent="0.35">
      <c r="A37" s="8" t="s">
        <v>61</v>
      </c>
      <c r="B37">
        <v>2015</v>
      </c>
      <c r="C37" s="7">
        <v>200</v>
      </c>
      <c r="D37" s="1">
        <v>131.37</v>
      </c>
      <c r="E37" s="1">
        <v>26283.37</v>
      </c>
      <c r="I37" s="1">
        <v>41.2</v>
      </c>
      <c r="J37">
        <v>200</v>
      </c>
      <c r="K37" s="1">
        <v>114.34</v>
      </c>
      <c r="L37" s="1">
        <f>K37*J37</f>
        <v>22868</v>
      </c>
      <c r="M37" s="1">
        <f>L37-E37+I37</f>
        <v>-3374.1699999999992</v>
      </c>
      <c r="N37" s="5">
        <f t="shared" si="29"/>
        <v>-0.12837661228373681</v>
      </c>
      <c r="O37" s="5">
        <f t="shared" si="0"/>
        <v>1.8048959994392559E-3</v>
      </c>
    </row>
    <row r="38" spans="1:15" hidden="1" x14ac:dyDescent="0.35">
      <c r="A38" s="8" t="s">
        <v>61</v>
      </c>
      <c r="B38">
        <v>2016</v>
      </c>
      <c r="C38" s="7">
        <v>200</v>
      </c>
      <c r="D38" s="1">
        <f>K37</f>
        <v>114.34</v>
      </c>
      <c r="E38" s="1">
        <f>L37</f>
        <v>22868</v>
      </c>
      <c r="F38">
        <v>200</v>
      </c>
      <c r="G38" s="1">
        <v>20634.63</v>
      </c>
      <c r="I38" s="1">
        <v>200.6</v>
      </c>
      <c r="J38">
        <v>400</v>
      </c>
      <c r="K38" s="1">
        <v>156.13999999999999</v>
      </c>
      <c r="L38" s="1">
        <v>62456</v>
      </c>
      <c r="M38" s="1">
        <f>L38-E38-G38+I38</f>
        <v>19153.969999999998</v>
      </c>
      <c r="N38" s="5">
        <f t="shared" si="29"/>
        <v>0.83758833304180502</v>
      </c>
      <c r="O38" s="5">
        <f t="shared" si="0"/>
        <v>3.2222104427888985E-3</v>
      </c>
    </row>
    <row r="39" spans="1:15" x14ac:dyDescent="0.35">
      <c r="A39" s="8" t="s">
        <v>61</v>
      </c>
      <c r="B39">
        <v>2017</v>
      </c>
      <c r="C39" s="7">
        <f>J38</f>
        <v>400</v>
      </c>
      <c r="D39" s="31">
        <f t="shared" ref="D39" si="47">K38</f>
        <v>156.13999999999999</v>
      </c>
      <c r="E39" s="31">
        <f t="shared" ref="E39" si="48">L38</f>
        <v>62456</v>
      </c>
      <c r="G39" s="1"/>
      <c r="I39" s="1">
        <v>60</v>
      </c>
      <c r="J39">
        <v>400</v>
      </c>
      <c r="K39" s="1">
        <v>211.38</v>
      </c>
      <c r="L39" s="1">
        <f>J39*K39</f>
        <v>84552</v>
      </c>
      <c r="M39" s="1">
        <f>L39-E39-G39+I39</f>
        <v>22156</v>
      </c>
      <c r="N39" s="5">
        <f t="shared" ref="N39" si="49">M39/E39</f>
        <v>0.35474574100166517</v>
      </c>
      <c r="O39" s="5">
        <f t="shared" ref="O39" si="50">I39/(L39-I39)</f>
        <v>7.1012640249964488E-4</v>
      </c>
    </row>
    <row r="40" spans="1:15" hidden="1" x14ac:dyDescent="0.35">
      <c r="A40" s="8" t="s">
        <v>62</v>
      </c>
      <c r="B40">
        <v>2015</v>
      </c>
      <c r="C40" s="7">
        <v>500</v>
      </c>
      <c r="D40" s="1">
        <v>108.17</v>
      </c>
      <c r="E40" s="1">
        <v>54097.46</v>
      </c>
      <c r="J40">
        <v>500</v>
      </c>
      <c r="K40" s="1">
        <v>114.38</v>
      </c>
      <c r="L40" s="1">
        <f>K40*J40</f>
        <v>57190</v>
      </c>
      <c r="M40" s="1">
        <f t="shared" ref="M40:M44" si="51">L40-E40-G40+I40</f>
        <v>3092.5400000000009</v>
      </c>
      <c r="N40" s="5">
        <f t="shared" si="29"/>
        <v>5.7166085062034355E-2</v>
      </c>
      <c r="O40" s="5"/>
    </row>
    <row r="41" spans="1:15" hidden="1" x14ac:dyDescent="0.35">
      <c r="A41" s="8" t="s">
        <v>62</v>
      </c>
      <c r="B41">
        <v>2016</v>
      </c>
      <c r="C41" s="7">
        <v>500</v>
      </c>
      <c r="D41" s="1">
        <f>K40</f>
        <v>114.38</v>
      </c>
      <c r="E41" s="1">
        <f>L40</f>
        <v>57190</v>
      </c>
      <c r="J41">
        <v>500</v>
      </c>
      <c r="K41" s="1">
        <v>123.4</v>
      </c>
      <c r="L41" s="1">
        <f>K41*J41</f>
        <v>61700</v>
      </c>
      <c r="M41" s="1">
        <f t="shared" si="51"/>
        <v>4510</v>
      </c>
      <c r="N41" s="5">
        <f t="shared" si="29"/>
        <v>7.8859940549047033E-2</v>
      </c>
      <c r="O41" s="5"/>
    </row>
    <row r="42" spans="1:15" x14ac:dyDescent="0.35">
      <c r="A42" s="8" t="s">
        <v>62</v>
      </c>
      <c r="B42">
        <v>2017</v>
      </c>
      <c r="C42" s="7">
        <f>J41</f>
        <v>500</v>
      </c>
      <c r="D42" s="31">
        <f t="shared" ref="D42" si="52">K41</f>
        <v>123.4</v>
      </c>
      <c r="E42" s="31">
        <f t="shared" ref="E42" si="53">L41</f>
        <v>61700</v>
      </c>
      <c r="J42">
        <v>500</v>
      </c>
      <c r="K42" s="1">
        <v>142.09</v>
      </c>
      <c r="L42" s="1">
        <f>K42*J42</f>
        <v>71045</v>
      </c>
      <c r="M42" s="1">
        <f t="shared" ref="M42" si="54">L42-E42-G42+I42</f>
        <v>9345</v>
      </c>
      <c r="N42" s="5">
        <f t="shared" ref="N42" si="55">M42/E42</f>
        <v>0.15145867098865479</v>
      </c>
      <c r="O42" s="5"/>
    </row>
    <row r="43" spans="1:15" hidden="1" x14ac:dyDescent="0.35">
      <c r="A43" s="8" t="s">
        <v>63</v>
      </c>
      <c r="B43">
        <v>2015</v>
      </c>
      <c r="C43" s="7">
        <v>400</v>
      </c>
      <c r="D43" s="1">
        <v>70.13</v>
      </c>
      <c r="E43" s="1">
        <v>28061.19</v>
      </c>
      <c r="J43">
        <v>400</v>
      </c>
      <c r="K43">
        <v>69.540000000000006</v>
      </c>
      <c r="L43" s="1">
        <f t="shared" ref="L43:L44" si="56">K43*J43</f>
        <v>27816.000000000004</v>
      </c>
      <c r="M43" s="1">
        <f t="shared" si="51"/>
        <v>-245.18999999999505</v>
      </c>
      <c r="N43" s="5">
        <f t="shared" si="29"/>
        <v>-8.7376907394160781E-3</v>
      </c>
      <c r="O43" s="5"/>
    </row>
    <row r="44" spans="1:15" hidden="1" x14ac:dyDescent="0.35">
      <c r="A44" s="8" t="s">
        <v>63</v>
      </c>
      <c r="B44">
        <v>2016</v>
      </c>
      <c r="C44" s="7">
        <v>400</v>
      </c>
      <c r="D44" s="1">
        <f>K43</f>
        <v>69.540000000000006</v>
      </c>
      <c r="E44" s="1">
        <f>L43</f>
        <v>27816.000000000004</v>
      </c>
      <c r="I44" s="1">
        <v>1298.72</v>
      </c>
      <c r="J44">
        <v>400</v>
      </c>
      <c r="K44">
        <v>58.33</v>
      </c>
      <c r="L44" s="1">
        <f t="shared" si="56"/>
        <v>23332</v>
      </c>
      <c r="M44" s="1">
        <f t="shared" si="51"/>
        <v>-3185.2800000000034</v>
      </c>
      <c r="N44" s="5">
        <f t="shared" si="29"/>
        <v>-0.11451251078515973</v>
      </c>
      <c r="O44" s="5">
        <f t="shared" si="0"/>
        <v>5.8943561739332503E-2</v>
      </c>
    </row>
    <row r="45" spans="1:15" x14ac:dyDescent="0.35">
      <c r="A45" s="8" t="s">
        <v>63</v>
      </c>
      <c r="B45">
        <v>2017</v>
      </c>
      <c r="C45" s="7">
        <f>J44</f>
        <v>400</v>
      </c>
      <c r="D45" s="31">
        <f t="shared" ref="D45" si="57">K44</f>
        <v>58.33</v>
      </c>
      <c r="E45" s="31">
        <f t="shared" ref="E45" si="58">L44</f>
        <v>23332</v>
      </c>
      <c r="I45" s="1">
        <v>373.08</v>
      </c>
      <c r="J45">
        <v>400</v>
      </c>
      <c r="K45" s="1">
        <v>59.95</v>
      </c>
      <c r="L45" s="1">
        <f t="shared" ref="L45" si="59">K45*J45</f>
        <v>23980</v>
      </c>
      <c r="M45" s="1">
        <f t="shared" ref="M45" si="60">L45-E45-G45+I45</f>
        <v>1021.0799999999999</v>
      </c>
      <c r="N45" s="5">
        <f t="shared" ref="N45" si="61">M45/E45</f>
        <v>4.3763072175552885E-2</v>
      </c>
      <c r="O45" s="5">
        <f t="shared" ref="O45" si="62">I45/(L45-I45)</f>
        <v>1.5803840568782375E-2</v>
      </c>
    </row>
    <row r="46" spans="1:15" hidden="1" x14ac:dyDescent="0.35">
      <c r="A46" s="7" t="s">
        <v>64</v>
      </c>
      <c r="B46">
        <v>2016</v>
      </c>
      <c r="C46" s="7">
        <v>3256.2130000000002</v>
      </c>
      <c r="D46" s="1">
        <v>58.35</v>
      </c>
      <c r="E46" s="1">
        <v>190000</v>
      </c>
      <c r="H46">
        <v>117.11199999999999</v>
      </c>
      <c r="I46" s="1">
        <v>7267.28</v>
      </c>
      <c r="J46">
        <f>C46+F46+H46</f>
        <v>3373.3250000000003</v>
      </c>
      <c r="K46" s="1">
        <v>61.09</v>
      </c>
      <c r="L46" s="1">
        <f>K46*J46</f>
        <v>206076.42425000004</v>
      </c>
      <c r="M46" s="1">
        <f>L46-G46-E46</f>
        <v>16076.42425000004</v>
      </c>
      <c r="N46" s="5">
        <f>M46/(G46+E46)</f>
        <v>8.4612759210526522E-2</v>
      </c>
      <c r="O46" s="5">
        <f t="shared" si="0"/>
        <v>3.655405302113008E-2</v>
      </c>
    </row>
    <row r="47" spans="1:15" x14ac:dyDescent="0.35">
      <c r="A47" s="7" t="s">
        <v>64</v>
      </c>
      <c r="B47">
        <v>2017</v>
      </c>
      <c r="C47" s="7">
        <f>J46</f>
        <v>3373.3250000000003</v>
      </c>
      <c r="D47" s="31">
        <f t="shared" ref="D47" si="63">K46</f>
        <v>61.09</v>
      </c>
      <c r="E47" s="31">
        <f t="shared" ref="E47" si="64">L46</f>
        <v>206076.42425000004</v>
      </c>
      <c r="I47" s="1"/>
      <c r="J47">
        <f>C47+F47+H47</f>
        <v>3373.3250000000003</v>
      </c>
      <c r="K47" s="1">
        <v>65.92</v>
      </c>
      <c r="L47" s="1">
        <f>K47*J47</f>
        <v>222369.58400000003</v>
      </c>
      <c r="M47" s="1">
        <f>L47-G47-E47</f>
        <v>16293.159749999992</v>
      </c>
      <c r="N47" s="5">
        <f>M47/(G47+E47)</f>
        <v>7.9063676542805647E-2</v>
      </c>
      <c r="O47" s="5">
        <f t="shared" ref="O47" si="65">I47/(L47-I47)</f>
        <v>0</v>
      </c>
    </row>
    <row r="48" spans="1:15" hidden="1" x14ac:dyDescent="0.35">
      <c r="A48" s="8" t="s">
        <v>65</v>
      </c>
      <c r="B48">
        <v>2012</v>
      </c>
      <c r="C48" s="7">
        <v>400</v>
      </c>
      <c r="D48" s="1">
        <v>55.65</v>
      </c>
      <c r="E48" s="1">
        <v>22269.19</v>
      </c>
      <c r="J48">
        <f t="shared" ref="J48:J54" si="66">C48+F48+H48</f>
        <v>400</v>
      </c>
      <c r="K48" s="1">
        <v>63.3</v>
      </c>
      <c r="L48" s="1">
        <f t="shared" ref="L48:L54" si="67">K48*J48</f>
        <v>25320</v>
      </c>
      <c r="M48" s="1">
        <f t="shared" ref="M48:M51" si="68">L48-G48-E48</f>
        <v>3050.8100000000013</v>
      </c>
      <c r="N48" s="5">
        <f t="shared" ref="N48:N51" si="69">M48/(G48+E48)</f>
        <v>0.13699690020157901</v>
      </c>
      <c r="O48" s="5">
        <f t="shared" si="0"/>
        <v>0</v>
      </c>
    </row>
    <row r="49" spans="1:15" hidden="1" x14ac:dyDescent="0.35">
      <c r="A49" s="8" t="s">
        <v>65</v>
      </c>
      <c r="B49">
        <v>2013</v>
      </c>
      <c r="C49" s="7">
        <f>J48</f>
        <v>400</v>
      </c>
      <c r="D49" s="1">
        <f>K48</f>
        <v>63.3</v>
      </c>
      <c r="E49" s="1">
        <f>L48</f>
        <v>25320</v>
      </c>
      <c r="F49">
        <v>600</v>
      </c>
      <c r="G49" s="1">
        <v>43165.56</v>
      </c>
      <c r="I49" s="1">
        <v>1452.34</v>
      </c>
      <c r="J49">
        <f t="shared" si="66"/>
        <v>1000</v>
      </c>
      <c r="K49" s="1">
        <v>80.38</v>
      </c>
      <c r="L49" s="1">
        <f t="shared" si="67"/>
        <v>80380</v>
      </c>
      <c r="M49" s="1">
        <f t="shared" si="68"/>
        <v>11894.440000000002</v>
      </c>
      <c r="N49" s="5">
        <f t="shared" si="69"/>
        <v>0.17367807169861796</v>
      </c>
      <c r="O49" s="5">
        <f t="shared" si="0"/>
        <v>1.8400900267409422E-2</v>
      </c>
    </row>
    <row r="50" spans="1:15" hidden="1" x14ac:dyDescent="0.35">
      <c r="A50" s="8" t="s">
        <v>65</v>
      </c>
      <c r="B50">
        <v>2014</v>
      </c>
      <c r="C50" s="7">
        <f t="shared" ref="C50:C52" si="70">J49</f>
        <v>1000</v>
      </c>
      <c r="D50" s="1">
        <f t="shared" ref="D50:D53" si="71">K49</f>
        <v>80.38</v>
      </c>
      <c r="E50" s="1">
        <f t="shared" ref="E50:E53" si="72">L49</f>
        <v>80380</v>
      </c>
      <c r="I50" s="1">
        <v>2338.3200000000002</v>
      </c>
      <c r="J50">
        <f t="shared" si="66"/>
        <v>1000</v>
      </c>
      <c r="K50" s="1">
        <v>92.66</v>
      </c>
      <c r="L50" s="1">
        <f t="shared" si="67"/>
        <v>92660</v>
      </c>
      <c r="M50" s="1">
        <f t="shared" si="68"/>
        <v>12280</v>
      </c>
      <c r="N50" s="5">
        <f t="shared" si="69"/>
        <v>0.15277432197063948</v>
      </c>
      <c r="O50" s="5">
        <f t="shared" si="0"/>
        <v>2.5888801005472886E-2</v>
      </c>
    </row>
    <row r="51" spans="1:15" hidden="1" x14ac:dyDescent="0.35">
      <c r="A51" s="8" t="s">
        <v>65</v>
      </c>
      <c r="B51">
        <v>2015</v>
      </c>
      <c r="C51" s="7">
        <f t="shared" si="70"/>
        <v>1000</v>
      </c>
      <c r="D51" s="1">
        <f t="shared" si="71"/>
        <v>92.66</v>
      </c>
      <c r="E51" s="1">
        <f t="shared" si="72"/>
        <v>92660</v>
      </c>
      <c r="I51" s="1">
        <v>2258.5500000000002</v>
      </c>
      <c r="J51">
        <f t="shared" si="66"/>
        <v>1000</v>
      </c>
      <c r="K51" s="1">
        <v>86.04</v>
      </c>
      <c r="L51" s="1">
        <f t="shared" si="67"/>
        <v>86040</v>
      </c>
      <c r="M51" s="1">
        <f t="shared" si="68"/>
        <v>-6620</v>
      </c>
      <c r="N51" s="5">
        <f t="shared" si="69"/>
        <v>-7.1443988776170947E-2</v>
      </c>
      <c r="O51" s="5">
        <f t="shared" si="0"/>
        <v>2.6957637997432608E-2</v>
      </c>
    </row>
    <row r="52" spans="1:15" hidden="1" x14ac:dyDescent="0.35">
      <c r="A52" s="8" t="s">
        <v>65</v>
      </c>
      <c r="B52">
        <v>2016</v>
      </c>
      <c r="C52" s="7">
        <f t="shared" si="70"/>
        <v>1000</v>
      </c>
      <c r="D52" s="1">
        <f t="shared" si="71"/>
        <v>86.04</v>
      </c>
      <c r="E52" s="1">
        <f t="shared" si="72"/>
        <v>86040</v>
      </c>
      <c r="I52" s="1">
        <v>2302.7600000000002</v>
      </c>
      <c r="J52">
        <f t="shared" si="66"/>
        <v>1000</v>
      </c>
      <c r="K52" s="1">
        <v>73</v>
      </c>
      <c r="L52" s="1">
        <f t="shared" si="67"/>
        <v>73000</v>
      </c>
      <c r="M52" s="1">
        <f>L52-G52-E52</f>
        <v>-13040</v>
      </c>
      <c r="N52" s="5">
        <f>M52/(G52+E52)</f>
        <v>-0.1515574151557415</v>
      </c>
      <c r="O52" s="5">
        <f t="shared" si="0"/>
        <v>3.2572134357720328E-2</v>
      </c>
    </row>
    <row r="53" spans="1:15" x14ac:dyDescent="0.35">
      <c r="A53" s="8" t="s">
        <v>65</v>
      </c>
      <c r="B53">
        <v>2017</v>
      </c>
      <c r="C53" s="7">
        <f>J52</f>
        <v>1000</v>
      </c>
      <c r="D53" s="31">
        <f t="shared" si="71"/>
        <v>73</v>
      </c>
      <c r="E53" s="31">
        <f t="shared" si="72"/>
        <v>73000</v>
      </c>
      <c r="I53" s="1"/>
      <c r="J53">
        <v>1000</v>
      </c>
      <c r="K53" s="1">
        <v>75.64</v>
      </c>
      <c r="L53" s="1">
        <f t="shared" ref="L53" si="73">K53*J53</f>
        <v>75640</v>
      </c>
      <c r="M53" s="1">
        <f>L53-G53-E53</f>
        <v>2640</v>
      </c>
      <c r="N53" s="5">
        <f>M53/(G53+E53)</f>
        <v>3.6164383561643837E-2</v>
      </c>
      <c r="O53" s="5">
        <f t="shared" ref="O53" si="74">I53/(L53-I53)</f>
        <v>0</v>
      </c>
    </row>
    <row r="54" spans="1:15" x14ac:dyDescent="0.35">
      <c r="A54" s="8" t="s">
        <v>132</v>
      </c>
      <c r="B54">
        <v>2017</v>
      </c>
      <c r="C54" s="7"/>
      <c r="D54" s="32"/>
      <c r="E54" s="32"/>
      <c r="F54">
        <v>12838.07</v>
      </c>
      <c r="G54" s="1">
        <v>155854.18</v>
      </c>
      <c r="I54" s="1"/>
      <c r="J54">
        <f t="shared" si="66"/>
        <v>12838.07</v>
      </c>
      <c r="K54" s="1">
        <v>12.19</v>
      </c>
      <c r="L54" s="1">
        <f t="shared" si="67"/>
        <v>156496.07329999999</v>
      </c>
      <c r="M54" s="1">
        <f>L54-G54-E54</f>
        <v>641.89329999999609</v>
      </c>
      <c r="N54" s="5">
        <f>M54/(G54+E54)</f>
        <v>4.1185504296387563E-3</v>
      </c>
      <c r="O54" s="5">
        <f t="shared" ref="O54" si="75">I54/(L54-I54)</f>
        <v>0</v>
      </c>
    </row>
    <row r="55" spans="1:15" hidden="1" x14ac:dyDescent="0.35">
      <c r="A55" s="33" t="s">
        <v>66</v>
      </c>
      <c r="B55" s="34">
        <v>2016</v>
      </c>
      <c r="C55" s="35">
        <v>14970.06</v>
      </c>
      <c r="D55" s="36">
        <v>10.02</v>
      </c>
      <c r="E55" s="36">
        <v>150076</v>
      </c>
      <c r="F55" s="34"/>
      <c r="G55" s="36"/>
      <c r="H55" s="37">
        <v>398.57100000000003</v>
      </c>
      <c r="I55" s="36">
        <v>4074.12</v>
      </c>
      <c r="J55" s="34">
        <f>H55+F55+C55</f>
        <v>15368.630999999999</v>
      </c>
      <c r="K55" s="36">
        <v>10.029999999999999</v>
      </c>
      <c r="L55" s="36">
        <f>K55*J55</f>
        <v>154147.36893</v>
      </c>
      <c r="M55" s="36">
        <f t="shared" ref="M55" si="76">L55-G55-E55</f>
        <v>4071.3689299999969</v>
      </c>
      <c r="N55" s="38">
        <f t="shared" ref="N55" si="77">M55/(G55+E55)</f>
        <v>2.7128714318078818E-2</v>
      </c>
      <c r="O55" s="38">
        <f t="shared" si="0"/>
        <v>2.7147543143417437E-2</v>
      </c>
    </row>
    <row r="56" spans="1:15" x14ac:dyDescent="0.35">
      <c r="A56" s="33" t="s">
        <v>66</v>
      </c>
      <c r="B56" s="34">
        <v>2017</v>
      </c>
      <c r="C56" s="35">
        <f>J55</f>
        <v>15368.630999999999</v>
      </c>
      <c r="D56" s="39">
        <f t="shared" ref="D56" si="78">K55</f>
        <v>10.029999999999999</v>
      </c>
      <c r="E56" s="39">
        <f t="shared" ref="E56" si="79">L55</f>
        <v>154147.36893</v>
      </c>
      <c r="F56" s="34"/>
      <c r="G56" s="36"/>
      <c r="H56" s="37">
        <v>31.98</v>
      </c>
      <c r="I56" s="36">
        <v>322.36</v>
      </c>
      <c r="J56" s="34">
        <f>H56+F56+C56</f>
        <v>15400.610999999999</v>
      </c>
      <c r="K56" s="36">
        <v>10.119999999999999</v>
      </c>
      <c r="L56" s="36">
        <f>K56*J56</f>
        <v>155854.18331999998</v>
      </c>
      <c r="M56" s="36">
        <f t="shared" ref="M56" si="80">L56-G56-E56</f>
        <v>1706.814389999985</v>
      </c>
      <c r="N56" s="38">
        <f t="shared" ref="N56" si="81">M56/(G56+E56)</f>
        <v>1.1072614484747178E-2</v>
      </c>
      <c r="O56" s="38">
        <f t="shared" ref="O56" si="82">I56/(L56-I56)</f>
        <v>2.0726304952830023E-3</v>
      </c>
    </row>
    <row r="57" spans="1:15" hidden="1" x14ac:dyDescent="0.35">
      <c r="A57" s="8" t="s">
        <v>67</v>
      </c>
      <c r="B57">
        <v>2016</v>
      </c>
      <c r="C57" s="7">
        <v>3000</v>
      </c>
      <c r="D57" s="1">
        <v>4.83</v>
      </c>
      <c r="E57" s="1">
        <v>14496.99</v>
      </c>
      <c r="J57">
        <v>3000</v>
      </c>
      <c r="K57" s="1">
        <v>5.53</v>
      </c>
      <c r="L57" s="1">
        <v>16590</v>
      </c>
      <c r="M57" s="1">
        <f t="shared" ref="M57:M64" si="83">L57-G57-E57</f>
        <v>2093.0100000000002</v>
      </c>
      <c r="N57" s="5">
        <f t="shared" ref="N57:N71" si="84">M57/(G57+E57)</f>
        <v>0.14437548760121929</v>
      </c>
      <c r="O57" s="5"/>
    </row>
    <row r="58" spans="1:15" x14ac:dyDescent="0.35">
      <c r="A58" s="8" t="s">
        <v>67</v>
      </c>
      <c r="B58">
        <v>2017</v>
      </c>
      <c r="C58" s="7">
        <f>J57</f>
        <v>3000</v>
      </c>
      <c r="D58" s="31">
        <f t="shared" ref="D58" si="85">K57</f>
        <v>5.53</v>
      </c>
      <c r="E58" s="31">
        <f t="shared" ref="E58" si="86">L57</f>
        <v>16590</v>
      </c>
      <c r="J58">
        <v>3000</v>
      </c>
      <c r="K58" s="1">
        <v>5.94</v>
      </c>
      <c r="L58" s="1">
        <f t="shared" ref="L58" si="87">K58*J58</f>
        <v>17820</v>
      </c>
      <c r="M58" s="1">
        <f t="shared" ref="M58" si="88">L58-G58-E58</f>
        <v>1230</v>
      </c>
      <c r="N58" s="5">
        <f t="shared" ref="N58" si="89">M58/(G58+E58)</f>
        <v>7.4141048824593131E-2</v>
      </c>
      <c r="O58" s="5"/>
    </row>
    <row r="59" spans="1:15" hidden="1" x14ac:dyDescent="0.35">
      <c r="A59" t="s">
        <v>68</v>
      </c>
      <c r="B59">
        <v>2011</v>
      </c>
      <c r="C59" s="7"/>
      <c r="F59">
        <v>94.471000000000004</v>
      </c>
      <c r="G59" s="1">
        <v>2284</v>
      </c>
      <c r="H59">
        <v>6.4589999999999996</v>
      </c>
      <c r="I59" s="1">
        <v>125.51</v>
      </c>
      <c r="J59">
        <f t="shared" ref="J59:J62" si="90">C60</f>
        <v>100.92999999999998</v>
      </c>
      <c r="K59" s="1">
        <v>19.43</v>
      </c>
      <c r="L59" s="1">
        <f t="shared" ref="L59:L62" si="91">K59*J59</f>
        <v>1961.0698999999995</v>
      </c>
      <c r="M59" s="1">
        <f t="shared" si="83"/>
        <v>-322.93010000000049</v>
      </c>
      <c r="N59" s="5">
        <f t="shared" si="84"/>
        <v>-0.14138795971979007</v>
      </c>
      <c r="O59" s="5">
        <f t="shared" si="0"/>
        <v>6.8376956807565933E-2</v>
      </c>
    </row>
    <row r="60" spans="1:15" hidden="1" x14ac:dyDescent="0.35">
      <c r="A60" t="s">
        <v>68</v>
      </c>
      <c r="B60">
        <v>2012</v>
      </c>
      <c r="C60" s="7">
        <f t="shared" ref="C60:C63" si="92">J60-H60</f>
        <v>100.92999999999998</v>
      </c>
      <c r="D60" s="1">
        <f t="shared" ref="D60:D63" si="93">K59</f>
        <v>19.43</v>
      </c>
      <c r="E60" s="1">
        <f t="shared" ref="E60:E63" si="94">L59</f>
        <v>1961.0698999999995</v>
      </c>
      <c r="H60">
        <v>8.59</v>
      </c>
      <c r="I60" s="1">
        <v>244.53</v>
      </c>
      <c r="J60">
        <f t="shared" si="90"/>
        <v>109.51999999999998</v>
      </c>
      <c r="K60" s="1">
        <v>20.73</v>
      </c>
      <c r="L60" s="1">
        <f t="shared" si="91"/>
        <v>2270.3495999999996</v>
      </c>
      <c r="M60" s="1">
        <f t="shared" si="83"/>
        <v>309.27970000000005</v>
      </c>
      <c r="N60" s="5">
        <f t="shared" si="84"/>
        <v>0.15770967674329209</v>
      </c>
      <c r="O60" s="5">
        <f t="shared" si="0"/>
        <v>0.12070670063612775</v>
      </c>
    </row>
    <row r="61" spans="1:15" hidden="1" x14ac:dyDescent="0.35">
      <c r="A61" t="s">
        <v>68</v>
      </c>
      <c r="B61">
        <v>2013</v>
      </c>
      <c r="C61" s="7">
        <f t="shared" si="92"/>
        <v>109.51999999999998</v>
      </c>
      <c r="D61" s="1">
        <f t="shared" si="93"/>
        <v>20.73</v>
      </c>
      <c r="E61" s="1">
        <f t="shared" si="94"/>
        <v>2270.3495999999996</v>
      </c>
      <c r="H61">
        <v>11.305999999999999</v>
      </c>
      <c r="I61" s="1">
        <v>272.92</v>
      </c>
      <c r="J61">
        <f t="shared" si="90"/>
        <v>120.82599999999998</v>
      </c>
      <c r="K61" s="1">
        <v>24.14</v>
      </c>
      <c r="L61" s="1">
        <f t="shared" si="91"/>
        <v>2916.7396399999998</v>
      </c>
      <c r="M61" s="1">
        <f t="shared" si="83"/>
        <v>646.39004000000023</v>
      </c>
      <c r="N61" s="5">
        <f t="shared" si="84"/>
        <v>0.28470947381848166</v>
      </c>
      <c r="O61" s="5">
        <f t="shared" si="0"/>
        <v>0.10322943209545113</v>
      </c>
    </row>
    <row r="62" spans="1:15" hidden="1" x14ac:dyDescent="0.35">
      <c r="A62" t="s">
        <v>68</v>
      </c>
      <c r="B62">
        <v>2014</v>
      </c>
      <c r="C62" s="7">
        <f t="shared" si="92"/>
        <v>120.82599999999998</v>
      </c>
      <c r="D62" s="1">
        <f t="shared" si="93"/>
        <v>24.14</v>
      </c>
      <c r="E62" s="1">
        <f t="shared" si="94"/>
        <v>2916.7396399999998</v>
      </c>
      <c r="H62">
        <v>14.218</v>
      </c>
      <c r="I62" s="1">
        <v>318.47000000000003</v>
      </c>
      <c r="J62">
        <f t="shared" si="90"/>
        <v>135.04399999999998</v>
      </c>
      <c r="K62" s="1">
        <v>17.940000000000001</v>
      </c>
      <c r="L62" s="1">
        <f t="shared" si="91"/>
        <v>2422.6893599999999</v>
      </c>
      <c r="M62" s="1">
        <f t="shared" si="83"/>
        <v>-494.05027999999993</v>
      </c>
      <c r="N62" s="5">
        <f t="shared" si="84"/>
        <v>-0.16938442952693575</v>
      </c>
      <c r="O62" s="5">
        <f t="shared" si="0"/>
        <v>0.15134828908712256</v>
      </c>
    </row>
    <row r="63" spans="1:15" hidden="1" x14ac:dyDescent="0.35">
      <c r="A63" t="s">
        <v>68</v>
      </c>
      <c r="B63">
        <v>2015</v>
      </c>
      <c r="C63" s="7">
        <f t="shared" si="92"/>
        <v>135.04399999999998</v>
      </c>
      <c r="D63" s="1">
        <f t="shared" si="93"/>
        <v>17.940000000000001</v>
      </c>
      <c r="E63" s="1">
        <f t="shared" si="94"/>
        <v>2422.6893599999999</v>
      </c>
      <c r="H63">
        <v>17.257999999999999</v>
      </c>
      <c r="I63" s="1">
        <v>309.61</v>
      </c>
      <c r="J63">
        <f>C64</f>
        <v>152.30199999999999</v>
      </c>
      <c r="K63" s="1">
        <v>22.04</v>
      </c>
      <c r="L63" s="1">
        <f>K63*J63</f>
        <v>3356.7360799999997</v>
      </c>
      <c r="M63" s="1">
        <f t="shared" si="83"/>
        <v>934.04671999999982</v>
      </c>
      <c r="N63" s="5">
        <f t="shared" si="84"/>
        <v>0.38554126477032113</v>
      </c>
      <c r="O63" s="5">
        <f t="shared" si="0"/>
        <v>0.10160721672534143</v>
      </c>
    </row>
    <row r="64" spans="1:15" hidden="1" x14ac:dyDescent="0.35">
      <c r="A64" t="s">
        <v>68</v>
      </c>
      <c r="B64">
        <v>2016</v>
      </c>
      <c r="C64" s="7">
        <f>J64-H64</f>
        <v>152.30199999999999</v>
      </c>
      <c r="D64" s="1">
        <f>K63</f>
        <v>22.04</v>
      </c>
      <c r="E64" s="1">
        <f>L63</f>
        <v>3356.7360799999997</v>
      </c>
      <c r="H64">
        <v>12.737</v>
      </c>
      <c r="I64" s="1">
        <v>280.32</v>
      </c>
      <c r="J64">
        <v>165.03899999999999</v>
      </c>
      <c r="K64" s="1">
        <v>20.54</v>
      </c>
      <c r="L64" s="1">
        <v>3389.9</v>
      </c>
      <c r="M64" s="1">
        <f t="shared" si="83"/>
        <v>33.163920000000417</v>
      </c>
      <c r="N64" s="5">
        <f t="shared" si="84"/>
        <v>9.8798115817316269E-3</v>
      </c>
      <c r="O64" s="5">
        <f t="shared" si="0"/>
        <v>9.0147222454479384E-2</v>
      </c>
    </row>
    <row r="65" spans="1:15" x14ac:dyDescent="0.35">
      <c r="A65" t="s">
        <v>68</v>
      </c>
      <c r="B65">
        <v>2017</v>
      </c>
      <c r="C65" s="7">
        <f>J64</f>
        <v>165.03899999999999</v>
      </c>
      <c r="D65" s="31">
        <f t="shared" ref="D65" si="95">K64</f>
        <v>20.54</v>
      </c>
      <c r="E65" s="31">
        <f t="shared" ref="E65" si="96">L64</f>
        <v>3389.9</v>
      </c>
      <c r="I65" s="1"/>
      <c r="J65">
        <v>165.03899999999999</v>
      </c>
      <c r="K65" s="1"/>
      <c r="L65" s="1">
        <f>K65*J65</f>
        <v>0</v>
      </c>
      <c r="M65" s="1">
        <f t="shared" ref="M65" si="97">L65-G65-E65</f>
        <v>-3389.9</v>
      </c>
      <c r="N65" s="5">
        <f t="shared" ref="N65" si="98">M65/(G65+E65)</f>
        <v>-1</v>
      </c>
      <c r="O65" s="5" t="e">
        <f t="shared" ref="O65" si="99">I65/(L65-I65)</f>
        <v>#DIV/0!</v>
      </c>
    </row>
    <row r="66" spans="1:15" hidden="1" x14ac:dyDescent="0.35">
      <c r="A66" t="s">
        <v>69</v>
      </c>
      <c r="B66">
        <v>2013</v>
      </c>
      <c r="C66" s="7"/>
      <c r="F66">
        <v>3954.0819999999999</v>
      </c>
      <c r="G66" s="1">
        <v>62000.01</v>
      </c>
      <c r="H66">
        <v>57.828000000000003</v>
      </c>
      <c r="J66">
        <f>C66+F66+H66</f>
        <v>4011.91</v>
      </c>
      <c r="K66" s="1">
        <v>17.57</v>
      </c>
      <c r="L66" s="1">
        <f>K66*J66</f>
        <v>70489.258700000006</v>
      </c>
      <c r="M66" s="1">
        <f>L66-G66-E66</f>
        <v>8489.2487000000037</v>
      </c>
      <c r="N66" s="5">
        <f t="shared" si="84"/>
        <v>0.13692334404462198</v>
      </c>
      <c r="O66" s="5">
        <f t="shared" si="0"/>
        <v>0</v>
      </c>
    </row>
    <row r="67" spans="1:15" hidden="1" x14ac:dyDescent="0.35">
      <c r="A67" t="s">
        <v>69</v>
      </c>
      <c r="B67">
        <v>2014</v>
      </c>
      <c r="C67" s="7">
        <f>J66</f>
        <v>4011.91</v>
      </c>
      <c r="D67" s="1">
        <f>K66</f>
        <v>17.57</v>
      </c>
      <c r="E67" s="1">
        <f>L66</f>
        <v>70489.258700000006</v>
      </c>
      <c r="H67">
        <v>8.3849999999999998</v>
      </c>
      <c r="I67">
        <v>161.84</v>
      </c>
      <c r="J67">
        <f t="shared" ref="J67:J83" si="100">C67+F67+H67</f>
        <v>4020.2950000000001</v>
      </c>
      <c r="K67" s="1">
        <v>19.3</v>
      </c>
      <c r="L67" s="1">
        <f t="shared" ref="L67:L71" si="101">K67*J67</f>
        <v>77591.693500000008</v>
      </c>
      <c r="M67" s="1">
        <f t="shared" ref="M67:M71" si="102">L67-G67-E67</f>
        <v>7102.4348000000027</v>
      </c>
      <c r="N67" s="5">
        <f t="shared" si="84"/>
        <v>0.10075910757166187</v>
      </c>
      <c r="O67" s="5">
        <f t="shared" si="0"/>
        <v>2.0901498928962842E-3</v>
      </c>
    </row>
    <row r="68" spans="1:15" hidden="1" x14ac:dyDescent="0.35">
      <c r="A68" t="s">
        <v>69</v>
      </c>
      <c r="B68">
        <v>2015</v>
      </c>
      <c r="C68" s="7">
        <f t="shared" ref="C68:C69" si="103">J67</f>
        <v>4020.2950000000001</v>
      </c>
      <c r="D68" s="1">
        <f t="shared" ref="D68:D70" si="104">K67</f>
        <v>19.3</v>
      </c>
      <c r="E68" s="1">
        <f t="shared" ref="E68:E70" si="105">L67</f>
        <v>77591.693500000008</v>
      </c>
      <c r="H68">
        <v>5.9240000000000004</v>
      </c>
      <c r="I68">
        <v>111.32</v>
      </c>
      <c r="J68">
        <f t="shared" si="100"/>
        <v>4026.2190000000001</v>
      </c>
      <c r="K68" s="1">
        <v>18.79</v>
      </c>
      <c r="L68" s="1">
        <f t="shared" si="101"/>
        <v>75652.655010000002</v>
      </c>
      <c r="M68" s="1">
        <f t="shared" si="102"/>
        <v>-1939.0384900000063</v>
      </c>
      <c r="N68" s="5">
        <f t="shared" si="84"/>
        <v>-2.4990284430381791E-2</v>
      </c>
      <c r="O68" s="5">
        <f t="shared" si="0"/>
        <v>1.4736302977073903E-3</v>
      </c>
    </row>
    <row r="69" spans="1:15" hidden="1" x14ac:dyDescent="0.35">
      <c r="A69" t="s">
        <v>69</v>
      </c>
      <c r="B69">
        <v>2016</v>
      </c>
      <c r="C69" s="7">
        <f t="shared" si="103"/>
        <v>4026.2190000000001</v>
      </c>
      <c r="D69" s="1">
        <f t="shared" si="104"/>
        <v>18.79</v>
      </c>
      <c r="E69" s="1">
        <f t="shared" si="105"/>
        <v>75652.655010000002</v>
      </c>
      <c r="J69">
        <f t="shared" si="100"/>
        <v>4026.2190000000001</v>
      </c>
      <c r="K69" s="1">
        <v>19.899999999999999</v>
      </c>
      <c r="L69" s="1">
        <f t="shared" si="101"/>
        <v>80121.758099999992</v>
      </c>
      <c r="M69" s="1">
        <f t="shared" si="102"/>
        <v>4469.1030899999896</v>
      </c>
      <c r="N69" s="5">
        <f t="shared" si="84"/>
        <v>5.9073975518892888E-2</v>
      </c>
      <c r="O69" s="5">
        <f t="shared" si="0"/>
        <v>0</v>
      </c>
    </row>
    <row r="70" spans="1:15" x14ac:dyDescent="0.35">
      <c r="A70" t="s">
        <v>69</v>
      </c>
      <c r="B70">
        <v>2017</v>
      </c>
      <c r="C70" s="7">
        <f>J69</f>
        <v>4026.2190000000001</v>
      </c>
      <c r="D70" s="31">
        <f t="shared" si="104"/>
        <v>19.899999999999999</v>
      </c>
      <c r="E70" s="31">
        <f t="shared" si="105"/>
        <v>80121.758099999992</v>
      </c>
      <c r="J70">
        <f t="shared" si="100"/>
        <v>4026.2190000000001</v>
      </c>
      <c r="K70" s="1">
        <v>20.88</v>
      </c>
      <c r="L70" s="1">
        <f t="shared" ref="L70" si="106">K70*J70</f>
        <v>84067.452720000001</v>
      </c>
      <c r="M70" s="1">
        <f t="shared" ref="M70" si="107">L70-G70-E70</f>
        <v>3945.6946200000093</v>
      </c>
      <c r="N70" s="5">
        <f t="shared" ref="N70" si="108">M70/(G70+E70)</f>
        <v>4.9246231155779016E-2</v>
      </c>
      <c r="O70" s="5">
        <f t="shared" ref="O70" si="109">I70/(L70-I70)</f>
        <v>0</v>
      </c>
    </row>
    <row r="71" spans="1:15" hidden="1" x14ac:dyDescent="0.35">
      <c r="A71" t="s">
        <v>70</v>
      </c>
      <c r="B71">
        <v>2016</v>
      </c>
      <c r="C71" s="7">
        <v>25348.54</v>
      </c>
      <c r="D71" s="1">
        <v>7.89</v>
      </c>
      <c r="E71" s="1">
        <v>200000</v>
      </c>
      <c r="H71">
        <v>2018.0889999999999</v>
      </c>
      <c r="I71" s="1">
        <v>17799.03</v>
      </c>
      <c r="J71">
        <f t="shared" si="100"/>
        <v>27366.629000000001</v>
      </c>
      <c r="K71" s="1">
        <v>8.81</v>
      </c>
      <c r="L71" s="1">
        <f t="shared" si="101"/>
        <v>241100.00149000002</v>
      </c>
      <c r="M71" s="1">
        <f t="shared" si="102"/>
        <v>41100.001490000024</v>
      </c>
      <c r="N71" s="5">
        <f t="shared" si="84"/>
        <v>0.20550000745000013</v>
      </c>
      <c r="O71" s="5">
        <f t="shared" si="0"/>
        <v>7.9708699345256026E-2</v>
      </c>
    </row>
    <row r="72" spans="1:15" x14ac:dyDescent="0.35">
      <c r="A72" t="s">
        <v>70</v>
      </c>
      <c r="B72">
        <v>2017</v>
      </c>
      <c r="C72" s="7">
        <f>J71</f>
        <v>27366.629000000001</v>
      </c>
      <c r="D72" s="31">
        <f t="shared" ref="D72" si="110">K71</f>
        <v>8.81</v>
      </c>
      <c r="E72" s="31">
        <f t="shared" ref="E72" si="111">L71</f>
        <v>241100.00149000002</v>
      </c>
      <c r="I72" s="1"/>
      <c r="J72">
        <f t="shared" si="100"/>
        <v>27366.629000000001</v>
      </c>
      <c r="K72" s="1">
        <v>9.2200000000000006</v>
      </c>
      <c r="L72" s="1">
        <f t="shared" ref="L72" si="112">K72*J72</f>
        <v>252320.31938000003</v>
      </c>
      <c r="M72" s="1">
        <f t="shared" ref="M72" si="113">L72-G72-E72</f>
        <v>11220.317890000006</v>
      </c>
      <c r="N72" s="5">
        <f t="shared" ref="N72" si="114">M72/(G72+E72)</f>
        <v>4.6538024971623175E-2</v>
      </c>
      <c r="O72" s="5">
        <f t="shared" ref="O72" si="115">I72/(L72-I72)</f>
        <v>0</v>
      </c>
    </row>
    <row r="73" spans="1:15" hidden="1" x14ac:dyDescent="0.35">
      <c r="A73" t="s">
        <v>71</v>
      </c>
      <c r="B73">
        <v>2015</v>
      </c>
      <c r="C73" s="7"/>
      <c r="F73">
        <v>300</v>
      </c>
      <c r="G73" s="1">
        <v>20260.830000000002</v>
      </c>
      <c r="J73">
        <f>F73+C73+H73</f>
        <v>300</v>
      </c>
      <c r="K73" s="1">
        <v>80.61</v>
      </c>
      <c r="L73" s="1">
        <f>K73*J73</f>
        <v>24183</v>
      </c>
      <c r="M73" s="1">
        <f>L73-G73-E73</f>
        <v>3922.1699999999983</v>
      </c>
      <c r="N73" s="5">
        <f>M73/(G73+E73)</f>
        <v>0.19358387588267598</v>
      </c>
      <c r="O73" s="5"/>
    </row>
    <row r="74" spans="1:15" hidden="1" x14ac:dyDescent="0.35">
      <c r="A74" t="s">
        <v>71</v>
      </c>
      <c r="B74">
        <v>2016</v>
      </c>
      <c r="C74" s="7">
        <f>J73</f>
        <v>300</v>
      </c>
      <c r="D74" s="1">
        <f>K73</f>
        <v>80.61</v>
      </c>
      <c r="E74" s="1">
        <f>L73</f>
        <v>24183</v>
      </c>
      <c r="F74">
        <v>302</v>
      </c>
      <c r="G74" s="1">
        <v>7601.34</v>
      </c>
      <c r="J74">
        <v>300</v>
      </c>
      <c r="K74">
        <v>29.05</v>
      </c>
      <c r="L74" s="1">
        <f>K74*J74</f>
        <v>8715</v>
      </c>
      <c r="M74" s="1">
        <f>L74+G74-E74</f>
        <v>-7866.66</v>
      </c>
      <c r="N74" s="5">
        <f>M74/(G74+E74)</f>
        <v>-0.24750112791393497</v>
      </c>
      <c r="O74" s="5"/>
    </row>
    <row r="75" spans="1:15" x14ac:dyDescent="0.35">
      <c r="A75" t="s">
        <v>71</v>
      </c>
      <c r="B75">
        <v>2017</v>
      </c>
      <c r="C75" s="7">
        <f>J74</f>
        <v>300</v>
      </c>
      <c r="D75" s="31">
        <f t="shared" ref="D75" si="116">K74</f>
        <v>29.05</v>
      </c>
      <c r="E75" s="31">
        <f t="shared" ref="E75" si="117">L74</f>
        <v>8715</v>
      </c>
      <c r="G75" s="1"/>
      <c r="J75">
        <v>300</v>
      </c>
      <c r="K75" s="1">
        <v>18.600000000000001</v>
      </c>
      <c r="L75" s="1">
        <f>K75*J75</f>
        <v>5580</v>
      </c>
      <c r="M75" s="1">
        <f>L75+G75-E75</f>
        <v>-3135</v>
      </c>
      <c r="N75" s="5">
        <f>M75/(G75+E75)</f>
        <v>-0.35972461273666095</v>
      </c>
      <c r="O75" s="5"/>
    </row>
    <row r="76" spans="1:15" hidden="1" x14ac:dyDescent="0.35">
      <c r="A76" t="s">
        <v>127</v>
      </c>
      <c r="C76" s="7"/>
      <c r="D76" s="32"/>
      <c r="E76" s="32"/>
      <c r="G76" s="1"/>
      <c r="K76" s="1"/>
      <c r="L76" s="1"/>
      <c r="M76" s="1"/>
      <c r="N76" s="5"/>
      <c r="O76" s="5"/>
    </row>
    <row r="77" spans="1:15" x14ac:dyDescent="0.35">
      <c r="A77" t="s">
        <v>128</v>
      </c>
      <c r="B77">
        <v>2017</v>
      </c>
      <c r="C77" s="7"/>
      <c r="D77" s="32"/>
      <c r="E77" s="32"/>
      <c r="F77">
        <v>400</v>
      </c>
      <c r="G77" s="1">
        <v>30655.95</v>
      </c>
      <c r="J77">
        <f t="shared" si="100"/>
        <v>400</v>
      </c>
      <c r="K77" s="1">
        <v>78.709999999999994</v>
      </c>
      <c r="L77" s="1">
        <f t="shared" ref="L77:L83" si="118">K77*J77</f>
        <v>31483.999999999996</v>
      </c>
      <c r="M77" s="1">
        <f t="shared" ref="M77" si="119">L77-G77-E77</f>
        <v>828.04999999999563</v>
      </c>
      <c r="N77" s="5">
        <f t="shared" ref="N77" si="120">M77/(G77+E77)</f>
        <v>2.7011069629223547E-2</v>
      </c>
      <c r="O77" s="5">
        <f t="shared" ref="O77" si="121">I77/(L77-I77)</f>
        <v>0</v>
      </c>
    </row>
    <row r="78" spans="1:15" hidden="1" x14ac:dyDescent="0.35">
      <c r="A78" s="7" t="s">
        <v>72</v>
      </c>
      <c r="B78">
        <v>2013</v>
      </c>
      <c r="C78" s="7">
        <v>8326.1620000000003</v>
      </c>
      <c r="D78" s="1">
        <v>23.24</v>
      </c>
      <c r="E78" s="1">
        <v>193500</v>
      </c>
      <c r="H78">
        <v>481.4</v>
      </c>
      <c r="I78" s="1">
        <v>11515.08</v>
      </c>
      <c r="J78">
        <f t="shared" si="100"/>
        <v>8807.5619999999999</v>
      </c>
      <c r="K78" s="1">
        <v>23.92</v>
      </c>
      <c r="L78" s="1">
        <f t="shared" si="118"/>
        <v>210676.88304000002</v>
      </c>
      <c r="M78" s="1">
        <f t="shared" ref="M78" si="122">L78-G78-E78</f>
        <v>17176.883040000015</v>
      </c>
      <c r="N78" s="5">
        <f t="shared" ref="N78" si="123">M78/(G78+E78)</f>
        <v>8.8769421395348921E-2</v>
      </c>
      <c r="O78" s="5">
        <f t="shared" si="0"/>
        <v>5.7817713157011785E-2</v>
      </c>
    </row>
    <row r="79" spans="1:15" hidden="1" x14ac:dyDescent="0.35">
      <c r="A79" s="7" t="s">
        <v>72</v>
      </c>
      <c r="B79">
        <v>2014</v>
      </c>
      <c r="C79" s="7">
        <f>J78</f>
        <v>8807.5619999999999</v>
      </c>
      <c r="D79" s="1">
        <f>K78</f>
        <v>23.92</v>
      </c>
      <c r="E79" s="1">
        <f>L78</f>
        <v>210676.88304000002</v>
      </c>
      <c r="H79">
        <v>159.66499999999999</v>
      </c>
      <c r="I79" s="1">
        <v>3787.25</v>
      </c>
      <c r="J79">
        <f t="shared" si="100"/>
        <v>8967.2270000000008</v>
      </c>
      <c r="K79" s="1">
        <v>23.72</v>
      </c>
      <c r="L79" s="1">
        <f t="shared" si="118"/>
        <v>212702.62444000001</v>
      </c>
      <c r="M79" s="1">
        <f t="shared" ref="M79:M81" si="124">L79-G79-E79</f>
        <v>2025.741399999999</v>
      </c>
      <c r="N79" s="5">
        <f t="shared" ref="N79:N83" si="125">M79/(G79+E79)</f>
        <v>9.6153947731198539E-3</v>
      </c>
      <c r="O79" s="5">
        <f t="shared" si="0"/>
        <v>1.8128153613164017E-2</v>
      </c>
    </row>
    <row r="80" spans="1:15" hidden="1" x14ac:dyDescent="0.35">
      <c r="A80" s="7" t="s">
        <v>72</v>
      </c>
      <c r="B80">
        <v>2015</v>
      </c>
      <c r="C80" s="7">
        <f t="shared" ref="C80:C81" si="126">J79</f>
        <v>8967.2270000000008</v>
      </c>
      <c r="D80" s="1">
        <f t="shared" ref="D80:D82" si="127">K79</f>
        <v>23.72</v>
      </c>
      <c r="E80" s="1">
        <f t="shared" ref="E80:E82" si="128">L79</f>
        <v>212702.62444000001</v>
      </c>
      <c r="H80">
        <v>202.56</v>
      </c>
      <c r="I80" s="1">
        <v>4671.03</v>
      </c>
      <c r="J80">
        <f t="shared" si="100"/>
        <v>9169.7870000000003</v>
      </c>
      <c r="K80" s="1">
        <v>23.06</v>
      </c>
      <c r="L80" s="1">
        <f t="shared" si="118"/>
        <v>211455.28821999999</v>
      </c>
      <c r="M80" s="1">
        <f t="shared" si="124"/>
        <v>-1247.3362200000265</v>
      </c>
      <c r="N80" s="5">
        <f t="shared" si="125"/>
        <v>-5.864225809549802E-3</v>
      </c>
      <c r="O80" s="5">
        <f t="shared" si="0"/>
        <v>2.25889051720293E-2</v>
      </c>
    </row>
    <row r="81" spans="1:15" hidden="1" x14ac:dyDescent="0.35">
      <c r="A81" s="7" t="s">
        <v>72</v>
      </c>
      <c r="B81">
        <v>2016</v>
      </c>
      <c r="C81" s="7">
        <f t="shared" si="126"/>
        <v>9169.7870000000003</v>
      </c>
      <c r="D81" s="1">
        <f t="shared" si="127"/>
        <v>23.06</v>
      </c>
      <c r="E81" s="1">
        <f t="shared" si="128"/>
        <v>211455.28821999999</v>
      </c>
      <c r="H81">
        <v>432.26400000000001</v>
      </c>
      <c r="I81" s="1">
        <v>10927.64</v>
      </c>
      <c r="J81">
        <f t="shared" si="100"/>
        <v>9602.0509999999995</v>
      </c>
      <c r="K81" s="1">
        <v>25.87</v>
      </c>
      <c r="L81" s="1">
        <f t="shared" si="118"/>
        <v>248405.05937</v>
      </c>
      <c r="M81" s="1">
        <f t="shared" si="124"/>
        <v>36949.771150000015</v>
      </c>
      <c r="N81" s="5">
        <f t="shared" si="125"/>
        <v>0.17474035036455149</v>
      </c>
      <c r="O81" s="5">
        <f t="shared" si="0"/>
        <v>4.601549077377444E-2</v>
      </c>
    </row>
    <row r="82" spans="1:15" x14ac:dyDescent="0.35">
      <c r="A82" s="7" t="s">
        <v>72</v>
      </c>
      <c r="B82">
        <v>2017</v>
      </c>
      <c r="C82" s="7">
        <f>J81</f>
        <v>9602.0509999999995</v>
      </c>
      <c r="D82" s="31">
        <f t="shared" si="127"/>
        <v>25.87</v>
      </c>
      <c r="E82" s="31">
        <f t="shared" si="128"/>
        <v>248405.05937</v>
      </c>
      <c r="I82" s="1"/>
      <c r="J82">
        <f t="shared" si="100"/>
        <v>9602.0509999999995</v>
      </c>
      <c r="K82" s="1">
        <v>26.13</v>
      </c>
      <c r="L82" s="1">
        <f t="shared" ref="L82" si="129">K82*J82</f>
        <v>250901.59262999997</v>
      </c>
      <c r="M82" s="1">
        <f t="shared" ref="M82" si="130">L82-G82-E82</f>
        <v>2496.5332599999674</v>
      </c>
      <c r="N82" s="5">
        <f t="shared" ref="N82" si="131">M82/(G82+E82)</f>
        <v>1.0050251256281275E-2</v>
      </c>
      <c r="O82" s="5">
        <f t="shared" ref="O82" si="132">I82/(L82-I82)</f>
        <v>0</v>
      </c>
    </row>
    <row r="83" spans="1:15" hidden="1" x14ac:dyDescent="0.35">
      <c r="A83" s="33" t="s">
        <v>73</v>
      </c>
      <c r="B83" s="34">
        <v>2016</v>
      </c>
      <c r="C83" s="34">
        <v>1000</v>
      </c>
      <c r="D83" s="36">
        <v>48.21</v>
      </c>
      <c r="E83" s="36">
        <v>48214.95</v>
      </c>
      <c r="F83" s="34"/>
      <c r="G83" s="34"/>
      <c r="H83" s="34"/>
      <c r="I83" s="36">
        <v>1140</v>
      </c>
      <c r="J83" s="34">
        <f t="shared" si="100"/>
        <v>1000</v>
      </c>
      <c r="K83" s="36">
        <v>55.11</v>
      </c>
      <c r="L83" s="36">
        <f t="shared" si="118"/>
        <v>55110</v>
      </c>
      <c r="M83" s="36">
        <f>L83-G83-E83+I83</f>
        <v>8035.0500000000029</v>
      </c>
      <c r="N83" s="38">
        <f t="shared" si="125"/>
        <v>0.16665059281405464</v>
      </c>
      <c r="O83" s="38">
        <f t="shared" si="0"/>
        <v>2.1122846025569762E-2</v>
      </c>
    </row>
    <row r="84" spans="1:15" x14ac:dyDescent="0.35">
      <c r="A84" s="33" t="s">
        <v>73</v>
      </c>
      <c r="B84" s="34">
        <v>2017</v>
      </c>
      <c r="C84" s="35">
        <f>J83</f>
        <v>1000</v>
      </c>
      <c r="D84" s="39">
        <f t="shared" ref="D84" si="133">K83</f>
        <v>55.11</v>
      </c>
      <c r="E84" s="39">
        <f t="shared" ref="E84" si="134">L83</f>
        <v>55110</v>
      </c>
      <c r="F84" s="34"/>
      <c r="G84" s="34"/>
      <c r="H84" s="34"/>
      <c r="I84" s="36">
        <v>380</v>
      </c>
      <c r="J84" s="34">
        <v>1000</v>
      </c>
      <c r="K84" s="36">
        <v>56.53</v>
      </c>
      <c r="L84" s="36">
        <f t="shared" ref="L84" si="135">K84*J84</f>
        <v>56530</v>
      </c>
      <c r="M84" s="36">
        <f>L84-G84-E84+I84</f>
        <v>1800</v>
      </c>
      <c r="N84" s="38">
        <f t="shared" ref="N84" si="136">M84/(G84+E84)</f>
        <v>3.2661948829613499E-2</v>
      </c>
      <c r="O84" s="38">
        <f t="shared" ref="O84" si="137">I84/(L84-I84)</f>
        <v>6.7675868210151377E-3</v>
      </c>
    </row>
  </sheetData>
  <autoFilter ref="B1:B84">
    <filterColumn colId="0">
      <filters>
        <filter val="2017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>
      <selection activeCell="D20" sqref="D20:G20"/>
    </sheetView>
  </sheetViews>
  <sheetFormatPr defaultRowHeight="14.5" x14ac:dyDescent="0.35"/>
  <cols>
    <col min="2" max="2" width="14.453125" customWidth="1"/>
    <col min="3" max="3" width="10.81640625" bestFit="1" customWidth="1"/>
  </cols>
  <sheetData>
    <row r="2" spans="1:7" x14ac:dyDescent="0.35">
      <c r="A2" s="13" t="s">
        <v>90</v>
      </c>
      <c r="B2" s="13" t="s">
        <v>91</v>
      </c>
      <c r="C2" s="13" t="s">
        <v>92</v>
      </c>
      <c r="D2" s="13" t="s">
        <v>93</v>
      </c>
      <c r="E2" s="13" t="s">
        <v>94</v>
      </c>
      <c r="F2" s="13" t="s">
        <v>95</v>
      </c>
      <c r="G2" s="13" t="s">
        <v>96</v>
      </c>
    </row>
    <row r="3" spans="1:7" x14ac:dyDescent="0.35">
      <c r="A3" s="14" t="s">
        <v>97</v>
      </c>
      <c r="B3" s="14" t="s">
        <v>98</v>
      </c>
      <c r="C3" s="15">
        <v>10771.99</v>
      </c>
      <c r="D3" s="14" t="s">
        <v>99</v>
      </c>
      <c r="E3" s="14" t="s">
        <v>99</v>
      </c>
      <c r="F3" s="16" t="b">
        <v>1</v>
      </c>
      <c r="G3" s="17"/>
    </row>
    <row r="4" spans="1:7" x14ac:dyDescent="0.35">
      <c r="A4" s="14" t="s">
        <v>100</v>
      </c>
      <c r="B4" s="14" t="s">
        <v>101</v>
      </c>
      <c r="C4" s="15">
        <v>18733</v>
      </c>
      <c r="D4" s="14" t="s">
        <v>102</v>
      </c>
      <c r="E4" s="14" t="s">
        <v>103</v>
      </c>
      <c r="F4" s="16" t="b">
        <v>0</v>
      </c>
      <c r="G4" s="16">
        <v>4</v>
      </c>
    </row>
    <row r="5" spans="1:7" x14ac:dyDescent="0.35">
      <c r="A5" s="14" t="s">
        <v>100</v>
      </c>
      <c r="B5" s="14" t="s">
        <v>104</v>
      </c>
      <c r="C5" s="15">
        <v>19014</v>
      </c>
      <c r="D5" s="14" t="s">
        <v>105</v>
      </c>
      <c r="E5" s="14" t="s">
        <v>103</v>
      </c>
      <c r="F5" s="16" t="b">
        <v>1</v>
      </c>
      <c r="G5" s="16">
        <v>3</v>
      </c>
    </row>
    <row r="6" spans="1:7" x14ac:dyDescent="0.35">
      <c r="A6" s="14" t="s">
        <v>100</v>
      </c>
      <c r="B6" s="14" t="s">
        <v>106</v>
      </c>
      <c r="C6" s="15">
        <v>24173</v>
      </c>
      <c r="D6" s="14" t="s">
        <v>102</v>
      </c>
      <c r="E6" s="14" t="s">
        <v>107</v>
      </c>
      <c r="F6" s="16" t="b">
        <v>1</v>
      </c>
      <c r="G6" s="16">
        <v>2</v>
      </c>
    </row>
    <row r="7" spans="1:7" x14ac:dyDescent="0.35">
      <c r="A7" s="14" t="s">
        <v>108</v>
      </c>
      <c r="B7" s="14" t="s">
        <v>50</v>
      </c>
      <c r="C7" s="15">
        <v>22096</v>
      </c>
      <c r="D7" s="14" t="s">
        <v>105</v>
      </c>
      <c r="E7" s="14" t="s">
        <v>103</v>
      </c>
      <c r="F7" s="16" t="b">
        <v>0</v>
      </c>
      <c r="G7" s="17"/>
    </row>
    <row r="8" spans="1:7" x14ac:dyDescent="0.35">
      <c r="A8" s="14" t="s">
        <v>108</v>
      </c>
      <c r="B8" s="14" t="s">
        <v>98</v>
      </c>
      <c r="C8" s="15">
        <v>0</v>
      </c>
      <c r="D8" s="14" t="s">
        <v>99</v>
      </c>
      <c r="E8" s="14" t="s">
        <v>99</v>
      </c>
      <c r="F8" s="16" t="b">
        <v>0</v>
      </c>
      <c r="G8" s="17"/>
    </row>
    <row r="9" spans="1:7" x14ac:dyDescent="0.35">
      <c r="A9" s="14" t="s">
        <v>108</v>
      </c>
      <c r="B9" s="14" t="s">
        <v>57</v>
      </c>
      <c r="C9" s="15">
        <v>82409</v>
      </c>
      <c r="D9" s="14" t="s">
        <v>102</v>
      </c>
      <c r="E9" s="14" t="s">
        <v>103</v>
      </c>
      <c r="F9" s="16" t="b">
        <v>0</v>
      </c>
      <c r="G9" s="17">
        <v>3</v>
      </c>
    </row>
    <row r="10" spans="1:7" x14ac:dyDescent="0.35">
      <c r="A10" s="14" t="s">
        <v>108</v>
      </c>
      <c r="B10" s="14" t="s">
        <v>58</v>
      </c>
      <c r="C10" s="15">
        <v>27350</v>
      </c>
      <c r="D10" s="14" t="s">
        <v>105</v>
      </c>
      <c r="E10" s="14" t="s">
        <v>109</v>
      </c>
      <c r="F10" s="16" t="b">
        <v>0</v>
      </c>
      <c r="G10" s="16">
        <v>0</v>
      </c>
    </row>
    <row r="11" spans="1:7" x14ac:dyDescent="0.35">
      <c r="A11" s="14" t="s">
        <v>108</v>
      </c>
      <c r="B11" s="14"/>
      <c r="C11" s="15"/>
      <c r="D11" s="14"/>
      <c r="E11" s="14"/>
      <c r="F11" s="16" t="b">
        <v>0</v>
      </c>
      <c r="G11" s="17"/>
    </row>
    <row r="12" spans="1:7" x14ac:dyDescent="0.35">
      <c r="A12" s="14" t="s">
        <v>108</v>
      </c>
      <c r="B12" s="14" t="s">
        <v>60</v>
      </c>
      <c r="C12" s="15">
        <v>102720</v>
      </c>
      <c r="D12" s="14" t="s">
        <v>102</v>
      </c>
      <c r="E12" s="14" t="s">
        <v>107</v>
      </c>
      <c r="F12" s="16" t="b">
        <v>0</v>
      </c>
      <c r="G12" s="16">
        <v>2</v>
      </c>
    </row>
    <row r="13" spans="1:7" x14ac:dyDescent="0.35">
      <c r="A13" s="14" t="s">
        <v>108</v>
      </c>
      <c r="B13" s="14" t="s">
        <v>62</v>
      </c>
      <c r="C13" s="15">
        <v>57190</v>
      </c>
      <c r="D13" s="14" t="s">
        <v>102</v>
      </c>
      <c r="E13" s="14" t="s">
        <v>103</v>
      </c>
      <c r="F13" s="16" t="b">
        <v>0</v>
      </c>
      <c r="G13" s="17"/>
    </row>
    <row r="14" spans="1:7" x14ac:dyDescent="0.35">
      <c r="A14" s="14" t="s">
        <v>108</v>
      </c>
      <c r="B14" s="14"/>
      <c r="C14" s="15">
        <v>39705</v>
      </c>
      <c r="D14" s="14" t="s">
        <v>102</v>
      </c>
      <c r="E14" s="14" t="s">
        <v>109</v>
      </c>
      <c r="F14" s="16" t="b">
        <v>0</v>
      </c>
      <c r="G14" s="16">
        <v>4</v>
      </c>
    </row>
    <row r="15" spans="1:7" x14ac:dyDescent="0.35">
      <c r="A15" s="14" t="s">
        <v>108</v>
      </c>
      <c r="B15" s="14" t="s">
        <v>69</v>
      </c>
      <c r="C15" s="15">
        <v>74686.36</v>
      </c>
      <c r="D15" s="14" t="s">
        <v>105</v>
      </c>
      <c r="E15" s="14" t="s">
        <v>103</v>
      </c>
      <c r="F15" s="16" t="b">
        <v>0</v>
      </c>
      <c r="G15" s="16">
        <v>4</v>
      </c>
    </row>
    <row r="16" spans="1:7" x14ac:dyDescent="0.35">
      <c r="A16" s="14" t="s">
        <v>110</v>
      </c>
      <c r="B16" s="14" t="s">
        <v>49</v>
      </c>
      <c r="C16" s="15">
        <v>40605</v>
      </c>
      <c r="D16" s="14" t="s">
        <v>102</v>
      </c>
      <c r="E16" s="14" t="s">
        <v>103</v>
      </c>
      <c r="F16" s="16" t="b">
        <v>0</v>
      </c>
      <c r="G16" s="16">
        <v>3</v>
      </c>
    </row>
    <row r="17" spans="1:7" x14ac:dyDescent="0.35">
      <c r="A17" s="14" t="s">
        <v>110</v>
      </c>
      <c r="B17" s="14" t="s">
        <v>51</v>
      </c>
      <c r="C17" s="15">
        <v>40068</v>
      </c>
      <c r="D17" s="14" t="s">
        <v>111</v>
      </c>
      <c r="E17" s="14" t="s">
        <v>103</v>
      </c>
      <c r="F17" s="16" t="b">
        <v>0</v>
      </c>
      <c r="G17" s="16">
        <v>2</v>
      </c>
    </row>
    <row r="18" spans="1:7" x14ac:dyDescent="0.35">
      <c r="A18" s="14" t="s">
        <v>110</v>
      </c>
      <c r="B18" s="14" t="s">
        <v>98</v>
      </c>
      <c r="C18" s="15">
        <v>0</v>
      </c>
      <c r="D18" s="14" t="s">
        <v>99</v>
      </c>
      <c r="E18" s="14" t="s">
        <v>99</v>
      </c>
      <c r="F18" s="16" t="b">
        <v>0</v>
      </c>
      <c r="G18" s="17"/>
    </row>
    <row r="19" spans="1:7" x14ac:dyDescent="0.35">
      <c r="A19" s="14" t="s">
        <v>110</v>
      </c>
      <c r="B19" s="14" t="s">
        <v>59</v>
      </c>
      <c r="C19" s="15">
        <v>34905</v>
      </c>
      <c r="D19" s="14" t="s">
        <v>107</v>
      </c>
      <c r="E19" s="14" t="s">
        <v>107</v>
      </c>
      <c r="F19" s="16" t="b">
        <v>0</v>
      </c>
      <c r="G19" s="16">
        <v>3</v>
      </c>
    </row>
    <row r="20" spans="1:7" x14ac:dyDescent="0.35">
      <c r="A20" s="14" t="s">
        <v>110</v>
      </c>
      <c r="B20" s="14" t="s">
        <v>61</v>
      </c>
      <c r="C20" s="15">
        <v>79204</v>
      </c>
      <c r="D20" s="14" t="s">
        <v>102</v>
      </c>
      <c r="E20" s="14" t="s">
        <v>103</v>
      </c>
      <c r="F20" s="16" t="b">
        <v>1</v>
      </c>
      <c r="G20" s="16">
        <v>2</v>
      </c>
    </row>
    <row r="21" spans="1:7" x14ac:dyDescent="0.35">
      <c r="A21" s="14" t="s">
        <v>110</v>
      </c>
      <c r="B21" s="14" t="s">
        <v>63</v>
      </c>
      <c r="C21" s="15">
        <v>27816</v>
      </c>
      <c r="D21" s="14" t="s">
        <v>102</v>
      </c>
      <c r="E21" s="14" t="s">
        <v>109</v>
      </c>
      <c r="F21" s="16" t="b">
        <v>1</v>
      </c>
      <c r="G21" s="16">
        <v>0</v>
      </c>
    </row>
    <row r="22" spans="1:7" x14ac:dyDescent="0.35">
      <c r="A22" s="14" t="s">
        <v>110</v>
      </c>
      <c r="B22" s="14" t="s">
        <v>65</v>
      </c>
      <c r="C22" s="15">
        <v>86040</v>
      </c>
      <c r="D22" s="14" t="s">
        <v>102</v>
      </c>
      <c r="E22" s="14" t="s">
        <v>107</v>
      </c>
      <c r="F22" s="16" t="b">
        <v>0</v>
      </c>
      <c r="G22" s="16">
        <v>3</v>
      </c>
    </row>
    <row r="23" spans="1:7" x14ac:dyDescent="0.35">
      <c r="A23" s="14" t="s">
        <v>110</v>
      </c>
      <c r="B23" s="14" t="s">
        <v>71</v>
      </c>
      <c r="C23" s="15">
        <v>24426</v>
      </c>
      <c r="D23" s="14" t="s">
        <v>102</v>
      </c>
      <c r="E23" s="14" t="s">
        <v>103</v>
      </c>
      <c r="F23" s="16" t="b">
        <v>0</v>
      </c>
      <c r="G23" s="17"/>
    </row>
    <row r="24" spans="1:7" ht="43.5" x14ac:dyDescent="0.35">
      <c r="A24" s="14" t="s">
        <v>112</v>
      </c>
      <c r="B24" s="14" t="s">
        <v>98</v>
      </c>
      <c r="C24" s="15">
        <v>62773.7</v>
      </c>
      <c r="D24" s="14" t="s">
        <v>99</v>
      </c>
      <c r="E24" s="14" t="s">
        <v>99</v>
      </c>
      <c r="F24" s="16" t="b">
        <v>0</v>
      </c>
      <c r="G24" s="17"/>
    </row>
    <row r="25" spans="1:7" x14ac:dyDescent="0.35">
      <c r="A25" s="14" t="s">
        <v>113</v>
      </c>
      <c r="B25" s="14" t="s">
        <v>98</v>
      </c>
      <c r="C25" s="15">
        <v>1693.74</v>
      </c>
      <c r="D25" s="14" t="s">
        <v>99</v>
      </c>
      <c r="E25" s="14" t="s">
        <v>99</v>
      </c>
      <c r="F25" s="16" t="b">
        <v>0</v>
      </c>
      <c r="G25" s="17"/>
    </row>
    <row r="26" spans="1:7" x14ac:dyDescent="0.35">
      <c r="A26" s="14" t="s">
        <v>113</v>
      </c>
      <c r="B26" s="14" t="s">
        <v>70</v>
      </c>
      <c r="C26" s="15">
        <v>249036.33</v>
      </c>
      <c r="D26" s="14" t="s">
        <v>102</v>
      </c>
      <c r="E26" s="14" t="s">
        <v>109</v>
      </c>
      <c r="F26" s="16" t="b">
        <v>0</v>
      </c>
      <c r="G26" s="16">
        <v>4</v>
      </c>
    </row>
    <row r="27" spans="1:7" x14ac:dyDescent="0.35">
      <c r="A27" s="14" t="s">
        <v>113</v>
      </c>
      <c r="B27" s="14" t="s">
        <v>114</v>
      </c>
      <c r="C27" s="15">
        <v>0</v>
      </c>
      <c r="D27" s="14" t="s">
        <v>102</v>
      </c>
      <c r="E27" s="14" t="s">
        <v>109</v>
      </c>
      <c r="F27" s="16" t="b">
        <v>1</v>
      </c>
      <c r="G27" s="16">
        <v>3</v>
      </c>
    </row>
    <row r="28" spans="1:7" x14ac:dyDescent="0.35">
      <c r="A28" s="14" t="s">
        <v>113</v>
      </c>
      <c r="B28" s="14" t="s">
        <v>72</v>
      </c>
      <c r="C28" s="15">
        <v>203477.57</v>
      </c>
      <c r="D28" s="14" t="s">
        <v>105</v>
      </c>
      <c r="E28" s="14" t="s">
        <v>107</v>
      </c>
      <c r="F28" s="16" t="b">
        <v>0</v>
      </c>
      <c r="G28" s="16">
        <v>3</v>
      </c>
    </row>
    <row r="29" spans="1:7" x14ac:dyDescent="0.35">
      <c r="A29" s="14" t="s">
        <v>113</v>
      </c>
      <c r="B29" s="14" t="s">
        <v>115</v>
      </c>
      <c r="C29" s="15">
        <v>0</v>
      </c>
      <c r="D29" s="14" t="s">
        <v>102</v>
      </c>
      <c r="E29" s="14" t="s">
        <v>107</v>
      </c>
      <c r="F29" s="16" t="b">
        <v>0</v>
      </c>
      <c r="G29" s="16">
        <v>2</v>
      </c>
    </row>
    <row r="30" spans="1:7" x14ac:dyDescent="0.35">
      <c r="A30" s="14" t="s">
        <v>116</v>
      </c>
      <c r="B30" s="14" t="s">
        <v>68</v>
      </c>
      <c r="C30" s="15">
        <v>2960.8</v>
      </c>
      <c r="D30" s="14" t="s">
        <v>105</v>
      </c>
      <c r="E30" s="14" t="s">
        <v>109</v>
      </c>
      <c r="F30" s="16" t="b">
        <v>0</v>
      </c>
      <c r="G30" s="1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O12" sqref="O12:O13"/>
    </sheetView>
  </sheetViews>
  <sheetFormatPr defaultRowHeight="14.5" x14ac:dyDescent="0.35"/>
  <cols>
    <col min="1" max="1" width="18.453125" style="22" customWidth="1"/>
    <col min="2" max="2" width="8.7265625" style="22"/>
    <col min="3" max="3" width="10.54296875" style="22" customWidth="1"/>
    <col min="4" max="5" width="8.7265625" style="22"/>
    <col min="6" max="6" width="15.90625" style="22" bestFit="1" customWidth="1"/>
    <col min="7" max="8" width="8.7265625" style="22"/>
    <col min="9" max="9" width="8.7265625" style="26"/>
    <col min="10" max="10" width="8.7265625" style="22"/>
    <col min="11" max="11" width="8.7265625" style="24"/>
    <col min="12" max="12" width="11.26953125" style="26" bestFit="1" customWidth="1"/>
    <col min="13" max="13" width="12.90625" style="26" customWidth="1"/>
    <col min="14" max="14" width="13.7265625" style="26" customWidth="1"/>
    <col min="15" max="15" width="14.1796875" style="22" customWidth="1"/>
    <col min="16" max="16" width="12.7265625" style="22" bestFit="1" customWidth="1"/>
    <col min="17" max="16384" width="8.7265625" style="22"/>
  </cols>
  <sheetData>
    <row r="1" spans="1:16" ht="29" x14ac:dyDescent="0.35">
      <c r="A1" s="21" t="s">
        <v>90</v>
      </c>
      <c r="B1" s="21" t="s">
        <v>91</v>
      </c>
      <c r="C1" s="21" t="s">
        <v>117</v>
      </c>
      <c r="D1" s="21" t="s">
        <v>118</v>
      </c>
      <c r="E1" s="21" t="s">
        <v>119</v>
      </c>
      <c r="F1" s="21" t="s">
        <v>120</v>
      </c>
      <c r="G1" s="22" t="s">
        <v>129</v>
      </c>
      <c r="H1" s="22" t="s">
        <v>130</v>
      </c>
      <c r="I1" s="26" t="s">
        <v>131</v>
      </c>
      <c r="J1" s="22" t="s">
        <v>96</v>
      </c>
      <c r="L1" s="26" t="s">
        <v>103</v>
      </c>
      <c r="M1" s="26" t="s">
        <v>107</v>
      </c>
      <c r="N1" s="26" t="s">
        <v>109</v>
      </c>
    </row>
    <row r="2" spans="1:16" x14ac:dyDescent="0.35">
      <c r="A2" s="18" t="s">
        <v>121</v>
      </c>
      <c r="B2" s="18" t="s">
        <v>49</v>
      </c>
      <c r="C2" s="18" t="s">
        <v>122</v>
      </c>
      <c r="D2" s="19">
        <v>300</v>
      </c>
      <c r="E2" s="20">
        <v>115.55</v>
      </c>
      <c r="F2" s="20">
        <v>40677</v>
      </c>
      <c r="G2" s="14" t="s">
        <v>102</v>
      </c>
      <c r="H2" s="14" t="s">
        <v>103</v>
      </c>
      <c r="I2" s="29" t="b">
        <v>0</v>
      </c>
      <c r="J2" s="16">
        <v>3</v>
      </c>
      <c r="K2" s="24" t="s">
        <v>102</v>
      </c>
      <c r="L2" s="27">
        <f>F2+F3+F7+F10+F11+F15+F19+F21+F33</f>
        <v>604604</v>
      </c>
      <c r="M2" s="27">
        <f>F8+F9+F20+F22+F35</f>
        <v>246355</v>
      </c>
      <c r="N2" s="27">
        <f>F5+F6+F14+F24+F27+F32</f>
        <v>541074</v>
      </c>
      <c r="O2" s="23">
        <f>SUM(L2:N2)</f>
        <v>1392033</v>
      </c>
    </row>
    <row r="3" spans="1:16" x14ac:dyDescent="0.35">
      <c r="A3" s="18" t="s">
        <v>123</v>
      </c>
      <c r="B3" s="18" t="s">
        <v>50</v>
      </c>
      <c r="C3" s="18" t="s">
        <v>122</v>
      </c>
      <c r="D3" s="19">
        <v>400</v>
      </c>
      <c r="E3" s="20">
        <v>53.85</v>
      </c>
      <c r="F3" s="20">
        <v>22056</v>
      </c>
      <c r="G3" s="14" t="s">
        <v>105</v>
      </c>
      <c r="H3" s="14" t="s">
        <v>103</v>
      </c>
      <c r="I3" s="29" t="b">
        <v>0</v>
      </c>
      <c r="J3" s="17"/>
      <c r="K3" s="24" t="s">
        <v>111</v>
      </c>
      <c r="L3" s="27">
        <f>F4+F28+F29</f>
        <v>59100</v>
      </c>
      <c r="M3" s="26">
        <v>0</v>
      </c>
      <c r="N3" s="26">
        <v>0</v>
      </c>
      <c r="O3" s="23">
        <f>SUM(L3:N3)</f>
        <v>59100</v>
      </c>
    </row>
    <row r="4" spans="1:16" x14ac:dyDescent="0.35">
      <c r="A4" s="18" t="s">
        <v>121</v>
      </c>
      <c r="B4" s="18" t="s">
        <v>51</v>
      </c>
      <c r="C4" s="18" t="s">
        <v>122</v>
      </c>
      <c r="D4" s="19">
        <v>400</v>
      </c>
      <c r="E4" s="20">
        <v>96.77</v>
      </c>
      <c r="F4" s="20">
        <v>46640</v>
      </c>
      <c r="G4" s="14" t="s">
        <v>111</v>
      </c>
      <c r="H4" s="14" t="s">
        <v>103</v>
      </c>
      <c r="I4" s="29" t="b">
        <v>0</v>
      </c>
      <c r="J4" s="16">
        <v>2</v>
      </c>
      <c r="K4" s="24" t="s">
        <v>105</v>
      </c>
      <c r="L4" s="27">
        <f>F26+F34</f>
        <v>101833</v>
      </c>
      <c r="M4" s="27">
        <f>F25+F30</f>
        <v>255064</v>
      </c>
      <c r="N4" s="28">
        <f>F12</f>
        <v>27360</v>
      </c>
      <c r="O4" s="23">
        <f>SUM(L4:N4)</f>
        <v>384257</v>
      </c>
    </row>
    <row r="5" spans="1:16" x14ac:dyDescent="0.35">
      <c r="A5" s="18" t="s">
        <v>124</v>
      </c>
      <c r="B5" s="18" t="s">
        <v>52</v>
      </c>
      <c r="C5" s="18" t="s">
        <v>122</v>
      </c>
      <c r="D5" s="19">
        <v>10000</v>
      </c>
      <c r="E5" s="20">
        <v>6.77</v>
      </c>
      <c r="F5" s="20">
        <v>66200</v>
      </c>
      <c r="G5" s="22" t="s">
        <v>102</v>
      </c>
      <c r="H5" s="22" t="s">
        <v>109</v>
      </c>
      <c r="I5" s="26" t="b">
        <v>1</v>
      </c>
      <c r="J5" s="22">
        <v>3</v>
      </c>
      <c r="L5" s="27">
        <f>SUM(L2:L4)</f>
        <v>765537</v>
      </c>
      <c r="M5" s="27">
        <f>SUM(M2:M4)</f>
        <v>501419</v>
      </c>
      <c r="N5" s="27">
        <f>SUM(N2:N4)</f>
        <v>568434</v>
      </c>
      <c r="O5" s="23">
        <f>L5+M5+N5</f>
        <v>1835390</v>
      </c>
    </row>
    <row r="6" spans="1:16" x14ac:dyDescent="0.35">
      <c r="A6" s="18" t="s">
        <v>124</v>
      </c>
      <c r="B6" s="18" t="s">
        <v>53</v>
      </c>
      <c r="C6" s="18" t="s">
        <v>122</v>
      </c>
      <c r="D6" s="19">
        <v>5000</v>
      </c>
      <c r="E6" s="20">
        <v>11</v>
      </c>
      <c r="F6" s="20">
        <v>58350</v>
      </c>
      <c r="G6" s="22" t="s">
        <v>102</v>
      </c>
      <c r="H6" s="22" t="s">
        <v>109</v>
      </c>
      <c r="I6" s="26" t="b">
        <v>1</v>
      </c>
      <c r="J6" s="22">
        <v>3</v>
      </c>
    </row>
    <row r="7" spans="1:16" x14ac:dyDescent="0.35">
      <c r="A7" s="18" t="s">
        <v>123</v>
      </c>
      <c r="B7" s="18" t="s">
        <v>54</v>
      </c>
      <c r="C7" s="18" t="s">
        <v>122</v>
      </c>
      <c r="D7" s="19">
        <v>200</v>
      </c>
      <c r="E7" s="20">
        <v>164.02</v>
      </c>
      <c r="F7" s="20">
        <v>36902</v>
      </c>
      <c r="G7" s="22" t="s">
        <v>102</v>
      </c>
      <c r="H7" s="22" t="s">
        <v>103</v>
      </c>
      <c r="I7" s="26" t="b">
        <v>1</v>
      </c>
      <c r="J7" s="22">
        <v>3</v>
      </c>
      <c r="K7" s="24" t="s">
        <v>133</v>
      </c>
      <c r="O7" s="23">
        <f>F13+F23</f>
        <v>237131</v>
      </c>
      <c r="P7" s="23">
        <f>O5+O7</f>
        <v>2072521</v>
      </c>
    </row>
    <row r="8" spans="1:16" x14ac:dyDescent="0.35">
      <c r="A8" s="18" t="s">
        <v>123</v>
      </c>
      <c r="B8" s="18" t="s">
        <v>24</v>
      </c>
      <c r="C8" s="18" t="s">
        <v>122</v>
      </c>
      <c r="D8" s="19">
        <v>400</v>
      </c>
      <c r="E8" s="20">
        <v>162.86000000000001</v>
      </c>
      <c r="F8" s="20">
        <v>66684</v>
      </c>
      <c r="G8" s="22" t="s">
        <v>102</v>
      </c>
      <c r="H8" s="22" t="s">
        <v>107</v>
      </c>
      <c r="I8" s="26" t="b">
        <v>0</v>
      </c>
      <c r="J8" s="22">
        <v>3</v>
      </c>
      <c r="K8" s="24" t="s">
        <v>134</v>
      </c>
      <c r="O8" s="23">
        <f>F16+F17+F18+F31</f>
        <v>68444.179999999993</v>
      </c>
    </row>
    <row r="9" spans="1:16" x14ac:dyDescent="0.35">
      <c r="A9" s="18" t="s">
        <v>123</v>
      </c>
      <c r="B9" s="18" t="s">
        <v>55</v>
      </c>
      <c r="C9" s="18" t="s">
        <v>122</v>
      </c>
      <c r="D9" s="19">
        <v>500</v>
      </c>
      <c r="E9" s="20">
        <v>117.7</v>
      </c>
      <c r="F9" s="20">
        <v>54890</v>
      </c>
      <c r="G9" s="22" t="s">
        <v>102</v>
      </c>
      <c r="H9" s="22" t="s">
        <v>107</v>
      </c>
      <c r="I9" s="26" t="b">
        <v>0</v>
      </c>
      <c r="J9" s="22">
        <v>2</v>
      </c>
      <c r="O9" s="23">
        <f>O5+O7+O8</f>
        <v>2140965.1800000002</v>
      </c>
    </row>
    <row r="10" spans="1:16" x14ac:dyDescent="0.35">
      <c r="A10" s="18" t="s">
        <v>124</v>
      </c>
      <c r="B10" s="18" t="s">
        <v>56</v>
      </c>
      <c r="C10" s="18" t="s">
        <v>122</v>
      </c>
      <c r="D10" s="19">
        <v>300</v>
      </c>
      <c r="E10" s="20">
        <v>103.94</v>
      </c>
      <c r="F10" s="20">
        <v>34440</v>
      </c>
      <c r="G10" s="22" t="s">
        <v>102</v>
      </c>
      <c r="H10" s="22" t="s">
        <v>103</v>
      </c>
      <c r="I10" s="26" t="b">
        <v>1</v>
      </c>
      <c r="J10" s="22">
        <v>3</v>
      </c>
      <c r="K10" s="24" t="s">
        <v>102</v>
      </c>
      <c r="L10" s="48">
        <f>L2/$O$9</f>
        <v>0.28239786692841029</v>
      </c>
      <c r="M10" s="48">
        <f t="shared" ref="M10:O10" si="0">M2/$O$9</f>
        <v>0.11506726139282657</v>
      </c>
      <c r="N10" s="48">
        <f t="shared" si="0"/>
        <v>0.25272433435839436</v>
      </c>
      <c r="O10" s="48">
        <f t="shared" si="0"/>
        <v>0.65018946267963118</v>
      </c>
    </row>
    <row r="11" spans="1:16" x14ac:dyDescent="0.35">
      <c r="A11" s="18" t="s">
        <v>123</v>
      </c>
      <c r="B11" s="18" t="s">
        <v>57</v>
      </c>
      <c r="C11" s="18" t="s">
        <v>122</v>
      </c>
      <c r="D11" s="19">
        <v>100</v>
      </c>
      <c r="E11" s="20">
        <v>771.8</v>
      </c>
      <c r="F11" s="20">
        <v>82589</v>
      </c>
      <c r="G11" s="14" t="s">
        <v>102</v>
      </c>
      <c r="H11" s="14" t="s">
        <v>103</v>
      </c>
      <c r="I11" s="29" t="b">
        <v>0</v>
      </c>
      <c r="J11" s="17">
        <v>3</v>
      </c>
      <c r="K11" s="24" t="s">
        <v>111</v>
      </c>
      <c r="L11" s="48">
        <f t="shared" ref="L11:O11" si="1">L3/$O$9</f>
        <v>2.7604372342010717E-2</v>
      </c>
      <c r="M11" s="48">
        <f t="shared" si="1"/>
        <v>0</v>
      </c>
      <c r="N11" s="48">
        <f t="shared" si="1"/>
        <v>0</v>
      </c>
      <c r="O11" s="48">
        <f t="shared" si="1"/>
        <v>2.7604372342010717E-2</v>
      </c>
    </row>
    <row r="12" spans="1:16" x14ac:dyDescent="0.35">
      <c r="A12" s="18" t="s">
        <v>123</v>
      </c>
      <c r="B12" s="18" t="s">
        <v>58</v>
      </c>
      <c r="C12" s="18" t="s">
        <v>122</v>
      </c>
      <c r="D12" s="19">
        <v>3000</v>
      </c>
      <c r="E12" s="20">
        <v>9.18</v>
      </c>
      <c r="F12" s="20">
        <v>27360</v>
      </c>
      <c r="G12" s="14" t="s">
        <v>105</v>
      </c>
      <c r="H12" s="14" t="s">
        <v>109</v>
      </c>
      <c r="I12" s="29" t="b">
        <v>0</v>
      </c>
      <c r="J12" s="16">
        <v>0</v>
      </c>
      <c r="K12" s="24" t="s">
        <v>105</v>
      </c>
      <c r="L12" s="48">
        <f t="shared" ref="L12:O13" si="2">L4/$O$9</f>
        <v>4.7564061737799958E-2</v>
      </c>
      <c r="M12" s="48">
        <f t="shared" si="2"/>
        <v>0.11913505291104266</v>
      </c>
      <c r="N12" s="48">
        <f t="shared" si="2"/>
        <v>1.2779283033458768E-2</v>
      </c>
      <c r="O12" s="48">
        <f t="shared" si="2"/>
        <v>0.17947839768230139</v>
      </c>
    </row>
    <row r="13" spans="1:16" x14ac:dyDescent="0.35">
      <c r="A13" s="18" t="s">
        <v>121</v>
      </c>
      <c r="B13" s="18" t="s">
        <v>59</v>
      </c>
      <c r="C13" s="18" t="s">
        <v>122</v>
      </c>
      <c r="D13" s="19">
        <v>1500</v>
      </c>
      <c r="E13" s="20">
        <v>23.19</v>
      </c>
      <c r="F13" s="20">
        <v>34965</v>
      </c>
      <c r="G13" s="14" t="s">
        <v>107</v>
      </c>
      <c r="H13" s="14" t="s">
        <v>107</v>
      </c>
      <c r="I13" s="29" t="b">
        <v>0</v>
      </c>
      <c r="J13" s="16">
        <v>3</v>
      </c>
      <c r="L13" s="48">
        <f t="shared" si="2"/>
        <v>0.35756630100822095</v>
      </c>
      <c r="M13" s="48">
        <f t="shared" si="2"/>
        <v>0.23420231430386923</v>
      </c>
      <c r="N13" s="48">
        <f t="shared" si="2"/>
        <v>0.26550361739185313</v>
      </c>
      <c r="O13" s="48">
        <f t="shared" si="2"/>
        <v>0.85727223270394326</v>
      </c>
    </row>
    <row r="14" spans="1:16" x14ac:dyDescent="0.35">
      <c r="A14" s="18" t="s">
        <v>123</v>
      </c>
      <c r="B14" s="18" t="s">
        <v>60</v>
      </c>
      <c r="C14" s="18" t="s">
        <v>122</v>
      </c>
      <c r="D14" s="19">
        <v>1000</v>
      </c>
      <c r="E14" s="20">
        <v>115.21</v>
      </c>
      <c r="F14" s="20">
        <v>118430</v>
      </c>
      <c r="G14" s="22" t="s">
        <v>102</v>
      </c>
      <c r="H14" s="22" t="s">
        <v>109</v>
      </c>
      <c r="I14" s="26" t="b">
        <v>0</v>
      </c>
      <c r="J14" s="22">
        <v>2</v>
      </c>
      <c r="O14" s="48">
        <f>O7/$O$9</f>
        <v>0.11075892415961663</v>
      </c>
    </row>
    <row r="15" spans="1:16" x14ac:dyDescent="0.35">
      <c r="A15" s="18" t="s">
        <v>121</v>
      </c>
      <c r="B15" s="18" t="s">
        <v>61</v>
      </c>
      <c r="C15" s="18" t="s">
        <v>122</v>
      </c>
      <c r="D15" s="19">
        <v>400</v>
      </c>
      <c r="E15" s="20">
        <v>156.13999999999999</v>
      </c>
      <c r="F15" s="20">
        <v>79296</v>
      </c>
      <c r="G15" s="14" t="s">
        <v>102</v>
      </c>
      <c r="H15" s="14" t="s">
        <v>103</v>
      </c>
      <c r="I15" s="29" t="b">
        <v>1</v>
      </c>
      <c r="J15" s="16">
        <v>2</v>
      </c>
      <c r="O15" s="48">
        <f t="shared" ref="O15:O16" si="3">O8/$O$9</f>
        <v>3.1968843136439981E-2</v>
      </c>
    </row>
    <row r="16" spans="1:16" x14ac:dyDescent="0.35">
      <c r="A16" s="18" t="s">
        <v>121</v>
      </c>
      <c r="B16" s="18" t="s">
        <v>125</v>
      </c>
      <c r="C16" s="18" t="s">
        <v>122</v>
      </c>
      <c r="D16" s="19">
        <v>0</v>
      </c>
      <c r="E16" s="20">
        <v>0</v>
      </c>
      <c r="F16" s="20">
        <v>3606.34</v>
      </c>
      <c r="O16" s="26">
        <f t="shared" si="3"/>
        <v>1</v>
      </c>
    </row>
    <row r="17" spans="1:10" x14ac:dyDescent="0.35">
      <c r="A17" s="18" t="s">
        <v>124</v>
      </c>
      <c r="B17" s="18" t="s">
        <v>125</v>
      </c>
      <c r="C17" s="18" t="s">
        <v>122</v>
      </c>
      <c r="D17" s="19">
        <v>0</v>
      </c>
      <c r="E17" s="20">
        <v>0</v>
      </c>
      <c r="F17" s="20">
        <v>2500</v>
      </c>
    </row>
    <row r="18" spans="1:10" x14ac:dyDescent="0.35">
      <c r="A18" s="18" t="s">
        <v>126</v>
      </c>
      <c r="B18" s="18" t="s">
        <v>125</v>
      </c>
      <c r="C18" s="18" t="s">
        <v>122</v>
      </c>
      <c r="D18" s="19">
        <v>0</v>
      </c>
      <c r="E18" s="20">
        <v>0</v>
      </c>
      <c r="F18" s="20">
        <v>60000</v>
      </c>
    </row>
    <row r="19" spans="1:10" x14ac:dyDescent="0.35">
      <c r="A19" s="18" t="s">
        <v>123</v>
      </c>
      <c r="B19" s="18" t="s">
        <v>62</v>
      </c>
      <c r="C19" s="18" t="s">
        <v>122</v>
      </c>
      <c r="D19" s="19">
        <v>500</v>
      </c>
      <c r="E19" s="20">
        <v>123.4</v>
      </c>
      <c r="F19" s="20">
        <v>71320</v>
      </c>
      <c r="G19" s="22" t="s">
        <v>102</v>
      </c>
      <c r="H19" s="22" t="s">
        <v>103</v>
      </c>
      <c r="I19" s="26" t="b">
        <v>0</v>
      </c>
      <c r="J19" s="22">
        <v>1</v>
      </c>
    </row>
    <row r="20" spans="1:10" x14ac:dyDescent="0.35">
      <c r="A20" s="18" t="s">
        <v>121</v>
      </c>
      <c r="B20" s="18" t="s">
        <v>63</v>
      </c>
      <c r="C20" s="18" t="s">
        <v>122</v>
      </c>
      <c r="D20" s="19">
        <v>400</v>
      </c>
      <c r="E20" s="20">
        <v>58.33</v>
      </c>
      <c r="F20" s="20">
        <v>23968</v>
      </c>
      <c r="G20" s="22" t="s">
        <v>102</v>
      </c>
      <c r="H20" s="22" t="s">
        <v>107</v>
      </c>
      <c r="I20" s="26" t="b">
        <v>1</v>
      </c>
      <c r="J20" s="22">
        <v>4</v>
      </c>
    </row>
    <row r="21" spans="1:10" x14ac:dyDescent="0.35">
      <c r="A21" s="18" t="s">
        <v>124</v>
      </c>
      <c r="B21" s="18" t="s">
        <v>64</v>
      </c>
      <c r="C21" s="18" t="s">
        <v>122</v>
      </c>
      <c r="D21" s="19">
        <v>3373.3249999999998</v>
      </c>
      <c r="E21" s="20">
        <v>61.09</v>
      </c>
      <c r="F21" s="20">
        <v>218591</v>
      </c>
      <c r="G21" s="22" t="s">
        <v>102</v>
      </c>
      <c r="H21" s="22" t="s">
        <v>103</v>
      </c>
      <c r="I21" s="26" t="b">
        <v>0</v>
      </c>
      <c r="J21" s="22">
        <v>3</v>
      </c>
    </row>
    <row r="22" spans="1:10" x14ac:dyDescent="0.35">
      <c r="A22" s="18" t="s">
        <v>121</v>
      </c>
      <c r="B22" s="18" t="s">
        <v>65</v>
      </c>
      <c r="C22" s="18" t="s">
        <v>122</v>
      </c>
      <c r="D22" s="19">
        <v>1000</v>
      </c>
      <c r="E22" s="20">
        <v>73</v>
      </c>
      <c r="F22" s="20">
        <v>76640</v>
      </c>
      <c r="G22" s="22" t="s">
        <v>102</v>
      </c>
      <c r="H22" s="22" t="s">
        <v>107</v>
      </c>
      <c r="I22" s="26" t="b">
        <v>1</v>
      </c>
      <c r="J22" s="22">
        <v>4</v>
      </c>
    </row>
    <row r="23" spans="1:10" x14ac:dyDescent="0.35">
      <c r="A23" s="18" t="s">
        <v>124</v>
      </c>
      <c r="B23" s="18" t="s">
        <v>132</v>
      </c>
      <c r="C23" s="18" t="s">
        <v>122</v>
      </c>
      <c r="D23" s="19"/>
      <c r="E23" s="20"/>
      <c r="F23" s="20">
        <v>202166</v>
      </c>
      <c r="G23" s="22" t="s">
        <v>107</v>
      </c>
      <c r="I23" s="26" t="b">
        <v>0</v>
      </c>
      <c r="J23" s="22">
        <v>5</v>
      </c>
    </row>
    <row r="24" spans="1:10" x14ac:dyDescent="0.35">
      <c r="A24" s="18" t="s">
        <v>121</v>
      </c>
      <c r="B24" s="18" t="s">
        <v>67</v>
      </c>
      <c r="C24" s="18" t="s">
        <v>122</v>
      </c>
      <c r="D24" s="19">
        <v>3000</v>
      </c>
      <c r="E24" s="20">
        <v>5.53</v>
      </c>
      <c r="F24" s="20">
        <v>18030</v>
      </c>
      <c r="G24" s="22" t="s">
        <v>102</v>
      </c>
      <c r="H24" s="22" t="s">
        <v>109</v>
      </c>
      <c r="I24" s="26" t="b">
        <v>1</v>
      </c>
      <c r="J24" s="22">
        <v>3</v>
      </c>
    </row>
    <row r="25" spans="1:10" x14ac:dyDescent="0.35">
      <c r="A25" s="18" t="s">
        <v>126</v>
      </c>
      <c r="B25" s="18" t="s">
        <v>68</v>
      </c>
      <c r="C25" s="18" t="s">
        <v>122</v>
      </c>
      <c r="D25" s="19">
        <v>165.03899999999999</v>
      </c>
      <c r="E25" s="20">
        <v>20.54</v>
      </c>
      <c r="F25" s="20">
        <v>3587</v>
      </c>
      <c r="G25" s="22" t="s">
        <v>105</v>
      </c>
      <c r="H25" s="22" t="s">
        <v>107</v>
      </c>
      <c r="I25" s="26" t="b">
        <v>0</v>
      </c>
      <c r="J25" s="22">
        <v>4</v>
      </c>
    </row>
    <row r="26" spans="1:10" x14ac:dyDescent="0.35">
      <c r="A26" s="18" t="s">
        <v>123</v>
      </c>
      <c r="B26" s="18" t="s">
        <v>69</v>
      </c>
      <c r="C26" s="18" t="s">
        <v>122</v>
      </c>
      <c r="D26" s="19">
        <v>4026.2190000000001</v>
      </c>
      <c r="E26" s="20">
        <v>19.899999999999999</v>
      </c>
      <c r="F26" s="20">
        <v>82819</v>
      </c>
      <c r="G26" s="22" t="s">
        <v>105</v>
      </c>
      <c r="H26" s="22" t="s">
        <v>103</v>
      </c>
      <c r="I26" s="26" t="b">
        <v>0</v>
      </c>
      <c r="J26" s="22">
        <v>3</v>
      </c>
    </row>
    <row r="27" spans="1:10" x14ac:dyDescent="0.35">
      <c r="A27" s="18" t="s">
        <v>124</v>
      </c>
      <c r="B27" s="18" t="s">
        <v>70</v>
      </c>
      <c r="C27" s="18" t="s">
        <v>122</v>
      </c>
      <c r="D27" s="19">
        <v>27366.63</v>
      </c>
      <c r="E27" s="20">
        <v>8.81</v>
      </c>
      <c r="F27" s="20">
        <v>249036</v>
      </c>
      <c r="G27" s="22" t="s">
        <v>102</v>
      </c>
      <c r="H27" s="22" t="s">
        <v>109</v>
      </c>
      <c r="I27" s="26" t="b">
        <v>0</v>
      </c>
      <c r="J27" s="22">
        <v>4</v>
      </c>
    </row>
    <row r="28" spans="1:10" x14ac:dyDescent="0.35">
      <c r="A28" s="18" t="s">
        <v>121</v>
      </c>
      <c r="B28" s="18" t="s">
        <v>71</v>
      </c>
      <c r="C28" s="18" t="s">
        <v>122</v>
      </c>
      <c r="D28" s="19">
        <v>302</v>
      </c>
      <c r="E28" s="20">
        <v>25.2</v>
      </c>
      <c r="F28" s="20">
        <v>6565</v>
      </c>
      <c r="G28" s="22" t="s">
        <v>111</v>
      </c>
      <c r="H28" s="22" t="s">
        <v>103</v>
      </c>
      <c r="I28" s="26" t="b">
        <v>0</v>
      </c>
      <c r="J28" s="22">
        <v>4</v>
      </c>
    </row>
    <row r="29" spans="1:10" x14ac:dyDescent="0.35">
      <c r="A29" s="18" t="s">
        <v>121</v>
      </c>
      <c r="B29" s="18" t="s">
        <v>127</v>
      </c>
      <c r="C29" s="18" t="s">
        <v>122</v>
      </c>
      <c r="D29" s="19">
        <v>300</v>
      </c>
      <c r="E29" s="20">
        <v>29.05</v>
      </c>
      <c r="F29" s="20">
        <v>5895</v>
      </c>
      <c r="G29" s="22" t="s">
        <v>111</v>
      </c>
      <c r="H29" s="22" t="s">
        <v>103</v>
      </c>
      <c r="I29" s="26" t="b">
        <v>0</v>
      </c>
      <c r="J29" s="22">
        <v>4</v>
      </c>
    </row>
    <row r="30" spans="1:10" x14ac:dyDescent="0.35">
      <c r="A30" s="18" t="s">
        <v>124</v>
      </c>
      <c r="B30" s="18" t="s">
        <v>72</v>
      </c>
      <c r="C30" s="18" t="s">
        <v>122</v>
      </c>
      <c r="D30" s="19">
        <v>9602.0509999999995</v>
      </c>
      <c r="E30" s="20">
        <v>25.87</v>
      </c>
      <c r="F30" s="20">
        <v>251477</v>
      </c>
      <c r="G30" s="22" t="s">
        <v>105</v>
      </c>
      <c r="H30" s="22" t="s">
        <v>107</v>
      </c>
      <c r="I30" s="26" t="b">
        <v>0</v>
      </c>
      <c r="J30" s="22">
        <v>4</v>
      </c>
    </row>
    <row r="31" spans="1:10" x14ac:dyDescent="0.35">
      <c r="A31" s="18" t="s">
        <v>123</v>
      </c>
      <c r="B31" s="18" t="s">
        <v>125</v>
      </c>
      <c r="C31" s="18" t="s">
        <v>122</v>
      </c>
      <c r="D31" s="19">
        <v>0</v>
      </c>
      <c r="E31" s="20">
        <v>0</v>
      </c>
      <c r="F31" s="20">
        <v>2337.84</v>
      </c>
    </row>
    <row r="32" spans="1:10" x14ac:dyDescent="0.35">
      <c r="A32" s="18" t="s">
        <v>123</v>
      </c>
      <c r="B32" s="18" t="s">
        <v>128</v>
      </c>
      <c r="C32" s="18" t="s">
        <v>122</v>
      </c>
      <c r="D32" s="19">
        <v>400</v>
      </c>
      <c r="E32" s="20">
        <v>76.72</v>
      </c>
      <c r="F32" s="20">
        <v>31028</v>
      </c>
      <c r="G32" s="22" t="s">
        <v>102</v>
      </c>
      <c r="H32" s="22" t="s">
        <v>109</v>
      </c>
      <c r="I32" s="26" t="b">
        <v>0</v>
      </c>
      <c r="J32" s="22">
        <v>4</v>
      </c>
    </row>
    <row r="33" spans="1:15" customFormat="1" x14ac:dyDescent="0.35">
      <c r="A33" s="14" t="s">
        <v>100</v>
      </c>
      <c r="B33" s="14" t="s">
        <v>101</v>
      </c>
      <c r="C33" s="14"/>
      <c r="D33" s="14"/>
      <c r="E33" s="14"/>
      <c r="F33" s="15">
        <v>18733</v>
      </c>
      <c r="G33" s="14" t="s">
        <v>102</v>
      </c>
      <c r="H33" s="14" t="s">
        <v>103</v>
      </c>
      <c r="I33" s="29" t="b">
        <v>0</v>
      </c>
      <c r="J33" s="16">
        <v>4</v>
      </c>
      <c r="K33" s="25"/>
      <c r="L33" s="9"/>
      <c r="M33" s="9"/>
      <c r="N33" s="9"/>
      <c r="O33" s="22"/>
    </row>
    <row r="34" spans="1:15" customFormat="1" x14ac:dyDescent="0.35">
      <c r="A34" s="14" t="s">
        <v>100</v>
      </c>
      <c r="B34" s="14" t="s">
        <v>104</v>
      </c>
      <c r="C34" s="14"/>
      <c r="D34" s="14"/>
      <c r="E34" s="14"/>
      <c r="F34" s="15">
        <v>19014</v>
      </c>
      <c r="G34" s="14" t="s">
        <v>105</v>
      </c>
      <c r="H34" s="14" t="s">
        <v>103</v>
      </c>
      <c r="I34" s="29" t="b">
        <v>1</v>
      </c>
      <c r="J34" s="16">
        <v>3</v>
      </c>
      <c r="K34" s="25"/>
      <c r="L34" s="9"/>
      <c r="M34" s="9"/>
      <c r="N34" s="9"/>
    </row>
    <row r="35" spans="1:15" customFormat="1" x14ac:dyDescent="0.35">
      <c r="A35" s="14" t="s">
        <v>100</v>
      </c>
      <c r="B35" s="14" t="s">
        <v>106</v>
      </c>
      <c r="C35" s="14"/>
      <c r="D35" s="14"/>
      <c r="E35" s="14"/>
      <c r="F35" s="15">
        <v>24173</v>
      </c>
      <c r="G35" s="14" t="s">
        <v>102</v>
      </c>
      <c r="H35" s="14" t="s">
        <v>107</v>
      </c>
      <c r="I35" s="29" t="b">
        <v>1</v>
      </c>
      <c r="J35" s="16">
        <v>2</v>
      </c>
      <c r="K35" s="25"/>
      <c r="L35" s="9"/>
      <c r="M35" s="9"/>
      <c r="N35" s="9"/>
    </row>
    <row r="36" spans="1:15" x14ac:dyDescent="0.35">
      <c r="O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3" sqref="J13"/>
    </sheetView>
  </sheetViews>
  <sheetFormatPr defaultRowHeight="14.5" x14ac:dyDescent="0.35"/>
  <cols>
    <col min="2" max="3" width="8.7265625" style="30"/>
    <col min="4" max="4" width="12.26953125" style="30" bestFit="1" customWidth="1"/>
    <col min="6" max="6" width="8.7265625" style="5"/>
    <col min="7" max="7" width="15" style="49" customWidth="1"/>
    <col min="8" max="8" width="11.54296875" style="9" bestFit="1" customWidth="1"/>
  </cols>
  <sheetData>
    <row r="1" spans="1:8" x14ac:dyDescent="0.35">
      <c r="A1" t="s">
        <v>186</v>
      </c>
      <c r="B1" s="30">
        <v>2017</v>
      </c>
      <c r="C1" s="30">
        <v>2016</v>
      </c>
      <c r="D1" s="30" t="s">
        <v>185</v>
      </c>
      <c r="G1" s="49" t="s">
        <v>147</v>
      </c>
      <c r="H1" s="9" t="s">
        <v>187</v>
      </c>
    </row>
    <row r="2" spans="1:8" x14ac:dyDescent="0.35">
      <c r="A2">
        <v>3354</v>
      </c>
      <c r="B2" s="30">
        <v>748720</v>
      </c>
      <c r="C2" s="30">
        <v>738770</v>
      </c>
      <c r="D2" s="30">
        <f>B2-C2</f>
        <v>9950</v>
      </c>
      <c r="E2" t="s">
        <v>143</v>
      </c>
      <c r="F2" s="5">
        <f>D2/C2</f>
        <v>1.3468332498612559E-2</v>
      </c>
      <c r="G2" s="49">
        <v>685000</v>
      </c>
      <c r="H2" s="49">
        <f>B2-G2</f>
        <v>63720</v>
      </c>
    </row>
    <row r="3" spans="1:8" x14ac:dyDescent="0.35">
      <c r="A3">
        <v>3352</v>
      </c>
      <c r="B3" s="30">
        <v>723660</v>
      </c>
      <c r="C3" s="30">
        <v>713970</v>
      </c>
      <c r="D3" s="30">
        <f t="shared" ref="D3:D13" si="0">B3-C3</f>
        <v>9690</v>
      </c>
      <c r="E3" t="s">
        <v>142</v>
      </c>
      <c r="F3" s="5">
        <f t="shared" ref="F3:F13" si="1">D3/C3</f>
        <v>1.3571998823479979E-2</v>
      </c>
      <c r="G3" s="49">
        <v>720000</v>
      </c>
      <c r="H3" s="49">
        <f t="shared" ref="H3:H13" si="2">B3-G3</f>
        <v>3660</v>
      </c>
    </row>
    <row r="4" spans="1:8" x14ac:dyDescent="0.35">
      <c r="A4">
        <v>3350</v>
      </c>
      <c r="B4" s="30">
        <v>805310</v>
      </c>
      <c r="C4" s="30">
        <v>794820</v>
      </c>
      <c r="D4" s="30">
        <f t="shared" si="0"/>
        <v>10490</v>
      </c>
      <c r="E4" t="s">
        <v>140</v>
      </c>
      <c r="F4" s="5">
        <f t="shared" si="1"/>
        <v>1.3197956770086309E-2</v>
      </c>
      <c r="G4" s="49">
        <v>475000</v>
      </c>
      <c r="H4" s="49">
        <f t="shared" si="2"/>
        <v>330310</v>
      </c>
    </row>
    <row r="5" spans="1:8" x14ac:dyDescent="0.35">
      <c r="A5">
        <v>3358</v>
      </c>
      <c r="B5" s="30">
        <v>772040</v>
      </c>
      <c r="C5" s="30">
        <v>761880</v>
      </c>
      <c r="D5" s="30">
        <f t="shared" si="0"/>
        <v>10160</v>
      </c>
      <c r="E5" t="s">
        <v>144</v>
      </c>
      <c r="F5" s="5">
        <f t="shared" si="1"/>
        <v>1.3335433401585552E-2</v>
      </c>
      <c r="G5" s="49">
        <v>428384</v>
      </c>
      <c r="H5" s="49">
        <f t="shared" si="2"/>
        <v>343656</v>
      </c>
    </row>
    <row r="6" spans="1:8" x14ac:dyDescent="0.35">
      <c r="A6">
        <v>3356</v>
      </c>
      <c r="B6" s="30">
        <v>711660</v>
      </c>
      <c r="C6" s="30">
        <v>702090</v>
      </c>
      <c r="D6" s="30">
        <f t="shared" si="0"/>
        <v>9570</v>
      </c>
      <c r="E6" t="s">
        <v>141</v>
      </c>
      <c r="F6" s="5">
        <f t="shared" si="1"/>
        <v>1.3630731102850062E-2</v>
      </c>
      <c r="G6" s="49">
        <v>360000</v>
      </c>
      <c r="H6" s="49">
        <f t="shared" si="2"/>
        <v>351660</v>
      </c>
    </row>
    <row r="7" spans="1:8" x14ac:dyDescent="0.35">
      <c r="A7">
        <v>3351</v>
      </c>
      <c r="B7" s="30">
        <v>780550</v>
      </c>
      <c r="C7" s="30">
        <v>770320</v>
      </c>
      <c r="D7" s="30">
        <f t="shared" si="0"/>
        <v>10230</v>
      </c>
      <c r="E7" t="s">
        <v>139</v>
      </c>
      <c r="F7" s="5">
        <f t="shared" si="1"/>
        <v>1.3280195243535154E-2</v>
      </c>
      <c r="G7" s="49">
        <v>436000</v>
      </c>
      <c r="H7" s="49">
        <f t="shared" si="2"/>
        <v>344550</v>
      </c>
    </row>
    <row r="8" spans="1:8" x14ac:dyDescent="0.35">
      <c r="A8">
        <v>3353</v>
      </c>
      <c r="B8" s="30">
        <v>763280</v>
      </c>
      <c r="C8" s="30">
        <v>753200</v>
      </c>
      <c r="D8" s="30">
        <f t="shared" si="0"/>
        <v>10080</v>
      </c>
      <c r="E8" t="s">
        <v>138</v>
      </c>
      <c r="F8" s="5">
        <f t="shared" si="1"/>
        <v>1.3382899628252789E-2</v>
      </c>
      <c r="G8" s="49">
        <v>765000</v>
      </c>
      <c r="H8" s="49">
        <f t="shared" si="2"/>
        <v>-1720</v>
      </c>
    </row>
    <row r="9" spans="1:8" x14ac:dyDescent="0.35">
      <c r="A9">
        <v>3355</v>
      </c>
      <c r="B9" s="30">
        <v>774020</v>
      </c>
      <c r="C9" s="30">
        <v>763820</v>
      </c>
      <c r="D9" s="30">
        <f t="shared" si="0"/>
        <v>10200</v>
      </c>
      <c r="E9" t="s">
        <v>145</v>
      </c>
      <c r="F9" s="5">
        <f t="shared" si="1"/>
        <v>1.3353931554554738E-2</v>
      </c>
      <c r="G9" s="49">
        <v>715000</v>
      </c>
      <c r="H9" s="49">
        <f t="shared" si="2"/>
        <v>59020</v>
      </c>
    </row>
    <row r="10" spans="1:8" x14ac:dyDescent="0.35">
      <c r="A10">
        <v>3357</v>
      </c>
      <c r="B10" s="30">
        <v>795730</v>
      </c>
      <c r="C10" s="30">
        <v>785330</v>
      </c>
      <c r="D10" s="30">
        <f t="shared" si="0"/>
        <v>10400</v>
      </c>
      <c r="E10" t="s">
        <v>137</v>
      </c>
      <c r="F10" s="5">
        <f t="shared" si="1"/>
        <v>1.3242840589306406E-2</v>
      </c>
      <c r="G10" s="49">
        <v>975000</v>
      </c>
      <c r="H10" s="49">
        <f t="shared" si="2"/>
        <v>-179270</v>
      </c>
    </row>
    <row r="11" spans="1:8" x14ac:dyDescent="0.35">
      <c r="A11">
        <v>3359</v>
      </c>
      <c r="B11" s="30">
        <v>803960</v>
      </c>
      <c r="C11" s="30">
        <v>793480</v>
      </c>
      <c r="D11" s="30">
        <f t="shared" si="0"/>
        <v>10480</v>
      </c>
      <c r="E11" t="s">
        <v>136</v>
      </c>
      <c r="F11" s="5">
        <f t="shared" si="1"/>
        <v>1.3207642284619649E-2</v>
      </c>
      <c r="G11" s="49">
        <v>720000</v>
      </c>
      <c r="H11" s="49">
        <f t="shared" si="2"/>
        <v>83960</v>
      </c>
    </row>
    <row r="12" spans="1:8" x14ac:dyDescent="0.35">
      <c r="A12">
        <v>3361</v>
      </c>
      <c r="B12" s="30">
        <v>764790</v>
      </c>
      <c r="C12" s="30">
        <v>754710</v>
      </c>
      <c r="D12" s="30">
        <f t="shared" si="0"/>
        <v>10080</v>
      </c>
      <c r="E12" t="s">
        <v>135</v>
      </c>
      <c r="F12" s="5">
        <f t="shared" si="1"/>
        <v>1.3356123544142784E-2</v>
      </c>
      <c r="G12" s="49">
        <v>438500</v>
      </c>
      <c r="H12" s="49">
        <f t="shared" si="2"/>
        <v>326290</v>
      </c>
    </row>
    <row r="13" spans="1:8" x14ac:dyDescent="0.35">
      <c r="A13">
        <v>3360</v>
      </c>
      <c r="B13" s="30">
        <v>792480</v>
      </c>
      <c r="C13" s="30">
        <v>782110</v>
      </c>
      <c r="D13" s="30">
        <f t="shared" si="0"/>
        <v>10370</v>
      </c>
      <c r="E13" t="s">
        <v>146</v>
      </c>
      <c r="F13" s="5">
        <f t="shared" si="1"/>
        <v>1.3259004487859764E-2</v>
      </c>
      <c r="G13" s="49">
        <v>379000</v>
      </c>
      <c r="H13" s="49">
        <f t="shared" si="2"/>
        <v>413480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Current</vt:lpstr>
      <vt:lpstr>Sheet2</vt:lpstr>
      <vt:lpstr>2017 Sectors</vt:lpstr>
      <vt:lpstr>house 2017</vt:lpstr>
    </vt:vector>
  </TitlesOfParts>
  <Company>Accenture Federal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D. R.</dc:creator>
  <cp:lastModifiedBy>Smith, D. R.</cp:lastModifiedBy>
  <dcterms:created xsi:type="dcterms:W3CDTF">2017-01-05T16:04:37Z</dcterms:created>
  <dcterms:modified xsi:type="dcterms:W3CDTF">2017-05-23T21:37:20Z</dcterms:modified>
</cp:coreProperties>
</file>