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t\Desktop\Nowy folder\"/>
    </mc:Choice>
  </mc:AlternateContent>
  <xr:revisionPtr revIDLastSave="0" documentId="13_ncr:1_{13D29BE9-D276-4B7C-890B-0328BA47DE8E}" xr6:coauthVersionLast="47" xr6:coauthVersionMax="47" xr10:uidLastSave="{00000000-0000-0000-0000-000000000000}"/>
  <bookViews>
    <workbookView xWindow="-120" yWindow="-120" windowWidth="29040" windowHeight="15840" activeTab="3" xr2:uid="{C7B3B4E1-475B-47C2-8A01-179933B86B65}"/>
  </bookViews>
  <sheets>
    <sheet name="Stockpile" sheetId="1" r:id="rId1"/>
    <sheet name="Demographic Data" sheetId="4" r:id="rId2"/>
    <sheet name="Price Data" sheetId="5" r:id="rId3"/>
    <sheet name="Prospect" sheetId="2" r:id="rId4"/>
  </sheets>
  <definedNames>
    <definedName name="_xlnm._FilterDatabase" localSheetId="0" hidden="1">'Demographic Data'!$B$6:$E$6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9" i="2" l="1"/>
  <c r="B16" i="2"/>
  <c r="B14" i="2"/>
  <c r="B17" i="2"/>
  <c r="M27" i="2" s="1"/>
  <c r="U16" i="1"/>
  <c r="C43" i="2"/>
  <c r="C45" i="2"/>
  <c r="C46" i="2"/>
  <c r="C47" i="2"/>
  <c r="C48" i="2"/>
  <c r="C44" i="2"/>
  <c r="G23" i="2" l="1"/>
  <c r="G33" i="2" s="1"/>
  <c r="AD29" i="2"/>
  <c r="AD39" i="2" s="1"/>
  <c r="H49" i="2" s="1"/>
  <c r="S28" i="2"/>
  <c r="S38" i="2" s="1"/>
  <c r="T28" i="2"/>
  <c r="T38" i="2" s="1"/>
  <c r="U28" i="2"/>
  <c r="U38" i="2" s="1"/>
  <c r="V28" i="2"/>
  <c r="V38" i="2" s="1"/>
  <c r="W28" i="2"/>
  <c r="W38" i="2" s="1"/>
  <c r="X28" i="2"/>
  <c r="X38" i="2" s="1"/>
  <c r="Y28" i="2"/>
  <c r="Y38" i="2" s="1"/>
  <c r="Z28" i="2"/>
  <c r="Z38" i="2" s="1"/>
  <c r="AA28" i="2"/>
  <c r="AA38" i="2" s="1"/>
  <c r="AB28" i="2"/>
  <c r="AB38" i="2" s="1"/>
  <c r="AC28" i="2"/>
  <c r="AC38" i="2" s="1"/>
  <c r="S29" i="2"/>
  <c r="S39" i="2" s="1"/>
  <c r="T29" i="2"/>
  <c r="T39" i="2" s="1"/>
  <c r="U29" i="2"/>
  <c r="U39" i="2" s="1"/>
  <c r="V29" i="2"/>
  <c r="V39" i="2" s="1"/>
  <c r="W29" i="2"/>
  <c r="W39" i="2" s="1"/>
  <c r="X29" i="2"/>
  <c r="X39" i="2" s="1"/>
  <c r="Y29" i="2"/>
  <c r="Y39" i="2" s="1"/>
  <c r="Z29" i="2"/>
  <c r="Z39" i="2" s="1"/>
  <c r="AA29" i="2"/>
  <c r="AA39" i="2" s="1"/>
  <c r="AB29" i="2"/>
  <c r="AB39" i="2" s="1"/>
  <c r="AC29" i="2"/>
  <c r="AC39" i="2" s="1"/>
  <c r="R29" i="2"/>
  <c r="R39" i="2" s="1"/>
  <c r="R28" i="2"/>
  <c r="R38" i="2" s="1"/>
  <c r="N27" i="2"/>
  <c r="N37" i="2" s="1"/>
  <c r="O27" i="2"/>
  <c r="O37" i="2" s="1"/>
  <c r="P27" i="2"/>
  <c r="P37" i="2" s="1"/>
  <c r="Q27" i="2"/>
  <c r="Q37" i="2" s="1"/>
  <c r="M37" i="2"/>
  <c r="N26" i="2"/>
  <c r="N36" i="2" s="1"/>
  <c r="M26" i="2"/>
  <c r="M36" i="2" s="1"/>
  <c r="L26" i="2"/>
  <c r="L36" i="2" s="1"/>
  <c r="O26" i="2"/>
  <c r="O36" i="2" s="1"/>
  <c r="P26" i="2"/>
  <c r="P36" i="2" s="1"/>
  <c r="Q26" i="2"/>
  <c r="Q36" i="2" s="1"/>
  <c r="J26" i="2"/>
  <c r="J36" i="2" s="1"/>
  <c r="K25" i="2"/>
  <c r="K35" i="2" s="1"/>
  <c r="L25" i="2"/>
  <c r="L35" i="2" s="1"/>
  <c r="M25" i="2"/>
  <c r="M35" i="2" s="1"/>
  <c r="J25" i="2"/>
  <c r="J35" i="2" s="1"/>
  <c r="H25" i="2"/>
  <c r="H35" i="2" s="1"/>
  <c r="K24" i="2"/>
  <c r="K34" i="2" s="1"/>
  <c r="L24" i="2"/>
  <c r="L34" i="2" s="1"/>
  <c r="J24" i="2"/>
  <c r="J34" i="2" s="1"/>
  <c r="I24" i="2"/>
  <c r="I34" i="2" s="1"/>
  <c r="H24" i="2"/>
  <c r="H34" i="2" s="1"/>
  <c r="G24" i="2"/>
  <c r="G34" i="2" s="1"/>
  <c r="E23" i="2"/>
  <c r="E33" i="2" s="1"/>
  <c r="F23" i="2"/>
  <c r="F33" i="2" s="1"/>
  <c r="E44" i="2" l="1"/>
  <c r="I44" i="2" s="1"/>
  <c r="G48" i="2"/>
  <c r="F48" i="2"/>
  <c r="E47" i="2"/>
  <c r="I47" i="2" s="1"/>
  <c r="G49" i="2"/>
  <c r="E45" i="2"/>
  <c r="I45" i="2" s="1"/>
  <c r="E46" i="2"/>
  <c r="I46" i="2" s="1"/>
  <c r="E43" i="2"/>
  <c r="I43" i="2" s="1"/>
  <c r="F49" i="2"/>
  <c r="N10" i="1"/>
  <c r="E26" i="4"/>
  <c r="E27" i="4"/>
  <c r="E28" i="4"/>
  <c r="E29" i="4"/>
  <c r="E30" i="4"/>
  <c r="E31" i="4"/>
  <c r="E25" i="4"/>
  <c r="C25" i="4"/>
  <c r="C26" i="4"/>
  <c r="C27" i="4"/>
  <c r="C28" i="4"/>
  <c r="C29" i="4"/>
  <c r="C30" i="4"/>
  <c r="C31" i="4"/>
  <c r="T13" i="1"/>
  <c r="V3" i="1"/>
  <c r="U13" i="1"/>
  <c r="V4" i="1"/>
  <c r="U14" i="1"/>
  <c r="V5" i="1"/>
  <c r="E33" i="1" s="1"/>
  <c r="T15" i="1"/>
  <c r="V15" i="1" s="1"/>
  <c r="U15" i="1"/>
  <c r="V6" i="1"/>
  <c r="E36" i="1" s="1"/>
  <c r="V7" i="1"/>
  <c r="V17" i="1"/>
  <c r="V8" i="1"/>
  <c r="U18" i="1"/>
  <c r="V9" i="1"/>
  <c r="T19" i="1"/>
  <c r="U19" i="1"/>
  <c r="Q18" i="4"/>
  <c r="X10" i="4"/>
  <c r="K22" i="4"/>
  <c r="R22" i="4" s="1"/>
  <c r="J22" i="4"/>
  <c r="Q22" i="4" s="1"/>
  <c r="I22" i="4"/>
  <c r="P22" i="4" s="1"/>
  <c r="H22" i="4"/>
  <c r="O22" i="4" s="1"/>
  <c r="X9" i="4"/>
  <c r="K21" i="4"/>
  <c r="R21" i="4" s="1"/>
  <c r="J21" i="4"/>
  <c r="Q21" i="4" s="1"/>
  <c r="I21" i="4"/>
  <c r="P21" i="4" s="1"/>
  <c r="H21" i="4"/>
  <c r="O21" i="4" s="1"/>
  <c r="X8" i="4"/>
  <c r="K20" i="4"/>
  <c r="R20" i="4" s="1"/>
  <c r="J20" i="4"/>
  <c r="Q20" i="4" s="1"/>
  <c r="I20" i="4"/>
  <c r="P20" i="4" s="1"/>
  <c r="H20" i="4"/>
  <c r="O20" i="4" s="1"/>
  <c r="X7" i="4"/>
  <c r="K19" i="4"/>
  <c r="R19" i="4" s="1"/>
  <c r="T14" i="1" s="1"/>
  <c r="J19" i="4"/>
  <c r="Q19" i="4" s="1"/>
  <c r="I19" i="4"/>
  <c r="P19" i="4" s="1"/>
  <c r="H19" i="4"/>
  <c r="O19" i="4" s="1"/>
  <c r="X6" i="4"/>
  <c r="K18" i="4"/>
  <c r="R18" i="4" s="1"/>
  <c r="J18" i="4"/>
  <c r="I18" i="4"/>
  <c r="P18" i="4" s="1"/>
  <c r="H18" i="4"/>
  <c r="O18" i="4" s="1"/>
  <c r="X5" i="4"/>
  <c r="K17" i="4"/>
  <c r="R17" i="4" s="1"/>
  <c r="J17" i="4"/>
  <c r="Q17" i="4" s="1"/>
  <c r="I17" i="4"/>
  <c r="P17" i="4" s="1"/>
  <c r="H17" i="4"/>
  <c r="O17" i="4" s="1"/>
  <c r="X4" i="4"/>
  <c r="K16" i="4"/>
  <c r="R16" i="4" s="1"/>
  <c r="J16" i="4"/>
  <c r="Q16" i="4" s="1"/>
  <c r="I16" i="4"/>
  <c r="P16" i="4" s="1"/>
  <c r="H16" i="4"/>
  <c r="O16" i="4" s="1"/>
  <c r="X3" i="4"/>
  <c r="K15" i="4"/>
  <c r="R15" i="4" s="1"/>
  <c r="J15" i="4"/>
  <c r="Q15" i="4" s="1"/>
  <c r="I15" i="4"/>
  <c r="P15" i="4" s="1"/>
  <c r="H15" i="4"/>
  <c r="O15" i="4" s="1"/>
  <c r="X2" i="4"/>
  <c r="K14" i="4"/>
  <c r="R14" i="4" s="1"/>
  <c r="J14" i="4"/>
  <c r="Q14" i="4" s="1"/>
  <c r="I14" i="4"/>
  <c r="P14" i="4" s="1"/>
  <c r="T16" i="1" s="1"/>
  <c r="H14" i="4"/>
  <c r="O14" i="4" s="1"/>
  <c r="T18" i="1" s="1"/>
  <c r="V18" i="1" s="1"/>
  <c r="Q10" i="4"/>
  <c r="Q9" i="4"/>
  <c r="Q8" i="4"/>
  <c r="Q7" i="4"/>
  <c r="Q6" i="4"/>
  <c r="Q5" i="4"/>
  <c r="Q4" i="4"/>
  <c r="Q3" i="4"/>
  <c r="Q2" i="4"/>
  <c r="J10" i="4"/>
  <c r="J9" i="4"/>
  <c r="J8" i="4"/>
  <c r="J7" i="4"/>
  <c r="J6" i="4"/>
  <c r="J5" i="4"/>
  <c r="J4" i="4"/>
  <c r="J3" i="4"/>
  <c r="J2" i="4"/>
  <c r="C10" i="4"/>
  <c r="C9" i="4"/>
  <c r="C8" i="4"/>
  <c r="C7" i="4"/>
  <c r="C6" i="4"/>
  <c r="C5" i="4"/>
  <c r="C4" i="4"/>
  <c r="C3" i="4"/>
  <c r="C2" i="4"/>
  <c r="I48" i="2" l="1"/>
  <c r="I49" i="2"/>
  <c r="F17" i="1"/>
  <c r="E13" i="1"/>
  <c r="E53" i="1"/>
  <c r="E40" i="1"/>
  <c r="E58" i="1"/>
  <c r="E26" i="1" s="1"/>
  <c r="E59" i="1"/>
  <c r="E60" i="1"/>
  <c r="E65" i="1"/>
  <c r="E61" i="1"/>
  <c r="E10" i="1" s="1"/>
  <c r="E66" i="1"/>
  <c r="E64" i="1"/>
  <c r="E8" i="1" s="1"/>
  <c r="E67" i="1"/>
  <c r="E68" i="1"/>
  <c r="E69" i="1"/>
  <c r="E70" i="1"/>
  <c r="E71" i="1"/>
  <c r="E44" i="1" s="1"/>
  <c r="E72" i="1"/>
  <c r="E73" i="1"/>
  <c r="E29" i="1" s="1"/>
  <c r="E54" i="1"/>
  <c r="E55" i="1"/>
  <c r="E56" i="1"/>
  <c r="E57" i="1"/>
  <c r="F48" i="1"/>
  <c r="F47" i="1"/>
  <c r="F49" i="1"/>
  <c r="F50" i="1"/>
  <c r="E48" i="1"/>
  <c r="E47" i="1"/>
  <c r="E5" i="1"/>
  <c r="E50" i="1"/>
  <c r="F41" i="1"/>
  <c r="F32" i="1"/>
  <c r="E49" i="1"/>
  <c r="E6" i="1"/>
  <c r="E37" i="1"/>
  <c r="F33" i="1"/>
  <c r="E32" i="1"/>
  <c r="E34" i="1"/>
  <c r="F27" i="1"/>
  <c r="E35" i="1"/>
  <c r="F13" i="1"/>
  <c r="E12" i="1"/>
  <c r="E27" i="1"/>
  <c r="E25" i="1"/>
  <c r="E17" i="1"/>
  <c r="F20" i="1"/>
  <c r="F11" i="1"/>
  <c r="F18" i="1"/>
  <c r="F25" i="1"/>
  <c r="F24" i="1"/>
  <c r="F16" i="1"/>
  <c r="F5" i="1"/>
  <c r="E19" i="1"/>
  <c r="E24" i="1"/>
  <c r="E16" i="1"/>
  <c r="E20" i="1"/>
  <c r="F23" i="1"/>
  <c r="F15" i="1"/>
  <c r="F7" i="1"/>
  <c r="F37" i="1"/>
  <c r="E41" i="1"/>
  <c r="E39" i="1"/>
  <c r="E38" i="1"/>
  <c r="E15" i="1"/>
  <c r="F39" i="1"/>
  <c r="E11" i="1"/>
  <c r="E18" i="1"/>
  <c r="E23" i="1"/>
  <c r="E7" i="1"/>
  <c r="F14" i="1"/>
  <c r="F6" i="1"/>
  <c r="F38" i="1"/>
  <c r="F12" i="1"/>
  <c r="F19" i="1"/>
  <c r="F4" i="1"/>
  <c r="E14" i="1"/>
  <c r="E4" i="1"/>
  <c r="V19" i="1"/>
  <c r="V14" i="1"/>
  <c r="F34" i="1" s="1"/>
  <c r="V13" i="1"/>
  <c r="F57" i="1" s="1"/>
  <c r="V16" i="1"/>
  <c r="D2" i="4"/>
  <c r="B3" i="4"/>
  <c r="B5" i="4"/>
  <c r="B10" i="4"/>
  <c r="B2" i="4"/>
  <c r="B9" i="4"/>
  <c r="B7" i="4"/>
  <c r="B6" i="4"/>
  <c r="B8" i="4"/>
  <c r="B4" i="4"/>
  <c r="E28" i="1" l="1"/>
  <c r="E21" i="1"/>
  <c r="E9" i="1"/>
  <c r="E22" i="1"/>
  <c r="F53" i="1"/>
  <c r="F64" i="1"/>
  <c r="F8" i="1" s="1"/>
  <c r="F70" i="1"/>
  <c r="F68" i="1"/>
  <c r="F54" i="1"/>
  <c r="F67" i="1"/>
  <c r="F21" i="1" s="1"/>
  <c r="F61" i="1"/>
  <c r="F10" i="1" s="1"/>
  <c r="F56" i="1"/>
  <c r="F69" i="1"/>
  <c r="F66" i="1"/>
  <c r="F73" i="1"/>
  <c r="F29" i="1" s="1"/>
  <c r="F65" i="1"/>
  <c r="F43" i="1" s="1"/>
  <c r="F60" i="1"/>
  <c r="F72" i="1"/>
  <c r="F59" i="1"/>
  <c r="F71" i="1"/>
  <c r="F44" i="1" s="1"/>
  <c r="F40" i="1"/>
  <c r="F55" i="1"/>
  <c r="E42" i="1"/>
  <c r="F58" i="1"/>
  <c r="F26" i="1" s="1"/>
  <c r="E43" i="1"/>
  <c r="F36" i="1"/>
  <c r="F35" i="1"/>
  <c r="F28" i="1" l="1"/>
  <c r="F22" i="1"/>
  <c r="F9" i="1"/>
  <c r="F42" i="1"/>
</calcChain>
</file>

<file path=xl/sharedStrings.xml><?xml version="1.0" encoding="utf-8"?>
<sst xmlns="http://schemas.openxmlformats.org/spreadsheetml/2006/main" count="653" uniqueCount="193">
  <si>
    <t>Golden Sansam</t>
  </si>
  <si>
    <t>Rugged Leather</t>
  </si>
  <si>
    <t>Copper Bar</t>
  </si>
  <si>
    <t>Tigerseye</t>
  </si>
  <si>
    <t>Malachite</t>
  </si>
  <si>
    <t>Bronze Bar</t>
  </si>
  <si>
    <t>Shadowgem</t>
  </si>
  <si>
    <t>Silver Bar</t>
  </si>
  <si>
    <t>Heavy Stone</t>
  </si>
  <si>
    <t>Mithril Bar</t>
  </si>
  <si>
    <t>Truesilver Bar</t>
  </si>
  <si>
    <t>Citrine</t>
  </si>
  <si>
    <t>Aquamarine</t>
  </si>
  <si>
    <t>Thorium Bar</t>
  </si>
  <si>
    <t>Star Ruby</t>
  </si>
  <si>
    <t>Large Opal</t>
  </si>
  <si>
    <t>Powerful Mojo</t>
  </si>
  <si>
    <t>Essence of Earth</t>
  </si>
  <si>
    <t>Blue Sapphire</t>
  </si>
  <si>
    <t>Essence of Undeath</t>
  </si>
  <si>
    <t>Huge Emerald</t>
  </si>
  <si>
    <t>Azerothian Diamond</t>
  </si>
  <si>
    <t>Solid Stone</t>
  </si>
  <si>
    <t>Small Lustrous Pearl</t>
  </si>
  <si>
    <t>Gold Bar</t>
  </si>
  <si>
    <t>Nexus Crystal</t>
  </si>
  <si>
    <t>Elemental Fire</t>
  </si>
  <si>
    <t>Flask of Mojo</t>
  </si>
  <si>
    <t>Jade</t>
  </si>
  <si>
    <t>Illusion Dust</t>
  </si>
  <si>
    <t>Relic coffer key</t>
  </si>
  <si>
    <t>Elixir of Demonslaying</t>
  </si>
  <si>
    <t>Moss Agate</t>
  </si>
  <si>
    <t>Bolt of Runecloth</t>
  </si>
  <si>
    <t>Ironweb Spider Silk</t>
  </si>
  <si>
    <t>Living Essence</t>
  </si>
  <si>
    <t>Mountain Silversage</t>
  </si>
  <si>
    <t>Dreamfoil</t>
  </si>
  <si>
    <t>Comment</t>
  </si>
  <si>
    <t>Dudu</t>
  </si>
  <si>
    <t>Lock</t>
  </si>
  <si>
    <t>Mage</t>
  </si>
  <si>
    <t>Sham</t>
  </si>
  <si>
    <t>Priest</t>
  </si>
  <si>
    <t>Rog</t>
  </si>
  <si>
    <t>Hunt</t>
  </si>
  <si>
    <t>Pala</t>
  </si>
  <si>
    <t>War</t>
  </si>
  <si>
    <t>wowpop</t>
  </si>
  <si>
    <t>https://classic.wowhead.com/news/most-popular-wow-classic-class-and-leveling-guides-sept-5-294919</t>
  </si>
  <si>
    <t>https://www.worldofwargraphs.com/global-stats/professions</t>
  </si>
  <si>
    <t>Class</t>
  </si>
  <si>
    <t>Source</t>
  </si>
  <si>
    <t>Population</t>
  </si>
  <si>
    <t>Percentage</t>
  </si>
  <si>
    <t>ironforge (WoL)</t>
  </si>
  <si>
    <t>N/A</t>
  </si>
  <si>
    <t>My Own</t>
  </si>
  <si>
    <t>16k to 23k</t>
  </si>
  <si>
    <t>Assumptions</t>
  </si>
  <si>
    <t>wowclassicpopulation</t>
  </si>
  <si>
    <t>Overall data</t>
  </si>
  <si>
    <t>Last 30 days</t>
  </si>
  <si>
    <t>60+</t>
  </si>
  <si>
    <t>1σ</t>
  </si>
  <si>
    <t>2σ</t>
  </si>
  <si>
    <t>TBC</t>
  </si>
  <si>
    <t>Lesser Invisibility Potion</t>
  </si>
  <si>
    <t>Invisibility Potion</t>
  </si>
  <si>
    <t>LW</t>
  </si>
  <si>
    <t>Tail</t>
  </si>
  <si>
    <t>Ench</t>
  </si>
  <si>
    <t>Alch</t>
  </si>
  <si>
    <t>JC</t>
  </si>
  <si>
    <t>BS</t>
  </si>
  <si>
    <t>Engi</t>
  </si>
  <si>
    <t>X</t>
  </si>
  <si>
    <t>Tank</t>
  </si>
  <si>
    <t>Heal</t>
  </si>
  <si>
    <t>Cast</t>
  </si>
  <si>
    <t>Melee</t>
  </si>
  <si>
    <t>Professions stock</t>
  </si>
  <si>
    <t>Tank %</t>
  </si>
  <si>
    <t>Heal %</t>
  </si>
  <si>
    <t>Cast %</t>
  </si>
  <si>
    <t>Melee %</t>
  </si>
  <si>
    <t>Extras [1]</t>
  </si>
  <si>
    <t>[1] Extra due min/max, gold rush and swapper people</t>
  </si>
  <si>
    <t>[0] How many specs are suitable for specific profession</t>
  </si>
  <si>
    <t>Final</t>
  </si>
  <si>
    <t>Have</t>
  </si>
  <si>
    <t>Alch [2]</t>
  </si>
  <si>
    <t>[2] Mainly alt profession thus (35 to 59) / Sum of (35 to 59) and 60s [Based on wowclassicpopulation]</t>
  </si>
  <si>
    <t>Sell</t>
  </si>
  <si>
    <t>Buy</t>
  </si>
  <si>
    <t>Need</t>
  </si>
  <si>
    <t>Variables</t>
  </si>
  <si>
    <t>Resupply</t>
  </si>
  <si>
    <t>Radnom demand changes</t>
  </si>
  <si>
    <t>Static demand</t>
  </si>
  <si>
    <t>Name</t>
  </si>
  <si>
    <t>Value</t>
  </si>
  <si>
    <t>Demand increase</t>
  </si>
  <si>
    <t>Market coverage</t>
  </si>
  <si>
    <t>Cusual [3]</t>
  </si>
  <si>
    <t>Raid [4]</t>
  </si>
  <si>
    <t xml:space="preserve">[3] Results for more or less casuals (based on worldofwargraphs and classic assumptions) </t>
  </si>
  <si>
    <t>[4] Results for more or less perfect raid composition</t>
  </si>
  <si>
    <t>Margin of error</t>
  </si>
  <si>
    <t>Time to sell (days)</t>
  </si>
  <si>
    <t>Profession Vector</t>
  </si>
  <si>
    <t>Mithril bar</t>
  </si>
  <si>
    <t>Steel Bar</t>
  </si>
  <si>
    <t>Iron Bar</t>
  </si>
  <si>
    <t>Lesser Moonstone</t>
  </si>
  <si>
    <t>Black Pearl</t>
  </si>
  <si>
    <t>Arms</t>
  </si>
  <si>
    <t>Fury</t>
  </si>
  <si>
    <t>Prot Pal</t>
  </si>
  <si>
    <t>Ret</t>
  </si>
  <si>
    <t>Prot War</t>
  </si>
  <si>
    <t>Enh Sham</t>
  </si>
  <si>
    <t>Weapon</t>
  </si>
  <si>
    <t>Armor</t>
  </si>
  <si>
    <t>Pop</t>
  </si>
  <si>
    <t>5 - 60</t>
  </si>
  <si>
    <t>35 - 59</t>
  </si>
  <si>
    <t>Level</t>
  </si>
  <si>
    <t>Profs [0]</t>
  </si>
  <si>
    <t>Info</t>
  </si>
  <si>
    <t>[5] Armorsmith / Weaponsmith spec. Vector</t>
  </si>
  <si>
    <t>Weapon %</t>
  </si>
  <si>
    <t>Armor %</t>
  </si>
  <si>
    <t>Consumes stock</t>
  </si>
  <si>
    <t>In gold</t>
  </si>
  <si>
    <t>Class [5]</t>
  </si>
  <si>
    <t>Wpn / Armor</t>
  </si>
  <si>
    <t>JC, Wpn / Armor stock</t>
  </si>
  <si>
    <t>Armorsmith [6]</t>
  </si>
  <si>
    <t>Weaponsmith [6]</t>
  </si>
  <si>
    <t>[6] Counted and added to JC stockpile</t>
  </si>
  <si>
    <t>[7] Not clear yet if they'll nerf this and other pots too.</t>
  </si>
  <si>
    <t>Copper Ore</t>
  </si>
  <si>
    <t>Tin Ore</t>
  </si>
  <si>
    <t>Iron Ore</t>
  </si>
  <si>
    <t>Mithril Ore</t>
  </si>
  <si>
    <t>Thorium Ore</t>
  </si>
  <si>
    <t>Fel Iron Ore</t>
  </si>
  <si>
    <t>Dawnstone</t>
  </si>
  <si>
    <t>Talasite</t>
  </si>
  <si>
    <t>Nightseye</t>
  </si>
  <si>
    <t>Adamantite Ore</t>
  </si>
  <si>
    <t>Tiger</t>
  </si>
  <si>
    <t>Shadow</t>
  </si>
  <si>
    <t>Lesser Moon</t>
  </si>
  <si>
    <t>Aqua</t>
  </si>
  <si>
    <t>Azerothian Diam</t>
  </si>
  <si>
    <t>Blue Sapp</t>
  </si>
  <si>
    <t>Web DATA</t>
  </si>
  <si>
    <t>Amount</t>
  </si>
  <si>
    <t>Malach</t>
  </si>
  <si>
    <t xml:space="preserve">Blood </t>
  </si>
  <si>
    <t xml:space="preserve">Flame </t>
  </si>
  <si>
    <t xml:space="preserve">Golden </t>
  </si>
  <si>
    <t xml:space="preserve">Deep </t>
  </si>
  <si>
    <t xml:space="preserve">Azure </t>
  </si>
  <si>
    <t xml:space="preserve">Shadow </t>
  </si>
  <si>
    <t>Huge Eme</t>
  </si>
  <si>
    <t>Adamantite Powd</t>
  </si>
  <si>
    <t xml:space="preserve">Star </t>
  </si>
  <si>
    <t xml:space="preserve"> Topaz</t>
  </si>
  <si>
    <t xml:space="preserve"> Ruby</t>
  </si>
  <si>
    <t>Vanilla / TBC</t>
  </si>
  <si>
    <t>Price</t>
  </si>
  <si>
    <t>Ores</t>
  </si>
  <si>
    <t>Gems</t>
  </si>
  <si>
    <t>Live DATA [%]</t>
  </si>
  <si>
    <t>Live DATA [Income Per 1]</t>
  </si>
  <si>
    <t>Greens</t>
  </si>
  <si>
    <t>Blues</t>
  </si>
  <si>
    <t>Powder</t>
  </si>
  <si>
    <t>Common</t>
  </si>
  <si>
    <t>Live DATA [Profit Per 1]</t>
  </si>
  <si>
    <t>Total</t>
  </si>
  <si>
    <t>Min / Person</t>
  </si>
  <si>
    <t>FA[8]</t>
  </si>
  <si>
    <t>[8] Final Amount</t>
  </si>
  <si>
    <t>20% in ores (3500 Ores)</t>
  </si>
  <si>
    <t>70% in ores (7700 Ores)</t>
  </si>
  <si>
    <t>20% in ores, Wpn / Armor (5000 Ores)</t>
  </si>
  <si>
    <t>Live DATA [Amount]</t>
  </si>
  <si>
    <t>Ruby</t>
  </si>
  <si>
    <t>Topaz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</si>
</sst>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sz val="10"/>
      <name val="Calibri"/>
      <family val="2"/>
      <charset val="238"/>
      <scheme val="minor"/>
    </font>
    <font>
      <sz val="10"/>
      <color theme="1"/>
      <name val="Calibri"/>
      <family val="2"/>
      <charset val="238"/>
      <scheme val="minor"/>
    </font>
    <font>
      <b/>
      <sz val="10"/>
      <name val="Calibri"/>
      <family val="2"/>
      <charset val="238"/>
      <scheme val="minor"/>
    </font>
    <font>
      <b/>
      <sz val="10"/>
      <color rgb="FFFF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0.5"/>
      <color theme="1"/>
      <name val="Calibri"/>
      <family val="2"/>
      <charset val="238"/>
      <scheme val="minor"/>
    </font>
    <font>
      <b/>
      <sz val="10.5"/>
      <color theme="1"/>
      <name val="Calibri"/>
      <family val="2"/>
      <charset val="238"/>
      <scheme val="minor"/>
    </font>
    <font>
      <b/>
      <sz val="10.5"/>
      <name val="Calibri"/>
      <family val="2"/>
      <charset val="238"/>
      <scheme val="minor"/>
    </font>
    <font>
      <b/>
      <sz val="10.5"/>
      <color rgb="FF00B050"/>
      <name val="Calibri"/>
      <family val="2"/>
      <charset val="238"/>
      <scheme val="minor"/>
    </font>
    <font>
      <b/>
      <sz val="10.5"/>
      <color rgb="FF0070C0"/>
      <name val="Calibri"/>
      <family val="2"/>
      <charset val="238"/>
      <scheme val="minor"/>
    </font>
    <font>
      <sz val="10.5"/>
      <name val="Calibri"/>
      <family val="2"/>
      <charset val="238"/>
      <scheme val="minor"/>
    </font>
    <font>
      <b/>
      <sz val="10.5"/>
      <color rgb="FFFF0000"/>
      <name val="Calibri"/>
      <family val="2"/>
      <charset val="238"/>
      <scheme val="minor"/>
    </font>
    <font>
      <sz val="10.5"/>
      <color rgb="FFFF0000"/>
      <name val="Calibri"/>
      <family val="2"/>
      <charset val="238"/>
      <scheme val="minor"/>
    </font>
    <font>
      <sz val="10.5"/>
      <color rgb="FF00B050"/>
      <name val="Calibri"/>
      <family val="2"/>
      <charset val="238"/>
      <scheme val="minor"/>
    </font>
    <font>
      <sz val="10.5"/>
      <color rgb="FF0070C0"/>
      <name val="Calibri"/>
      <family val="2"/>
      <charset val="238"/>
      <scheme val="minor"/>
    </font>
    <font>
      <sz val="11"/>
      <color rgb="FF00B050"/>
      <name val="Calibri"/>
      <family val="2"/>
      <charset val="238"/>
      <scheme val="minor"/>
    </font>
    <font>
      <b/>
      <sz val="11"/>
      <color rgb="FF00B050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3">
    <xf numFmtId="0" fontId="0" fillId="0" borderId="0" xfId="0"/>
    <xf numFmtId="0" fontId="1" fillId="0" borderId="0" xfId="0" applyFont="1" applyAlignment="1">
      <alignment horizontal="center"/>
    </xf>
    <xf numFmtId="10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10" fontId="2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" fontId="1" fillId="0" borderId="0" xfId="0" applyNumberFormat="1" applyFont="1" applyAlignment="1">
      <alignment horizontal="center"/>
    </xf>
    <xf numFmtId="0" fontId="4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2" fontId="1" fillId="0" borderId="0" xfId="0" applyNumberFormat="1" applyFont="1" applyAlignment="1">
      <alignment horizontal="left"/>
    </xf>
    <xf numFmtId="1" fontId="2" fillId="0" borderId="0" xfId="0" applyNumberFormat="1" applyFont="1" applyAlignment="1">
      <alignment horizontal="center"/>
    </xf>
    <xf numFmtId="1" fontId="4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10" fontId="5" fillId="0" borderId="0" xfId="0" applyNumberFormat="1" applyFont="1" applyAlignment="1">
      <alignment horizontal="center"/>
    </xf>
    <xf numFmtId="49" fontId="5" fillId="0" borderId="0" xfId="0" applyNumberFormat="1" applyFont="1" applyAlignment="1">
      <alignment horizontal="center"/>
    </xf>
    <xf numFmtId="0" fontId="6" fillId="0" borderId="0" xfId="0" applyFont="1"/>
    <xf numFmtId="1" fontId="5" fillId="0" borderId="0" xfId="0" applyNumberFormat="1" applyFont="1" applyAlignment="1">
      <alignment horizontal="center"/>
    </xf>
    <xf numFmtId="2" fontId="5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/>
    <xf numFmtId="0" fontId="7" fillId="0" borderId="0" xfId="0" applyFont="1" applyAlignment="1">
      <alignment horizontal="center"/>
    </xf>
    <xf numFmtId="9" fontId="5" fillId="0" borderId="0" xfId="0" applyNumberFormat="1" applyFont="1" applyAlignment="1">
      <alignment horizontal="center"/>
    </xf>
    <xf numFmtId="10" fontId="6" fillId="0" borderId="0" xfId="0" applyNumberFormat="1" applyFont="1"/>
    <xf numFmtId="0" fontId="5" fillId="0" borderId="0" xfId="0" applyNumberFormat="1" applyFont="1" applyAlignment="1">
      <alignment horizontal="center"/>
    </xf>
    <xf numFmtId="0" fontId="8" fillId="0" borderId="0" xfId="0" applyNumberFormat="1" applyFont="1" applyAlignment="1">
      <alignment horizontal="center"/>
    </xf>
    <xf numFmtId="10" fontId="6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0" fontId="10" fillId="0" borderId="0" xfId="0" applyFont="1"/>
    <xf numFmtId="0" fontId="11" fillId="0" borderId="0" xfId="0" applyFont="1"/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1" fontId="12" fillId="0" borderId="0" xfId="0" applyNumberFormat="1" applyFont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10" fontId="13" fillId="0" borderId="0" xfId="0" applyNumberFormat="1" applyFont="1" applyAlignment="1">
      <alignment horizontal="center"/>
    </xf>
    <xf numFmtId="10" fontId="14" fillId="0" borderId="0" xfId="0" applyNumberFormat="1" applyFont="1" applyAlignment="1">
      <alignment horizontal="center"/>
    </xf>
    <xf numFmtId="0" fontId="15" fillId="0" borderId="0" xfId="0" applyFont="1" applyAlignment="1">
      <alignment horizontal="left"/>
    </xf>
    <xf numFmtId="0" fontId="16" fillId="0" borderId="0" xfId="0" applyNumberFormat="1" applyFont="1" applyAlignment="1">
      <alignment horizontal="center"/>
    </xf>
    <xf numFmtId="10" fontId="10" fillId="0" borderId="0" xfId="0" applyNumberFormat="1" applyFont="1" applyAlignment="1">
      <alignment horizontal="center"/>
    </xf>
    <xf numFmtId="10" fontId="17" fillId="0" borderId="0" xfId="0" applyNumberFormat="1" applyFont="1" applyAlignment="1">
      <alignment horizontal="center"/>
    </xf>
    <xf numFmtId="0" fontId="10" fillId="0" borderId="0" xfId="0" applyFont="1" applyAlignment="1">
      <alignment horizontal="left"/>
    </xf>
    <xf numFmtId="10" fontId="15" fillId="0" borderId="0" xfId="0" applyNumberFormat="1" applyFont="1" applyAlignment="1">
      <alignment horizontal="center"/>
    </xf>
    <xf numFmtId="0" fontId="10" fillId="0" borderId="0" xfId="0" applyFont="1" applyAlignment="1">
      <alignment horizontal="center"/>
    </xf>
    <xf numFmtId="10" fontId="15" fillId="0" borderId="0" xfId="0" applyNumberFormat="1" applyFont="1" applyFill="1" applyBorder="1" applyAlignment="1">
      <alignment horizontal="center"/>
    </xf>
    <xf numFmtId="0" fontId="10" fillId="0" borderId="0" xfId="0" applyFont="1" applyAlignment="1"/>
    <xf numFmtId="1" fontId="10" fillId="0" borderId="0" xfId="0" applyNumberFormat="1" applyFont="1" applyAlignment="1">
      <alignment horizontal="center"/>
    </xf>
    <xf numFmtId="1" fontId="17" fillId="0" borderId="0" xfId="0" applyNumberFormat="1" applyFont="1" applyAlignment="1">
      <alignment horizontal="center"/>
    </xf>
    <xf numFmtId="1" fontId="15" fillId="0" borderId="0" xfId="0" applyNumberFormat="1" applyFont="1" applyFill="1" applyBorder="1" applyAlignment="1">
      <alignment horizontal="center"/>
    </xf>
    <xf numFmtId="0" fontId="15" fillId="0" borderId="0" xfId="0" applyFont="1" applyAlignment="1">
      <alignment horizontal="center"/>
    </xf>
    <xf numFmtId="2" fontId="10" fillId="0" borderId="0" xfId="0" applyNumberFormat="1" applyFont="1" applyAlignment="1">
      <alignment horizontal="center"/>
    </xf>
    <xf numFmtId="1" fontId="15" fillId="0" borderId="0" xfId="0" applyNumberFormat="1" applyFont="1" applyBorder="1" applyAlignment="1">
      <alignment horizontal="left"/>
    </xf>
    <xf numFmtId="0" fontId="15" fillId="0" borderId="0" xfId="0" applyFont="1" applyFill="1" applyBorder="1" applyAlignment="1">
      <alignment horizontal="left"/>
    </xf>
    <xf numFmtId="10" fontId="18" fillId="0" borderId="0" xfId="0" applyNumberFormat="1" applyFont="1" applyAlignment="1">
      <alignment horizontal="left"/>
    </xf>
    <xf numFmtId="10" fontId="19" fillId="0" borderId="0" xfId="0" applyNumberFormat="1" applyFont="1" applyAlignment="1">
      <alignment horizontal="left"/>
    </xf>
    <xf numFmtId="2" fontId="17" fillId="0" borderId="0" xfId="0" applyNumberFormat="1" applyFont="1" applyAlignment="1">
      <alignment horizontal="center"/>
    </xf>
    <xf numFmtId="0" fontId="11" fillId="0" borderId="0" xfId="0" applyFont="1" applyAlignment="1">
      <alignment horizontal="center"/>
    </xf>
    <xf numFmtId="0" fontId="11" fillId="0" borderId="0" xfId="0" applyFont="1" applyAlignment="1"/>
    <xf numFmtId="2" fontId="15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0" fontId="20" fillId="0" borderId="0" xfId="0" applyFont="1" applyAlignment="1">
      <alignment horizontal="left"/>
    </xf>
    <xf numFmtId="0" fontId="20" fillId="0" borderId="0" xfId="0" applyFont="1" applyBorder="1" applyAlignment="1">
      <alignment horizontal="left"/>
    </xf>
    <xf numFmtId="0" fontId="20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1" fillId="0" borderId="0" xfId="0" applyFont="1" applyAlignment="1">
      <alignment horizontal="center"/>
    </xf>
  </cellXfs>
  <cellStyles count="1">
    <cellStyle name="Normal" xfId="0" builtinId="0"/>
  </cellStyles>
  <dxfs count="22"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47970-DC3C-4C00-AED4-7B594875075F}">
  <dimension ref="A1:AI75"/>
  <sheetViews>
    <sheetView workbookViewId="0">
      <selection activeCell="F81" sqref="F81"/>
    </sheetView>
  </sheetViews>
  <sheetFormatPr defaultRowHeight="15" x14ac:dyDescent="0.25"/>
  <cols>
    <col min="1" max="1" width="23" style="1" bestFit="1" customWidth="1"/>
    <col min="2" max="2" width="12.42578125" style="1" bestFit="1" customWidth="1"/>
    <col min="3" max="3" width="5.42578125" style="1" bestFit="1" customWidth="1"/>
    <col min="4" max="4" width="6" style="1" bestFit="1" customWidth="1"/>
    <col min="5" max="5" width="5" style="1" bestFit="1" customWidth="1"/>
    <col min="6" max="6" width="6" style="1" bestFit="1" customWidth="1"/>
    <col min="7" max="7" width="5" style="1" bestFit="1" customWidth="1"/>
    <col min="8" max="8" width="4.28515625" style="1" bestFit="1" customWidth="1"/>
    <col min="9" max="9" width="46" style="1" bestFit="1" customWidth="1"/>
    <col min="10" max="11" width="6" style="1" bestFit="1" customWidth="1"/>
    <col min="12" max="12" width="3.7109375" style="1" customWidth="1"/>
    <col min="13" max="13" width="24" style="1" bestFit="1" customWidth="1"/>
    <col min="14" max="14" width="7.140625" style="1" bestFit="1" customWidth="1"/>
    <col min="15" max="15" width="2.7109375" style="1" customWidth="1"/>
    <col min="16" max="16" width="16.85546875" style="1" bestFit="1" customWidth="1"/>
    <col min="17" max="17" width="8.140625" style="1" bestFit="1" customWidth="1"/>
    <col min="18" max="18" width="3.28515625" style="1" customWidth="1"/>
    <col min="19" max="19" width="9.7109375" style="1" bestFit="1" customWidth="1"/>
    <col min="20" max="20" width="8.42578125" style="1" bestFit="1" customWidth="1"/>
    <col min="21" max="21" width="9.140625" style="1" bestFit="1" customWidth="1"/>
    <col min="22" max="22" width="5.28515625" style="1" bestFit="1" customWidth="1"/>
    <col min="23" max="23" width="2.7109375" style="1" customWidth="1"/>
    <col min="24" max="24" width="20.85546875" style="1" bestFit="1" customWidth="1"/>
    <col min="25" max="16384" width="9.140625" style="1"/>
  </cols>
  <sheetData>
    <row r="1" spans="1:35" x14ac:dyDescent="0.25">
      <c r="E1" s="70" t="s">
        <v>95</v>
      </c>
      <c r="F1" s="70"/>
      <c r="G1" s="70" t="s">
        <v>134</v>
      </c>
      <c r="H1" s="70"/>
      <c r="J1" s="70" t="s">
        <v>53</v>
      </c>
      <c r="K1" s="70"/>
      <c r="L1" s="23"/>
      <c r="M1" s="22" t="s">
        <v>96</v>
      </c>
      <c r="N1" s="22"/>
      <c r="O1" s="23"/>
      <c r="S1" s="70" t="s">
        <v>64</v>
      </c>
      <c r="T1" s="70"/>
      <c r="U1" s="70"/>
      <c r="V1" s="70"/>
      <c r="Y1" s="23"/>
      <c r="Z1" s="23"/>
      <c r="AA1" s="23"/>
    </row>
    <row r="2" spans="1:35" x14ac:dyDescent="0.25">
      <c r="B2" s="3" t="s">
        <v>184</v>
      </c>
      <c r="C2" s="3" t="s">
        <v>90</v>
      </c>
      <c r="D2" s="65" t="s">
        <v>185</v>
      </c>
      <c r="E2" s="22" t="s">
        <v>64</v>
      </c>
      <c r="F2" s="22" t="s">
        <v>65</v>
      </c>
      <c r="G2" s="3" t="s">
        <v>94</v>
      </c>
      <c r="H2" s="65" t="s">
        <v>93</v>
      </c>
      <c r="I2" s="65" t="s">
        <v>38</v>
      </c>
      <c r="J2" s="65" t="s">
        <v>64</v>
      </c>
      <c r="K2" s="65" t="s">
        <v>65</v>
      </c>
      <c r="M2" s="65" t="s">
        <v>100</v>
      </c>
      <c r="N2" s="65" t="s">
        <v>101</v>
      </c>
      <c r="O2" s="65"/>
      <c r="P2" s="65" t="s">
        <v>110</v>
      </c>
      <c r="Q2" s="65" t="s">
        <v>101</v>
      </c>
      <c r="S2" s="65" t="s">
        <v>104</v>
      </c>
      <c r="T2" s="65" t="s">
        <v>128</v>
      </c>
      <c r="U2" s="65" t="s">
        <v>86</v>
      </c>
      <c r="V2" s="65" t="s">
        <v>89</v>
      </c>
      <c r="X2" s="22" t="s">
        <v>129</v>
      </c>
      <c r="Y2" s="23"/>
      <c r="Z2" s="23"/>
      <c r="AA2" s="23"/>
    </row>
    <row r="3" spans="1:35" x14ac:dyDescent="0.25">
      <c r="A3" s="3" t="s">
        <v>137</v>
      </c>
      <c r="J3" s="1">
        <v>16520</v>
      </c>
      <c r="K3" s="1">
        <v>23097</v>
      </c>
      <c r="M3" s="7" t="s">
        <v>99</v>
      </c>
      <c r="N3" s="2">
        <v>0.15</v>
      </c>
      <c r="O3" s="65"/>
      <c r="P3" s="1" t="s">
        <v>74</v>
      </c>
      <c r="Q3" s="2">
        <v>0.28000000000000003</v>
      </c>
      <c r="S3" s="1" t="s">
        <v>74</v>
      </c>
      <c r="T3" s="2">
        <v>0.12</v>
      </c>
      <c r="U3" s="14">
        <v>0</v>
      </c>
      <c r="V3" s="6">
        <f t="shared" ref="V3:V9" si="0">SUM(T3:U3)</f>
        <v>0.12</v>
      </c>
      <c r="X3" s="71" t="s">
        <v>49</v>
      </c>
      <c r="Y3" s="71"/>
      <c r="Z3" s="71"/>
      <c r="AA3" s="71"/>
      <c r="AB3" s="71"/>
      <c r="AC3" s="71"/>
      <c r="AD3" s="71"/>
      <c r="AE3" s="71"/>
      <c r="AF3" s="71"/>
      <c r="AG3" s="71"/>
      <c r="AH3" s="71"/>
      <c r="AI3" s="71"/>
    </row>
    <row r="4" spans="1:35" x14ac:dyDescent="0.25">
      <c r="A4" s="67" t="s">
        <v>21</v>
      </c>
      <c r="B4" s="1">
        <v>15</v>
      </c>
      <c r="C4" s="9">
        <v>67</v>
      </c>
      <c r="D4" s="1">
        <v>440</v>
      </c>
      <c r="E4" s="9">
        <f>B4*$J$3*$N$10*$Q$8*$V$8</f>
        <v>158.09639999999999</v>
      </c>
      <c r="F4" s="9">
        <f>B4*$K$3*$N$10*$Q$8*$V$18</f>
        <v>1357.3760444999998</v>
      </c>
      <c r="G4" s="1">
        <v>5</v>
      </c>
      <c r="H4" s="1">
        <v>10</v>
      </c>
      <c r="I4" s="10" t="s">
        <v>76</v>
      </c>
      <c r="M4" s="12" t="s">
        <v>97</v>
      </c>
      <c r="N4" s="2">
        <v>0.03</v>
      </c>
      <c r="O4" s="65"/>
      <c r="P4" s="1" t="s">
        <v>69</v>
      </c>
      <c r="Q4" s="2">
        <v>0.37</v>
      </c>
      <c r="S4" s="1" t="s">
        <v>69</v>
      </c>
      <c r="T4" s="2">
        <v>0.13</v>
      </c>
      <c r="U4" s="14">
        <v>0</v>
      </c>
      <c r="V4" s="6">
        <f t="shared" si="0"/>
        <v>0.13</v>
      </c>
      <c r="X4" s="71" t="s">
        <v>50</v>
      </c>
      <c r="Y4" s="71"/>
      <c r="Z4" s="71"/>
      <c r="AA4" s="71"/>
      <c r="AB4" s="71"/>
      <c r="AC4" s="71"/>
      <c r="AD4" s="71"/>
      <c r="AE4" s="71"/>
      <c r="AF4" s="71"/>
      <c r="AG4" s="71"/>
      <c r="AH4" s="71"/>
      <c r="AI4" s="7"/>
    </row>
    <row r="5" spans="1:35" x14ac:dyDescent="0.25">
      <c r="A5" s="67" t="s">
        <v>3</v>
      </c>
      <c r="B5" s="1">
        <v>20</v>
      </c>
      <c r="C5" s="9">
        <v>432</v>
      </c>
      <c r="D5" s="1">
        <v>600</v>
      </c>
      <c r="E5" s="9">
        <f>B5*$J$3*$N$10*$Q$8*$V$8</f>
        <v>210.79519999999999</v>
      </c>
      <c r="F5" s="9">
        <f>B5*$K$3*$N$10*$Q$8*$V$18</f>
        <v>1809.8347259999998</v>
      </c>
      <c r="G5" s="1">
        <v>0.5</v>
      </c>
      <c r="H5" s="1">
        <v>4</v>
      </c>
      <c r="I5" s="10" t="s">
        <v>76</v>
      </c>
      <c r="M5" s="7" t="s">
        <v>102</v>
      </c>
      <c r="N5" s="2">
        <v>7.0000000000000007E-2</v>
      </c>
      <c r="O5" s="65"/>
      <c r="P5" s="1" t="s">
        <v>70</v>
      </c>
      <c r="Q5" s="2">
        <v>0.14000000000000001</v>
      </c>
      <c r="S5" s="1" t="s">
        <v>70</v>
      </c>
      <c r="T5" s="2">
        <v>0.13800000000000001</v>
      </c>
      <c r="U5" s="14">
        <v>0</v>
      </c>
      <c r="V5" s="6">
        <f t="shared" si="0"/>
        <v>0.13800000000000001</v>
      </c>
      <c r="X5" s="7"/>
      <c r="Y5" s="8"/>
      <c r="Z5" s="8"/>
      <c r="AA5" s="8"/>
      <c r="AB5" s="7"/>
      <c r="AC5" s="7"/>
      <c r="AD5" s="7"/>
      <c r="AE5" s="7"/>
      <c r="AF5" s="7"/>
      <c r="AG5" s="7"/>
      <c r="AH5" s="7"/>
      <c r="AI5" s="7"/>
    </row>
    <row r="6" spans="1:35" x14ac:dyDescent="0.25">
      <c r="A6" s="67" t="s">
        <v>4</v>
      </c>
      <c r="B6" s="1">
        <v>20</v>
      </c>
      <c r="C6" s="9">
        <v>600</v>
      </c>
      <c r="D6" s="66">
        <v>600</v>
      </c>
      <c r="E6" s="9">
        <f>B6*$J$3*$N$10*$Q$8*$V$8</f>
        <v>210.79519999999999</v>
      </c>
      <c r="F6" s="9">
        <f>B6*$K$3*$N$10*$Q$8*$V$18</f>
        <v>1809.8347259999998</v>
      </c>
      <c r="G6" s="1">
        <v>0.3</v>
      </c>
      <c r="H6" s="1">
        <v>4</v>
      </c>
      <c r="I6" s="10" t="s">
        <v>76</v>
      </c>
      <c r="M6" s="7" t="s">
        <v>98</v>
      </c>
      <c r="N6" s="2">
        <v>0.25</v>
      </c>
      <c r="O6" s="65"/>
      <c r="P6" s="1" t="s">
        <v>71</v>
      </c>
      <c r="Q6" s="2">
        <v>0.17</v>
      </c>
      <c r="S6" s="1" t="s">
        <v>71</v>
      </c>
      <c r="T6" s="2">
        <v>0.13</v>
      </c>
      <c r="U6" s="14">
        <v>0</v>
      </c>
      <c r="V6" s="6">
        <f t="shared" si="0"/>
        <v>0.13</v>
      </c>
      <c r="X6" s="71" t="s">
        <v>88</v>
      </c>
      <c r="Y6" s="71"/>
      <c r="Z6" s="71"/>
      <c r="AA6" s="71"/>
      <c r="AB6" s="71"/>
      <c r="AC6" s="71"/>
      <c r="AD6" s="71"/>
      <c r="AE6" s="71"/>
      <c r="AF6" s="71"/>
      <c r="AG6" s="71"/>
      <c r="AH6" s="7"/>
      <c r="AI6" s="7"/>
    </row>
    <row r="7" spans="1:35" x14ac:dyDescent="0.25">
      <c r="A7" s="67" t="s">
        <v>32</v>
      </c>
      <c r="B7" s="1">
        <v>25</v>
      </c>
      <c r="C7" s="9">
        <v>187</v>
      </c>
      <c r="D7" s="1">
        <v>660</v>
      </c>
      <c r="E7" s="9">
        <f>B7*$J$3*$N$10*$Q$8*$V$8</f>
        <v>263.49399999999997</v>
      </c>
      <c r="F7" s="9">
        <f>B7*$K$3*$N$10*$Q$8*$V$18</f>
        <v>2262.2934074999994</v>
      </c>
      <c r="G7" s="1">
        <v>0.3</v>
      </c>
      <c r="H7" s="1">
        <v>5</v>
      </c>
      <c r="I7" s="10" t="s">
        <v>76</v>
      </c>
      <c r="M7" s="7" t="s">
        <v>103</v>
      </c>
      <c r="N7" s="2">
        <v>0.16</v>
      </c>
      <c r="O7" s="65"/>
      <c r="P7" s="1" t="s">
        <v>72</v>
      </c>
      <c r="Q7" s="2">
        <v>0.67</v>
      </c>
      <c r="S7" s="1" t="s">
        <v>72</v>
      </c>
      <c r="T7" s="2">
        <v>0.34</v>
      </c>
      <c r="U7" s="14">
        <v>0</v>
      </c>
      <c r="V7" s="6">
        <f t="shared" si="0"/>
        <v>0.34</v>
      </c>
      <c r="X7" s="71" t="s">
        <v>87</v>
      </c>
      <c r="Y7" s="71"/>
      <c r="Z7" s="71"/>
      <c r="AA7" s="71"/>
      <c r="AB7" s="71"/>
      <c r="AC7" s="71"/>
      <c r="AD7" s="71"/>
      <c r="AE7" s="71"/>
      <c r="AF7" s="71"/>
      <c r="AG7" s="71"/>
      <c r="AH7" s="7"/>
      <c r="AI7" s="7"/>
    </row>
    <row r="8" spans="1:35" x14ac:dyDescent="0.25">
      <c r="A8" s="67" t="s">
        <v>6</v>
      </c>
      <c r="B8" s="1">
        <v>20</v>
      </c>
      <c r="C8" s="9">
        <v>600</v>
      </c>
      <c r="D8" s="66">
        <v>600</v>
      </c>
      <c r="E8" s="9">
        <f>B8*$J$3*$N$10*$Q$8*$V$8+E64</f>
        <v>214.07900595199999</v>
      </c>
      <c r="F8" s="9">
        <f>B8*$K$3*$N$10*$Q$8*$V$18+F64</f>
        <v>1836.4228131185064</v>
      </c>
      <c r="G8" s="1">
        <v>0.3</v>
      </c>
      <c r="H8" s="1">
        <v>4</v>
      </c>
      <c r="I8" s="33" t="s">
        <v>136</v>
      </c>
      <c r="M8" s="7" t="s">
        <v>108</v>
      </c>
      <c r="N8" s="2">
        <v>0.3</v>
      </c>
      <c r="O8" s="65"/>
      <c r="P8" s="1" t="s">
        <v>73</v>
      </c>
      <c r="Q8" s="2">
        <v>1</v>
      </c>
      <c r="S8" s="1" t="s">
        <v>73</v>
      </c>
      <c r="T8" s="2">
        <v>0.33</v>
      </c>
      <c r="U8" s="14">
        <v>0</v>
      </c>
      <c r="V8" s="6">
        <f t="shared" si="0"/>
        <v>0.33</v>
      </c>
      <c r="X8" s="71" t="s">
        <v>92</v>
      </c>
      <c r="Y8" s="71"/>
      <c r="Z8" s="71"/>
      <c r="AA8" s="71"/>
      <c r="AB8" s="71"/>
      <c r="AC8" s="71"/>
      <c r="AD8" s="71"/>
      <c r="AE8" s="71"/>
      <c r="AF8" s="71"/>
      <c r="AG8" s="71"/>
      <c r="AH8" s="7"/>
      <c r="AI8" s="7"/>
    </row>
    <row r="9" spans="1:35" x14ac:dyDescent="0.25">
      <c r="A9" s="67" t="s">
        <v>11</v>
      </c>
      <c r="B9" s="1">
        <v>10</v>
      </c>
      <c r="C9" s="9">
        <v>400</v>
      </c>
      <c r="D9" s="66">
        <v>400</v>
      </c>
      <c r="E9" s="9">
        <f>B9*$J$3*$N$10*$Q$8*$V$8+E56+E68</f>
        <v>107.49279697407999</v>
      </c>
      <c r="F9" s="9">
        <f>B9*$K$3*$N$10*$Q$8*$V$18+F56+F68</f>
        <v>921.53491744906648</v>
      </c>
      <c r="G9" s="1">
        <v>0.4</v>
      </c>
      <c r="H9" s="1">
        <v>2</v>
      </c>
      <c r="I9" s="33" t="s">
        <v>136</v>
      </c>
      <c r="J9" s="5"/>
      <c r="M9" s="7" t="s">
        <v>109</v>
      </c>
      <c r="N9" s="1">
        <v>45</v>
      </c>
      <c r="O9" s="65"/>
      <c r="P9" s="1" t="s">
        <v>75</v>
      </c>
      <c r="Q9" s="2">
        <v>0</v>
      </c>
      <c r="S9" s="1" t="s">
        <v>75</v>
      </c>
      <c r="T9" s="2">
        <v>0.17</v>
      </c>
      <c r="U9" s="14">
        <v>0</v>
      </c>
      <c r="V9" s="6">
        <f t="shared" si="0"/>
        <v>0.17</v>
      </c>
      <c r="X9" s="71" t="s">
        <v>106</v>
      </c>
      <c r="Y9" s="71"/>
      <c r="Z9" s="71"/>
      <c r="AA9" s="71"/>
      <c r="AB9" s="71"/>
      <c r="AC9" s="71"/>
      <c r="AD9" s="71"/>
      <c r="AE9" s="71"/>
      <c r="AF9" s="71"/>
      <c r="AG9" s="7"/>
      <c r="AH9" s="7"/>
      <c r="AI9" s="7"/>
    </row>
    <row r="10" spans="1:35" x14ac:dyDescent="0.25">
      <c r="A10" s="67" t="s">
        <v>12</v>
      </c>
      <c r="B10" s="1">
        <v>40</v>
      </c>
      <c r="C10" s="9">
        <v>321</v>
      </c>
      <c r="D10" s="1">
        <v>800</v>
      </c>
      <c r="E10" s="9">
        <f>B10*$J$3*$N$10*$Q$8*$V$8+E61</f>
        <v>421.93037049855997</v>
      </c>
      <c r="F10" s="9">
        <f>B10*$K$3*$N$10*$Q$8*$V$18+F61</f>
        <v>3622.1620851673597</v>
      </c>
      <c r="G10" s="1">
        <v>2</v>
      </c>
      <c r="H10" s="1">
        <v>4</v>
      </c>
      <c r="I10" s="33" t="s">
        <v>136</v>
      </c>
      <c r="M10" s="7" t="s">
        <v>89</v>
      </c>
      <c r="N10" s="2">
        <f>((N3 + N4+N5+(N6*N7))*N8)/N9</f>
        <v>1.9333333333333331E-3</v>
      </c>
      <c r="O10" s="10"/>
      <c r="S10" s="65"/>
      <c r="X10" s="71" t="s">
        <v>107</v>
      </c>
      <c r="Y10" s="71"/>
      <c r="Z10" s="71"/>
      <c r="AA10" s="71"/>
      <c r="AB10" s="71"/>
      <c r="AC10" s="71"/>
      <c r="AD10" s="71"/>
      <c r="AE10" s="71"/>
      <c r="AF10" s="71"/>
      <c r="AG10" s="7"/>
      <c r="AH10" s="7"/>
      <c r="AI10" s="7"/>
    </row>
    <row r="11" spans="1:35" x14ac:dyDescent="0.25">
      <c r="A11" s="67" t="s">
        <v>14</v>
      </c>
      <c r="B11" s="1">
        <v>20</v>
      </c>
      <c r="C11" s="9">
        <v>198</v>
      </c>
      <c r="D11" s="1">
        <v>500</v>
      </c>
      <c r="E11" s="9">
        <f t="shared" ref="E11:E20" si="1">B11*$J$3*$N$10*$Q$8*$V$8</f>
        <v>210.79519999999999</v>
      </c>
      <c r="F11" s="9">
        <f t="shared" ref="F11:F20" si="2">B11*$K$3*$N$10*$Q$8*$V$18</f>
        <v>1809.8347259999998</v>
      </c>
      <c r="G11" s="1">
        <v>0.7</v>
      </c>
      <c r="H11" s="1">
        <v>3</v>
      </c>
      <c r="I11" s="10" t="s">
        <v>76</v>
      </c>
      <c r="S11" s="70" t="s">
        <v>65</v>
      </c>
      <c r="T11" s="70"/>
      <c r="U11" s="70"/>
      <c r="V11" s="70"/>
      <c r="X11" s="71" t="s">
        <v>130</v>
      </c>
      <c r="Y11" s="71"/>
      <c r="Z11" s="71"/>
      <c r="AA11" s="71"/>
      <c r="AB11" s="71"/>
      <c r="AC11" s="71"/>
      <c r="AD11" s="71"/>
      <c r="AE11" s="71"/>
      <c r="AF11" s="71"/>
      <c r="AG11" s="7"/>
      <c r="AH11" s="7"/>
      <c r="AI11" s="7"/>
    </row>
    <row r="12" spans="1:35" x14ac:dyDescent="0.25">
      <c r="A12" s="67" t="s">
        <v>15</v>
      </c>
      <c r="B12" s="1">
        <v>20</v>
      </c>
      <c r="C12" s="9">
        <v>50</v>
      </c>
      <c r="D12" s="1">
        <v>460</v>
      </c>
      <c r="E12" s="9">
        <f t="shared" si="1"/>
        <v>210.79519999999999</v>
      </c>
      <c r="F12" s="9">
        <f t="shared" si="2"/>
        <v>1809.8347259999998</v>
      </c>
      <c r="G12" s="1">
        <v>2</v>
      </c>
      <c r="H12" s="1">
        <v>10</v>
      </c>
      <c r="I12" s="10" t="s">
        <v>76</v>
      </c>
      <c r="S12" s="65" t="s">
        <v>105</v>
      </c>
      <c r="T12" s="65" t="s">
        <v>128</v>
      </c>
      <c r="U12" s="65" t="s">
        <v>86</v>
      </c>
      <c r="V12" s="65" t="s">
        <v>89</v>
      </c>
      <c r="X12" s="71" t="s">
        <v>140</v>
      </c>
      <c r="Y12" s="71"/>
      <c r="Z12" s="71"/>
      <c r="AA12" s="71"/>
      <c r="AB12" s="71"/>
      <c r="AC12" s="71"/>
      <c r="AD12" s="71"/>
      <c r="AE12" s="71"/>
      <c r="AF12" s="71"/>
      <c r="AG12" s="7"/>
      <c r="AH12" s="7"/>
      <c r="AI12" s="7"/>
    </row>
    <row r="13" spans="1:35" x14ac:dyDescent="0.25">
      <c r="A13" s="67" t="s">
        <v>20</v>
      </c>
      <c r="B13" s="1">
        <v>20</v>
      </c>
      <c r="C13" s="9">
        <v>36</v>
      </c>
      <c r="D13" s="1">
        <v>460</v>
      </c>
      <c r="E13" s="9">
        <f t="shared" si="1"/>
        <v>210.79519999999999</v>
      </c>
      <c r="F13" s="9">
        <f t="shared" si="2"/>
        <v>1809.8347259999998</v>
      </c>
      <c r="G13" s="1">
        <v>2</v>
      </c>
      <c r="H13" s="1">
        <v>10</v>
      </c>
      <c r="I13" s="10" t="s">
        <v>76</v>
      </c>
      <c r="S13" s="1" t="s">
        <v>74</v>
      </c>
      <c r="T13" s="6">
        <f>SUM('Demographic Data'!Q17:R17)*'Demographic Data'!AD5+'Demographic Data'!R19*'Demographic Data'!AD7+('Demographic Data'!O21+'Demographic Data'!R21)*'Demographic Data'!AD9+('Demographic Data'!O22+'Demographic Data'!R22)*'Demographic Data'!AD10</f>
        <v>0.73066666666666669</v>
      </c>
      <c r="U13" s="6">
        <f>0.1</f>
        <v>0.1</v>
      </c>
      <c r="V13" s="6">
        <f t="shared" ref="V13:V19" si="3">SUM(T13:U13)</f>
        <v>0.83066666666666666</v>
      </c>
      <c r="X13" s="71" t="s">
        <v>141</v>
      </c>
      <c r="Y13" s="71"/>
      <c r="Z13" s="71"/>
      <c r="AA13" s="71"/>
      <c r="AB13" s="71"/>
      <c r="AC13" s="71"/>
      <c r="AD13" s="71"/>
      <c r="AE13" s="71"/>
      <c r="AF13" s="71"/>
      <c r="AG13" s="7"/>
      <c r="AH13" s="7"/>
      <c r="AI13" s="7"/>
    </row>
    <row r="14" spans="1:35" x14ac:dyDescent="0.25">
      <c r="A14" s="67" t="s">
        <v>18</v>
      </c>
      <c r="B14" s="1">
        <v>30</v>
      </c>
      <c r="C14" s="9">
        <v>0</v>
      </c>
      <c r="D14" s="1">
        <v>500</v>
      </c>
      <c r="E14" s="9">
        <f t="shared" si="1"/>
        <v>316.19279999999998</v>
      </c>
      <c r="F14" s="9">
        <f t="shared" si="2"/>
        <v>2714.7520889999996</v>
      </c>
      <c r="G14" s="1">
        <v>10</v>
      </c>
      <c r="H14" s="1">
        <v>20</v>
      </c>
      <c r="I14" s="10" t="s">
        <v>76</v>
      </c>
      <c r="S14" s="1" t="s">
        <v>69</v>
      </c>
      <c r="T14" s="6">
        <f>SUM('Demographic Data'!O14:R14)*'Demographic Data'!AD2+SUM('Demographic Data'!P17:R17)*'Demographic Data'!AD5+'Demographic Data'!R19*'Demographic Data'!AD7+'Demographic Data'!R20*'Demographic Data'!AD8</f>
        <v>0.92200000000000015</v>
      </c>
      <c r="U14" s="6">
        <f>0.15</f>
        <v>0.15</v>
      </c>
      <c r="V14" s="6">
        <f t="shared" si="3"/>
        <v>1.0720000000000001</v>
      </c>
      <c r="X14" s="71" t="s">
        <v>186</v>
      </c>
      <c r="Y14" s="71"/>
      <c r="Z14" s="71"/>
      <c r="AA14" s="71"/>
      <c r="AB14" s="71"/>
      <c r="AC14" s="71"/>
      <c r="AD14" s="71"/>
      <c r="AE14" s="71"/>
      <c r="AF14" s="71"/>
      <c r="AG14" s="7"/>
      <c r="AH14" s="7"/>
      <c r="AI14" s="7"/>
    </row>
    <row r="15" spans="1:35" x14ac:dyDescent="0.25">
      <c r="A15" s="67" t="s">
        <v>28</v>
      </c>
      <c r="B15" s="1">
        <v>4</v>
      </c>
      <c r="C15" s="9">
        <v>300</v>
      </c>
      <c r="D15" s="66">
        <v>300</v>
      </c>
      <c r="E15" s="9">
        <f t="shared" si="1"/>
        <v>42.159039999999997</v>
      </c>
      <c r="F15" s="9">
        <f t="shared" si="2"/>
        <v>361.96694519999994</v>
      </c>
      <c r="G15" s="1">
        <v>0.5</v>
      </c>
      <c r="H15" s="1">
        <v>3</v>
      </c>
      <c r="I15" s="10" t="s">
        <v>76</v>
      </c>
      <c r="S15" s="1" t="s">
        <v>70</v>
      </c>
      <c r="T15" s="6">
        <f>'Demographic Data'!Q15*'Demographic Data'!AD3+'Demographic Data'!Q16*'Demographic Data'!AD4+SUM('Demographic Data'!P18:Q18)*'Demographic Data'!AD6</f>
        <v>0.67666666666666664</v>
      </c>
      <c r="U15" s="6">
        <f>0.09</f>
        <v>0.09</v>
      </c>
      <c r="V15" s="6">
        <f t="shared" si="3"/>
        <v>0.76666666666666661</v>
      </c>
    </row>
    <row r="16" spans="1:35" x14ac:dyDescent="0.25">
      <c r="A16" s="67" t="s">
        <v>16</v>
      </c>
      <c r="B16" s="1">
        <v>5</v>
      </c>
      <c r="C16" s="9">
        <v>320</v>
      </c>
      <c r="D16" s="66">
        <v>320</v>
      </c>
      <c r="E16" s="9">
        <f t="shared" si="1"/>
        <v>52.698799999999999</v>
      </c>
      <c r="F16" s="9">
        <f t="shared" si="2"/>
        <v>452.45868149999995</v>
      </c>
      <c r="G16" s="1">
        <v>0.4</v>
      </c>
      <c r="H16" s="1">
        <v>3</v>
      </c>
      <c r="I16" s="10" t="s">
        <v>76</v>
      </c>
      <c r="M16" s="9"/>
      <c r="S16" s="1" t="s">
        <v>71</v>
      </c>
      <c r="T16" s="6">
        <f>('Demographic Data'!P14+'Demographic Data'!R14)*'Demographic Data'!AD2+'Demographic Data'!Q15*'Demographic Data'!AD3+'Demographic Data'!Q16*'Demographic Data'!AD4+('Demographic Data'!P18+'Demographic Data'!Q18)*'Demographic Data'!AD6+'Demographic Data'!R19*'Demographic Data'!AD7+'Demographic Data'!R20*'Demographic Data'!AD8+'Demographic Data'!R22*'Demographic Data'!AD10</f>
        <v>1.3716666666666668</v>
      </c>
      <c r="U16" s="6">
        <f>0.05</f>
        <v>0.05</v>
      </c>
      <c r="V16" s="6">
        <f t="shared" si="3"/>
        <v>1.4216666666666669</v>
      </c>
    </row>
    <row r="17" spans="1:24" x14ac:dyDescent="0.25">
      <c r="A17" s="67" t="s">
        <v>27</v>
      </c>
      <c r="B17" s="1">
        <v>10</v>
      </c>
      <c r="C17" s="9">
        <v>880</v>
      </c>
      <c r="D17" s="66">
        <v>880</v>
      </c>
      <c r="E17" s="9">
        <f t="shared" si="1"/>
        <v>105.3976</v>
      </c>
      <c r="F17" s="9">
        <f t="shared" si="2"/>
        <v>904.91736299999991</v>
      </c>
      <c r="G17" s="1">
        <v>0.4</v>
      </c>
      <c r="H17" s="1">
        <v>3</v>
      </c>
      <c r="I17" s="10" t="s">
        <v>76</v>
      </c>
      <c r="S17" s="1" t="s">
        <v>91</v>
      </c>
      <c r="T17" s="6">
        <v>0.34</v>
      </c>
      <c r="U17" s="6">
        <v>0.31</v>
      </c>
      <c r="V17" s="6">
        <f t="shared" si="3"/>
        <v>0.65</v>
      </c>
    </row>
    <row r="18" spans="1:24" x14ac:dyDescent="0.25">
      <c r="A18" s="67" t="s">
        <v>23</v>
      </c>
      <c r="B18" s="1">
        <v>15</v>
      </c>
      <c r="C18" s="9">
        <v>290</v>
      </c>
      <c r="D18" s="66">
        <v>300</v>
      </c>
      <c r="E18" s="9">
        <f t="shared" si="1"/>
        <v>158.09639999999999</v>
      </c>
      <c r="F18" s="9">
        <f t="shared" si="2"/>
        <v>1357.3760444999998</v>
      </c>
      <c r="G18" s="1">
        <v>0.5</v>
      </c>
      <c r="H18" s="1">
        <v>5</v>
      </c>
      <c r="I18" s="10" t="s">
        <v>76</v>
      </c>
      <c r="Q18" s="6"/>
      <c r="S18" s="1" t="s">
        <v>73</v>
      </c>
      <c r="T18" s="6">
        <f>('Demographic Data'!O14+'Demographic Data'!Q14+'Demographic Data'!R14)*'Demographic Data'!AD2+'Demographic Data'!Q15*'Demographic Data'!AD3+'Demographic Data'!Q16*'Demographic Data'!AD4+SUM('Demographic Data'!Q17:R17)*'Demographic Data'!AD5+'Demographic Data'!Q18*'Demographic Data'!AD6+'Demographic Data'!R19*'Demographic Data'!AD7+'Demographic Data'!R20*'Demographic Data'!AD8+('Demographic Data'!O21+'Demographic Data'!R21)*'Demographic Data'!AD9+SUM('Demographic Data'!O22:R22)*'Demographic Data'!AD10</f>
        <v>1.6365000000000001</v>
      </c>
      <c r="U18" s="6">
        <f>0.39</f>
        <v>0.39</v>
      </c>
      <c r="V18" s="6">
        <f t="shared" si="3"/>
        <v>2.0265</v>
      </c>
    </row>
    <row r="19" spans="1:24" x14ac:dyDescent="0.25">
      <c r="A19" s="67" t="s">
        <v>17</v>
      </c>
      <c r="B19" s="1">
        <v>3</v>
      </c>
      <c r="C19" s="9">
        <v>49</v>
      </c>
      <c r="D19" s="1">
        <v>100</v>
      </c>
      <c r="E19" s="9">
        <f t="shared" si="1"/>
        <v>31.619279999999996</v>
      </c>
      <c r="F19" s="9">
        <f t="shared" si="2"/>
        <v>271.47520889999998</v>
      </c>
      <c r="G19" s="1">
        <v>1</v>
      </c>
      <c r="H19" s="1">
        <v>3</v>
      </c>
      <c r="I19" s="10" t="s">
        <v>76</v>
      </c>
      <c r="S19" s="1" t="s">
        <v>75</v>
      </c>
      <c r="T19" s="6">
        <f>('Demographic Data'!P14+'Demographic Data'!R14)*'Demographic Data'!AD2+'Demographic Data'!Q15*'Demographic Data'!AD3+'Demographic Data'!Q16*'Demographic Data'!AD4+('Demographic Data'!P18+'Demographic Data'!Q18)*'Demographic Data'!AD6+'Demographic Data'!R19*'Demographic Data'!AD7+'Demographic Data'!R20*'Demographic Data'!AD8+'Demographic Data'!R22*'Demographic Data'!AD10</f>
        <v>1.3716666666666668</v>
      </c>
      <c r="U19" s="6">
        <f>0.07</f>
        <v>7.0000000000000007E-2</v>
      </c>
      <c r="V19" s="6">
        <f t="shared" si="3"/>
        <v>1.4416666666666669</v>
      </c>
    </row>
    <row r="20" spans="1:24" x14ac:dyDescent="0.25">
      <c r="A20" s="67" t="s">
        <v>19</v>
      </c>
      <c r="B20" s="1">
        <v>3</v>
      </c>
      <c r="C20" s="9">
        <v>250</v>
      </c>
      <c r="D20" s="66">
        <v>250</v>
      </c>
      <c r="E20" s="9">
        <f t="shared" si="1"/>
        <v>31.619279999999996</v>
      </c>
      <c r="F20" s="9">
        <f t="shared" si="2"/>
        <v>271.47520889999998</v>
      </c>
      <c r="G20" s="1">
        <v>0.5</v>
      </c>
      <c r="H20" s="1">
        <v>2</v>
      </c>
      <c r="I20" s="10" t="s">
        <v>76</v>
      </c>
      <c r="X20" s="6"/>
    </row>
    <row r="21" spans="1:24" x14ac:dyDescent="0.25">
      <c r="A21" s="67" t="s">
        <v>8</v>
      </c>
      <c r="B21" s="1">
        <v>100</v>
      </c>
      <c r="C21" s="1">
        <v>6500</v>
      </c>
      <c r="D21" s="66">
        <v>6500</v>
      </c>
      <c r="E21" s="9">
        <f>B21*$J$3*$N$10*$Q$8*$V$8+E59+E67</f>
        <v>1075.1520412057598</v>
      </c>
      <c r="F21" s="9">
        <f>B21*$K$3*$N$10*$Q$8*$V$18+F59+F67</f>
        <v>9219.5035631029314</v>
      </c>
      <c r="G21" s="1">
        <v>0.3</v>
      </c>
      <c r="H21" s="1">
        <v>1</v>
      </c>
      <c r="I21" s="33" t="s">
        <v>136</v>
      </c>
      <c r="K21" s="65"/>
    </row>
    <row r="22" spans="1:24" x14ac:dyDescent="0.25">
      <c r="A22" s="67" t="s">
        <v>22</v>
      </c>
      <c r="B22" s="1">
        <v>40</v>
      </c>
      <c r="C22" s="9">
        <v>4300</v>
      </c>
      <c r="D22" s="66">
        <v>4300</v>
      </c>
      <c r="E22" s="9">
        <f>B22*$J$3*$N$10*$Q$8*$V$8+E54+E66</f>
        <v>453.30037559295999</v>
      </c>
      <c r="F22" s="9">
        <f>B22*$K$3*$N$10*$Q$8*$V$18+F54+F66</f>
        <v>3872.256279625813</v>
      </c>
      <c r="G22" s="1">
        <v>0.4</v>
      </c>
      <c r="H22" s="1">
        <v>1</v>
      </c>
      <c r="I22" s="33" t="s">
        <v>136</v>
      </c>
      <c r="K22" s="65"/>
      <c r="X22" s="6"/>
    </row>
    <row r="23" spans="1:24" x14ac:dyDescent="0.25">
      <c r="A23" s="67" t="s">
        <v>2</v>
      </c>
      <c r="B23" s="1">
        <v>80</v>
      </c>
      <c r="C23" s="9">
        <v>6000</v>
      </c>
      <c r="D23" s="66">
        <v>6000</v>
      </c>
      <c r="E23" s="9">
        <f>B23*$J$3*$N$10*$Q$8*$V$8</f>
        <v>843.18079999999998</v>
      </c>
      <c r="F23" s="9">
        <f>B23*$K$3*$N$10*$Q$8*$V$18</f>
        <v>7239.3389039999993</v>
      </c>
      <c r="G23" s="1">
        <v>0.1</v>
      </c>
      <c r="H23" s="1">
        <v>1</v>
      </c>
      <c r="I23" s="10" t="s">
        <v>76</v>
      </c>
      <c r="K23" s="65"/>
      <c r="X23" s="6"/>
    </row>
    <row r="24" spans="1:24" x14ac:dyDescent="0.25">
      <c r="A24" s="67" t="s">
        <v>5</v>
      </c>
      <c r="B24" s="1">
        <v>100</v>
      </c>
      <c r="C24" s="1">
        <v>9194</v>
      </c>
      <c r="D24" s="1">
        <v>7500</v>
      </c>
      <c r="E24" s="9">
        <f>B24*$J$3*$N$10*$Q$8*$V$8</f>
        <v>1053.9759999999999</v>
      </c>
      <c r="F24" s="9">
        <f>B24*$K$3*$N$10*$Q$8*$V$18</f>
        <v>9049.1736299999975</v>
      </c>
      <c r="G24" s="1">
        <v>0.2</v>
      </c>
      <c r="H24" s="1">
        <v>1</v>
      </c>
      <c r="I24" s="15" t="s">
        <v>187</v>
      </c>
      <c r="X24" s="6"/>
    </row>
    <row r="25" spans="1:24" x14ac:dyDescent="0.25">
      <c r="A25" s="67" t="s">
        <v>7</v>
      </c>
      <c r="B25" s="1">
        <v>50</v>
      </c>
      <c r="C25" s="9">
        <v>1016</v>
      </c>
      <c r="D25" s="66">
        <v>1000</v>
      </c>
      <c r="E25" s="9">
        <f>B25*$J$3*$N$10*$Q$8*$V$8</f>
        <v>526.98799999999994</v>
      </c>
      <c r="F25" s="9">
        <f>B25*$K$3*$N$10*$Q$8*$V$18</f>
        <v>4524.5868149999988</v>
      </c>
      <c r="G25" s="1">
        <v>0.7</v>
      </c>
      <c r="H25" s="1">
        <v>2</v>
      </c>
      <c r="I25" s="10" t="s">
        <v>76</v>
      </c>
      <c r="X25" s="6"/>
    </row>
    <row r="26" spans="1:24" x14ac:dyDescent="0.25">
      <c r="A26" s="67" t="s">
        <v>10</v>
      </c>
      <c r="B26" s="1">
        <v>60</v>
      </c>
      <c r="C26" s="9">
        <v>1145</v>
      </c>
      <c r="D26" s="66">
        <v>1200</v>
      </c>
      <c r="E26" s="9">
        <f>B26*$J$3*$N$10*$Q$8*$V$8+E58</f>
        <v>635.33201098751999</v>
      </c>
      <c r="F26" s="9">
        <f>B26*$K$3*$N$10*$Q$8*$V$18+F58</f>
        <v>5451.1069987837855</v>
      </c>
      <c r="G26" s="1">
        <v>0.3</v>
      </c>
      <c r="H26" s="1">
        <v>1</v>
      </c>
      <c r="I26" s="33" t="s">
        <v>136</v>
      </c>
      <c r="X26" s="6"/>
    </row>
    <row r="27" spans="1:24" x14ac:dyDescent="0.25">
      <c r="A27" s="67" t="s">
        <v>13</v>
      </c>
      <c r="B27" s="1">
        <v>70</v>
      </c>
      <c r="C27" s="9">
        <v>8430</v>
      </c>
      <c r="D27" s="1">
        <v>6000</v>
      </c>
      <c r="E27" s="9">
        <f>B27*$J$3*$N$10*$Q$8*$V$8</f>
        <v>737.78319999999997</v>
      </c>
      <c r="F27" s="9">
        <f>B27*$K$3*$N$10*$Q$8*$V$18</f>
        <v>6334.4215409999997</v>
      </c>
      <c r="G27" s="1">
        <v>0.4</v>
      </c>
      <c r="H27" s="1">
        <v>1</v>
      </c>
      <c r="I27" s="15" t="s">
        <v>188</v>
      </c>
      <c r="X27" s="6"/>
    </row>
    <row r="28" spans="1:24" x14ac:dyDescent="0.25">
      <c r="A28" s="67" t="s">
        <v>9</v>
      </c>
      <c r="B28" s="1">
        <v>120</v>
      </c>
      <c r="C28" s="9">
        <v>9878</v>
      </c>
      <c r="D28" s="9">
        <v>6000</v>
      </c>
      <c r="E28" s="9">
        <f>B28*$J$3*$N$10*$Q$8*$V$8+E60+E69</f>
        <v>1325.38124350464</v>
      </c>
      <c r="F28" s="9">
        <f>B28*$K$3*$N$10*$Q$8*$V$18+F60+F69</f>
        <v>11320.976369684053</v>
      </c>
      <c r="G28" s="1">
        <v>0.4</v>
      </c>
      <c r="H28" s="1">
        <v>1</v>
      </c>
      <c r="I28" s="15" t="s">
        <v>189</v>
      </c>
    </row>
    <row r="29" spans="1:24" x14ac:dyDescent="0.25">
      <c r="A29" s="67" t="s">
        <v>24</v>
      </c>
      <c r="B29" s="1">
        <v>5</v>
      </c>
      <c r="C29" s="1">
        <v>480</v>
      </c>
      <c r="D29" s="66">
        <v>480</v>
      </c>
      <c r="E29" s="9">
        <f>B29*$J$3*$N$10*$Q$8*$V$8+E73</f>
        <v>59.266411903999995</v>
      </c>
      <c r="F29" s="9">
        <f>B29*$K$3*$N$10*$Q$8*$V$18+F73</f>
        <v>505.63485573701325</v>
      </c>
      <c r="G29" s="1">
        <v>0.2</v>
      </c>
      <c r="H29" s="1">
        <v>1</v>
      </c>
      <c r="I29" s="10" t="s">
        <v>76</v>
      </c>
    </row>
    <row r="30" spans="1:24" x14ac:dyDescent="0.25">
      <c r="C30" s="9"/>
      <c r="E30" s="9"/>
      <c r="F30" s="9"/>
    </row>
    <row r="31" spans="1:24" x14ac:dyDescent="0.25">
      <c r="A31" s="3" t="s">
        <v>81</v>
      </c>
      <c r="C31" s="9"/>
      <c r="E31" s="9"/>
      <c r="F31" s="9"/>
    </row>
    <row r="32" spans="1:24" x14ac:dyDescent="0.25">
      <c r="A32" s="67" t="s">
        <v>33</v>
      </c>
      <c r="B32" s="1">
        <v>45</v>
      </c>
      <c r="C32" s="1">
        <v>300</v>
      </c>
      <c r="D32" s="66">
        <v>300</v>
      </c>
      <c r="E32" s="9">
        <f>B32*$J$3*$N$10*$Q$5*$V$5</f>
        <v>27.767476800000001</v>
      </c>
      <c r="F32" s="9">
        <f>B32*$K$3*$N$10*$Q$5*$V$15</f>
        <v>215.67978599999998</v>
      </c>
      <c r="G32" s="1">
        <v>0.8</v>
      </c>
      <c r="H32" s="1">
        <v>2</v>
      </c>
      <c r="I32" s="9" t="s">
        <v>70</v>
      </c>
    </row>
    <row r="33" spans="1:16" x14ac:dyDescent="0.25">
      <c r="A33" s="67" t="s">
        <v>34</v>
      </c>
      <c r="B33" s="1">
        <v>30</v>
      </c>
      <c r="C33" s="1">
        <v>100</v>
      </c>
      <c r="D33" s="66">
        <v>100</v>
      </c>
      <c r="E33" s="9">
        <f>B33*$J$3*$N$10*$Q$5*$V$5</f>
        <v>18.511651199999999</v>
      </c>
      <c r="F33" s="9">
        <f>B33*$K$3*$N$10*$Q$5*$V$15</f>
        <v>143.78652399999996</v>
      </c>
      <c r="G33" s="1">
        <v>1.5</v>
      </c>
      <c r="H33" s="1">
        <v>3</v>
      </c>
      <c r="I33" s="9" t="s">
        <v>70</v>
      </c>
    </row>
    <row r="34" spans="1:16" x14ac:dyDescent="0.25">
      <c r="A34" s="67" t="s">
        <v>1</v>
      </c>
      <c r="B34" s="1">
        <v>420</v>
      </c>
      <c r="C34" s="1">
        <v>4380</v>
      </c>
      <c r="D34" s="66">
        <v>4380</v>
      </c>
      <c r="E34" s="9">
        <f>B34*$J$3*$N$10*$Q$4*$V$4</f>
        <v>645.22494399999994</v>
      </c>
      <c r="F34" s="9">
        <f>B34*$K$3*$N$10*$Q$4*$V$14</f>
        <v>7438.8895929600003</v>
      </c>
      <c r="G34" s="1">
        <v>0.2</v>
      </c>
      <c r="H34" s="1">
        <v>1</v>
      </c>
      <c r="I34" s="9" t="s">
        <v>69</v>
      </c>
    </row>
    <row r="35" spans="1:16" x14ac:dyDescent="0.25">
      <c r="A35" s="67" t="s">
        <v>25</v>
      </c>
      <c r="B35" s="1">
        <v>105</v>
      </c>
      <c r="C35" s="9">
        <v>220</v>
      </c>
      <c r="D35" s="66">
        <v>220</v>
      </c>
      <c r="E35" s="9">
        <f>B35*$J$3*$N$10*$Q$6*$V$6</f>
        <v>74.113675999999998</v>
      </c>
      <c r="F35" s="9">
        <f>B35*$K$3*$N$10*$Q$6*$V$16</f>
        <v>1133.1784698500003</v>
      </c>
      <c r="G35" s="1">
        <v>6</v>
      </c>
      <c r="H35" s="1">
        <v>10</v>
      </c>
      <c r="I35" s="1" t="s">
        <v>71</v>
      </c>
    </row>
    <row r="36" spans="1:16" x14ac:dyDescent="0.25">
      <c r="A36" s="67" t="s">
        <v>29</v>
      </c>
      <c r="B36" s="1">
        <v>1245</v>
      </c>
      <c r="C36" s="1">
        <v>3400</v>
      </c>
      <c r="D36" s="66">
        <v>3400</v>
      </c>
      <c r="E36" s="9">
        <f>B36*$J$3*$N$10*$Q$6*$V$6</f>
        <v>878.77644399999997</v>
      </c>
      <c r="F36" s="9">
        <f>B36*$K$3*$N$10*$Q$6*$V$16</f>
        <v>13436.258999650001</v>
      </c>
      <c r="G36" s="1">
        <v>0.2</v>
      </c>
      <c r="H36" s="1">
        <v>1</v>
      </c>
      <c r="I36" s="9" t="s">
        <v>71</v>
      </c>
    </row>
    <row r="37" spans="1:16" x14ac:dyDescent="0.25">
      <c r="A37" s="68" t="s">
        <v>36</v>
      </c>
      <c r="B37" s="4">
        <v>14</v>
      </c>
      <c r="C37" s="1">
        <v>240</v>
      </c>
      <c r="D37" s="69">
        <v>240</v>
      </c>
      <c r="E37" s="9">
        <f>B37*$J$3*$N$10*$Q$7*$V$7</f>
        <v>101.85879573333335</v>
      </c>
      <c r="F37" s="9">
        <f>B37*$K$3*$N$10*$Q$7*$V$17</f>
        <v>272.25665739999999</v>
      </c>
      <c r="G37" s="1">
        <v>0.3</v>
      </c>
      <c r="H37" s="1">
        <v>1</v>
      </c>
      <c r="I37" s="9" t="s">
        <v>72</v>
      </c>
    </row>
    <row r="38" spans="1:16" x14ac:dyDescent="0.25">
      <c r="A38" s="68" t="s">
        <v>37</v>
      </c>
      <c r="B38" s="4">
        <v>110</v>
      </c>
      <c r="C38" s="1">
        <v>1300</v>
      </c>
      <c r="D38" s="66">
        <v>1300</v>
      </c>
      <c r="E38" s="9">
        <f>B38*$J$3*$N$10*$Q$7*$V$7</f>
        <v>800.31910933333336</v>
      </c>
      <c r="F38" s="9">
        <f>B38*$K$3*$N$10*$Q$7*$V$17</f>
        <v>2139.159451</v>
      </c>
      <c r="G38" s="1">
        <v>0.7</v>
      </c>
      <c r="H38" s="1">
        <v>2</v>
      </c>
      <c r="I38" s="9" t="s">
        <v>72</v>
      </c>
    </row>
    <row r="39" spans="1:16" x14ac:dyDescent="0.25">
      <c r="A39" s="67" t="s">
        <v>0</v>
      </c>
      <c r="B39" s="1">
        <v>14</v>
      </c>
      <c r="C39" s="1">
        <v>360</v>
      </c>
      <c r="D39" s="66">
        <v>360</v>
      </c>
      <c r="E39" s="9">
        <f>B39*$J$3*$N$10*$Q$7*$V$7</f>
        <v>101.85879573333335</v>
      </c>
      <c r="F39" s="9">
        <f>B39*$K$3*$N$10*$Q$7*$V$17</f>
        <v>272.25665739999999</v>
      </c>
      <c r="G39" s="1">
        <v>0.2</v>
      </c>
      <c r="H39" s="1">
        <v>1</v>
      </c>
      <c r="I39" s="9" t="s">
        <v>72</v>
      </c>
    </row>
    <row r="40" spans="1:16" x14ac:dyDescent="0.25">
      <c r="A40" s="68" t="s">
        <v>35</v>
      </c>
      <c r="B40" s="4">
        <v>40</v>
      </c>
      <c r="C40" s="1">
        <v>180</v>
      </c>
      <c r="D40" s="66">
        <v>180</v>
      </c>
      <c r="E40" s="9">
        <f>B40*$J$3*$N$10*$Q$3*$V$3*(SUM('Demographic Data'!$AD$10*0.33,'Demographic Data'!$AD$10*0.33)+SUM('Demographic Data'!$AD$4*0.33,'Demographic Data'!$AD$7*1,'Demographic Data'!$AD$9*0.33,'Demographic Data'!$AD$10*1))</f>
        <v>20.951969740799999</v>
      </c>
      <c r="F40" s="9">
        <f>B40*$K$3*$N$10*$Q$3*$V$13*(SUM('Demographic Data'!$B$22:$E$22)/SUM('Demographic Data'!$B$14:$E$22)+SUM('Demographic Data'!$E$17,'Demographic Data'!$E$19,'Demographic Data'!$E$21,'Demographic Data'!$B$22:$E$22,'Demographic Data'!$E$22)/SUM('Demographic Data'!$B$14:$E$22))</f>
        <v>166.17554449066668</v>
      </c>
      <c r="G40" s="1">
        <v>0.5</v>
      </c>
      <c r="H40" s="65">
        <v>2</v>
      </c>
      <c r="I40" s="9" t="s">
        <v>74</v>
      </c>
    </row>
    <row r="41" spans="1:16" x14ac:dyDescent="0.25">
      <c r="A41" s="67" t="s">
        <v>26</v>
      </c>
      <c r="B41" s="1">
        <v>110</v>
      </c>
      <c r="C41" s="1">
        <v>800</v>
      </c>
      <c r="D41" s="66">
        <v>800</v>
      </c>
      <c r="E41" s="9">
        <f>B41*$J$3*$N$10*$Q$7*$V$7+50</f>
        <v>850.31910933333336</v>
      </c>
      <c r="F41" s="9">
        <f>B41*$K$3*$N$10*$Q$7*$V$17+50</f>
        <v>2189.159451</v>
      </c>
      <c r="G41" s="1">
        <v>0.5</v>
      </c>
      <c r="H41" s="1">
        <v>2</v>
      </c>
      <c r="I41" s="9" t="s">
        <v>72</v>
      </c>
    </row>
    <row r="42" spans="1:16" x14ac:dyDescent="0.25">
      <c r="A42" s="67" t="s">
        <v>113</v>
      </c>
      <c r="B42" s="10" t="s">
        <v>76</v>
      </c>
      <c r="C42" s="1">
        <v>400</v>
      </c>
      <c r="D42" s="66">
        <v>400</v>
      </c>
      <c r="E42" s="9">
        <f>E53+E55+E70+E72</f>
        <v>54.253625395200004</v>
      </c>
      <c r="F42" s="9">
        <f>F53+F55+F70+F72</f>
        <v>425.40939389610668</v>
      </c>
      <c r="G42" s="1">
        <v>0.3</v>
      </c>
      <c r="H42" s="1">
        <v>1</v>
      </c>
      <c r="I42" s="1" t="s">
        <v>74</v>
      </c>
    </row>
    <row r="43" spans="1:16" x14ac:dyDescent="0.25">
      <c r="A43" s="67" t="s">
        <v>115</v>
      </c>
      <c r="B43" s="10" t="s">
        <v>76</v>
      </c>
      <c r="C43" s="1">
        <v>60</v>
      </c>
      <c r="D43" s="66">
        <v>60</v>
      </c>
      <c r="E43" s="9">
        <f>E57+E65</f>
        <v>1.2742454860799999</v>
      </c>
      <c r="F43" s="9">
        <f>F57+F65</f>
        <v>9.9705326694399989</v>
      </c>
      <c r="G43" s="1">
        <v>0.5</v>
      </c>
      <c r="H43" s="1">
        <v>4</v>
      </c>
      <c r="I43" s="1" t="s">
        <v>74</v>
      </c>
    </row>
    <row r="44" spans="1:16" x14ac:dyDescent="0.25">
      <c r="A44" s="67" t="s">
        <v>114</v>
      </c>
      <c r="B44" s="10" t="s">
        <v>76</v>
      </c>
      <c r="C44" s="10" t="s">
        <v>76</v>
      </c>
      <c r="D44" s="10" t="s">
        <v>76</v>
      </c>
      <c r="E44" s="9">
        <f>E71</f>
        <v>4.9257089279999997</v>
      </c>
      <c r="F44" s="9">
        <f>F71</f>
        <v>39.882130677759996</v>
      </c>
      <c r="G44" s="10" t="s">
        <v>76</v>
      </c>
      <c r="H44" s="10" t="s">
        <v>76</v>
      </c>
      <c r="I44" s="1" t="s">
        <v>74</v>
      </c>
    </row>
    <row r="45" spans="1:16" x14ac:dyDescent="0.25">
      <c r="L45" s="9"/>
      <c r="M45" s="9"/>
    </row>
    <row r="46" spans="1:16" x14ac:dyDescent="0.25">
      <c r="A46" s="11" t="s">
        <v>133</v>
      </c>
      <c r="C46" s="9"/>
      <c r="E46" s="9"/>
      <c r="F46" s="9"/>
      <c r="L46" s="9"/>
      <c r="M46" s="9"/>
    </row>
    <row r="47" spans="1:16" x14ac:dyDescent="0.25">
      <c r="A47" s="67" t="s">
        <v>30</v>
      </c>
      <c r="B47" s="1">
        <v>100</v>
      </c>
      <c r="C47" s="1">
        <v>220</v>
      </c>
      <c r="D47" s="66">
        <v>220</v>
      </c>
      <c r="E47" s="9">
        <f>$B$47*$J$3*$N$10*'Demographic Data'!AD7</f>
        <v>447.14133333333331</v>
      </c>
      <c r="F47" s="9">
        <f>$B$47*$K$3*$N$10*'Demographic Data'!AD7</f>
        <v>625.15879999999993</v>
      </c>
      <c r="G47" s="1">
        <v>0.25</v>
      </c>
      <c r="H47" s="1">
        <v>1</v>
      </c>
      <c r="L47" s="9"/>
      <c r="M47" s="9"/>
    </row>
    <row r="48" spans="1:16" x14ac:dyDescent="0.25">
      <c r="A48" s="67" t="s">
        <v>67</v>
      </c>
      <c r="B48" s="1">
        <v>20</v>
      </c>
      <c r="C48" s="1">
        <v>400</v>
      </c>
      <c r="D48" s="66">
        <v>400</v>
      </c>
      <c r="E48" s="9">
        <f>$B$48*$J$3*$N$10</f>
        <v>638.77333333333331</v>
      </c>
      <c r="F48" s="9">
        <f>$B$48*$K$3*$N$10</f>
        <v>893.08399999999995</v>
      </c>
      <c r="G48" s="1">
        <v>1</v>
      </c>
      <c r="H48" s="1">
        <v>3</v>
      </c>
      <c r="O48"/>
      <c r="P48"/>
    </row>
    <row r="49" spans="1:23" x14ac:dyDescent="0.25">
      <c r="A49" s="67" t="s">
        <v>68</v>
      </c>
      <c r="B49" s="1">
        <v>20</v>
      </c>
      <c r="C49" s="1">
        <v>400</v>
      </c>
      <c r="D49" s="66">
        <v>400</v>
      </c>
      <c r="E49" s="9">
        <f>$B$49*$J$3*$N$10</f>
        <v>638.77333333333331</v>
      </c>
      <c r="F49" s="9">
        <f>$B$49*$K$3*$N$10</f>
        <v>893.08399999999995</v>
      </c>
      <c r="G49" s="1">
        <v>1</v>
      </c>
      <c r="H49" s="1">
        <v>3</v>
      </c>
      <c r="L49" s="9"/>
      <c r="O49"/>
      <c r="P49"/>
    </row>
    <row r="50" spans="1:23" x14ac:dyDescent="0.25">
      <c r="A50" s="67" t="s">
        <v>31</v>
      </c>
      <c r="B50" s="1">
        <v>24</v>
      </c>
      <c r="C50" s="1">
        <v>400</v>
      </c>
      <c r="D50" s="66">
        <v>400</v>
      </c>
      <c r="E50" s="9">
        <f>$B$50*$N$10*$J$3*(SUM('Demographic Data'!AD2*0.5,'Demographic Data'!AD5*0.33,'Demographic Data'!AD7,'Demographic Data'!AD8,'Demographic Data'!AD9,'Demographic Data'!AD10))</f>
        <v>491.49775360000001</v>
      </c>
      <c r="F50" s="9">
        <f>$B$50*$N$10*$K$3*(SUM('Demographic Data'!B14,'Demographic Data'!B21,'Demographic Data'!B22,'Demographic Data'!E14:E22)/SUM('Demographic Data'!B14:E22))</f>
        <v>514.41638399999988</v>
      </c>
      <c r="I50" s="65"/>
      <c r="L50" s="9"/>
      <c r="M50" s="9"/>
      <c r="O50"/>
      <c r="P50"/>
    </row>
    <row r="51" spans="1:23" x14ac:dyDescent="0.25">
      <c r="A51" s="7"/>
      <c r="C51" s="13"/>
      <c r="E51" s="9"/>
      <c r="F51" s="9"/>
      <c r="L51" s="9"/>
      <c r="M51" s="9"/>
      <c r="O51"/>
      <c r="P51"/>
    </row>
    <row r="52" spans="1:23" x14ac:dyDescent="0.25">
      <c r="A52" s="22" t="s">
        <v>138</v>
      </c>
      <c r="L52" s="9"/>
      <c r="M52" s="9"/>
      <c r="O52"/>
      <c r="P52"/>
    </row>
    <row r="53" spans="1:23" x14ac:dyDescent="0.25">
      <c r="A53" s="67" t="s">
        <v>112</v>
      </c>
      <c r="B53" s="9">
        <v>120</v>
      </c>
      <c r="C53" s="10" t="s">
        <v>76</v>
      </c>
      <c r="D53" s="10" t="s">
        <v>76</v>
      </c>
      <c r="E53" s="9">
        <f>B53*$J$3*$N$10*$Q$3*$V$3*SUM('Demographic Data'!$AD$10*0.33,'Demographic Data'!$AD$10*0.33)</f>
        <v>13.598819942399999</v>
      </c>
      <c r="F53" s="32">
        <f>B53*$K$3*$N$10*$Q$3*$V$13*(SUM('Demographic Data'!$B$22:$E$22)/SUM('Demographic Data'!$B$14:$E$22))</f>
        <v>99.7053266944</v>
      </c>
      <c r="G53" s="10" t="s">
        <v>76</v>
      </c>
      <c r="H53" s="10" t="s">
        <v>76</v>
      </c>
      <c r="I53" s="1" t="s">
        <v>113</v>
      </c>
      <c r="L53" s="9"/>
      <c r="M53" s="9"/>
      <c r="O53"/>
      <c r="P53"/>
    </row>
    <row r="54" spans="1:23" x14ac:dyDescent="0.25">
      <c r="A54" s="67" t="s">
        <v>22</v>
      </c>
      <c r="B54" s="9">
        <v>48</v>
      </c>
      <c r="C54" s="10" t="s">
        <v>76</v>
      </c>
      <c r="D54" s="10" t="s">
        <v>76</v>
      </c>
      <c r="E54" s="9">
        <f>B54*$J$3*$N$10*$Q$3*$V$3*SUM('Demographic Data'!$AD$10*0.33,'Demographic Data'!$AD$10*0.33)</f>
        <v>5.4395279769600009</v>
      </c>
      <c r="F54" s="32">
        <f>B54*$K$3*$N$10*$Q$3*$V$13*(SUM('Demographic Data'!$B$22:$E$22)/SUM('Demographic Data'!$B$14:$E$22))</f>
        <v>39.882130677759996</v>
      </c>
      <c r="G54" s="10" t="s">
        <v>76</v>
      </c>
      <c r="H54" s="10" t="s">
        <v>76</v>
      </c>
      <c r="L54" s="9"/>
      <c r="M54" s="9"/>
      <c r="O54"/>
      <c r="P54"/>
    </row>
    <row r="55" spans="1:23" x14ac:dyDescent="0.25">
      <c r="A55" s="67" t="s">
        <v>113</v>
      </c>
      <c r="B55" s="9">
        <v>40</v>
      </c>
      <c r="C55" s="10" t="s">
        <v>76</v>
      </c>
      <c r="D55" s="10" t="s">
        <v>76</v>
      </c>
      <c r="E55" s="9">
        <f>B55*$J$3*$N$10*$Q$3*$V$3*SUM('Demographic Data'!$AD$10*0.33,'Demographic Data'!$AD$10*0.33)</f>
        <v>4.5329399808000002</v>
      </c>
      <c r="F55" s="32">
        <f>B55*$K$3*$N$10*$Q$3*$V$13*(SUM('Demographic Data'!$B$22:$E$22)/SUM('Demographic Data'!$B$14:$E$22))</f>
        <v>33.235108898133333</v>
      </c>
      <c r="G55" s="10" t="s">
        <v>76</v>
      </c>
      <c r="H55" s="10" t="s">
        <v>76</v>
      </c>
      <c r="L55" s="9"/>
      <c r="O55"/>
      <c r="P55"/>
    </row>
    <row r="56" spans="1:23" x14ac:dyDescent="0.25">
      <c r="A56" s="67" t="s">
        <v>11</v>
      </c>
      <c r="B56" s="9">
        <v>4</v>
      </c>
      <c r="C56" s="10" t="s">
        <v>76</v>
      </c>
      <c r="D56" s="10" t="s">
        <v>76</v>
      </c>
      <c r="E56" s="9">
        <f>B56*$J$3*$N$10*$Q$3*$V$3*SUM('Demographic Data'!$AD$10*0.33,'Demographic Data'!$AD$10*0.33)</f>
        <v>0.45329399808000004</v>
      </c>
      <c r="F56" s="32">
        <f>B56*$K$3*$N$10*$Q$3*$V$13*(SUM('Demographic Data'!$B$22:$E$22)/SUM('Demographic Data'!$B$14:$E$22))</f>
        <v>3.323510889813333</v>
      </c>
      <c r="G56" s="10" t="s">
        <v>76</v>
      </c>
      <c r="H56" s="10" t="s">
        <v>76</v>
      </c>
      <c r="U56" s="65"/>
      <c r="V56" s="65"/>
      <c r="W56" s="22"/>
    </row>
    <row r="57" spans="1:23" x14ac:dyDescent="0.25">
      <c r="A57" s="67" t="s">
        <v>115</v>
      </c>
      <c r="B57" s="9">
        <v>4</v>
      </c>
      <c r="C57" s="10" t="s">
        <v>76</v>
      </c>
      <c r="D57" s="10" t="s">
        <v>76</v>
      </c>
      <c r="E57" s="9">
        <f>B57*$J$3*$N$10*$Q$3*$V$3*SUM('Demographic Data'!$AD$10*0.33,'Demographic Data'!$AD$10*0.33)</f>
        <v>0.45329399808000004</v>
      </c>
      <c r="F57" s="32">
        <f>B57*$K$3*$N$10*$Q$3*$V$13*(SUM('Demographic Data'!$B$22:$E$22)/SUM('Demographic Data'!$B$14:$E$22))</f>
        <v>3.323510889813333</v>
      </c>
      <c r="G57" s="10" t="s">
        <v>76</v>
      </c>
      <c r="H57" s="10" t="s">
        <v>76</v>
      </c>
      <c r="U57" s="6"/>
      <c r="V57" s="6"/>
      <c r="W57" s="6"/>
    </row>
    <row r="58" spans="1:23" x14ac:dyDescent="0.25">
      <c r="A58" s="67" t="s">
        <v>10</v>
      </c>
      <c r="B58" s="9">
        <v>26</v>
      </c>
      <c r="C58" s="10" t="s">
        <v>76</v>
      </c>
      <c r="D58" s="10" t="s">
        <v>76</v>
      </c>
      <c r="E58" s="9">
        <f>B58*$J$3*$N$10*$Q$3*$V$3*SUM('Demographic Data'!$AD$10*0.33,'Demographic Data'!$AD$10*0.33)</f>
        <v>2.9464109875200002</v>
      </c>
      <c r="F58" s="32">
        <f>B58*$K$3*$N$10*$Q$3*$V$13*(SUM('Demographic Data'!$B$22:$E$22)/SUM('Demographic Data'!$B$14:$E$22))</f>
        <v>21.602820783786669</v>
      </c>
      <c r="G58" s="10" t="s">
        <v>76</v>
      </c>
      <c r="H58" s="10" t="s">
        <v>76</v>
      </c>
      <c r="V58" s="6"/>
      <c r="W58" s="6"/>
    </row>
    <row r="59" spans="1:23" x14ac:dyDescent="0.25">
      <c r="A59" s="67" t="s">
        <v>8</v>
      </c>
      <c r="B59" s="9">
        <v>13</v>
      </c>
      <c r="C59" s="10" t="s">
        <v>76</v>
      </c>
      <c r="D59" s="10" t="s">
        <v>76</v>
      </c>
      <c r="E59" s="9">
        <f>B59*$J$3*$N$10*$Q$3*$V$3*SUM('Demographic Data'!$AD$10*0.33,'Demographic Data'!$AD$10*0.33)</f>
        <v>1.4732054937600001</v>
      </c>
      <c r="F59" s="32">
        <f>B59*$K$3*$N$10*$Q$3*$V$13*(SUM('Demographic Data'!$B$22:$E$22)/SUM('Demographic Data'!$B$14:$E$22))</f>
        <v>10.801410391893334</v>
      </c>
      <c r="G59" s="10" t="s">
        <v>76</v>
      </c>
      <c r="H59" s="10" t="s">
        <v>76</v>
      </c>
      <c r="U59" s="6"/>
      <c r="V59" s="6"/>
    </row>
    <row r="60" spans="1:23" x14ac:dyDescent="0.25">
      <c r="A60" s="67" t="s">
        <v>111</v>
      </c>
      <c r="B60" s="9">
        <v>332</v>
      </c>
      <c r="C60" s="10" t="s">
        <v>76</v>
      </c>
      <c r="D60" s="10" t="s">
        <v>76</v>
      </c>
      <c r="E60" s="9">
        <f>B60*$J$3*$N$10*$Q$3*$V$3*SUM('Demographic Data'!$AD$10*0.33,'Demographic Data'!$AD$10*0.33)</f>
        <v>37.623401840640007</v>
      </c>
      <c r="F60" s="32">
        <f>B60*$K$3*$N$10*$Q$3*$V$13*(SUM('Demographic Data'!$B$22:$E$22)/SUM('Demographic Data'!$B$14:$E$22))</f>
        <v>275.85140385450666</v>
      </c>
      <c r="G60" s="10" t="s">
        <v>76</v>
      </c>
      <c r="H60" s="10" t="s">
        <v>76</v>
      </c>
      <c r="V60" s="6"/>
      <c r="W60" s="6"/>
    </row>
    <row r="61" spans="1:23" x14ac:dyDescent="0.25">
      <c r="A61" s="67" t="s">
        <v>12</v>
      </c>
      <c r="B61" s="9">
        <v>3</v>
      </c>
      <c r="C61" s="10" t="s">
        <v>76</v>
      </c>
      <c r="D61" s="10" t="s">
        <v>76</v>
      </c>
      <c r="E61" s="9">
        <f>B61*$J$3*$N$10*$Q$3*$V$3*SUM('Demographic Data'!$AD$10*0.33,'Demographic Data'!$AD$10*0.33)</f>
        <v>0.33997049856000006</v>
      </c>
      <c r="F61" s="32">
        <f>B61*$K$3*$N$10*$Q$3*$V$13*(SUM('Demographic Data'!$B$22:$E$22)/SUM('Demographic Data'!$B$14:$E$22))</f>
        <v>2.4926331673599997</v>
      </c>
      <c r="G61" s="10" t="s">
        <v>76</v>
      </c>
      <c r="H61" s="10" t="s">
        <v>76</v>
      </c>
      <c r="W61" s="6"/>
    </row>
    <row r="62" spans="1:23" x14ac:dyDescent="0.25">
      <c r="B62" s="9"/>
      <c r="C62" s="10"/>
    </row>
    <row r="63" spans="1:23" x14ac:dyDescent="0.25">
      <c r="A63" s="30" t="s">
        <v>139</v>
      </c>
      <c r="B63" s="13"/>
      <c r="C63" s="10"/>
    </row>
    <row r="64" spans="1:23" x14ac:dyDescent="0.25">
      <c r="A64" s="67" t="s">
        <v>6</v>
      </c>
      <c r="B64" s="9">
        <v>8</v>
      </c>
      <c r="C64" s="10" t="s">
        <v>76</v>
      </c>
      <c r="D64" s="10" t="s">
        <v>76</v>
      </c>
      <c r="E64" s="9">
        <f>B64*$J$3*$N$10*$Q$3*$V$3*SUM('Demographic Data'!$AD$4*0.33,'Demographic Data'!$AD$7*1,'Demographic Data'!$AD$9*0.33,'Demographic Data'!$AD$10*1)</f>
        <v>3.2838059519999998</v>
      </c>
      <c r="F64" s="32">
        <f>B64*$K$3*$N$10*$Q$3*$V$13*(SUM('Demographic Data'!$E$17,'Demographic Data'!$E$19,'Demographic Data'!$E$21,'Demographic Data'!$B$22:$E$22,'Demographic Data'!$E$22)/SUM('Demographic Data'!$B$14:$E$22))</f>
        <v>26.588087118506664</v>
      </c>
      <c r="G64" s="10" t="s">
        <v>76</v>
      </c>
      <c r="H64" s="10" t="s">
        <v>76</v>
      </c>
    </row>
    <row r="65" spans="1:9" x14ac:dyDescent="0.25">
      <c r="A65" s="67" t="s">
        <v>115</v>
      </c>
      <c r="B65" s="9">
        <v>2</v>
      </c>
      <c r="C65" s="10" t="s">
        <v>76</v>
      </c>
      <c r="D65" s="10" t="s">
        <v>76</v>
      </c>
      <c r="E65" s="9">
        <f>B65*$J$3*$N$10*$Q$3*$V$3*SUM('Demographic Data'!$AD$4*0.33,'Demographic Data'!$AD$7*1,'Demographic Data'!$AD$9*0.33,'Demographic Data'!$AD$10*1)</f>
        <v>0.82095148799999995</v>
      </c>
      <c r="F65" s="32">
        <f>B65*$K$3*$N$10*$Q$3*$V$13*(SUM('Demographic Data'!$E$17,'Demographic Data'!$E$19,'Demographic Data'!$E$21,'Demographic Data'!$B$22:$E$22,'Demographic Data'!$E$22)/SUM('Demographic Data'!$B$14:$E$22))</f>
        <v>6.647021779626666</v>
      </c>
      <c r="G65" s="10" t="s">
        <v>76</v>
      </c>
      <c r="H65" s="10" t="s">
        <v>76</v>
      </c>
    </row>
    <row r="66" spans="1:9" x14ac:dyDescent="0.25">
      <c r="A66" s="67" t="s">
        <v>22</v>
      </c>
      <c r="B66" s="9">
        <v>64</v>
      </c>
      <c r="C66" s="10" t="s">
        <v>76</v>
      </c>
      <c r="D66" s="10" t="s">
        <v>76</v>
      </c>
      <c r="E66" s="9">
        <f>B66*$J$3*$N$10*$Q$3*$V$3*SUM('Demographic Data'!$AD$4*0.33,'Demographic Data'!$AD$7*1,'Demographic Data'!$AD$9*0.33,'Demographic Data'!$AD$10*1)</f>
        <v>26.270447615999998</v>
      </c>
      <c r="F66" s="32">
        <f>B66*$K$3*$N$10*$Q$3*$V$13*(SUM('Demographic Data'!$E$17,'Demographic Data'!$E$19,'Demographic Data'!$E$21,'Demographic Data'!$B$22:$E$22,'Demographic Data'!$E$22)/SUM('Demographic Data'!$B$14:$E$22))</f>
        <v>212.70469694805331</v>
      </c>
      <c r="G66" s="10" t="s">
        <v>76</v>
      </c>
      <c r="H66" s="10" t="s">
        <v>76</v>
      </c>
    </row>
    <row r="67" spans="1:9" x14ac:dyDescent="0.25">
      <c r="A67" s="67" t="s">
        <v>8</v>
      </c>
      <c r="B67" s="9">
        <v>48</v>
      </c>
      <c r="C67" s="10" t="s">
        <v>76</v>
      </c>
      <c r="D67" s="10" t="s">
        <v>76</v>
      </c>
      <c r="E67" s="9">
        <f>B67*$J$3*$N$10*$Q$3*$V$3*SUM('Demographic Data'!$AD$4*0.33,'Demographic Data'!$AD$7*1,'Demographic Data'!$AD$9*0.33,'Demographic Data'!$AD$10*1)</f>
        <v>19.702835711999999</v>
      </c>
      <c r="F67" s="32">
        <f>B67*$K$3*$N$10*$Q$3*$V$13*(SUM('Demographic Data'!$E$17,'Demographic Data'!$E$19,'Demographic Data'!$E$21,'Demographic Data'!$B$22:$E$22,'Demographic Data'!$E$22)/SUM('Demographic Data'!$B$14:$E$22))</f>
        <v>159.52852271103998</v>
      </c>
      <c r="G67" s="10" t="s">
        <v>76</v>
      </c>
      <c r="H67" s="10" t="s">
        <v>76</v>
      </c>
    </row>
    <row r="68" spans="1:9" x14ac:dyDescent="0.25">
      <c r="A68" s="67" t="s">
        <v>11</v>
      </c>
      <c r="B68" s="9">
        <v>4</v>
      </c>
      <c r="C68" s="10" t="s">
        <v>76</v>
      </c>
      <c r="D68" s="10" t="s">
        <v>76</v>
      </c>
      <c r="E68" s="9">
        <f>B68*$J$3*$N$10*$Q$3*$V$3*SUM('Demographic Data'!$AD$4*0.33,'Demographic Data'!$AD$7*1,'Demographic Data'!$AD$9*0.33,'Demographic Data'!$AD$10*1)</f>
        <v>1.6419029759999999</v>
      </c>
      <c r="F68" s="32">
        <f>B68*$K$3*$N$10*$Q$3*$V$13*(SUM('Demographic Data'!$E$17,'Demographic Data'!$E$19,'Demographic Data'!$E$21,'Demographic Data'!$B$22:$E$22,'Demographic Data'!$E$22)/SUM('Demographic Data'!$B$14:$E$22))</f>
        <v>13.294043559253332</v>
      </c>
      <c r="G68" s="10" t="s">
        <v>76</v>
      </c>
      <c r="H68" s="10" t="s">
        <v>76</v>
      </c>
    </row>
    <row r="69" spans="1:9" x14ac:dyDescent="0.25">
      <c r="A69" s="67" t="s">
        <v>9</v>
      </c>
      <c r="B69" s="9">
        <v>56</v>
      </c>
      <c r="C69" s="10" t="s">
        <v>76</v>
      </c>
      <c r="D69" s="10" t="s">
        <v>76</v>
      </c>
      <c r="E69" s="9">
        <f>B69*$J$3*$N$10*$Q$3*$V$3*SUM('Demographic Data'!$AD$4*0.33,'Demographic Data'!$AD$7*1,'Demographic Data'!$AD$9*0.33,'Demographic Data'!$AD$10*1)</f>
        <v>22.986641664</v>
      </c>
      <c r="F69" s="32">
        <f>B69*$K$3*$N$10*$Q$3*$V$13*(SUM('Demographic Data'!$E$17,'Demographic Data'!$E$19,'Demographic Data'!$E$21,'Demographic Data'!$B$22:$E$22,'Demographic Data'!$E$22)/SUM('Demographic Data'!$B$14:$E$22))</f>
        <v>186.11660982954669</v>
      </c>
      <c r="G69" s="10" t="s">
        <v>76</v>
      </c>
      <c r="H69" s="10" t="s">
        <v>76</v>
      </c>
    </row>
    <row r="70" spans="1:9" x14ac:dyDescent="0.25">
      <c r="A70" s="67" t="s">
        <v>112</v>
      </c>
      <c r="B70" s="9">
        <v>32</v>
      </c>
      <c r="C70" s="10" t="s">
        <v>76</v>
      </c>
      <c r="D70" s="10" t="s">
        <v>76</v>
      </c>
      <c r="E70" s="9">
        <f>B70*$J$3*$N$10*$Q$3*$V$3*SUM('Demographic Data'!$AD$4*0.33,'Demographic Data'!$AD$7*1,'Demographic Data'!$AD$9*0.33,'Demographic Data'!$AD$10*1)</f>
        <v>13.135223807999999</v>
      </c>
      <c r="F70" s="32">
        <f>B70*$K$3*$N$10*$Q$3*$V$13*(SUM('Demographic Data'!$E$17,'Demographic Data'!$E$19,'Demographic Data'!$E$21,'Demographic Data'!$B$22:$E$22,'Demographic Data'!$E$22)/SUM('Demographic Data'!$B$14:$E$22))</f>
        <v>106.35234847402666</v>
      </c>
      <c r="G70" s="10" t="s">
        <v>76</v>
      </c>
      <c r="H70" s="10" t="s">
        <v>76</v>
      </c>
      <c r="I70" s="1" t="s">
        <v>113</v>
      </c>
    </row>
    <row r="71" spans="1:9" x14ac:dyDescent="0.25">
      <c r="A71" s="67" t="s">
        <v>114</v>
      </c>
      <c r="B71" s="9">
        <v>12</v>
      </c>
      <c r="C71" s="10" t="s">
        <v>76</v>
      </c>
      <c r="D71" s="10" t="s">
        <v>76</v>
      </c>
      <c r="E71" s="9">
        <f>B71*$J$3*$N$10*$Q$3*$V$3*SUM('Demographic Data'!$AD$4*0.33,'Demographic Data'!$AD$7*1,'Demographic Data'!$AD$9*0.33,'Demographic Data'!$AD$10*1)</f>
        <v>4.9257089279999997</v>
      </c>
      <c r="F71" s="32">
        <f>B71*$K$3*$N$10*$Q$3*$V$13*(SUM('Demographic Data'!$E$17,'Demographic Data'!$E$19,'Demographic Data'!$E$21,'Demographic Data'!$B$22:$E$22,'Demographic Data'!$E$22)/SUM('Demographic Data'!$B$14:$E$22))</f>
        <v>39.882130677759996</v>
      </c>
      <c r="G71" s="10" t="s">
        <v>76</v>
      </c>
      <c r="H71" s="10" t="s">
        <v>76</v>
      </c>
    </row>
    <row r="72" spans="1:9" x14ac:dyDescent="0.25">
      <c r="A72" s="67" t="s">
        <v>113</v>
      </c>
      <c r="B72" s="9">
        <v>56</v>
      </c>
      <c r="C72" s="10" t="s">
        <v>76</v>
      </c>
      <c r="D72" s="10" t="s">
        <v>76</v>
      </c>
      <c r="E72" s="9">
        <f>B72*$J$3*$N$10*$Q$3*$V$3*SUM('Demographic Data'!$AD$4*0.33,'Demographic Data'!$AD$7*1,'Demographic Data'!$AD$9*0.33,'Demographic Data'!$AD$10*1)</f>
        <v>22.986641664</v>
      </c>
      <c r="F72" s="32">
        <f>B72*$K$3*$N$10*$Q$3*$V$13*(SUM('Demographic Data'!$E$17,'Demographic Data'!$E$19,'Demographic Data'!$E$21,'Demographic Data'!$B$22:$E$22,'Demographic Data'!$E$22)/SUM('Demographic Data'!$B$14:$E$22))</f>
        <v>186.11660982954669</v>
      </c>
      <c r="G72" s="10" t="s">
        <v>76</v>
      </c>
      <c r="H72" s="10" t="s">
        <v>76</v>
      </c>
    </row>
    <row r="73" spans="1:9" x14ac:dyDescent="0.25">
      <c r="A73" s="67" t="s">
        <v>24</v>
      </c>
      <c r="B73" s="9">
        <v>16</v>
      </c>
      <c r="C73" s="10" t="s">
        <v>76</v>
      </c>
      <c r="D73" s="10" t="s">
        <v>76</v>
      </c>
      <c r="E73" s="9">
        <f>B73*$J$3*$N$10*$Q$3*$V$3*SUM('Demographic Data'!$AD$4*0.33,'Demographic Data'!$AD$7*1,'Demographic Data'!$AD$9*0.33,'Demographic Data'!$AD$10*1)</f>
        <v>6.5676119039999996</v>
      </c>
      <c r="F73" s="32">
        <f>B73*$K$3*$N$10*$Q$3*$V$13*(SUM('Demographic Data'!$E$17,'Demographic Data'!$E$19,'Demographic Data'!$E$21,'Demographic Data'!$B$22:$E$22,'Demographic Data'!$E$22)/SUM('Demographic Data'!$B$14:$E$22))</f>
        <v>53.176174237013328</v>
      </c>
      <c r="G73" s="10" t="s">
        <v>76</v>
      </c>
      <c r="H73" s="10" t="s">
        <v>76</v>
      </c>
    </row>
    <row r="75" spans="1:9" x14ac:dyDescent="0.25">
      <c r="A75" s="8"/>
      <c r="B75" s="22"/>
      <c r="C75" s="13"/>
      <c r="E75" s="13"/>
      <c r="F75" s="13"/>
      <c r="G75" s="22"/>
      <c r="H75" s="65"/>
      <c r="I75" s="65"/>
    </row>
  </sheetData>
  <sortState xmlns:xlrd2="http://schemas.microsoft.com/office/spreadsheetml/2017/richdata2" ref="X1:Y7">
    <sortCondition ref="Y1:Y7"/>
  </sortState>
  <mergeCells count="16">
    <mergeCell ref="X13:AF13"/>
    <mergeCell ref="X14:AF14"/>
    <mergeCell ref="X8:AG8"/>
    <mergeCell ref="X9:AF9"/>
    <mergeCell ref="X10:AF10"/>
    <mergeCell ref="X11:AF11"/>
    <mergeCell ref="X12:AF12"/>
    <mergeCell ref="S11:V11"/>
    <mergeCell ref="J1:K1"/>
    <mergeCell ref="E1:F1"/>
    <mergeCell ref="G1:H1"/>
    <mergeCell ref="X3:AI3"/>
    <mergeCell ref="X4:AH4"/>
    <mergeCell ref="X6:AG6"/>
    <mergeCell ref="X7:AG7"/>
    <mergeCell ref="S1:V1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0B4EE3-670C-4B74-AB26-76B71B0A61CD}">
  <dimension ref="A1:AH39"/>
  <sheetViews>
    <sheetView workbookViewId="0">
      <selection activeCell="I36" sqref="I36"/>
    </sheetView>
  </sheetViews>
  <sheetFormatPr defaultRowHeight="12.75" x14ac:dyDescent="0.2"/>
  <cols>
    <col min="1" max="1" width="8.5703125" style="19" bestFit="1" customWidth="1"/>
    <col min="2" max="2" width="9.85546875" style="19" bestFit="1" customWidth="1"/>
    <col min="3" max="3" width="9.28515625" style="19" bestFit="1" customWidth="1"/>
    <col min="4" max="4" width="6.140625" style="19" bestFit="1" customWidth="1"/>
    <col min="5" max="5" width="7.85546875" style="19" bestFit="1" customWidth="1"/>
    <col min="6" max="6" width="7.5703125" style="19" bestFit="1" customWidth="1"/>
    <col min="7" max="7" width="2.7109375" style="19" customWidth="1"/>
    <col min="8" max="8" width="6.28515625" style="19" bestFit="1" customWidth="1"/>
    <col min="9" max="9" width="9.85546875" style="19" bestFit="1" customWidth="1"/>
    <col min="10" max="10" width="6" style="19" bestFit="1" customWidth="1"/>
    <col min="11" max="11" width="7.7109375" style="19" bestFit="1" customWidth="1"/>
    <col min="12" max="12" width="6.42578125" style="19" bestFit="1" customWidth="1"/>
    <col min="13" max="13" width="19.140625" style="19" bestFit="1" customWidth="1"/>
    <col min="14" max="14" width="2.140625" style="19" customWidth="1"/>
    <col min="15" max="15" width="5.5703125" style="19" bestFit="1" customWidth="1"/>
    <col min="16" max="16" width="9.85546875" style="19" bestFit="1" customWidth="1"/>
    <col min="17" max="17" width="6" style="19" bestFit="1" customWidth="1"/>
    <col min="18" max="18" width="7" style="19" bestFit="1" customWidth="1"/>
    <col min="19" max="19" width="5.140625" style="19" bestFit="1" customWidth="1"/>
    <col min="20" max="20" width="19.140625" style="19" bestFit="1" customWidth="1"/>
    <col min="21" max="21" width="2.5703125" style="19" customWidth="1"/>
    <col min="22" max="22" width="5.5703125" style="19" bestFit="1" customWidth="1"/>
    <col min="23" max="23" width="9.85546875" style="19" bestFit="1" customWidth="1"/>
    <col min="24" max="24" width="5.42578125" style="19" bestFit="1" customWidth="1"/>
    <col min="25" max="25" width="6" style="19" bestFit="1" customWidth="1"/>
    <col min="26" max="26" width="5.140625" style="19" bestFit="1" customWidth="1"/>
    <col min="27" max="27" width="13.42578125" style="19" bestFit="1" customWidth="1"/>
    <col min="28" max="28" width="1.5703125" style="19" customWidth="1"/>
    <col min="29" max="29" width="5.5703125" style="19" bestFit="1" customWidth="1"/>
    <col min="30" max="30" width="9.85546875" style="19" bestFit="1" customWidth="1"/>
    <col min="31" max="31" width="5.42578125" style="19" bestFit="1" customWidth="1"/>
    <col min="32" max="32" width="9.140625" style="19" bestFit="1" customWidth="1"/>
    <col min="33" max="33" width="5.140625" style="19" bestFit="1" customWidth="1"/>
    <col min="34" max="34" width="11" style="19" bestFit="1" customWidth="1"/>
    <col min="35" max="16384" width="9.140625" style="19"/>
  </cols>
  <sheetData>
    <row r="1" spans="1:34" x14ac:dyDescent="0.2">
      <c r="A1" s="24" t="s">
        <v>51</v>
      </c>
      <c r="B1" s="24" t="s">
        <v>54</v>
      </c>
      <c r="C1" s="24" t="s">
        <v>101</v>
      </c>
      <c r="D1" s="24" t="s">
        <v>124</v>
      </c>
      <c r="E1" s="24" t="s">
        <v>127</v>
      </c>
      <c r="F1" s="24" t="s">
        <v>52</v>
      </c>
      <c r="H1" s="24" t="s">
        <v>51</v>
      </c>
      <c r="I1" s="24" t="s">
        <v>54</v>
      </c>
      <c r="J1" s="24" t="s">
        <v>101</v>
      </c>
      <c r="K1" s="24" t="s">
        <v>124</v>
      </c>
      <c r="L1" s="24" t="s">
        <v>127</v>
      </c>
      <c r="M1" s="24" t="s">
        <v>52</v>
      </c>
      <c r="O1" s="24" t="s">
        <v>51</v>
      </c>
      <c r="P1" s="24" t="s">
        <v>54</v>
      </c>
      <c r="Q1" s="24" t="s">
        <v>101</v>
      </c>
      <c r="R1" s="24" t="s">
        <v>124</v>
      </c>
      <c r="S1" s="24" t="s">
        <v>127</v>
      </c>
      <c r="T1" s="24" t="s">
        <v>52</v>
      </c>
      <c r="V1" s="24" t="s">
        <v>51</v>
      </c>
      <c r="W1" s="24" t="s">
        <v>54</v>
      </c>
      <c r="X1" s="24" t="s">
        <v>101</v>
      </c>
      <c r="Y1" s="24" t="s">
        <v>124</v>
      </c>
      <c r="Z1" s="24" t="s">
        <v>127</v>
      </c>
      <c r="AA1" s="24" t="s">
        <v>52</v>
      </c>
      <c r="AC1" s="24" t="s">
        <v>51</v>
      </c>
      <c r="AD1" s="24" t="s">
        <v>54</v>
      </c>
      <c r="AE1" s="24" t="s">
        <v>101</v>
      </c>
      <c r="AF1" s="24" t="s">
        <v>124</v>
      </c>
      <c r="AG1" s="24" t="s">
        <v>127</v>
      </c>
      <c r="AH1" s="24" t="s">
        <v>52</v>
      </c>
    </row>
    <row r="2" spans="1:34" x14ac:dyDescent="0.2">
      <c r="A2" s="16" t="s">
        <v>39</v>
      </c>
      <c r="B2" s="17">
        <f t="shared" ref="B2:B10" si="0">C2/$D$2</f>
        <v>0.11650178434295523</v>
      </c>
      <c r="C2" s="16">
        <f>4075+3662</f>
        <v>7737</v>
      </c>
      <c r="D2" s="16">
        <f>SUM(C2:C10)</f>
        <v>66411</v>
      </c>
      <c r="E2" s="18" t="s">
        <v>125</v>
      </c>
      <c r="F2" s="16" t="s">
        <v>48</v>
      </c>
      <c r="H2" s="16" t="s">
        <v>39</v>
      </c>
      <c r="I2" s="17">
        <v>0.12</v>
      </c>
      <c r="J2" s="20">
        <f t="shared" ref="J2:J10" si="1">$K$2*I2</f>
        <v>20691.719999999998</v>
      </c>
      <c r="K2" s="16">
        <v>172431</v>
      </c>
      <c r="L2" s="18" t="s">
        <v>126</v>
      </c>
      <c r="M2" s="16" t="s">
        <v>60</v>
      </c>
      <c r="O2" s="16" t="s">
        <v>39</v>
      </c>
      <c r="P2" s="17">
        <v>0.09</v>
      </c>
      <c r="Q2" s="20">
        <f t="shared" ref="Q2:Q10" si="2">$R$2*P2</f>
        <v>30793.32</v>
      </c>
      <c r="R2" s="16">
        <v>342148</v>
      </c>
      <c r="S2" s="18">
        <v>60</v>
      </c>
      <c r="T2" s="16" t="s">
        <v>60</v>
      </c>
      <c r="V2" s="16" t="s">
        <v>39</v>
      </c>
      <c r="W2" s="17">
        <v>7.2999999999999995E-2</v>
      </c>
      <c r="X2" s="16">
        <f t="shared" ref="X2:X10" si="3">$Y$2*W2</f>
        <v>730</v>
      </c>
      <c r="Y2" s="16">
        <v>10000</v>
      </c>
      <c r="Z2" s="18">
        <v>60</v>
      </c>
      <c r="AA2" s="16" t="s">
        <v>55</v>
      </c>
      <c r="AC2" s="16" t="s">
        <v>39</v>
      </c>
      <c r="AD2" s="17">
        <v>0.11</v>
      </c>
      <c r="AE2" s="16" t="s">
        <v>56</v>
      </c>
      <c r="AF2" s="16" t="s">
        <v>58</v>
      </c>
      <c r="AG2" s="18" t="s">
        <v>63</v>
      </c>
      <c r="AH2" s="24" t="s">
        <v>57</v>
      </c>
    </row>
    <row r="3" spans="1:34" x14ac:dyDescent="0.2">
      <c r="A3" s="16" t="s">
        <v>40</v>
      </c>
      <c r="B3" s="17">
        <f t="shared" si="0"/>
        <v>0.1112014575898571</v>
      </c>
      <c r="C3" s="16">
        <f>3818+3567</f>
        <v>7385</v>
      </c>
      <c r="D3" s="16"/>
      <c r="E3" s="16"/>
      <c r="F3" s="16"/>
      <c r="H3" s="16" t="s">
        <v>40</v>
      </c>
      <c r="I3" s="17">
        <v>0.13</v>
      </c>
      <c r="J3" s="20">
        <f t="shared" si="1"/>
        <v>22416.030000000002</v>
      </c>
      <c r="K3" s="16"/>
      <c r="L3" s="16"/>
      <c r="M3" s="16" t="s">
        <v>62</v>
      </c>
      <c r="O3" s="16" t="s">
        <v>40</v>
      </c>
      <c r="P3" s="17">
        <v>0.09</v>
      </c>
      <c r="Q3" s="20">
        <f t="shared" si="2"/>
        <v>30793.32</v>
      </c>
      <c r="R3" s="16"/>
      <c r="S3" s="16"/>
      <c r="T3" s="16" t="s">
        <v>62</v>
      </c>
      <c r="V3" s="16" t="s">
        <v>40</v>
      </c>
      <c r="W3" s="17">
        <v>9.4E-2</v>
      </c>
      <c r="X3" s="16">
        <f t="shared" si="3"/>
        <v>940</v>
      </c>
      <c r="Y3" s="16"/>
      <c r="Z3" s="16"/>
      <c r="AA3" s="16"/>
      <c r="AC3" s="16" t="s">
        <v>40</v>
      </c>
      <c r="AD3" s="17">
        <v>0.12</v>
      </c>
      <c r="AE3" s="16" t="s">
        <v>56</v>
      </c>
      <c r="AF3" s="16"/>
      <c r="AG3" s="16"/>
      <c r="AH3" s="24" t="s">
        <v>59</v>
      </c>
    </row>
    <row r="4" spans="1:34" x14ac:dyDescent="0.2">
      <c r="A4" s="16" t="s">
        <v>41</v>
      </c>
      <c r="B4" s="17">
        <f t="shared" si="0"/>
        <v>0.1689629730014606</v>
      </c>
      <c r="C4" s="16">
        <f>5415+5806</f>
        <v>11221</v>
      </c>
      <c r="D4" s="16"/>
      <c r="E4" s="16"/>
      <c r="F4" s="16"/>
      <c r="H4" s="16" t="s">
        <v>41</v>
      </c>
      <c r="I4" s="17">
        <v>0.19</v>
      </c>
      <c r="J4" s="20">
        <f t="shared" si="1"/>
        <v>32761.89</v>
      </c>
      <c r="K4" s="16"/>
      <c r="L4" s="16"/>
      <c r="M4" s="16" t="s">
        <v>61</v>
      </c>
      <c r="O4" s="16" t="s">
        <v>41</v>
      </c>
      <c r="P4" s="17">
        <v>0.21</v>
      </c>
      <c r="Q4" s="20">
        <f t="shared" si="2"/>
        <v>71851.08</v>
      </c>
      <c r="R4" s="16"/>
      <c r="S4" s="16"/>
      <c r="T4" s="16" t="s">
        <v>61</v>
      </c>
      <c r="V4" s="16" t="s">
        <v>41</v>
      </c>
      <c r="W4" s="17">
        <v>0.158</v>
      </c>
      <c r="X4" s="16">
        <f t="shared" si="3"/>
        <v>1580</v>
      </c>
      <c r="Y4" s="16"/>
      <c r="Z4" s="16"/>
      <c r="AA4" s="16"/>
      <c r="AC4" s="16" t="s">
        <v>41</v>
      </c>
      <c r="AD4" s="17">
        <v>0.15</v>
      </c>
      <c r="AE4" s="16" t="s">
        <v>56</v>
      </c>
      <c r="AF4" s="16"/>
      <c r="AG4" s="16"/>
      <c r="AH4" s="24" t="s">
        <v>66</v>
      </c>
    </row>
    <row r="5" spans="1:34" x14ac:dyDescent="0.2">
      <c r="A5" s="16" t="s">
        <v>42</v>
      </c>
      <c r="B5" s="17">
        <f t="shared" si="0"/>
        <v>6.5546370330216375E-2</v>
      </c>
      <c r="C5" s="16">
        <f>4353</f>
        <v>4353</v>
      </c>
      <c r="D5" s="16"/>
      <c r="E5" s="16"/>
      <c r="F5" s="16"/>
      <c r="H5" s="16" t="s">
        <v>42</v>
      </c>
      <c r="I5" s="17">
        <v>0.06</v>
      </c>
      <c r="J5" s="20">
        <f t="shared" si="1"/>
        <v>10345.859999999999</v>
      </c>
      <c r="K5" s="16"/>
      <c r="L5" s="16"/>
      <c r="M5" s="16"/>
      <c r="O5" s="16" t="s">
        <v>42</v>
      </c>
      <c r="P5" s="17">
        <v>0.05</v>
      </c>
      <c r="Q5" s="20">
        <f t="shared" si="2"/>
        <v>17107.400000000001</v>
      </c>
      <c r="R5" s="21"/>
      <c r="S5" s="16"/>
      <c r="T5" s="16"/>
      <c r="V5" s="16" t="s">
        <v>42</v>
      </c>
      <c r="W5" s="17">
        <v>0.122</v>
      </c>
      <c r="X5" s="16">
        <f t="shared" si="3"/>
        <v>1220</v>
      </c>
      <c r="Y5" s="16"/>
      <c r="Z5" s="16"/>
      <c r="AA5" s="16"/>
      <c r="AC5" s="16" t="s">
        <v>42</v>
      </c>
      <c r="AD5" s="17">
        <v>0.14000000000000001</v>
      </c>
      <c r="AE5" s="16" t="s">
        <v>56</v>
      </c>
      <c r="AF5" s="16"/>
      <c r="AG5" s="16"/>
      <c r="AH5" s="16"/>
    </row>
    <row r="6" spans="1:34" x14ac:dyDescent="0.2">
      <c r="A6" s="16" t="s">
        <v>43</v>
      </c>
      <c r="B6" s="17">
        <f t="shared" si="0"/>
        <v>0.10120311394196745</v>
      </c>
      <c r="C6" s="16">
        <f>3274+3447</f>
        <v>6721</v>
      </c>
      <c r="D6" s="16"/>
      <c r="E6" s="16"/>
      <c r="F6" s="16"/>
      <c r="H6" s="16" t="s">
        <v>43</v>
      </c>
      <c r="I6" s="17">
        <v>0.1</v>
      </c>
      <c r="J6" s="20">
        <f t="shared" si="1"/>
        <v>17243.100000000002</v>
      </c>
      <c r="K6" s="16"/>
      <c r="L6" s="16"/>
      <c r="M6" s="16"/>
      <c r="O6" s="16" t="s">
        <v>43</v>
      </c>
      <c r="P6" s="17">
        <v>0.11</v>
      </c>
      <c r="Q6" s="20">
        <f t="shared" si="2"/>
        <v>37636.28</v>
      </c>
      <c r="R6" s="16"/>
      <c r="S6" s="16"/>
      <c r="T6" s="16"/>
      <c r="V6" s="16" t="s">
        <v>43</v>
      </c>
      <c r="W6" s="17">
        <v>0.115</v>
      </c>
      <c r="X6" s="16">
        <f t="shared" si="3"/>
        <v>1150</v>
      </c>
      <c r="Y6" s="16"/>
      <c r="Z6" s="16"/>
      <c r="AA6" s="16"/>
      <c r="AC6" s="16" t="s">
        <v>43</v>
      </c>
      <c r="AD6" s="17">
        <v>0.1</v>
      </c>
      <c r="AE6" s="16" t="s">
        <v>56</v>
      </c>
      <c r="AF6" s="16"/>
      <c r="AG6" s="16"/>
      <c r="AH6" s="16"/>
    </row>
    <row r="7" spans="1:34" x14ac:dyDescent="0.2">
      <c r="A7" s="16" t="s">
        <v>44</v>
      </c>
      <c r="B7" s="17">
        <f t="shared" si="0"/>
        <v>9.8688470283537361E-2</v>
      </c>
      <c r="C7" s="16">
        <f>3145+3409</f>
        <v>6554</v>
      </c>
      <c r="D7" s="16"/>
      <c r="E7" s="16"/>
      <c r="F7" s="16"/>
      <c r="H7" s="16" t="s">
        <v>44</v>
      </c>
      <c r="I7" s="17">
        <v>0.1</v>
      </c>
      <c r="J7" s="20">
        <f t="shared" si="1"/>
        <v>17243.100000000002</v>
      </c>
      <c r="K7" s="16"/>
      <c r="L7" s="16"/>
      <c r="M7" s="16"/>
      <c r="O7" s="16" t="s">
        <v>44</v>
      </c>
      <c r="P7" s="17">
        <v>0.13</v>
      </c>
      <c r="Q7" s="20">
        <f t="shared" si="2"/>
        <v>44479.24</v>
      </c>
      <c r="R7" s="16"/>
      <c r="S7" s="16"/>
      <c r="T7" s="16"/>
      <c r="V7" s="16" t="s">
        <v>44</v>
      </c>
      <c r="W7" s="17">
        <v>0.13700000000000001</v>
      </c>
      <c r="X7" s="16">
        <f t="shared" si="3"/>
        <v>1370</v>
      </c>
      <c r="Y7" s="16"/>
      <c r="Z7" s="16"/>
      <c r="AA7" s="16"/>
      <c r="AC7" s="16" t="s">
        <v>44</v>
      </c>
      <c r="AD7" s="17">
        <v>0.14000000000000001</v>
      </c>
      <c r="AE7" s="16" t="s">
        <v>56</v>
      </c>
      <c r="AF7" s="16"/>
      <c r="AG7" s="16"/>
      <c r="AH7" s="16"/>
    </row>
    <row r="8" spans="1:34" x14ac:dyDescent="0.2">
      <c r="A8" s="16" t="s">
        <v>45</v>
      </c>
      <c r="B8" s="17">
        <f t="shared" si="0"/>
        <v>0.14387676740299046</v>
      </c>
      <c r="C8" s="16">
        <f>4812+4743</f>
        <v>9555</v>
      </c>
      <c r="D8" s="16"/>
      <c r="E8" s="16"/>
      <c r="F8" s="16"/>
      <c r="H8" s="16" t="s">
        <v>45</v>
      </c>
      <c r="I8" s="17">
        <v>0.16</v>
      </c>
      <c r="J8" s="20">
        <f t="shared" si="1"/>
        <v>27588.959999999999</v>
      </c>
      <c r="K8" s="16"/>
      <c r="L8" s="16"/>
      <c r="M8" s="16"/>
      <c r="O8" s="16" t="s">
        <v>45</v>
      </c>
      <c r="P8" s="17">
        <v>0.11</v>
      </c>
      <c r="Q8" s="20">
        <f t="shared" si="2"/>
        <v>37636.28</v>
      </c>
      <c r="R8" s="16"/>
      <c r="S8" s="16"/>
      <c r="T8" s="16"/>
      <c r="V8" s="16" t="s">
        <v>45</v>
      </c>
      <c r="W8" s="17">
        <v>9.7000000000000003E-2</v>
      </c>
      <c r="X8" s="16">
        <f t="shared" si="3"/>
        <v>970</v>
      </c>
      <c r="Y8" s="16"/>
      <c r="Z8" s="16"/>
      <c r="AA8" s="16"/>
      <c r="AC8" s="16" t="s">
        <v>45</v>
      </c>
      <c r="AD8" s="17">
        <v>0.14000000000000001</v>
      </c>
      <c r="AE8" s="16" t="s">
        <v>56</v>
      </c>
      <c r="AF8" s="16"/>
      <c r="AG8" s="16"/>
      <c r="AH8" s="16"/>
    </row>
    <row r="9" spans="1:34" x14ac:dyDescent="0.2">
      <c r="A9" s="16" t="s">
        <v>46</v>
      </c>
      <c r="B9" s="17">
        <f t="shared" si="0"/>
        <v>6.7684570327204832E-2</v>
      </c>
      <c r="C9" s="16">
        <f>4495</f>
        <v>4495</v>
      </c>
      <c r="D9" s="16"/>
      <c r="E9" s="16"/>
      <c r="F9" s="16"/>
      <c r="H9" s="16" t="s">
        <v>46</v>
      </c>
      <c r="I9" s="17">
        <v>0.08</v>
      </c>
      <c r="J9" s="20">
        <f t="shared" si="1"/>
        <v>13794.48</v>
      </c>
      <c r="K9" s="16"/>
      <c r="L9" s="16"/>
      <c r="M9" s="16"/>
      <c r="O9" s="16" t="s">
        <v>46</v>
      </c>
      <c r="P9" s="17">
        <v>0.06</v>
      </c>
      <c r="Q9" s="20">
        <f t="shared" si="2"/>
        <v>20528.88</v>
      </c>
      <c r="R9" s="16"/>
      <c r="S9" s="16"/>
      <c r="T9" s="16"/>
      <c r="V9" s="16" t="s">
        <v>46</v>
      </c>
      <c r="W9" s="17">
        <v>0.114</v>
      </c>
      <c r="X9" s="16">
        <f t="shared" si="3"/>
        <v>1140</v>
      </c>
      <c r="Y9" s="16"/>
      <c r="Z9" s="16"/>
      <c r="AA9" s="16"/>
      <c r="AC9" s="16" t="s">
        <v>46</v>
      </c>
      <c r="AD9" s="17">
        <v>0.1</v>
      </c>
      <c r="AE9" s="16" t="s">
        <v>56</v>
      </c>
      <c r="AF9" s="16"/>
      <c r="AG9" s="16"/>
      <c r="AH9" s="16"/>
    </row>
    <row r="10" spans="1:34" x14ac:dyDescent="0.2">
      <c r="A10" s="16" t="s">
        <v>47</v>
      </c>
      <c r="B10" s="17">
        <f t="shared" si="0"/>
        <v>0.12633449277981057</v>
      </c>
      <c r="C10" s="16">
        <f>4211+4179</f>
        <v>8390</v>
      </c>
      <c r="D10" s="16"/>
      <c r="E10" s="16"/>
      <c r="F10" s="16"/>
      <c r="H10" s="16" t="s">
        <v>47</v>
      </c>
      <c r="I10" s="17">
        <v>0.11</v>
      </c>
      <c r="J10" s="20">
        <f t="shared" si="1"/>
        <v>18967.41</v>
      </c>
      <c r="K10" s="16"/>
      <c r="L10" s="16"/>
      <c r="M10" s="16"/>
      <c r="O10" s="16" t="s">
        <v>47</v>
      </c>
      <c r="P10" s="17">
        <v>0.15</v>
      </c>
      <c r="Q10" s="20">
        <f t="shared" si="2"/>
        <v>51322.2</v>
      </c>
      <c r="R10" s="16"/>
      <c r="S10" s="16"/>
      <c r="T10" s="16"/>
      <c r="V10" s="16" t="s">
        <v>47</v>
      </c>
      <c r="W10" s="17">
        <v>0.21299999999999999</v>
      </c>
      <c r="X10" s="16">
        <f t="shared" si="3"/>
        <v>2130</v>
      </c>
      <c r="Y10" s="16"/>
      <c r="Z10" s="16"/>
      <c r="AA10" s="16"/>
      <c r="AC10" s="16" t="s">
        <v>47</v>
      </c>
      <c r="AD10" s="17">
        <v>0.16</v>
      </c>
      <c r="AE10" s="16" t="s">
        <v>56</v>
      </c>
      <c r="AF10" s="16"/>
      <c r="AG10" s="16"/>
      <c r="AH10" s="16"/>
    </row>
    <row r="11" spans="1:34" x14ac:dyDescent="0.2">
      <c r="A11" s="25"/>
      <c r="B11" s="16"/>
      <c r="C11" s="16"/>
      <c r="D11" s="16"/>
      <c r="E11" s="16"/>
      <c r="F11" s="16"/>
      <c r="W11" s="16"/>
      <c r="X11" s="16"/>
      <c r="Y11" s="16"/>
      <c r="Z11" s="16"/>
      <c r="AA11" s="16"/>
      <c r="AB11" s="16"/>
    </row>
    <row r="12" spans="1:34" x14ac:dyDescent="0.2">
      <c r="AD12" s="26"/>
    </row>
    <row r="13" spans="1:34" x14ac:dyDescent="0.2">
      <c r="A13" s="24" t="s">
        <v>51</v>
      </c>
      <c r="B13" s="24" t="s">
        <v>77</v>
      </c>
      <c r="C13" s="24" t="s">
        <v>78</v>
      </c>
      <c r="D13" s="24" t="s">
        <v>79</v>
      </c>
      <c r="E13" s="24" t="s">
        <v>80</v>
      </c>
      <c r="H13" s="24" t="s">
        <v>82</v>
      </c>
      <c r="I13" s="24" t="s">
        <v>83</v>
      </c>
      <c r="J13" s="24" t="s">
        <v>84</v>
      </c>
      <c r="K13" s="24" t="s">
        <v>85</v>
      </c>
      <c r="M13" s="24"/>
      <c r="O13" s="24" t="s">
        <v>77</v>
      </c>
      <c r="P13" s="24" t="s">
        <v>78</v>
      </c>
      <c r="Q13" s="24" t="s">
        <v>79</v>
      </c>
      <c r="R13" s="24" t="s">
        <v>80</v>
      </c>
    </row>
    <row r="14" spans="1:34" x14ac:dyDescent="0.2">
      <c r="A14" s="16" t="s">
        <v>39</v>
      </c>
      <c r="B14" s="27">
        <v>1</v>
      </c>
      <c r="C14" s="27">
        <v>1</v>
      </c>
      <c r="D14" s="27">
        <v>1</v>
      </c>
      <c r="E14" s="27">
        <v>1</v>
      </c>
      <c r="H14" s="21">
        <f t="shared" ref="H14:H22" si="4">B14/SUM(B14:E14)</f>
        <v>0.25</v>
      </c>
      <c r="I14" s="21">
        <f t="shared" ref="I14:I22" si="5">C14/SUM(B14:E14)</f>
        <v>0.25</v>
      </c>
      <c r="J14" s="21">
        <f t="shared" ref="J14:J22" si="6">D14/SUM(B14:E14)</f>
        <v>0.25</v>
      </c>
      <c r="K14" s="21">
        <f t="shared" ref="K14:K22" si="7">E14/SUM(B14:E14)</f>
        <v>0.25</v>
      </c>
      <c r="M14" s="16"/>
      <c r="O14" s="21">
        <f t="shared" ref="O14:O22" si="8">B14*H14</f>
        <v>0.25</v>
      </c>
      <c r="P14" s="21">
        <f t="shared" ref="P14:P22" si="9">C14*I14</f>
        <v>0.25</v>
      </c>
      <c r="Q14" s="21">
        <f t="shared" ref="Q14:Q22" si="10">D14*J14</f>
        <v>0.25</v>
      </c>
      <c r="R14" s="21">
        <f t="shared" ref="R14:R22" si="11">E14*K14</f>
        <v>0.25</v>
      </c>
    </row>
    <row r="15" spans="1:34" x14ac:dyDescent="0.2">
      <c r="A15" s="16" t="s">
        <v>40</v>
      </c>
      <c r="B15" s="28">
        <v>0</v>
      </c>
      <c r="C15" s="28">
        <v>0</v>
      </c>
      <c r="D15" s="27">
        <v>3</v>
      </c>
      <c r="E15" s="28">
        <v>0</v>
      </c>
      <c r="H15" s="21">
        <f t="shared" si="4"/>
        <v>0</v>
      </c>
      <c r="I15" s="21">
        <f t="shared" si="5"/>
        <v>0</v>
      </c>
      <c r="J15" s="21">
        <f t="shared" si="6"/>
        <v>1</v>
      </c>
      <c r="K15" s="21">
        <f t="shared" si="7"/>
        <v>0</v>
      </c>
      <c r="M15" s="16"/>
      <c r="O15" s="21">
        <f t="shared" si="8"/>
        <v>0</v>
      </c>
      <c r="P15" s="21">
        <f t="shared" si="9"/>
        <v>0</v>
      </c>
      <c r="Q15" s="21">
        <f t="shared" si="10"/>
        <v>3</v>
      </c>
      <c r="R15" s="21">
        <f t="shared" si="11"/>
        <v>0</v>
      </c>
    </row>
    <row r="16" spans="1:34" x14ac:dyDescent="0.2">
      <c r="A16" s="16" t="s">
        <v>41</v>
      </c>
      <c r="B16" s="28">
        <v>0</v>
      </c>
      <c r="C16" s="28">
        <v>0</v>
      </c>
      <c r="D16" s="27">
        <v>1</v>
      </c>
      <c r="E16" s="28">
        <v>0</v>
      </c>
      <c r="H16" s="21">
        <f t="shared" si="4"/>
        <v>0</v>
      </c>
      <c r="I16" s="21">
        <f t="shared" si="5"/>
        <v>0</v>
      </c>
      <c r="J16" s="21">
        <f t="shared" si="6"/>
        <v>1</v>
      </c>
      <c r="K16" s="21">
        <f t="shared" si="7"/>
        <v>0</v>
      </c>
      <c r="M16" s="16"/>
      <c r="O16" s="21">
        <f t="shared" si="8"/>
        <v>0</v>
      </c>
      <c r="P16" s="21">
        <f t="shared" si="9"/>
        <v>0</v>
      </c>
      <c r="Q16" s="21">
        <f t="shared" si="10"/>
        <v>1</v>
      </c>
      <c r="R16" s="21">
        <f t="shared" si="11"/>
        <v>0</v>
      </c>
    </row>
    <row r="17" spans="1:18" x14ac:dyDescent="0.2">
      <c r="A17" s="16" t="s">
        <v>42</v>
      </c>
      <c r="B17" s="28">
        <v>0</v>
      </c>
      <c r="C17" s="27">
        <v>1</v>
      </c>
      <c r="D17" s="27">
        <v>2</v>
      </c>
      <c r="E17" s="27">
        <v>2</v>
      </c>
      <c r="H17" s="21">
        <f t="shared" si="4"/>
        <v>0</v>
      </c>
      <c r="I17" s="21">
        <f t="shared" si="5"/>
        <v>0.2</v>
      </c>
      <c r="J17" s="21">
        <f t="shared" si="6"/>
        <v>0.4</v>
      </c>
      <c r="K17" s="21">
        <f t="shared" si="7"/>
        <v>0.4</v>
      </c>
      <c r="M17" s="16"/>
      <c r="O17" s="21">
        <f t="shared" si="8"/>
        <v>0</v>
      </c>
      <c r="P17" s="21">
        <f t="shared" si="9"/>
        <v>0.2</v>
      </c>
      <c r="Q17" s="21">
        <f t="shared" si="10"/>
        <v>0.8</v>
      </c>
      <c r="R17" s="21">
        <f t="shared" si="11"/>
        <v>0.8</v>
      </c>
    </row>
    <row r="18" spans="1:18" x14ac:dyDescent="0.2">
      <c r="A18" s="16" t="s">
        <v>43</v>
      </c>
      <c r="B18" s="28">
        <v>0</v>
      </c>
      <c r="C18" s="27">
        <v>2</v>
      </c>
      <c r="D18" s="27">
        <v>1</v>
      </c>
      <c r="E18" s="28">
        <v>0</v>
      </c>
      <c r="H18" s="21">
        <f t="shared" si="4"/>
        <v>0</v>
      </c>
      <c r="I18" s="21">
        <f t="shared" si="5"/>
        <v>0.66666666666666663</v>
      </c>
      <c r="J18" s="21">
        <f t="shared" si="6"/>
        <v>0.33333333333333331</v>
      </c>
      <c r="K18" s="21">
        <f t="shared" si="7"/>
        <v>0</v>
      </c>
      <c r="M18" s="16"/>
      <c r="O18" s="21">
        <f t="shared" si="8"/>
        <v>0</v>
      </c>
      <c r="P18" s="21">
        <f t="shared" si="9"/>
        <v>1.3333333333333333</v>
      </c>
      <c r="Q18" s="21">
        <f t="shared" si="10"/>
        <v>0.33333333333333331</v>
      </c>
      <c r="R18" s="21">
        <f t="shared" si="11"/>
        <v>0</v>
      </c>
    </row>
    <row r="19" spans="1:18" x14ac:dyDescent="0.2">
      <c r="A19" s="16" t="s">
        <v>44</v>
      </c>
      <c r="B19" s="28">
        <v>0</v>
      </c>
      <c r="C19" s="28">
        <v>0</v>
      </c>
      <c r="D19" s="28">
        <v>0</v>
      </c>
      <c r="E19" s="27">
        <v>2</v>
      </c>
      <c r="H19" s="21">
        <f t="shared" si="4"/>
        <v>0</v>
      </c>
      <c r="I19" s="21">
        <f t="shared" si="5"/>
        <v>0</v>
      </c>
      <c r="J19" s="21">
        <f t="shared" si="6"/>
        <v>0</v>
      </c>
      <c r="K19" s="21">
        <f t="shared" si="7"/>
        <v>1</v>
      </c>
      <c r="M19" s="16"/>
      <c r="O19" s="21">
        <f t="shared" si="8"/>
        <v>0</v>
      </c>
      <c r="P19" s="21">
        <f t="shared" si="9"/>
        <v>0</v>
      </c>
      <c r="Q19" s="21">
        <f t="shared" si="10"/>
        <v>0</v>
      </c>
      <c r="R19" s="21">
        <f t="shared" si="11"/>
        <v>2</v>
      </c>
    </row>
    <row r="20" spans="1:18" x14ac:dyDescent="0.2">
      <c r="A20" s="16" t="s">
        <v>45</v>
      </c>
      <c r="B20" s="28">
        <v>0</v>
      </c>
      <c r="C20" s="28">
        <v>0</v>
      </c>
      <c r="D20" s="28">
        <v>0</v>
      </c>
      <c r="E20" s="27">
        <v>2</v>
      </c>
      <c r="H20" s="21">
        <f t="shared" si="4"/>
        <v>0</v>
      </c>
      <c r="I20" s="21">
        <f t="shared" si="5"/>
        <v>0</v>
      </c>
      <c r="J20" s="21">
        <f t="shared" si="6"/>
        <v>0</v>
      </c>
      <c r="K20" s="21">
        <f t="shared" si="7"/>
        <v>1</v>
      </c>
      <c r="M20" s="16"/>
      <c r="O20" s="21">
        <f t="shared" si="8"/>
        <v>0</v>
      </c>
      <c r="P20" s="21">
        <f t="shared" si="9"/>
        <v>0</v>
      </c>
      <c r="Q20" s="21">
        <f t="shared" si="10"/>
        <v>0</v>
      </c>
      <c r="R20" s="21">
        <f t="shared" si="11"/>
        <v>2</v>
      </c>
    </row>
    <row r="21" spans="1:18" x14ac:dyDescent="0.2">
      <c r="A21" s="16" t="s">
        <v>46</v>
      </c>
      <c r="B21" s="27">
        <v>1</v>
      </c>
      <c r="C21" s="27">
        <v>1</v>
      </c>
      <c r="D21" s="28">
        <v>0</v>
      </c>
      <c r="E21" s="27">
        <v>1</v>
      </c>
      <c r="H21" s="21">
        <f t="shared" si="4"/>
        <v>0.33333333333333331</v>
      </c>
      <c r="I21" s="21">
        <f t="shared" si="5"/>
        <v>0.33333333333333331</v>
      </c>
      <c r="J21" s="21">
        <f t="shared" si="6"/>
        <v>0</v>
      </c>
      <c r="K21" s="21">
        <f t="shared" si="7"/>
        <v>0.33333333333333331</v>
      </c>
      <c r="M21" s="16"/>
      <c r="O21" s="21">
        <f t="shared" si="8"/>
        <v>0.33333333333333331</v>
      </c>
      <c r="P21" s="21">
        <f t="shared" si="9"/>
        <v>0.33333333333333331</v>
      </c>
      <c r="Q21" s="21">
        <f t="shared" si="10"/>
        <v>0</v>
      </c>
      <c r="R21" s="21">
        <f t="shared" si="11"/>
        <v>0.33333333333333331</v>
      </c>
    </row>
    <row r="22" spans="1:18" x14ac:dyDescent="0.2">
      <c r="A22" s="16" t="s">
        <v>47</v>
      </c>
      <c r="B22" s="27">
        <v>1</v>
      </c>
      <c r="C22" s="28">
        <v>0</v>
      </c>
      <c r="D22" s="28">
        <v>0</v>
      </c>
      <c r="E22" s="27">
        <v>1</v>
      </c>
      <c r="H22" s="21">
        <f t="shared" si="4"/>
        <v>0.5</v>
      </c>
      <c r="I22" s="21">
        <f t="shared" si="5"/>
        <v>0</v>
      </c>
      <c r="J22" s="21">
        <f t="shared" si="6"/>
        <v>0</v>
      </c>
      <c r="K22" s="21">
        <f t="shared" si="7"/>
        <v>0.5</v>
      </c>
      <c r="M22" s="16"/>
      <c r="O22" s="21">
        <f t="shared" si="8"/>
        <v>0.5</v>
      </c>
      <c r="P22" s="21">
        <f t="shared" si="9"/>
        <v>0</v>
      </c>
      <c r="Q22" s="21">
        <f t="shared" si="10"/>
        <v>0</v>
      </c>
      <c r="R22" s="21">
        <f t="shared" si="11"/>
        <v>0.5</v>
      </c>
    </row>
    <row r="24" spans="1:18" x14ac:dyDescent="0.2">
      <c r="A24" s="24" t="s">
        <v>135</v>
      </c>
      <c r="B24" s="24" t="s">
        <v>122</v>
      </c>
      <c r="C24" s="24" t="s">
        <v>131</v>
      </c>
      <c r="D24" s="24" t="s">
        <v>123</v>
      </c>
      <c r="E24" s="24" t="s">
        <v>132</v>
      </c>
    </row>
    <row r="25" spans="1:18" x14ac:dyDescent="0.2">
      <c r="A25" s="21" t="s">
        <v>121</v>
      </c>
      <c r="B25" s="16">
        <v>2</v>
      </c>
      <c r="C25" s="29">
        <f>B25/SUM($B$25:$B$31,$D$25:$D$31)</f>
        <v>0.15384615384615385</v>
      </c>
      <c r="D25" s="16">
        <v>0</v>
      </c>
      <c r="E25" s="29">
        <f>D25/SUM($B$25:$B$31,$D$25:$D$31)</f>
        <v>0</v>
      </c>
    </row>
    <row r="26" spans="1:18" x14ac:dyDescent="0.2">
      <c r="A26" s="16" t="s">
        <v>116</v>
      </c>
      <c r="B26" s="16">
        <v>2</v>
      </c>
      <c r="C26" s="29">
        <f t="shared" ref="C26:C31" si="12">B26/SUM($B$25:$B$31,$D$25:$D$31)</f>
        <v>0.15384615384615385</v>
      </c>
      <c r="D26" s="16">
        <v>1</v>
      </c>
      <c r="E26" s="29">
        <f t="shared" ref="E26:E31" si="13">D26/SUM($B$25:$B$31,$D$25:$D$31)</f>
        <v>7.6923076923076927E-2</v>
      </c>
    </row>
    <row r="27" spans="1:18" x14ac:dyDescent="0.2">
      <c r="A27" s="16" t="s">
        <v>117</v>
      </c>
      <c r="B27" s="16">
        <v>2</v>
      </c>
      <c r="C27" s="29">
        <f t="shared" si="12"/>
        <v>0.15384615384615385</v>
      </c>
      <c r="D27" s="16">
        <v>0</v>
      </c>
      <c r="E27" s="29">
        <f t="shared" si="13"/>
        <v>0</v>
      </c>
    </row>
    <row r="28" spans="1:18" x14ac:dyDescent="0.2">
      <c r="A28" s="16" t="s">
        <v>118</v>
      </c>
      <c r="B28" s="16">
        <v>0</v>
      </c>
      <c r="C28" s="29">
        <f t="shared" si="12"/>
        <v>0</v>
      </c>
      <c r="D28" s="16">
        <v>0</v>
      </c>
      <c r="E28" s="29">
        <f t="shared" si="13"/>
        <v>0</v>
      </c>
    </row>
    <row r="29" spans="1:18" x14ac:dyDescent="0.2">
      <c r="A29" s="16" t="s">
        <v>119</v>
      </c>
      <c r="B29" s="16">
        <v>2</v>
      </c>
      <c r="C29" s="29">
        <f t="shared" si="12"/>
        <v>0.15384615384615385</v>
      </c>
      <c r="D29" s="16">
        <v>0</v>
      </c>
      <c r="E29" s="29">
        <f t="shared" si="13"/>
        <v>0</v>
      </c>
    </row>
    <row r="30" spans="1:18" x14ac:dyDescent="0.2">
      <c r="A30" s="16" t="s">
        <v>44</v>
      </c>
      <c r="B30" s="16">
        <v>2</v>
      </c>
      <c r="C30" s="29">
        <f t="shared" si="12"/>
        <v>0.15384615384615385</v>
      </c>
      <c r="D30" s="16">
        <v>0</v>
      </c>
      <c r="E30" s="29">
        <f t="shared" si="13"/>
        <v>0</v>
      </c>
    </row>
    <row r="31" spans="1:18" x14ac:dyDescent="0.2">
      <c r="A31" s="16" t="s">
        <v>120</v>
      </c>
      <c r="B31" s="16">
        <v>1</v>
      </c>
      <c r="C31" s="29">
        <f t="shared" si="12"/>
        <v>7.6923076923076927E-2</v>
      </c>
      <c r="D31" s="16">
        <v>1</v>
      </c>
      <c r="E31" s="29">
        <f t="shared" si="13"/>
        <v>7.6923076923076927E-2</v>
      </c>
    </row>
    <row r="32" spans="1:18" x14ac:dyDescent="0.2">
      <c r="N32" s="16"/>
      <c r="O32" s="16"/>
      <c r="P32" s="16"/>
      <c r="Q32" s="16"/>
      <c r="R32" s="16"/>
    </row>
    <row r="33" spans="1:12" x14ac:dyDescent="0.2">
      <c r="A33" s="16"/>
    </row>
    <row r="34" spans="1:12" x14ac:dyDescent="0.2">
      <c r="C34" s="26"/>
      <c r="E34" s="26"/>
    </row>
    <row r="39" spans="1:12" x14ac:dyDescent="0.2">
      <c r="I39" s="16"/>
      <c r="J39" s="16"/>
      <c r="K39" s="16"/>
      <c r="L39" s="16"/>
    </row>
  </sheetData>
  <conditionalFormatting sqref="H14:K22">
    <cfRule type="cellIs" dxfId="21" priority="2" operator="equal">
      <formula>0</formula>
    </cfRule>
  </conditionalFormatting>
  <conditionalFormatting sqref="O14:R22">
    <cfRule type="cellIs" dxfId="20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7F9C2-986A-4259-967D-158D0AB39EBC}">
  <dimension ref="A1:C36"/>
  <sheetViews>
    <sheetView workbookViewId="0">
      <selection activeCell="B15" sqref="B15"/>
    </sheetView>
  </sheetViews>
  <sheetFormatPr defaultRowHeight="15" x14ac:dyDescent="0.25"/>
  <cols>
    <col min="1" max="1" width="17.85546875" bestFit="1" customWidth="1"/>
  </cols>
  <sheetData>
    <row r="1" spans="1:3" x14ac:dyDescent="0.25">
      <c r="A1" s="31" t="s">
        <v>174</v>
      </c>
      <c r="B1" s="31" t="s">
        <v>173</v>
      </c>
      <c r="C1" s="31"/>
    </row>
    <row r="2" spans="1:3" x14ac:dyDescent="0.25">
      <c r="A2" s="43" t="s">
        <v>142</v>
      </c>
      <c r="B2" s="34">
        <v>1.4999999999999999E-2</v>
      </c>
    </row>
    <row r="3" spans="1:3" x14ac:dyDescent="0.25">
      <c r="A3" s="47" t="s">
        <v>143</v>
      </c>
      <c r="B3" s="34">
        <v>0.4</v>
      </c>
    </row>
    <row r="4" spans="1:3" x14ac:dyDescent="0.25">
      <c r="A4" s="47" t="s">
        <v>144</v>
      </c>
      <c r="B4" s="34">
        <v>0.5</v>
      </c>
    </row>
    <row r="5" spans="1:3" x14ac:dyDescent="0.25">
      <c r="A5" s="47" t="s">
        <v>145</v>
      </c>
      <c r="B5" s="34">
        <v>2.7</v>
      </c>
    </row>
    <row r="6" spans="1:3" x14ac:dyDescent="0.25">
      <c r="A6" s="47" t="s">
        <v>146</v>
      </c>
      <c r="B6" s="34">
        <v>0.85</v>
      </c>
    </row>
    <row r="7" spans="1:3" x14ac:dyDescent="0.25">
      <c r="A7" s="35" t="s">
        <v>147</v>
      </c>
      <c r="B7" s="34">
        <v>1.2</v>
      </c>
    </row>
    <row r="8" spans="1:3" x14ac:dyDescent="0.25">
      <c r="A8" s="35" t="s">
        <v>151</v>
      </c>
      <c r="B8" s="34">
        <v>0.8</v>
      </c>
    </row>
    <row r="10" spans="1:3" x14ac:dyDescent="0.25">
      <c r="A10" s="31" t="s">
        <v>175</v>
      </c>
    </row>
    <row r="11" spans="1:3" x14ac:dyDescent="0.25">
      <c r="A11" s="43" t="s">
        <v>3</v>
      </c>
      <c r="B11" s="34">
        <v>0.04</v>
      </c>
    </row>
    <row r="12" spans="1:3" x14ac:dyDescent="0.25">
      <c r="A12" s="57" t="s">
        <v>4</v>
      </c>
      <c r="B12" s="34">
        <v>0.02</v>
      </c>
    </row>
    <row r="13" spans="1:3" x14ac:dyDescent="0.25">
      <c r="A13" s="58" t="s">
        <v>6</v>
      </c>
      <c r="B13" s="34">
        <v>1</v>
      </c>
    </row>
    <row r="14" spans="1:3" x14ac:dyDescent="0.25">
      <c r="A14" s="43" t="s">
        <v>154</v>
      </c>
      <c r="B14" s="34">
        <v>0.6</v>
      </c>
    </row>
    <row r="15" spans="1:3" x14ac:dyDescent="0.25">
      <c r="A15" s="47" t="s">
        <v>32</v>
      </c>
      <c r="B15" s="34">
        <v>2</v>
      </c>
    </row>
    <row r="16" spans="1:3" x14ac:dyDescent="0.25">
      <c r="A16" s="47" t="s">
        <v>11</v>
      </c>
      <c r="B16" s="34">
        <v>3.5</v>
      </c>
    </row>
    <row r="17" spans="1:2" x14ac:dyDescent="0.25">
      <c r="A17" s="47" t="s">
        <v>28</v>
      </c>
      <c r="B17" s="34">
        <v>1</v>
      </c>
    </row>
    <row r="18" spans="1:2" x14ac:dyDescent="0.25">
      <c r="A18" s="47" t="s">
        <v>12</v>
      </c>
      <c r="B18" s="34">
        <v>3</v>
      </c>
    </row>
    <row r="19" spans="1:2" x14ac:dyDescent="0.25">
      <c r="A19" s="47" t="s">
        <v>14</v>
      </c>
      <c r="B19" s="34">
        <v>1.4</v>
      </c>
    </row>
    <row r="20" spans="1:2" x14ac:dyDescent="0.25">
      <c r="A20" s="47" t="s">
        <v>21</v>
      </c>
      <c r="B20" s="34">
        <v>2.5</v>
      </c>
    </row>
    <row r="21" spans="1:2" x14ac:dyDescent="0.25">
      <c r="A21" s="47" t="s">
        <v>18</v>
      </c>
      <c r="B21" s="34">
        <v>1</v>
      </c>
    </row>
    <row r="22" spans="1:2" x14ac:dyDescent="0.25">
      <c r="A22" s="47" t="s">
        <v>15</v>
      </c>
      <c r="B22" s="34">
        <v>4</v>
      </c>
    </row>
    <row r="23" spans="1:2" x14ac:dyDescent="0.25">
      <c r="A23" s="47" t="s">
        <v>20</v>
      </c>
      <c r="B23" s="34">
        <v>1.5</v>
      </c>
    </row>
    <row r="24" spans="1:2" x14ac:dyDescent="0.25">
      <c r="A24" s="59" t="s">
        <v>161</v>
      </c>
      <c r="B24" s="34">
        <v>1.3</v>
      </c>
    </row>
    <row r="25" spans="1:2" x14ac:dyDescent="0.25">
      <c r="A25" s="59" t="s">
        <v>162</v>
      </c>
      <c r="B25" s="34">
        <v>4</v>
      </c>
    </row>
    <row r="26" spans="1:2" x14ac:dyDescent="0.25">
      <c r="A26" s="59" t="s">
        <v>163</v>
      </c>
      <c r="B26" s="34">
        <v>3.8</v>
      </c>
    </row>
    <row r="27" spans="1:2" x14ac:dyDescent="0.25">
      <c r="A27" s="59" t="s">
        <v>164</v>
      </c>
      <c r="B27" s="34">
        <v>1</v>
      </c>
    </row>
    <row r="28" spans="1:2" x14ac:dyDescent="0.25">
      <c r="A28" s="59" t="s">
        <v>165</v>
      </c>
      <c r="B28" s="34">
        <v>0.5</v>
      </c>
    </row>
    <row r="29" spans="1:2" x14ac:dyDescent="0.25">
      <c r="A29" s="59" t="s">
        <v>166</v>
      </c>
      <c r="B29" s="34">
        <v>1</v>
      </c>
    </row>
    <row r="30" spans="1:2" x14ac:dyDescent="0.25">
      <c r="A30" s="60" t="s">
        <v>191</v>
      </c>
      <c r="B30" s="34">
        <v>16</v>
      </c>
    </row>
    <row r="31" spans="1:2" x14ac:dyDescent="0.25">
      <c r="A31" s="60" t="s">
        <v>192</v>
      </c>
      <c r="B31" s="34">
        <v>6</v>
      </c>
    </row>
    <row r="32" spans="1:2" x14ac:dyDescent="0.25">
      <c r="A32" s="60" t="s">
        <v>148</v>
      </c>
      <c r="B32" s="34">
        <v>12</v>
      </c>
    </row>
    <row r="33" spans="1:2" x14ac:dyDescent="0.25">
      <c r="A33" s="60" t="s">
        <v>149</v>
      </c>
      <c r="B33" s="34">
        <v>4</v>
      </c>
    </row>
    <row r="34" spans="1:2" x14ac:dyDescent="0.25">
      <c r="A34" s="60" t="s">
        <v>169</v>
      </c>
      <c r="B34" s="34">
        <v>6</v>
      </c>
    </row>
    <row r="35" spans="1:2" x14ac:dyDescent="0.25">
      <c r="A35" s="60" t="s">
        <v>150</v>
      </c>
      <c r="B35" s="34">
        <v>5</v>
      </c>
    </row>
    <row r="36" spans="1:2" x14ac:dyDescent="0.25">
      <c r="A36" s="60" t="s">
        <v>168</v>
      </c>
      <c r="B36" s="34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9ED8FC-4477-47EF-BB8A-1454229AC74B}">
  <dimension ref="A1:AD76"/>
  <sheetViews>
    <sheetView tabSelected="1" workbookViewId="0">
      <selection activeCell="L47" sqref="L47"/>
    </sheetView>
  </sheetViews>
  <sheetFormatPr defaultRowHeight="14.25" x14ac:dyDescent="0.25"/>
  <cols>
    <col min="1" max="1" width="14.140625" style="35" bestFit="1" customWidth="1"/>
    <col min="2" max="2" width="7.85546875" style="35" bestFit="1" customWidth="1"/>
    <col min="3" max="3" width="5.5703125" style="35" bestFit="1" customWidth="1"/>
    <col min="4" max="4" width="2.140625" style="35" customWidth="1"/>
    <col min="5" max="5" width="8.5703125" style="35" bestFit="1" customWidth="1"/>
    <col min="6" max="6" width="7.140625" style="35" bestFit="1" customWidth="1"/>
    <col min="7" max="7" width="7.85546875" style="35" bestFit="1" customWidth="1"/>
    <col min="8" max="8" width="11.85546875" style="35" bestFit="1" customWidth="1"/>
    <col min="9" max="9" width="10.85546875" style="35" bestFit="1" customWidth="1"/>
    <col min="10" max="12" width="7" style="35" bestFit="1" customWidth="1"/>
    <col min="13" max="13" width="9.28515625" style="35" bestFit="1" customWidth="1"/>
    <col min="14" max="14" width="15.140625" style="35" bestFit="1" customWidth="1"/>
    <col min="15" max="15" width="9.42578125" style="35" bestFit="1" customWidth="1"/>
    <col min="16" max="16" width="9.85546875" style="35" bestFit="1" customWidth="1"/>
    <col min="17" max="17" width="9.42578125" style="35" bestFit="1" customWidth="1"/>
    <col min="18" max="19" width="7" style="35" bestFit="1" customWidth="1"/>
    <col min="20" max="20" width="7.5703125" style="35" bestFit="1" customWidth="1"/>
    <col min="21" max="22" width="7" style="35" bestFit="1" customWidth="1"/>
    <col min="23" max="23" width="8.28515625" style="35" bestFit="1" customWidth="1"/>
    <col min="24" max="24" width="6" style="35" bestFit="1" customWidth="1"/>
    <col min="25" max="25" width="6.5703125" style="35" bestFit="1" customWidth="1"/>
    <col min="26" max="26" width="10.7109375" style="35" bestFit="1" customWidth="1"/>
    <col min="27" max="27" width="7.42578125" style="35" bestFit="1" customWidth="1"/>
    <col min="28" max="28" width="6" style="35" bestFit="1" customWidth="1"/>
    <col min="29" max="29" width="9.42578125" style="35" bestFit="1" customWidth="1"/>
    <col min="30" max="30" width="16.140625" style="35" bestFit="1" customWidth="1"/>
    <col min="31" max="16384" width="9.140625" style="35"/>
  </cols>
  <sheetData>
    <row r="1" spans="1:30" x14ac:dyDescent="0.25">
      <c r="E1" s="72" t="s">
        <v>158</v>
      </c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72"/>
      <c r="X1" s="72"/>
      <c r="Y1" s="72"/>
      <c r="Z1" s="72"/>
      <c r="AA1" s="72"/>
      <c r="AB1" s="72"/>
      <c r="AC1" s="72"/>
      <c r="AD1" s="72"/>
    </row>
    <row r="2" spans="1:30" x14ac:dyDescent="0.25">
      <c r="A2" s="36" t="s">
        <v>172</v>
      </c>
      <c r="B2" s="37" t="s">
        <v>159</v>
      </c>
      <c r="C2" s="37" t="s">
        <v>173</v>
      </c>
      <c r="E2" s="38" t="s">
        <v>152</v>
      </c>
      <c r="F2" s="39" t="s">
        <v>160</v>
      </c>
      <c r="G2" s="40" t="s">
        <v>153</v>
      </c>
      <c r="H2" s="38" t="s">
        <v>154</v>
      </c>
      <c r="I2" s="37" t="s">
        <v>32</v>
      </c>
      <c r="J2" s="37" t="s">
        <v>11</v>
      </c>
      <c r="K2" s="37" t="s">
        <v>28</v>
      </c>
      <c r="L2" s="37" t="s">
        <v>155</v>
      </c>
      <c r="M2" s="37" t="s">
        <v>14</v>
      </c>
      <c r="N2" s="37" t="s">
        <v>156</v>
      </c>
      <c r="O2" s="37" t="s">
        <v>157</v>
      </c>
      <c r="P2" s="37" t="s">
        <v>15</v>
      </c>
      <c r="Q2" s="37" t="s">
        <v>167</v>
      </c>
      <c r="R2" s="41" t="s">
        <v>161</v>
      </c>
      <c r="S2" s="41" t="s">
        <v>162</v>
      </c>
      <c r="T2" s="41" t="s">
        <v>163</v>
      </c>
      <c r="U2" s="41" t="s">
        <v>164</v>
      </c>
      <c r="V2" s="41" t="s">
        <v>165</v>
      </c>
      <c r="W2" s="41" t="s">
        <v>166</v>
      </c>
      <c r="X2" s="42" t="s">
        <v>171</v>
      </c>
      <c r="Y2" s="42" t="s">
        <v>170</v>
      </c>
      <c r="Z2" s="42" t="s">
        <v>148</v>
      </c>
      <c r="AA2" s="42" t="s">
        <v>149</v>
      </c>
      <c r="AB2" s="42" t="s">
        <v>169</v>
      </c>
      <c r="AC2" s="42" t="s">
        <v>150</v>
      </c>
      <c r="AD2" s="42" t="s">
        <v>168</v>
      </c>
    </row>
    <row r="3" spans="1:30" x14ac:dyDescent="0.25">
      <c r="A3" s="43" t="s">
        <v>142</v>
      </c>
      <c r="B3" s="44" t="s">
        <v>76</v>
      </c>
      <c r="C3" s="44" t="s">
        <v>76</v>
      </c>
      <c r="E3" s="45">
        <v>0.5</v>
      </c>
      <c r="F3" s="45">
        <v>0.5</v>
      </c>
      <c r="G3" s="45">
        <v>0.1</v>
      </c>
      <c r="H3" s="46">
        <v>0</v>
      </c>
      <c r="I3" s="46">
        <v>0</v>
      </c>
      <c r="J3" s="46">
        <v>0</v>
      </c>
      <c r="K3" s="46">
        <v>0</v>
      </c>
      <c r="L3" s="46">
        <v>0</v>
      </c>
      <c r="M3" s="46">
        <v>0</v>
      </c>
      <c r="N3" s="46">
        <v>0</v>
      </c>
      <c r="O3" s="46">
        <v>0</v>
      </c>
      <c r="P3" s="46">
        <v>0</v>
      </c>
      <c r="Q3" s="46">
        <v>0</v>
      </c>
      <c r="R3" s="46">
        <v>0</v>
      </c>
      <c r="S3" s="46">
        <v>0</v>
      </c>
      <c r="T3" s="46">
        <v>0</v>
      </c>
      <c r="U3" s="46">
        <v>0</v>
      </c>
      <c r="V3" s="46">
        <v>0</v>
      </c>
      <c r="W3" s="46">
        <v>0</v>
      </c>
      <c r="X3" s="46">
        <v>0</v>
      </c>
      <c r="Y3" s="46">
        <v>0</v>
      </c>
      <c r="Z3" s="46">
        <v>0</v>
      </c>
      <c r="AA3" s="46">
        <v>0</v>
      </c>
      <c r="AB3" s="46">
        <v>0</v>
      </c>
      <c r="AC3" s="46">
        <v>0</v>
      </c>
      <c r="AD3" s="46">
        <v>0</v>
      </c>
    </row>
    <row r="4" spans="1:30" x14ac:dyDescent="0.25">
      <c r="A4" s="47" t="s">
        <v>143</v>
      </c>
      <c r="B4" s="44" t="s">
        <v>76</v>
      </c>
      <c r="C4" s="44" t="s">
        <v>76</v>
      </c>
      <c r="E4" s="46">
        <v>0</v>
      </c>
      <c r="F4" s="46">
        <v>0</v>
      </c>
      <c r="G4" s="45">
        <v>0.375</v>
      </c>
      <c r="H4" s="45">
        <v>0.375</v>
      </c>
      <c r="I4" s="45">
        <v>0.375</v>
      </c>
      <c r="J4" s="48">
        <v>3.3300000000000003E-2</v>
      </c>
      <c r="K4" s="48">
        <v>3.3300000000000003E-2</v>
      </c>
      <c r="L4" s="48">
        <v>3.3300000000000003E-2</v>
      </c>
      <c r="M4" s="46">
        <v>0</v>
      </c>
      <c r="N4" s="46">
        <v>0</v>
      </c>
      <c r="O4" s="46">
        <v>0</v>
      </c>
      <c r="P4" s="46">
        <v>0</v>
      </c>
      <c r="Q4" s="46">
        <v>0</v>
      </c>
      <c r="R4" s="46">
        <v>0</v>
      </c>
      <c r="S4" s="46">
        <v>0</v>
      </c>
      <c r="T4" s="46">
        <v>0</v>
      </c>
      <c r="U4" s="46">
        <v>0</v>
      </c>
      <c r="V4" s="46">
        <v>0</v>
      </c>
      <c r="W4" s="46">
        <v>0</v>
      </c>
      <c r="X4" s="46">
        <v>0</v>
      </c>
      <c r="Y4" s="46">
        <v>0</v>
      </c>
      <c r="Z4" s="46">
        <v>0</v>
      </c>
      <c r="AA4" s="46">
        <v>0</v>
      </c>
      <c r="AB4" s="46">
        <v>0</v>
      </c>
      <c r="AC4" s="46">
        <v>0</v>
      </c>
      <c r="AD4" s="46">
        <v>0</v>
      </c>
    </row>
    <row r="5" spans="1:30" x14ac:dyDescent="0.25">
      <c r="A5" s="47" t="s">
        <v>144</v>
      </c>
      <c r="B5" s="44" t="s">
        <v>76</v>
      </c>
      <c r="C5" s="44" t="s">
        <v>76</v>
      </c>
      <c r="E5" s="46">
        <v>0</v>
      </c>
      <c r="F5" s="46">
        <v>0</v>
      </c>
      <c r="G5" s="46">
        <v>0</v>
      </c>
      <c r="H5" s="48">
        <v>0.3</v>
      </c>
      <c r="I5" s="46">
        <v>0</v>
      </c>
      <c r="J5" s="48">
        <v>0.3</v>
      </c>
      <c r="K5" s="45">
        <v>0.3</v>
      </c>
      <c r="L5" s="45">
        <v>0.05</v>
      </c>
      <c r="M5" s="48">
        <v>0.05</v>
      </c>
      <c r="N5" s="46">
        <v>0</v>
      </c>
      <c r="O5" s="46">
        <v>0</v>
      </c>
      <c r="P5" s="46">
        <v>0</v>
      </c>
      <c r="Q5" s="46">
        <v>0</v>
      </c>
      <c r="R5" s="46">
        <v>0</v>
      </c>
      <c r="S5" s="46">
        <v>0</v>
      </c>
      <c r="T5" s="46">
        <v>0</v>
      </c>
      <c r="U5" s="46">
        <v>0</v>
      </c>
      <c r="V5" s="46">
        <v>0</v>
      </c>
      <c r="W5" s="46">
        <v>0</v>
      </c>
      <c r="X5" s="46">
        <v>0</v>
      </c>
      <c r="Y5" s="46">
        <v>0</v>
      </c>
      <c r="Z5" s="46">
        <v>0</v>
      </c>
      <c r="AA5" s="46">
        <v>0</v>
      </c>
      <c r="AB5" s="46">
        <v>0</v>
      </c>
      <c r="AC5" s="46">
        <v>0</v>
      </c>
      <c r="AD5" s="46">
        <v>0</v>
      </c>
    </row>
    <row r="6" spans="1:30" x14ac:dyDescent="0.25">
      <c r="A6" s="47" t="s">
        <v>145</v>
      </c>
      <c r="B6" s="44" t="s">
        <v>76</v>
      </c>
      <c r="C6" s="44" t="s">
        <v>76</v>
      </c>
      <c r="E6" s="46">
        <v>0</v>
      </c>
      <c r="F6" s="46">
        <v>0</v>
      </c>
      <c r="G6" s="46">
        <v>0</v>
      </c>
      <c r="H6" s="46">
        <v>0</v>
      </c>
      <c r="I6" s="46">
        <v>0</v>
      </c>
      <c r="J6" s="48">
        <v>0.3</v>
      </c>
      <c r="K6" s="46">
        <v>0</v>
      </c>
      <c r="L6" s="45">
        <v>0.3</v>
      </c>
      <c r="M6" s="45">
        <v>0.3</v>
      </c>
      <c r="N6" s="45">
        <v>2.5000000000000001E-2</v>
      </c>
      <c r="O6" s="45">
        <v>2.5000000000000001E-2</v>
      </c>
      <c r="P6" s="45">
        <v>2.5000000000000001E-2</v>
      </c>
      <c r="Q6" s="45">
        <v>2.5000000000000001E-2</v>
      </c>
      <c r="R6" s="46">
        <v>0</v>
      </c>
      <c r="S6" s="46">
        <v>0</v>
      </c>
      <c r="T6" s="46">
        <v>0</v>
      </c>
      <c r="U6" s="46">
        <v>0</v>
      </c>
      <c r="V6" s="46">
        <v>0</v>
      </c>
      <c r="W6" s="46">
        <v>0</v>
      </c>
      <c r="X6" s="46">
        <v>0</v>
      </c>
      <c r="Y6" s="46">
        <v>0</v>
      </c>
      <c r="Z6" s="46">
        <v>0</v>
      </c>
      <c r="AA6" s="46">
        <v>0</v>
      </c>
      <c r="AB6" s="46">
        <v>0</v>
      </c>
      <c r="AC6" s="46">
        <v>0</v>
      </c>
      <c r="AD6" s="46">
        <v>0</v>
      </c>
    </row>
    <row r="7" spans="1:30" x14ac:dyDescent="0.25">
      <c r="A7" s="47" t="s">
        <v>146</v>
      </c>
      <c r="B7" s="44" t="s">
        <v>76</v>
      </c>
      <c r="C7" s="44" t="s">
        <v>76</v>
      </c>
      <c r="E7" s="46">
        <v>0</v>
      </c>
      <c r="F7" s="46">
        <v>0</v>
      </c>
      <c r="G7" s="46">
        <v>0</v>
      </c>
      <c r="H7" s="46">
        <v>0</v>
      </c>
      <c r="I7" s="46">
        <v>0</v>
      </c>
      <c r="J7" s="46">
        <v>0</v>
      </c>
      <c r="K7" s="46">
        <v>0</v>
      </c>
      <c r="L7" s="46">
        <v>0</v>
      </c>
      <c r="M7" s="45">
        <v>0.3</v>
      </c>
      <c r="N7" s="45">
        <v>0.16</v>
      </c>
      <c r="O7" s="45">
        <v>0.16</v>
      </c>
      <c r="P7" s="45">
        <v>0.16</v>
      </c>
      <c r="Q7" s="45">
        <v>0.16</v>
      </c>
      <c r="R7" s="46">
        <v>0</v>
      </c>
      <c r="S7" s="46">
        <v>0</v>
      </c>
      <c r="T7" s="46">
        <v>0</v>
      </c>
      <c r="U7" s="46">
        <v>0</v>
      </c>
      <c r="V7" s="46">
        <v>0</v>
      </c>
      <c r="W7" s="46">
        <v>0</v>
      </c>
      <c r="X7" s="46">
        <v>0</v>
      </c>
      <c r="Y7" s="46">
        <v>0</v>
      </c>
      <c r="Z7" s="46">
        <v>0</v>
      </c>
      <c r="AA7" s="46">
        <v>0</v>
      </c>
      <c r="AB7" s="46">
        <v>0</v>
      </c>
      <c r="AC7" s="46">
        <v>0</v>
      </c>
      <c r="AD7" s="46">
        <v>0</v>
      </c>
    </row>
    <row r="8" spans="1:30" x14ac:dyDescent="0.25">
      <c r="A8" s="35" t="s">
        <v>147</v>
      </c>
      <c r="B8" s="44" t="s">
        <v>76</v>
      </c>
      <c r="C8" s="44" t="s">
        <v>76</v>
      </c>
      <c r="E8" s="46">
        <v>0</v>
      </c>
      <c r="F8" s="46">
        <v>0</v>
      </c>
      <c r="G8" s="46">
        <v>0</v>
      </c>
      <c r="H8" s="46">
        <v>0</v>
      </c>
      <c r="I8" s="46">
        <v>0</v>
      </c>
      <c r="J8" s="46">
        <v>0</v>
      </c>
      <c r="K8" s="46">
        <v>0</v>
      </c>
      <c r="L8" s="46">
        <v>0</v>
      </c>
      <c r="M8" s="46">
        <v>0</v>
      </c>
      <c r="N8" s="46">
        <v>0</v>
      </c>
      <c r="O8" s="46">
        <v>0</v>
      </c>
      <c r="P8" s="46">
        <v>0</v>
      </c>
      <c r="Q8" s="46">
        <v>0</v>
      </c>
      <c r="R8" s="45">
        <v>0.17</v>
      </c>
      <c r="S8" s="45">
        <v>0.17</v>
      </c>
      <c r="T8" s="45">
        <v>0.17</v>
      </c>
      <c r="U8" s="45">
        <v>0.17</v>
      </c>
      <c r="V8" s="45">
        <v>0.17</v>
      </c>
      <c r="W8" s="45">
        <v>0.17</v>
      </c>
      <c r="X8" s="45">
        <v>0.01</v>
      </c>
      <c r="Y8" s="45">
        <v>0.01</v>
      </c>
      <c r="Z8" s="45">
        <v>0.01</v>
      </c>
      <c r="AA8" s="45">
        <v>0.01</v>
      </c>
      <c r="AB8" s="45">
        <v>0.01</v>
      </c>
      <c r="AC8" s="45">
        <v>0.01</v>
      </c>
      <c r="AD8" s="46">
        <v>0</v>
      </c>
    </row>
    <row r="9" spans="1:30" x14ac:dyDescent="0.25">
      <c r="A9" s="35" t="s">
        <v>151</v>
      </c>
      <c r="B9" s="44" t="s">
        <v>76</v>
      </c>
      <c r="C9" s="44" t="s">
        <v>76</v>
      </c>
      <c r="E9" s="46">
        <v>0</v>
      </c>
      <c r="F9" s="46">
        <v>0</v>
      </c>
      <c r="G9" s="46">
        <v>0</v>
      </c>
      <c r="H9" s="46">
        <v>0</v>
      </c>
      <c r="I9" s="46">
        <v>0</v>
      </c>
      <c r="J9" s="46">
        <v>0</v>
      </c>
      <c r="K9" s="46">
        <v>0</v>
      </c>
      <c r="L9" s="46">
        <v>0</v>
      </c>
      <c r="M9" s="46">
        <v>0</v>
      </c>
      <c r="N9" s="46">
        <v>0</v>
      </c>
      <c r="O9" s="46">
        <v>0</v>
      </c>
      <c r="P9" s="46">
        <v>0</v>
      </c>
      <c r="Q9" s="46">
        <v>0</v>
      </c>
      <c r="R9" s="45">
        <v>0.19</v>
      </c>
      <c r="S9" s="45">
        <v>0.19</v>
      </c>
      <c r="T9" s="45">
        <v>0.19</v>
      </c>
      <c r="U9" s="45">
        <v>0.19</v>
      </c>
      <c r="V9" s="45">
        <v>0.19</v>
      </c>
      <c r="W9" s="45">
        <v>0.19</v>
      </c>
      <c r="X9" s="45">
        <v>0.03</v>
      </c>
      <c r="Y9" s="45">
        <v>0.03</v>
      </c>
      <c r="Z9" s="45">
        <v>0.03</v>
      </c>
      <c r="AA9" s="45">
        <v>0.03</v>
      </c>
      <c r="AB9" s="45">
        <v>0.03</v>
      </c>
      <c r="AC9" s="45">
        <v>0.03</v>
      </c>
      <c r="AD9" s="50">
        <v>0.65</v>
      </c>
    </row>
    <row r="10" spans="1:30" x14ac:dyDescent="0.25">
      <c r="B10" s="44"/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6"/>
    </row>
    <row r="11" spans="1:30" x14ac:dyDescent="0.25">
      <c r="B11" s="49"/>
      <c r="C11" s="51"/>
      <c r="E11" s="72" t="s">
        <v>190</v>
      </c>
      <c r="F11" s="72"/>
      <c r="G11" s="72"/>
      <c r="H11" s="72"/>
      <c r="I11" s="72"/>
      <c r="J11" s="72"/>
      <c r="K11" s="72"/>
      <c r="L11" s="72"/>
      <c r="M11" s="72"/>
      <c r="N11" s="72"/>
      <c r="O11" s="72"/>
      <c r="P11" s="72"/>
      <c r="Q11" s="72"/>
      <c r="R11" s="72"/>
      <c r="S11" s="72"/>
      <c r="T11" s="72"/>
      <c r="U11" s="72"/>
      <c r="V11" s="72"/>
      <c r="W11" s="72"/>
      <c r="X11" s="72"/>
      <c r="Y11" s="72"/>
      <c r="Z11" s="72"/>
      <c r="AA11" s="72"/>
      <c r="AB11" s="72"/>
      <c r="AC11" s="72"/>
      <c r="AD11" s="72"/>
    </row>
    <row r="12" spans="1:30" x14ac:dyDescent="0.25">
      <c r="A12" s="36" t="s">
        <v>172</v>
      </c>
      <c r="B12" s="44" t="s">
        <v>76</v>
      </c>
      <c r="C12" s="44" t="s">
        <v>76</v>
      </c>
      <c r="E12" s="38" t="s">
        <v>152</v>
      </c>
      <c r="F12" s="39" t="s">
        <v>160</v>
      </c>
      <c r="G12" s="40" t="s">
        <v>153</v>
      </c>
      <c r="H12" s="38" t="s">
        <v>154</v>
      </c>
      <c r="I12" s="37" t="s">
        <v>32</v>
      </c>
      <c r="J12" s="37" t="s">
        <v>11</v>
      </c>
      <c r="K12" s="37" t="s">
        <v>28</v>
      </c>
      <c r="L12" s="37" t="s">
        <v>155</v>
      </c>
      <c r="M12" s="37" t="s">
        <v>14</v>
      </c>
      <c r="N12" s="37" t="s">
        <v>156</v>
      </c>
      <c r="O12" s="37" t="s">
        <v>157</v>
      </c>
      <c r="P12" s="37" t="s">
        <v>15</v>
      </c>
      <c r="Q12" s="37" t="s">
        <v>167</v>
      </c>
      <c r="R12" s="41" t="s">
        <v>161</v>
      </c>
      <c r="S12" s="41" t="s">
        <v>162</v>
      </c>
      <c r="T12" s="41" t="s">
        <v>163</v>
      </c>
      <c r="U12" s="41" t="s">
        <v>164</v>
      </c>
      <c r="V12" s="41" t="s">
        <v>165</v>
      </c>
      <c r="W12" s="41" t="s">
        <v>166</v>
      </c>
      <c r="X12" s="42" t="s">
        <v>171</v>
      </c>
      <c r="Y12" s="42" t="s">
        <v>170</v>
      </c>
      <c r="Z12" s="42" t="s">
        <v>148</v>
      </c>
      <c r="AA12" s="42" t="s">
        <v>149</v>
      </c>
      <c r="AB12" s="42" t="s">
        <v>169</v>
      </c>
      <c r="AC12" s="42" t="s">
        <v>150</v>
      </c>
      <c r="AD12" s="42" t="s">
        <v>168</v>
      </c>
    </row>
    <row r="13" spans="1:30" x14ac:dyDescent="0.25">
      <c r="A13" s="43" t="s">
        <v>142</v>
      </c>
      <c r="B13" s="52">
        <v>1</v>
      </c>
      <c r="C13" s="44" t="s">
        <v>76</v>
      </c>
      <c r="E13" s="52">
        <v>0</v>
      </c>
      <c r="F13" s="52">
        <v>0</v>
      </c>
      <c r="G13" s="52">
        <v>0</v>
      </c>
      <c r="H13" s="53">
        <v>0</v>
      </c>
      <c r="I13" s="53">
        <v>0</v>
      </c>
      <c r="J13" s="53">
        <v>0</v>
      </c>
      <c r="K13" s="53">
        <v>0</v>
      </c>
      <c r="L13" s="53">
        <v>0</v>
      </c>
      <c r="M13" s="53">
        <v>0</v>
      </c>
      <c r="N13" s="53">
        <v>0</v>
      </c>
      <c r="O13" s="53">
        <v>0</v>
      </c>
      <c r="P13" s="53">
        <v>0</v>
      </c>
      <c r="Q13" s="53">
        <v>0</v>
      </c>
      <c r="R13" s="53">
        <v>0</v>
      </c>
      <c r="S13" s="53">
        <v>0</v>
      </c>
      <c r="T13" s="53">
        <v>0</v>
      </c>
      <c r="U13" s="53">
        <v>0</v>
      </c>
      <c r="V13" s="53">
        <v>0</v>
      </c>
      <c r="W13" s="53">
        <v>0</v>
      </c>
      <c r="X13" s="53">
        <v>0</v>
      </c>
      <c r="Y13" s="53">
        <v>0</v>
      </c>
      <c r="Z13" s="53">
        <v>0</v>
      </c>
      <c r="AA13" s="53">
        <v>0</v>
      </c>
      <c r="AB13" s="53">
        <v>0</v>
      </c>
      <c r="AC13" s="53">
        <v>0</v>
      </c>
      <c r="AD13" s="53">
        <v>0</v>
      </c>
    </row>
    <row r="14" spans="1:30" x14ac:dyDescent="0.25">
      <c r="A14" s="47" t="s">
        <v>143</v>
      </c>
      <c r="B14" s="52">
        <f>910/5</f>
        <v>182</v>
      </c>
      <c r="C14" s="44" t="s">
        <v>76</v>
      </c>
      <c r="E14" s="53">
        <v>0</v>
      </c>
      <c r="F14" s="53">
        <v>0</v>
      </c>
      <c r="G14" s="52">
        <v>72</v>
      </c>
      <c r="H14" s="52">
        <v>85</v>
      </c>
      <c r="I14" s="52">
        <v>62</v>
      </c>
      <c r="J14" s="52">
        <v>7</v>
      </c>
      <c r="K14" s="52">
        <v>2</v>
      </c>
      <c r="L14" s="52">
        <v>8</v>
      </c>
      <c r="M14" s="53">
        <v>0</v>
      </c>
      <c r="N14" s="53">
        <v>0</v>
      </c>
      <c r="O14" s="53">
        <v>0</v>
      </c>
      <c r="P14" s="53">
        <v>0</v>
      </c>
      <c r="Q14" s="53">
        <v>0</v>
      </c>
      <c r="R14" s="53">
        <v>0</v>
      </c>
      <c r="S14" s="53">
        <v>0</v>
      </c>
      <c r="T14" s="53">
        <v>0</v>
      </c>
      <c r="U14" s="53">
        <v>0</v>
      </c>
      <c r="V14" s="53">
        <v>0</v>
      </c>
      <c r="W14" s="53">
        <v>0</v>
      </c>
      <c r="X14" s="53">
        <v>0</v>
      </c>
      <c r="Y14" s="53">
        <v>0</v>
      </c>
      <c r="Z14" s="53">
        <v>0</v>
      </c>
      <c r="AA14" s="53">
        <v>0</v>
      </c>
      <c r="AB14" s="53">
        <v>0</v>
      </c>
      <c r="AC14" s="53">
        <v>0</v>
      </c>
      <c r="AD14" s="53">
        <v>0</v>
      </c>
    </row>
    <row r="15" spans="1:30" x14ac:dyDescent="0.25">
      <c r="A15" s="47" t="s">
        <v>144</v>
      </c>
      <c r="B15" s="52">
        <v>1</v>
      </c>
      <c r="C15" s="44" t="s">
        <v>76</v>
      </c>
      <c r="E15" s="53">
        <v>0</v>
      </c>
      <c r="F15" s="53">
        <v>0</v>
      </c>
      <c r="G15" s="53">
        <v>0</v>
      </c>
      <c r="H15" s="52">
        <v>0</v>
      </c>
      <c r="I15" s="53">
        <v>0</v>
      </c>
      <c r="J15" s="52">
        <v>0</v>
      </c>
      <c r="K15" s="52">
        <v>0</v>
      </c>
      <c r="L15" s="52">
        <v>0</v>
      </c>
      <c r="M15" s="52">
        <v>0</v>
      </c>
      <c r="N15" s="53">
        <v>0</v>
      </c>
      <c r="O15" s="53">
        <v>0</v>
      </c>
      <c r="P15" s="53">
        <v>0</v>
      </c>
      <c r="Q15" s="53">
        <v>0</v>
      </c>
      <c r="R15" s="53">
        <v>0</v>
      </c>
      <c r="S15" s="53">
        <v>0</v>
      </c>
      <c r="T15" s="53">
        <v>0</v>
      </c>
      <c r="U15" s="53">
        <v>0</v>
      </c>
      <c r="V15" s="53">
        <v>0</v>
      </c>
      <c r="W15" s="53">
        <v>0</v>
      </c>
      <c r="X15" s="53">
        <v>0</v>
      </c>
      <c r="Y15" s="53">
        <v>0</v>
      </c>
      <c r="Z15" s="53">
        <v>0</v>
      </c>
      <c r="AA15" s="53">
        <v>0</v>
      </c>
      <c r="AB15" s="53">
        <v>0</v>
      </c>
      <c r="AC15" s="53">
        <v>0</v>
      </c>
      <c r="AD15" s="53">
        <v>0</v>
      </c>
    </row>
    <row r="16" spans="1:30" x14ac:dyDescent="0.25">
      <c r="A16" s="47" t="s">
        <v>145</v>
      </c>
      <c r="B16" s="52">
        <f>1410/5</f>
        <v>282</v>
      </c>
      <c r="C16" s="44" t="s">
        <v>76</v>
      </c>
      <c r="E16" s="53">
        <v>0</v>
      </c>
      <c r="F16" s="53">
        <v>0</v>
      </c>
      <c r="G16" s="53">
        <v>0</v>
      </c>
      <c r="H16" s="53">
        <v>0</v>
      </c>
      <c r="I16" s="53">
        <v>0</v>
      </c>
      <c r="J16" s="52">
        <v>91</v>
      </c>
      <c r="K16" s="53">
        <v>0</v>
      </c>
      <c r="L16" s="52">
        <v>118</v>
      </c>
      <c r="M16" s="52">
        <v>113</v>
      </c>
      <c r="N16" s="52">
        <v>10</v>
      </c>
      <c r="O16" s="52">
        <v>14</v>
      </c>
      <c r="P16" s="52">
        <v>16</v>
      </c>
      <c r="Q16" s="52">
        <v>7</v>
      </c>
      <c r="R16" s="53">
        <v>0</v>
      </c>
      <c r="S16" s="53">
        <v>0</v>
      </c>
      <c r="T16" s="53">
        <v>0</v>
      </c>
      <c r="U16" s="53">
        <v>0</v>
      </c>
      <c r="V16" s="53">
        <v>0</v>
      </c>
      <c r="W16" s="53">
        <v>0</v>
      </c>
      <c r="X16" s="53">
        <v>0</v>
      </c>
      <c r="Y16" s="53">
        <v>0</v>
      </c>
      <c r="Z16" s="53">
        <v>0</v>
      </c>
      <c r="AA16" s="53">
        <v>0</v>
      </c>
      <c r="AB16" s="53">
        <v>0</v>
      </c>
      <c r="AC16" s="53">
        <v>0</v>
      </c>
      <c r="AD16" s="53">
        <v>0</v>
      </c>
    </row>
    <row r="17" spans="1:30" x14ac:dyDescent="0.25">
      <c r="A17" s="47" t="s">
        <v>146</v>
      </c>
      <c r="B17" s="52">
        <f>1645/5</f>
        <v>329</v>
      </c>
      <c r="C17" s="44" t="s">
        <v>76</v>
      </c>
      <c r="E17" s="53">
        <v>0</v>
      </c>
      <c r="F17" s="53">
        <v>0</v>
      </c>
      <c r="G17" s="53">
        <v>0</v>
      </c>
      <c r="H17" s="53">
        <v>0</v>
      </c>
      <c r="I17" s="53">
        <v>0</v>
      </c>
      <c r="J17" s="53">
        <v>0</v>
      </c>
      <c r="K17" s="53">
        <v>0</v>
      </c>
      <c r="L17" s="53">
        <v>0</v>
      </c>
      <c r="M17" s="52">
        <v>88</v>
      </c>
      <c r="N17" s="52">
        <v>71</v>
      </c>
      <c r="O17" s="52">
        <v>59</v>
      </c>
      <c r="P17" s="52">
        <v>74</v>
      </c>
      <c r="Q17" s="52">
        <v>72</v>
      </c>
      <c r="R17" s="53">
        <v>0</v>
      </c>
      <c r="S17" s="53">
        <v>0</v>
      </c>
      <c r="T17" s="53">
        <v>0</v>
      </c>
      <c r="U17" s="53">
        <v>0</v>
      </c>
      <c r="V17" s="53">
        <v>0</v>
      </c>
      <c r="W17" s="53">
        <v>0</v>
      </c>
      <c r="X17" s="53">
        <v>0</v>
      </c>
      <c r="Y17" s="53">
        <v>0</v>
      </c>
      <c r="Z17" s="53">
        <v>0</v>
      </c>
      <c r="AA17" s="53">
        <v>0</v>
      </c>
      <c r="AB17" s="53">
        <v>0</v>
      </c>
      <c r="AC17" s="53">
        <v>0</v>
      </c>
      <c r="AD17" s="53">
        <v>0</v>
      </c>
    </row>
    <row r="18" spans="1:30" x14ac:dyDescent="0.25">
      <c r="A18" s="35" t="s">
        <v>147</v>
      </c>
      <c r="B18" s="52">
        <v>1</v>
      </c>
      <c r="C18" s="44" t="s">
        <v>76</v>
      </c>
      <c r="E18" s="53">
        <v>0</v>
      </c>
      <c r="F18" s="53">
        <v>0</v>
      </c>
      <c r="G18" s="53">
        <v>0</v>
      </c>
      <c r="H18" s="53">
        <v>0</v>
      </c>
      <c r="I18" s="53">
        <v>0</v>
      </c>
      <c r="J18" s="53">
        <v>0</v>
      </c>
      <c r="K18" s="53">
        <v>0</v>
      </c>
      <c r="L18" s="53">
        <v>0</v>
      </c>
      <c r="M18" s="53">
        <v>0</v>
      </c>
      <c r="N18" s="53">
        <v>0</v>
      </c>
      <c r="O18" s="53">
        <v>0</v>
      </c>
      <c r="P18" s="53">
        <v>0</v>
      </c>
      <c r="Q18" s="53">
        <v>0</v>
      </c>
      <c r="R18" s="52">
        <v>0</v>
      </c>
      <c r="S18" s="52">
        <v>0</v>
      </c>
      <c r="T18" s="52">
        <v>0</v>
      </c>
      <c r="U18" s="52">
        <v>0</v>
      </c>
      <c r="V18" s="52">
        <v>0</v>
      </c>
      <c r="W18" s="52">
        <v>0</v>
      </c>
      <c r="X18" s="52">
        <v>0</v>
      </c>
      <c r="Y18" s="52">
        <v>0</v>
      </c>
      <c r="Z18" s="52">
        <v>0</v>
      </c>
      <c r="AA18" s="52">
        <v>0</v>
      </c>
      <c r="AB18" s="52">
        <v>0</v>
      </c>
      <c r="AC18" s="52">
        <v>0</v>
      </c>
      <c r="AD18" s="53">
        <v>0</v>
      </c>
    </row>
    <row r="19" spans="1:30" x14ac:dyDescent="0.25">
      <c r="A19" s="35" t="s">
        <v>151</v>
      </c>
      <c r="B19" s="52">
        <f>19720/5</f>
        <v>3944</v>
      </c>
      <c r="C19" s="44" t="s">
        <v>76</v>
      </c>
      <c r="E19" s="53">
        <v>0</v>
      </c>
      <c r="F19" s="53">
        <v>0</v>
      </c>
      <c r="G19" s="53">
        <v>0</v>
      </c>
      <c r="H19" s="53">
        <v>0</v>
      </c>
      <c r="I19" s="53">
        <v>0</v>
      </c>
      <c r="J19" s="53">
        <v>0</v>
      </c>
      <c r="K19" s="53">
        <v>0</v>
      </c>
      <c r="L19" s="53">
        <v>0</v>
      </c>
      <c r="M19" s="53">
        <v>0</v>
      </c>
      <c r="N19" s="53">
        <v>0</v>
      </c>
      <c r="O19" s="53">
        <v>0</v>
      </c>
      <c r="P19" s="53">
        <v>0</v>
      </c>
      <c r="Q19" s="53">
        <v>0</v>
      </c>
      <c r="R19" s="52">
        <v>715</v>
      </c>
      <c r="S19" s="52">
        <v>691</v>
      </c>
      <c r="T19" s="52">
        <v>729</v>
      </c>
      <c r="U19" s="52">
        <v>694</v>
      </c>
      <c r="V19" s="52">
        <v>719</v>
      </c>
      <c r="W19" s="52">
        <v>703</v>
      </c>
      <c r="X19" s="52">
        <v>133</v>
      </c>
      <c r="Y19" s="52">
        <v>133</v>
      </c>
      <c r="Z19" s="52">
        <v>133</v>
      </c>
      <c r="AA19" s="52">
        <v>137</v>
      </c>
      <c r="AB19" s="52">
        <v>142</v>
      </c>
      <c r="AC19" s="52">
        <v>138</v>
      </c>
      <c r="AD19" s="54">
        <v>4913</v>
      </c>
    </row>
    <row r="20" spans="1:30" x14ac:dyDescent="0.25">
      <c r="V20" s="55"/>
      <c r="W20" s="55"/>
      <c r="X20" s="55"/>
      <c r="Y20" s="55"/>
    </row>
    <row r="21" spans="1:30" x14ac:dyDescent="0.25">
      <c r="B21" s="49"/>
      <c r="C21" s="51"/>
      <c r="E21" s="72" t="s">
        <v>176</v>
      </c>
      <c r="F21" s="72"/>
      <c r="G21" s="72"/>
      <c r="H21" s="72"/>
      <c r="I21" s="72"/>
      <c r="J21" s="72"/>
      <c r="K21" s="72"/>
      <c r="L21" s="72"/>
      <c r="M21" s="72"/>
      <c r="N21" s="72"/>
      <c r="O21" s="72"/>
      <c r="P21" s="72"/>
      <c r="Q21" s="72"/>
      <c r="R21" s="72"/>
      <c r="S21" s="72"/>
      <c r="T21" s="72"/>
      <c r="U21" s="72"/>
      <c r="V21" s="72"/>
      <c r="W21" s="72"/>
      <c r="X21" s="72"/>
      <c r="Y21" s="72"/>
      <c r="Z21" s="72"/>
      <c r="AA21" s="72"/>
      <c r="AB21" s="72"/>
      <c r="AC21" s="72"/>
      <c r="AD21" s="72"/>
    </row>
    <row r="22" spans="1:30" x14ac:dyDescent="0.25">
      <c r="A22" s="36" t="s">
        <v>172</v>
      </c>
      <c r="B22" s="44" t="s">
        <v>76</v>
      </c>
      <c r="C22" s="44" t="s">
        <v>76</v>
      </c>
      <c r="E22" s="38" t="s">
        <v>152</v>
      </c>
      <c r="F22" s="39" t="s">
        <v>160</v>
      </c>
      <c r="G22" s="40" t="s">
        <v>153</v>
      </c>
      <c r="H22" s="38" t="s">
        <v>154</v>
      </c>
      <c r="I22" s="37" t="s">
        <v>32</v>
      </c>
      <c r="J22" s="37" t="s">
        <v>11</v>
      </c>
      <c r="K22" s="37" t="s">
        <v>28</v>
      </c>
      <c r="L22" s="37" t="s">
        <v>155</v>
      </c>
      <c r="M22" s="37" t="s">
        <v>14</v>
      </c>
      <c r="N22" s="37" t="s">
        <v>156</v>
      </c>
      <c r="O22" s="37" t="s">
        <v>157</v>
      </c>
      <c r="P22" s="37" t="s">
        <v>15</v>
      </c>
      <c r="Q22" s="37" t="s">
        <v>167</v>
      </c>
      <c r="R22" s="41" t="s">
        <v>161</v>
      </c>
      <c r="S22" s="41" t="s">
        <v>162</v>
      </c>
      <c r="T22" s="41" t="s">
        <v>163</v>
      </c>
      <c r="U22" s="41" t="s">
        <v>164</v>
      </c>
      <c r="V22" s="41" t="s">
        <v>165</v>
      </c>
      <c r="W22" s="41" t="s">
        <v>166</v>
      </c>
      <c r="X22" s="42" t="s">
        <v>171</v>
      </c>
      <c r="Y22" s="42" t="s">
        <v>170</v>
      </c>
      <c r="Z22" s="42" t="s">
        <v>148</v>
      </c>
      <c r="AA22" s="42" t="s">
        <v>149</v>
      </c>
      <c r="AB22" s="42" t="s">
        <v>169</v>
      </c>
      <c r="AC22" s="42" t="s">
        <v>150</v>
      </c>
      <c r="AD22" s="42" t="s">
        <v>168</v>
      </c>
    </row>
    <row r="23" spans="1:30" x14ac:dyDescent="0.25">
      <c r="A23" s="43" t="s">
        <v>142</v>
      </c>
      <c r="B23" s="44" t="s">
        <v>76</v>
      </c>
      <c r="C23" s="44" t="s">
        <v>76</v>
      </c>
      <c r="E23" s="45">
        <f>E13/$B$13</f>
        <v>0</v>
      </c>
      <c r="F23" s="45">
        <f>F13/$B$13</f>
        <v>0</v>
      </c>
      <c r="G23" s="45">
        <f>G13/$B$13</f>
        <v>0</v>
      </c>
      <c r="H23" s="46">
        <v>0</v>
      </c>
      <c r="I23" s="46">
        <v>0</v>
      </c>
      <c r="J23" s="46">
        <v>0</v>
      </c>
      <c r="K23" s="46">
        <v>0</v>
      </c>
      <c r="L23" s="46">
        <v>0</v>
      </c>
      <c r="M23" s="46">
        <v>0</v>
      </c>
      <c r="N23" s="46">
        <v>0</v>
      </c>
      <c r="O23" s="46">
        <v>0</v>
      </c>
      <c r="P23" s="46">
        <v>0</v>
      </c>
      <c r="Q23" s="46">
        <v>0</v>
      </c>
      <c r="R23" s="46">
        <v>0</v>
      </c>
      <c r="S23" s="46">
        <v>0</v>
      </c>
      <c r="T23" s="46">
        <v>0</v>
      </c>
      <c r="U23" s="46">
        <v>0</v>
      </c>
      <c r="V23" s="46">
        <v>0</v>
      </c>
      <c r="W23" s="46">
        <v>0</v>
      </c>
      <c r="X23" s="46">
        <v>0</v>
      </c>
      <c r="Y23" s="46">
        <v>0</v>
      </c>
      <c r="Z23" s="46">
        <v>0</v>
      </c>
      <c r="AA23" s="46">
        <v>0</v>
      </c>
      <c r="AB23" s="46">
        <v>0</v>
      </c>
      <c r="AC23" s="46">
        <v>0</v>
      </c>
      <c r="AD23" s="46">
        <v>0</v>
      </c>
    </row>
    <row r="24" spans="1:30" x14ac:dyDescent="0.25">
      <c r="A24" s="47" t="s">
        <v>143</v>
      </c>
      <c r="B24" s="44" t="s">
        <v>76</v>
      </c>
      <c r="C24" s="44" t="s">
        <v>76</v>
      </c>
      <c r="E24" s="46">
        <v>0</v>
      </c>
      <c r="F24" s="46">
        <v>0</v>
      </c>
      <c r="G24" s="45">
        <f t="shared" ref="G24:L24" si="0">G14/$B$14</f>
        <v>0.39560439560439559</v>
      </c>
      <c r="H24" s="45">
        <f t="shared" si="0"/>
        <v>0.46703296703296704</v>
      </c>
      <c r="I24" s="45">
        <f t="shared" si="0"/>
        <v>0.34065934065934067</v>
      </c>
      <c r="J24" s="45">
        <f t="shared" si="0"/>
        <v>3.8461538461538464E-2</v>
      </c>
      <c r="K24" s="45">
        <f t="shared" si="0"/>
        <v>1.098901098901099E-2</v>
      </c>
      <c r="L24" s="45">
        <f t="shared" si="0"/>
        <v>4.3956043956043959E-2</v>
      </c>
      <c r="M24" s="46">
        <v>0</v>
      </c>
      <c r="N24" s="46">
        <v>0</v>
      </c>
      <c r="O24" s="46">
        <v>0</v>
      </c>
      <c r="P24" s="46">
        <v>0</v>
      </c>
      <c r="Q24" s="46">
        <v>0</v>
      </c>
      <c r="R24" s="46">
        <v>0</v>
      </c>
      <c r="S24" s="46">
        <v>0</v>
      </c>
      <c r="T24" s="46">
        <v>0</v>
      </c>
      <c r="U24" s="46">
        <v>0</v>
      </c>
      <c r="V24" s="46">
        <v>0</v>
      </c>
      <c r="W24" s="46">
        <v>0</v>
      </c>
      <c r="X24" s="46">
        <v>0</v>
      </c>
      <c r="Y24" s="46">
        <v>0</v>
      </c>
      <c r="Z24" s="46">
        <v>0</v>
      </c>
      <c r="AA24" s="46">
        <v>0</v>
      </c>
      <c r="AB24" s="46">
        <v>0</v>
      </c>
      <c r="AC24" s="46">
        <v>0</v>
      </c>
      <c r="AD24" s="46">
        <v>0</v>
      </c>
    </row>
    <row r="25" spans="1:30" x14ac:dyDescent="0.25">
      <c r="A25" s="47" t="s">
        <v>144</v>
      </c>
      <c r="B25" s="44" t="s">
        <v>76</v>
      </c>
      <c r="C25" s="44" t="s">
        <v>76</v>
      </c>
      <c r="E25" s="46">
        <v>0</v>
      </c>
      <c r="F25" s="46">
        <v>0</v>
      </c>
      <c r="G25" s="46">
        <v>0</v>
      </c>
      <c r="H25" s="45">
        <f>H15/$B$15</f>
        <v>0</v>
      </c>
      <c r="I25" s="46">
        <v>0</v>
      </c>
      <c r="J25" s="45">
        <f>J15/$B$15</f>
        <v>0</v>
      </c>
      <c r="K25" s="45">
        <f>K15/$B$15</f>
        <v>0</v>
      </c>
      <c r="L25" s="45">
        <f>L15/$B$15</f>
        <v>0</v>
      </c>
      <c r="M25" s="45">
        <f>M15/$B$15</f>
        <v>0</v>
      </c>
      <c r="N25" s="46">
        <v>0</v>
      </c>
      <c r="O25" s="46">
        <v>0</v>
      </c>
      <c r="P25" s="46">
        <v>0</v>
      </c>
      <c r="Q25" s="46">
        <v>0</v>
      </c>
      <c r="R25" s="46">
        <v>0</v>
      </c>
      <c r="S25" s="46">
        <v>0</v>
      </c>
      <c r="T25" s="46">
        <v>0</v>
      </c>
      <c r="U25" s="46">
        <v>0</v>
      </c>
      <c r="V25" s="46">
        <v>0</v>
      </c>
      <c r="W25" s="46">
        <v>0</v>
      </c>
      <c r="X25" s="46">
        <v>0</v>
      </c>
      <c r="Y25" s="46">
        <v>0</v>
      </c>
      <c r="Z25" s="46">
        <v>0</v>
      </c>
      <c r="AA25" s="46">
        <v>0</v>
      </c>
      <c r="AB25" s="46">
        <v>0</v>
      </c>
      <c r="AC25" s="46">
        <v>0</v>
      </c>
      <c r="AD25" s="46">
        <v>0</v>
      </c>
    </row>
    <row r="26" spans="1:30" x14ac:dyDescent="0.25">
      <c r="A26" s="47" t="s">
        <v>145</v>
      </c>
      <c r="B26" s="44" t="s">
        <v>76</v>
      </c>
      <c r="C26" s="44" t="s">
        <v>76</v>
      </c>
      <c r="E26" s="46">
        <v>0</v>
      </c>
      <c r="F26" s="46">
        <v>0</v>
      </c>
      <c r="G26" s="46">
        <v>0</v>
      </c>
      <c r="H26" s="46">
        <v>0</v>
      </c>
      <c r="I26" s="46">
        <v>0</v>
      </c>
      <c r="J26" s="45">
        <f>J16/$B$16</f>
        <v>0.32269503546099293</v>
      </c>
      <c r="K26" s="46">
        <v>0</v>
      </c>
      <c r="L26" s="45">
        <f t="shared" ref="L26:Q26" si="1">L16/$B$16</f>
        <v>0.41843971631205673</v>
      </c>
      <c r="M26" s="45">
        <f t="shared" si="1"/>
        <v>0.40070921985815605</v>
      </c>
      <c r="N26" s="45">
        <f t="shared" si="1"/>
        <v>3.5460992907801421E-2</v>
      </c>
      <c r="O26" s="45">
        <f t="shared" si="1"/>
        <v>4.9645390070921988E-2</v>
      </c>
      <c r="P26" s="45">
        <f t="shared" si="1"/>
        <v>5.6737588652482268E-2</v>
      </c>
      <c r="Q26" s="45">
        <f t="shared" si="1"/>
        <v>2.4822695035460994E-2</v>
      </c>
      <c r="R26" s="46">
        <v>0</v>
      </c>
      <c r="S26" s="46">
        <v>0</v>
      </c>
      <c r="T26" s="46">
        <v>0</v>
      </c>
      <c r="U26" s="46">
        <v>0</v>
      </c>
      <c r="V26" s="46">
        <v>0</v>
      </c>
      <c r="W26" s="46">
        <v>0</v>
      </c>
      <c r="X26" s="46">
        <v>0</v>
      </c>
      <c r="Y26" s="46">
        <v>0</v>
      </c>
      <c r="Z26" s="46">
        <v>0</v>
      </c>
      <c r="AA26" s="46">
        <v>0</v>
      </c>
      <c r="AB26" s="46">
        <v>0</v>
      </c>
      <c r="AC26" s="46">
        <v>0</v>
      </c>
      <c r="AD26" s="46">
        <v>0</v>
      </c>
    </row>
    <row r="27" spans="1:30" x14ac:dyDescent="0.25">
      <c r="A27" s="47" t="s">
        <v>146</v>
      </c>
      <c r="B27" s="44" t="s">
        <v>76</v>
      </c>
      <c r="C27" s="44" t="s">
        <v>76</v>
      </c>
      <c r="E27" s="46">
        <v>0</v>
      </c>
      <c r="F27" s="46">
        <v>0</v>
      </c>
      <c r="G27" s="46">
        <v>0</v>
      </c>
      <c r="H27" s="46">
        <v>0</v>
      </c>
      <c r="I27" s="46">
        <v>0</v>
      </c>
      <c r="J27" s="46">
        <v>0</v>
      </c>
      <c r="K27" s="46">
        <v>0</v>
      </c>
      <c r="L27" s="46">
        <v>0</v>
      </c>
      <c r="M27" s="45">
        <f>M17/$B$17</f>
        <v>0.26747720364741639</v>
      </c>
      <c r="N27" s="45">
        <f>N17/$B$17</f>
        <v>0.21580547112462006</v>
      </c>
      <c r="O27" s="45">
        <f>O17/$B$17</f>
        <v>0.17933130699088146</v>
      </c>
      <c r="P27" s="45">
        <f>P17/$B$17</f>
        <v>0.22492401215805471</v>
      </c>
      <c r="Q27" s="45">
        <f>Q17/$B$17</f>
        <v>0.21884498480243161</v>
      </c>
      <c r="R27" s="46">
        <v>0</v>
      </c>
      <c r="S27" s="46">
        <v>0</v>
      </c>
      <c r="T27" s="46">
        <v>0</v>
      </c>
      <c r="U27" s="46">
        <v>0</v>
      </c>
      <c r="V27" s="46">
        <v>0</v>
      </c>
      <c r="W27" s="46">
        <v>0</v>
      </c>
      <c r="X27" s="46">
        <v>0</v>
      </c>
      <c r="Y27" s="46">
        <v>0</v>
      </c>
      <c r="Z27" s="46">
        <v>0</v>
      </c>
      <c r="AA27" s="46">
        <v>0</v>
      </c>
      <c r="AB27" s="46">
        <v>0</v>
      </c>
      <c r="AC27" s="46">
        <v>0</v>
      </c>
      <c r="AD27" s="46">
        <v>0</v>
      </c>
    </row>
    <row r="28" spans="1:30" x14ac:dyDescent="0.25">
      <c r="A28" s="35" t="s">
        <v>147</v>
      </c>
      <c r="B28" s="44" t="s">
        <v>76</v>
      </c>
      <c r="C28" s="44" t="s">
        <v>76</v>
      </c>
      <c r="E28" s="46">
        <v>0</v>
      </c>
      <c r="F28" s="46">
        <v>0</v>
      </c>
      <c r="G28" s="46">
        <v>0</v>
      </c>
      <c r="H28" s="46">
        <v>0</v>
      </c>
      <c r="I28" s="46">
        <v>0</v>
      </c>
      <c r="J28" s="46">
        <v>0</v>
      </c>
      <c r="K28" s="46">
        <v>0</v>
      </c>
      <c r="L28" s="46">
        <v>0</v>
      </c>
      <c r="M28" s="46">
        <v>0</v>
      </c>
      <c r="N28" s="46">
        <v>0</v>
      </c>
      <c r="O28" s="46">
        <v>0</v>
      </c>
      <c r="P28" s="46">
        <v>0</v>
      </c>
      <c r="Q28" s="46">
        <v>0</v>
      </c>
      <c r="R28" s="45">
        <f t="shared" ref="R28:AC28" si="2">R18/$B$18</f>
        <v>0</v>
      </c>
      <c r="S28" s="45">
        <f t="shared" si="2"/>
        <v>0</v>
      </c>
      <c r="T28" s="45">
        <f t="shared" si="2"/>
        <v>0</v>
      </c>
      <c r="U28" s="45">
        <f t="shared" si="2"/>
        <v>0</v>
      </c>
      <c r="V28" s="45">
        <f t="shared" si="2"/>
        <v>0</v>
      </c>
      <c r="W28" s="45">
        <f t="shared" si="2"/>
        <v>0</v>
      </c>
      <c r="X28" s="45">
        <f t="shared" si="2"/>
        <v>0</v>
      </c>
      <c r="Y28" s="45">
        <f t="shared" si="2"/>
        <v>0</v>
      </c>
      <c r="Z28" s="45">
        <f t="shared" si="2"/>
        <v>0</v>
      </c>
      <c r="AA28" s="45">
        <f t="shared" si="2"/>
        <v>0</v>
      </c>
      <c r="AB28" s="45">
        <f t="shared" si="2"/>
        <v>0</v>
      </c>
      <c r="AC28" s="45">
        <f t="shared" si="2"/>
        <v>0</v>
      </c>
      <c r="AD28" s="46">
        <v>0</v>
      </c>
    </row>
    <row r="29" spans="1:30" x14ac:dyDescent="0.25">
      <c r="A29" s="35" t="s">
        <v>151</v>
      </c>
      <c r="B29" s="44" t="s">
        <v>76</v>
      </c>
      <c r="C29" s="44" t="s">
        <v>76</v>
      </c>
      <c r="E29" s="46">
        <v>0</v>
      </c>
      <c r="F29" s="46">
        <v>0</v>
      </c>
      <c r="G29" s="46">
        <v>0</v>
      </c>
      <c r="H29" s="46">
        <v>0</v>
      </c>
      <c r="I29" s="46">
        <v>0</v>
      </c>
      <c r="J29" s="46">
        <v>0</v>
      </c>
      <c r="K29" s="46">
        <v>0</v>
      </c>
      <c r="L29" s="46">
        <v>0</v>
      </c>
      <c r="M29" s="46">
        <v>0</v>
      </c>
      <c r="N29" s="46">
        <v>0</v>
      </c>
      <c r="O29" s="46">
        <v>0</v>
      </c>
      <c r="P29" s="46">
        <v>0</v>
      </c>
      <c r="Q29" s="46">
        <v>0</v>
      </c>
      <c r="R29" s="45">
        <f t="shared" ref="R29:AD29" si="3">R19/$B$19</f>
        <v>0.18128803245436106</v>
      </c>
      <c r="S29" s="45">
        <f t="shared" si="3"/>
        <v>0.17520283975659229</v>
      </c>
      <c r="T29" s="45">
        <f t="shared" si="3"/>
        <v>0.18483772819472616</v>
      </c>
      <c r="U29" s="45">
        <f t="shared" si="3"/>
        <v>0.17596348884381338</v>
      </c>
      <c r="V29" s="45">
        <f t="shared" si="3"/>
        <v>0.1823022312373225</v>
      </c>
      <c r="W29" s="45">
        <f t="shared" si="3"/>
        <v>0.17824543610547666</v>
      </c>
      <c r="X29" s="45">
        <f t="shared" si="3"/>
        <v>3.3722109533468561E-2</v>
      </c>
      <c r="Y29" s="45">
        <f t="shared" si="3"/>
        <v>3.3722109533468561E-2</v>
      </c>
      <c r="Z29" s="45">
        <f t="shared" si="3"/>
        <v>3.3722109533468561E-2</v>
      </c>
      <c r="AA29" s="45">
        <f t="shared" si="3"/>
        <v>3.4736308316430022E-2</v>
      </c>
      <c r="AB29" s="45">
        <f t="shared" si="3"/>
        <v>3.6004056795131849E-2</v>
      </c>
      <c r="AC29" s="45">
        <f t="shared" si="3"/>
        <v>3.4989858012170388E-2</v>
      </c>
      <c r="AD29" s="45">
        <f t="shared" si="3"/>
        <v>1.2456896551724137</v>
      </c>
    </row>
    <row r="30" spans="1:30" x14ac:dyDescent="0.25">
      <c r="U30" s="55"/>
      <c r="V30" s="55"/>
      <c r="W30" s="55"/>
      <c r="X30" s="55"/>
    </row>
    <row r="31" spans="1:30" x14ac:dyDescent="0.25">
      <c r="B31" s="49"/>
      <c r="C31" s="51"/>
      <c r="E31" s="72" t="s">
        <v>177</v>
      </c>
      <c r="F31" s="72"/>
      <c r="G31" s="72"/>
      <c r="H31" s="72"/>
      <c r="I31" s="72"/>
      <c r="J31" s="72"/>
      <c r="K31" s="72"/>
      <c r="L31" s="72"/>
      <c r="M31" s="72"/>
      <c r="N31" s="72"/>
      <c r="O31" s="72"/>
      <c r="P31" s="72"/>
      <c r="Q31" s="72"/>
      <c r="R31" s="72"/>
      <c r="S31" s="72"/>
      <c r="T31" s="72"/>
      <c r="U31" s="72"/>
      <c r="V31" s="72"/>
      <c r="W31" s="72"/>
      <c r="X31" s="72"/>
      <c r="Y31" s="72"/>
      <c r="Z31" s="72"/>
      <c r="AA31" s="72"/>
      <c r="AB31" s="72"/>
      <c r="AC31" s="72"/>
      <c r="AD31" s="72"/>
    </row>
    <row r="32" spans="1:30" x14ac:dyDescent="0.25">
      <c r="A32" s="36" t="s">
        <v>172</v>
      </c>
      <c r="B32" s="44" t="s">
        <v>76</v>
      </c>
      <c r="C32" s="44" t="s">
        <v>76</v>
      </c>
      <c r="E32" s="38" t="s">
        <v>152</v>
      </c>
      <c r="F32" s="39" t="s">
        <v>160</v>
      </c>
      <c r="G32" s="40" t="s">
        <v>153</v>
      </c>
      <c r="H32" s="38" t="s">
        <v>154</v>
      </c>
      <c r="I32" s="37" t="s">
        <v>32</v>
      </c>
      <c r="J32" s="37" t="s">
        <v>11</v>
      </c>
      <c r="K32" s="37" t="s">
        <v>28</v>
      </c>
      <c r="L32" s="37" t="s">
        <v>155</v>
      </c>
      <c r="M32" s="37" t="s">
        <v>14</v>
      </c>
      <c r="N32" s="37" t="s">
        <v>156</v>
      </c>
      <c r="O32" s="37" t="s">
        <v>157</v>
      </c>
      <c r="P32" s="37" t="s">
        <v>15</v>
      </c>
      <c r="Q32" s="37" t="s">
        <v>167</v>
      </c>
      <c r="R32" s="41" t="s">
        <v>161</v>
      </c>
      <c r="S32" s="41" t="s">
        <v>162</v>
      </c>
      <c r="T32" s="41" t="s">
        <v>163</v>
      </c>
      <c r="U32" s="41" t="s">
        <v>164</v>
      </c>
      <c r="V32" s="41" t="s">
        <v>165</v>
      </c>
      <c r="W32" s="41" t="s">
        <v>166</v>
      </c>
      <c r="X32" s="42" t="s">
        <v>171</v>
      </c>
      <c r="Y32" s="42" t="s">
        <v>170</v>
      </c>
      <c r="Z32" s="42" t="s">
        <v>148</v>
      </c>
      <c r="AA32" s="42" t="s">
        <v>149</v>
      </c>
      <c r="AB32" s="42" t="s">
        <v>169</v>
      </c>
      <c r="AC32" s="42" t="s">
        <v>150</v>
      </c>
      <c r="AD32" s="42" t="s">
        <v>168</v>
      </c>
    </row>
    <row r="33" spans="1:30" x14ac:dyDescent="0.25">
      <c r="A33" s="43" t="s">
        <v>142</v>
      </c>
      <c r="B33" s="52">
        <v>1</v>
      </c>
      <c r="C33" s="44" t="s">
        <v>76</v>
      </c>
      <c r="E33" s="56">
        <f>'Price Data'!B11*E23</f>
        <v>0</v>
      </c>
      <c r="F33" s="56">
        <f>'Price Data'!B12*F23</f>
        <v>0</v>
      </c>
      <c r="G33" s="56">
        <f>'Price Data'!B13*G23</f>
        <v>0</v>
      </c>
      <c r="H33" s="61">
        <v>0</v>
      </c>
      <c r="I33" s="61">
        <v>0</v>
      </c>
      <c r="J33" s="61">
        <v>0</v>
      </c>
      <c r="K33" s="61">
        <v>0</v>
      </c>
      <c r="L33" s="61">
        <v>0</v>
      </c>
      <c r="M33" s="61">
        <v>0</v>
      </c>
      <c r="N33" s="61">
        <v>0</v>
      </c>
      <c r="O33" s="61">
        <v>0</v>
      </c>
      <c r="P33" s="61">
        <v>0</v>
      </c>
      <c r="Q33" s="61">
        <v>0</v>
      </c>
      <c r="R33" s="61">
        <v>0</v>
      </c>
      <c r="S33" s="61">
        <v>0</v>
      </c>
      <c r="T33" s="61">
        <v>0</v>
      </c>
      <c r="U33" s="61">
        <v>0</v>
      </c>
      <c r="V33" s="61">
        <v>0</v>
      </c>
      <c r="W33" s="61">
        <v>0</v>
      </c>
      <c r="X33" s="61">
        <v>0</v>
      </c>
      <c r="Y33" s="61">
        <v>0</v>
      </c>
      <c r="Z33" s="61">
        <v>0</v>
      </c>
      <c r="AA33" s="61">
        <v>0</v>
      </c>
      <c r="AB33" s="61">
        <v>0</v>
      </c>
      <c r="AC33" s="61">
        <v>0</v>
      </c>
      <c r="AD33" s="61">
        <v>0</v>
      </c>
    </row>
    <row r="34" spans="1:30" x14ac:dyDescent="0.25">
      <c r="A34" s="47" t="s">
        <v>143</v>
      </c>
      <c r="B34" s="52">
        <v>1</v>
      </c>
      <c r="C34" s="44" t="s">
        <v>76</v>
      </c>
      <c r="E34" s="61">
        <v>0</v>
      </c>
      <c r="F34" s="61">
        <v>0</v>
      </c>
      <c r="G34" s="56">
        <f>'Price Data'!B13*G24</f>
        <v>0.39560439560439559</v>
      </c>
      <c r="H34" s="56">
        <f>'Price Data'!B14*H24</f>
        <v>0.28021978021978022</v>
      </c>
      <c r="I34" s="56">
        <f>'Price Data'!B15*I24</f>
        <v>0.68131868131868134</v>
      </c>
      <c r="J34" s="56">
        <f>'Price Data'!B16*J24</f>
        <v>0.13461538461538464</v>
      </c>
      <c r="K34" s="56">
        <f>'Price Data'!B17*K24</f>
        <v>1.098901098901099E-2</v>
      </c>
      <c r="L34" s="56">
        <f>'Price Data'!B18*L24</f>
        <v>0.13186813186813187</v>
      </c>
      <c r="M34" s="61">
        <v>0</v>
      </c>
      <c r="N34" s="61">
        <v>0</v>
      </c>
      <c r="O34" s="61">
        <v>0</v>
      </c>
      <c r="P34" s="61">
        <v>0</v>
      </c>
      <c r="Q34" s="61">
        <v>0</v>
      </c>
      <c r="R34" s="61">
        <v>0</v>
      </c>
      <c r="S34" s="61">
        <v>0</v>
      </c>
      <c r="T34" s="61">
        <v>0</v>
      </c>
      <c r="U34" s="61">
        <v>0</v>
      </c>
      <c r="V34" s="61">
        <v>0</v>
      </c>
      <c r="W34" s="61">
        <v>0</v>
      </c>
      <c r="X34" s="61">
        <v>0</v>
      </c>
      <c r="Y34" s="61">
        <v>0</v>
      </c>
      <c r="Z34" s="61">
        <v>0</v>
      </c>
      <c r="AA34" s="61">
        <v>0</v>
      </c>
      <c r="AB34" s="61">
        <v>0</v>
      </c>
      <c r="AC34" s="61">
        <v>0</v>
      </c>
      <c r="AD34" s="61">
        <v>0</v>
      </c>
    </row>
    <row r="35" spans="1:30" x14ac:dyDescent="0.25">
      <c r="A35" s="47" t="s">
        <v>144</v>
      </c>
      <c r="B35" s="52">
        <v>1</v>
      </c>
      <c r="C35" s="44" t="s">
        <v>76</v>
      </c>
      <c r="E35" s="61">
        <v>0</v>
      </c>
      <c r="F35" s="61">
        <v>0</v>
      </c>
      <c r="G35" s="61">
        <v>0</v>
      </c>
      <c r="H35" s="56">
        <f>'Price Data'!B14*H25</f>
        <v>0</v>
      </c>
      <c r="I35" s="61">
        <v>0</v>
      </c>
      <c r="J35" s="56">
        <f>'Price Data'!B16*J25</f>
        <v>0</v>
      </c>
      <c r="K35" s="56">
        <f>'Price Data'!B17*K25</f>
        <v>0</v>
      </c>
      <c r="L35" s="56">
        <f>'Price Data'!B18*L25</f>
        <v>0</v>
      </c>
      <c r="M35" s="56">
        <f>'Price Data'!B19*M25</f>
        <v>0</v>
      </c>
      <c r="N35" s="61">
        <v>0</v>
      </c>
      <c r="O35" s="61">
        <v>0</v>
      </c>
      <c r="P35" s="61">
        <v>0</v>
      </c>
      <c r="Q35" s="61">
        <v>0</v>
      </c>
      <c r="R35" s="61">
        <v>0</v>
      </c>
      <c r="S35" s="61">
        <v>0</v>
      </c>
      <c r="T35" s="61">
        <v>0</v>
      </c>
      <c r="U35" s="61">
        <v>0</v>
      </c>
      <c r="V35" s="61">
        <v>0</v>
      </c>
      <c r="W35" s="61">
        <v>0</v>
      </c>
      <c r="X35" s="61">
        <v>0</v>
      </c>
      <c r="Y35" s="61">
        <v>0</v>
      </c>
      <c r="Z35" s="61">
        <v>0</v>
      </c>
      <c r="AA35" s="61">
        <v>0</v>
      </c>
      <c r="AB35" s="61">
        <v>0</v>
      </c>
      <c r="AC35" s="61">
        <v>0</v>
      </c>
      <c r="AD35" s="61">
        <v>0</v>
      </c>
    </row>
    <row r="36" spans="1:30" x14ac:dyDescent="0.25">
      <c r="A36" s="47" t="s">
        <v>145</v>
      </c>
      <c r="B36" s="52">
        <v>1</v>
      </c>
      <c r="C36" s="44" t="s">
        <v>76</v>
      </c>
      <c r="E36" s="61">
        <v>0</v>
      </c>
      <c r="F36" s="61">
        <v>0</v>
      </c>
      <c r="G36" s="61">
        <v>0</v>
      </c>
      <c r="H36" s="61">
        <v>0</v>
      </c>
      <c r="I36" s="61">
        <v>0</v>
      </c>
      <c r="J36" s="56">
        <f>'Price Data'!B16*J26</f>
        <v>1.1294326241134753</v>
      </c>
      <c r="K36" s="61">
        <v>0</v>
      </c>
      <c r="L36" s="56">
        <f>'Price Data'!B18*L26</f>
        <v>1.2553191489361701</v>
      </c>
      <c r="M36" s="56">
        <f>'Price Data'!B19*M26</f>
        <v>0.56099290780141842</v>
      </c>
      <c r="N36" s="56">
        <f>'Price Data'!B20*N26</f>
        <v>8.8652482269503549E-2</v>
      </c>
      <c r="O36" s="56">
        <f>'Price Data'!B21*O26</f>
        <v>4.9645390070921988E-2</v>
      </c>
      <c r="P36" s="56">
        <f>'Price Data'!B22*P26</f>
        <v>0.22695035460992907</v>
      </c>
      <c r="Q36" s="56">
        <f>'Price Data'!B23*Q26</f>
        <v>3.7234042553191488E-2</v>
      </c>
      <c r="R36" s="61">
        <v>0</v>
      </c>
      <c r="S36" s="61">
        <v>0</v>
      </c>
      <c r="T36" s="61">
        <v>0</v>
      </c>
      <c r="U36" s="61">
        <v>0</v>
      </c>
      <c r="V36" s="61">
        <v>0</v>
      </c>
      <c r="W36" s="61">
        <v>0</v>
      </c>
      <c r="X36" s="61">
        <v>0</v>
      </c>
      <c r="Y36" s="61">
        <v>0</v>
      </c>
      <c r="Z36" s="61">
        <v>0</v>
      </c>
      <c r="AA36" s="61">
        <v>0</v>
      </c>
      <c r="AB36" s="61">
        <v>0</v>
      </c>
      <c r="AC36" s="61">
        <v>0</v>
      </c>
      <c r="AD36" s="61">
        <v>0</v>
      </c>
    </row>
    <row r="37" spans="1:30" x14ac:dyDescent="0.25">
      <c r="A37" s="47" t="s">
        <v>146</v>
      </c>
      <c r="B37" s="52">
        <v>1</v>
      </c>
      <c r="C37" s="44" t="s">
        <v>76</v>
      </c>
      <c r="E37" s="61">
        <v>0</v>
      </c>
      <c r="F37" s="61">
        <v>0</v>
      </c>
      <c r="G37" s="61">
        <v>0</v>
      </c>
      <c r="H37" s="61">
        <v>0</v>
      </c>
      <c r="I37" s="61">
        <v>0</v>
      </c>
      <c r="J37" s="61">
        <v>0</v>
      </c>
      <c r="K37" s="61">
        <v>0</v>
      </c>
      <c r="L37" s="61">
        <v>0</v>
      </c>
      <c r="M37" s="56">
        <f>'Price Data'!B19*M27</f>
        <v>0.37446808510638291</v>
      </c>
      <c r="N37" s="56">
        <f>'Price Data'!B20*N27</f>
        <v>0.53951367781155013</v>
      </c>
      <c r="O37" s="56">
        <f>'Price Data'!B21*O27</f>
        <v>0.17933130699088146</v>
      </c>
      <c r="P37" s="56">
        <f>'Price Data'!B22*P27</f>
        <v>0.89969604863221886</v>
      </c>
      <c r="Q37" s="56">
        <f>'Price Data'!B23*Q27</f>
        <v>0.32826747720364741</v>
      </c>
      <c r="R37" s="61">
        <v>0</v>
      </c>
      <c r="S37" s="61">
        <v>0</v>
      </c>
      <c r="T37" s="61">
        <v>0</v>
      </c>
      <c r="U37" s="61">
        <v>0</v>
      </c>
      <c r="V37" s="61">
        <v>0</v>
      </c>
      <c r="W37" s="61">
        <v>0</v>
      </c>
      <c r="X37" s="61">
        <v>0</v>
      </c>
      <c r="Y37" s="61">
        <v>0</v>
      </c>
      <c r="Z37" s="61">
        <v>0</v>
      </c>
      <c r="AA37" s="61">
        <v>0</v>
      </c>
      <c r="AB37" s="61">
        <v>0</v>
      </c>
      <c r="AC37" s="61">
        <v>0</v>
      </c>
      <c r="AD37" s="61">
        <v>0</v>
      </c>
    </row>
    <row r="38" spans="1:30" x14ac:dyDescent="0.25">
      <c r="A38" s="35" t="s">
        <v>147</v>
      </c>
      <c r="B38" s="52">
        <v>1</v>
      </c>
      <c r="C38" s="44" t="s">
        <v>76</v>
      </c>
      <c r="E38" s="61">
        <v>0</v>
      </c>
      <c r="F38" s="61">
        <v>0</v>
      </c>
      <c r="G38" s="61">
        <v>0</v>
      </c>
      <c r="H38" s="61">
        <v>0</v>
      </c>
      <c r="I38" s="61">
        <v>0</v>
      </c>
      <c r="J38" s="61">
        <v>0</v>
      </c>
      <c r="K38" s="61">
        <v>0</v>
      </c>
      <c r="L38" s="61">
        <v>0</v>
      </c>
      <c r="M38" s="61">
        <v>0</v>
      </c>
      <c r="N38" s="61">
        <v>0</v>
      </c>
      <c r="O38" s="61">
        <v>0</v>
      </c>
      <c r="P38" s="61">
        <v>0</v>
      </c>
      <c r="Q38" s="61">
        <v>0</v>
      </c>
      <c r="R38" s="56">
        <f>'Price Data'!B24*R28</f>
        <v>0</v>
      </c>
      <c r="S38" s="56">
        <f>'Price Data'!B25*S28</f>
        <v>0</v>
      </c>
      <c r="T38" s="56">
        <f>'Price Data'!B26*T28</f>
        <v>0</v>
      </c>
      <c r="U38" s="56">
        <f>'Price Data'!B27*U28</f>
        <v>0</v>
      </c>
      <c r="V38" s="56">
        <f>'Price Data'!B28*V28</f>
        <v>0</v>
      </c>
      <c r="W38" s="56">
        <f>'Price Data'!B29*W28</f>
        <v>0</v>
      </c>
      <c r="X38" s="56">
        <f>'Price Data'!B30*X28</f>
        <v>0</v>
      </c>
      <c r="Y38" s="56">
        <f>'Price Data'!B31*Y28</f>
        <v>0</v>
      </c>
      <c r="Z38" s="56">
        <f>'Price Data'!B32*Z28</f>
        <v>0</v>
      </c>
      <c r="AA38" s="56">
        <f>'Price Data'!B33*AA28</f>
        <v>0</v>
      </c>
      <c r="AB38" s="56">
        <f>'Price Data'!B34*AB28</f>
        <v>0</v>
      </c>
      <c r="AC38" s="56">
        <f>'Price Data'!B35*AC28</f>
        <v>0</v>
      </c>
      <c r="AD38" s="61">
        <v>0</v>
      </c>
    </row>
    <row r="39" spans="1:30" x14ac:dyDescent="0.25">
      <c r="A39" s="35" t="s">
        <v>151</v>
      </c>
      <c r="B39" s="52">
        <v>1</v>
      </c>
      <c r="C39" s="44" t="s">
        <v>76</v>
      </c>
      <c r="E39" s="61">
        <v>0</v>
      </c>
      <c r="F39" s="61">
        <v>0</v>
      </c>
      <c r="G39" s="61">
        <v>0</v>
      </c>
      <c r="H39" s="61">
        <v>0</v>
      </c>
      <c r="I39" s="61">
        <v>0</v>
      </c>
      <c r="J39" s="61">
        <v>0</v>
      </c>
      <c r="K39" s="61">
        <v>0</v>
      </c>
      <c r="L39" s="61">
        <v>0</v>
      </c>
      <c r="M39" s="61">
        <v>0</v>
      </c>
      <c r="N39" s="61">
        <v>0</v>
      </c>
      <c r="O39" s="61">
        <v>0</v>
      </c>
      <c r="P39" s="61">
        <v>0</v>
      </c>
      <c r="Q39" s="61">
        <v>0</v>
      </c>
      <c r="R39" s="56">
        <f>'Price Data'!B24*R29</f>
        <v>0.23567444219066938</v>
      </c>
      <c r="S39" s="56">
        <f>'Price Data'!B25*S29</f>
        <v>0.70081135902636915</v>
      </c>
      <c r="T39" s="56">
        <f>'Price Data'!B26*T29</f>
        <v>0.70238336713995941</v>
      </c>
      <c r="U39" s="56">
        <f>'Price Data'!B27*U29</f>
        <v>0.17596348884381338</v>
      </c>
      <c r="V39" s="56">
        <f>'Price Data'!B28*V29</f>
        <v>9.1151115618661252E-2</v>
      </c>
      <c r="W39" s="56">
        <f>'Price Data'!B29*W29</f>
        <v>0.17824543610547666</v>
      </c>
      <c r="X39" s="56">
        <f>'Price Data'!B30*X29</f>
        <v>0.53955375253549698</v>
      </c>
      <c r="Y39" s="56">
        <f>'Price Data'!B31*Y29</f>
        <v>0.20233265720081137</v>
      </c>
      <c r="Z39" s="56">
        <f>'Price Data'!B32*Z29</f>
        <v>0.40466531440162273</v>
      </c>
      <c r="AA39" s="56">
        <f>'Price Data'!B33*AA29</f>
        <v>0.13894523326572009</v>
      </c>
      <c r="AB39" s="56">
        <f>'Price Data'!B34*AB29</f>
        <v>0.21602434077079108</v>
      </c>
      <c r="AC39" s="56">
        <f>'Price Data'!B35*AC29</f>
        <v>0.17494929006085194</v>
      </c>
      <c r="AD39" s="56">
        <f>'Price Data'!B36*AD29</f>
        <v>1.2456896551724137</v>
      </c>
    </row>
    <row r="40" spans="1:30" x14ac:dyDescent="0.25">
      <c r="O40" s="55"/>
      <c r="P40" s="55"/>
    </row>
    <row r="41" spans="1:30" x14ac:dyDescent="0.25">
      <c r="B41" s="49"/>
      <c r="C41" s="51"/>
      <c r="E41" s="72" t="s">
        <v>182</v>
      </c>
      <c r="F41" s="72"/>
      <c r="G41" s="72"/>
      <c r="H41" s="72"/>
      <c r="I41" s="63"/>
      <c r="J41" s="63"/>
      <c r="K41" s="63"/>
      <c r="L41" s="63"/>
      <c r="M41" s="63"/>
      <c r="N41" s="63"/>
      <c r="O41" s="63"/>
      <c r="P41" s="63"/>
      <c r="Q41" s="63"/>
      <c r="R41" s="63"/>
      <c r="T41" s="63"/>
      <c r="U41" s="63"/>
      <c r="V41" s="63"/>
      <c r="W41" s="63"/>
      <c r="X41" s="63"/>
      <c r="Y41" s="63"/>
      <c r="Z41" s="63"/>
      <c r="AA41" s="63"/>
      <c r="AB41" s="63"/>
      <c r="AC41" s="63"/>
      <c r="AD41" s="63"/>
    </row>
    <row r="42" spans="1:30" x14ac:dyDescent="0.25">
      <c r="A42" s="36" t="s">
        <v>172</v>
      </c>
      <c r="B42" s="44" t="s">
        <v>76</v>
      </c>
      <c r="C42" s="44" t="s">
        <v>76</v>
      </c>
      <c r="E42" s="36" t="s">
        <v>181</v>
      </c>
      <c r="F42" s="41" t="s">
        <v>178</v>
      </c>
      <c r="G42" s="42" t="s">
        <v>179</v>
      </c>
      <c r="H42" s="42" t="s">
        <v>180</v>
      </c>
      <c r="I42" s="62" t="s">
        <v>183</v>
      </c>
      <c r="J42" s="62"/>
      <c r="K42" s="62"/>
      <c r="L42" s="62"/>
      <c r="M42" s="62"/>
      <c r="N42" s="62"/>
      <c r="O42" s="62"/>
      <c r="P42" s="62"/>
      <c r="Q42" s="62"/>
      <c r="R42" s="41"/>
      <c r="T42" s="41"/>
      <c r="U42" s="41"/>
      <c r="V42" s="41"/>
      <c r="W42" s="41"/>
      <c r="X42" s="42"/>
      <c r="Y42" s="42"/>
      <c r="Z42" s="42"/>
      <c r="AA42" s="42"/>
      <c r="AB42" s="42"/>
      <c r="AC42" s="42"/>
      <c r="AD42" s="42"/>
    </row>
    <row r="43" spans="1:30" x14ac:dyDescent="0.25">
      <c r="A43" s="43" t="s">
        <v>142</v>
      </c>
      <c r="B43" s="52">
        <v>1</v>
      </c>
      <c r="C43" s="56">
        <f>'Price Data'!B2</f>
        <v>1.4999999999999999E-2</v>
      </c>
      <c r="D43" s="49"/>
      <c r="E43" s="64">
        <f>SUM(E33:Q33)-C43</f>
        <v>-1.4999999999999999E-2</v>
      </c>
      <c r="F43" s="44" t="s">
        <v>76</v>
      </c>
      <c r="G43" s="44" t="s">
        <v>76</v>
      </c>
      <c r="H43" s="44" t="s">
        <v>76</v>
      </c>
      <c r="I43" s="64">
        <f>SUM(E43:H43)</f>
        <v>-1.4999999999999999E-2</v>
      </c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61"/>
    </row>
    <row r="44" spans="1:30" x14ac:dyDescent="0.25">
      <c r="A44" s="47" t="s">
        <v>143</v>
      </c>
      <c r="B44" s="52">
        <v>1</v>
      </c>
      <c r="C44" s="56">
        <f>'Price Data'!B3</f>
        <v>0.4</v>
      </c>
      <c r="D44" s="49"/>
      <c r="E44" s="64">
        <f t="shared" ref="E44:E47" si="4">SUM(E34:Q34)-C44</f>
        <v>1.2346153846153847</v>
      </c>
      <c r="F44" s="44" t="s">
        <v>76</v>
      </c>
      <c r="G44" s="44" t="s">
        <v>76</v>
      </c>
      <c r="H44" s="44" t="s">
        <v>76</v>
      </c>
      <c r="I44" s="64">
        <f t="shared" ref="I44:I47" si="5">SUM(E44:H44)</f>
        <v>1.2346153846153847</v>
      </c>
      <c r="K44" s="56"/>
      <c r="L44" s="56"/>
      <c r="M44" s="61"/>
      <c r="N44" s="61"/>
      <c r="O44" s="61"/>
      <c r="P44" s="61"/>
      <c r="Q44" s="61"/>
      <c r="R44" s="61"/>
      <c r="S44" s="56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61"/>
    </row>
    <row r="45" spans="1:30" x14ac:dyDescent="0.25">
      <c r="A45" s="47" t="s">
        <v>144</v>
      </c>
      <c r="B45" s="52">
        <v>1</v>
      </c>
      <c r="C45" s="56">
        <f>'Price Data'!B4</f>
        <v>0.5</v>
      </c>
      <c r="D45" s="49"/>
      <c r="E45" s="64">
        <f t="shared" si="4"/>
        <v>-0.5</v>
      </c>
      <c r="F45" s="44" t="s">
        <v>76</v>
      </c>
      <c r="G45" s="44" t="s">
        <v>76</v>
      </c>
      <c r="H45" s="44" t="s">
        <v>76</v>
      </c>
      <c r="I45" s="64">
        <f t="shared" si="5"/>
        <v>-0.5</v>
      </c>
      <c r="K45" s="56"/>
      <c r="L45" s="56"/>
      <c r="N45" s="61"/>
      <c r="O45" s="61"/>
      <c r="P45" s="61"/>
      <c r="Q45" s="61"/>
      <c r="R45" s="61"/>
      <c r="S45" s="56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61"/>
    </row>
    <row r="46" spans="1:30" x14ac:dyDescent="0.25">
      <c r="A46" s="47" t="s">
        <v>145</v>
      </c>
      <c r="B46" s="52">
        <v>1</v>
      </c>
      <c r="C46" s="56">
        <f>'Price Data'!B5</f>
        <v>2.7</v>
      </c>
      <c r="D46" s="49"/>
      <c r="E46" s="64">
        <f t="shared" si="4"/>
        <v>0.64822695035460987</v>
      </c>
      <c r="F46" s="44" t="s">
        <v>76</v>
      </c>
      <c r="G46" s="44" t="s">
        <v>76</v>
      </c>
      <c r="H46" s="44" t="s">
        <v>76</v>
      </c>
      <c r="I46" s="64">
        <f t="shared" si="5"/>
        <v>0.64822695035460987</v>
      </c>
      <c r="K46" s="61"/>
      <c r="L46" s="56"/>
      <c r="N46" s="56"/>
      <c r="O46" s="56"/>
      <c r="P46" s="56"/>
      <c r="Q46" s="56"/>
      <c r="R46" s="61"/>
      <c r="S46" s="56"/>
      <c r="T46" s="61"/>
      <c r="U46" s="61"/>
      <c r="V46" s="61"/>
      <c r="W46" s="61"/>
      <c r="X46" s="61"/>
      <c r="Y46" s="61"/>
      <c r="Z46" s="61"/>
      <c r="AA46" s="61"/>
      <c r="AB46" s="61"/>
      <c r="AC46" s="61"/>
      <c r="AD46" s="61"/>
    </row>
    <row r="47" spans="1:30" x14ac:dyDescent="0.25">
      <c r="A47" s="47" t="s">
        <v>146</v>
      </c>
      <c r="B47" s="52">
        <v>1</v>
      </c>
      <c r="C47" s="56">
        <f>'Price Data'!B6</f>
        <v>0.85</v>
      </c>
      <c r="D47" s="49"/>
      <c r="E47" s="64">
        <f t="shared" si="4"/>
        <v>1.4712765957446807</v>
      </c>
      <c r="F47" s="44" t="s">
        <v>76</v>
      </c>
      <c r="G47" s="44" t="s">
        <v>76</v>
      </c>
      <c r="H47" s="44" t="s">
        <v>76</v>
      </c>
      <c r="I47" s="64">
        <f t="shared" si="5"/>
        <v>1.4712765957446807</v>
      </c>
      <c r="K47" s="61"/>
      <c r="L47" s="61"/>
      <c r="N47" s="56"/>
      <c r="O47" s="56"/>
      <c r="P47" s="56"/>
      <c r="Q47" s="56"/>
      <c r="R47" s="61"/>
      <c r="S47" s="61"/>
      <c r="T47" s="61"/>
      <c r="U47" s="61"/>
      <c r="V47" s="61"/>
      <c r="W47" s="61"/>
      <c r="X47" s="61"/>
      <c r="Y47" s="61"/>
      <c r="Z47" s="61"/>
      <c r="AA47" s="61"/>
      <c r="AB47" s="61"/>
      <c r="AC47" s="61"/>
      <c r="AD47" s="61"/>
    </row>
    <row r="48" spans="1:30" x14ac:dyDescent="0.25">
      <c r="A48" s="35" t="s">
        <v>147</v>
      </c>
      <c r="B48" s="52">
        <v>1</v>
      </c>
      <c r="C48" s="56">
        <f>'Price Data'!B7</f>
        <v>1.2</v>
      </c>
      <c r="D48" s="49"/>
      <c r="E48" s="44" t="s">
        <v>76</v>
      </c>
      <c r="F48" s="64">
        <f>SUM(R38:W38)-C48</f>
        <v>-1.2</v>
      </c>
      <c r="G48" s="64">
        <f>SUM(X38:AC38)-C48</f>
        <v>-1.2</v>
      </c>
      <c r="H48" s="44" t="s">
        <v>76</v>
      </c>
      <c r="I48" s="64">
        <f>SUM(E48:H48)+C48</f>
        <v>-1.2</v>
      </c>
      <c r="K48" s="61"/>
      <c r="L48" s="61"/>
      <c r="N48" s="61"/>
      <c r="O48" s="61"/>
      <c r="P48" s="61"/>
      <c r="Q48" s="61"/>
      <c r="R48" s="56"/>
      <c r="S48" s="61"/>
      <c r="T48" s="56"/>
      <c r="U48" s="56"/>
      <c r="V48" s="56"/>
      <c r="W48" s="56"/>
      <c r="X48" s="56"/>
      <c r="Y48" s="56"/>
      <c r="Z48" s="56"/>
      <c r="AA48" s="56"/>
      <c r="AB48" s="56"/>
      <c r="AC48" s="56"/>
      <c r="AD48" s="61"/>
    </row>
    <row r="49" spans="1:30" x14ac:dyDescent="0.25">
      <c r="A49" s="35" t="s">
        <v>151</v>
      </c>
      <c r="B49" s="52">
        <v>1</v>
      </c>
      <c r="C49" s="56">
        <v>2.2000000000000002</v>
      </c>
      <c r="D49" s="49"/>
      <c r="E49" s="44" t="s">
        <v>76</v>
      </c>
      <c r="F49" s="64">
        <f>SUM(R39:W39)-C49</f>
        <v>-0.11577079107505117</v>
      </c>
      <c r="G49" s="64">
        <f>SUM(X39:AC39)-C49</f>
        <v>-0.5235294117647058</v>
      </c>
      <c r="H49" s="64">
        <f>AD39-C49</f>
        <v>-0.95431034482758648</v>
      </c>
      <c r="I49" s="64">
        <f>SUM(E49:H49)+2*C49</f>
        <v>2.8063894523326569</v>
      </c>
      <c r="K49" s="61"/>
      <c r="L49" s="61"/>
      <c r="N49" s="61"/>
      <c r="O49" s="61"/>
      <c r="P49" s="61"/>
      <c r="Q49" s="61"/>
      <c r="R49" s="56"/>
      <c r="S49" s="64"/>
      <c r="T49" s="56"/>
      <c r="U49" s="56"/>
      <c r="V49" s="56"/>
      <c r="W49" s="56"/>
      <c r="X49" s="56"/>
      <c r="Y49" s="56"/>
      <c r="Z49" s="56"/>
      <c r="AA49" s="56"/>
      <c r="AB49" s="56"/>
      <c r="AC49" s="56"/>
      <c r="AD49" s="56"/>
    </row>
    <row r="62" spans="1:30" ht="15" x14ac:dyDescent="0.25">
      <c r="F62" s="1"/>
    </row>
    <row r="63" spans="1:30" ht="15" x14ac:dyDescent="0.25">
      <c r="F63" s="1"/>
    </row>
    <row r="64" spans="1:30" ht="15" x14ac:dyDescent="0.25">
      <c r="F64" s="1"/>
    </row>
    <row r="65" spans="1:6" ht="15" x14ac:dyDescent="0.25">
      <c r="F65" s="1"/>
    </row>
    <row r="66" spans="1:6" ht="15" x14ac:dyDescent="0.25">
      <c r="F66" s="1"/>
    </row>
    <row r="67" spans="1:6" ht="15" x14ac:dyDescent="0.25">
      <c r="F67" s="1"/>
    </row>
    <row r="68" spans="1:6" ht="15" x14ac:dyDescent="0.25">
      <c r="F68" s="1"/>
    </row>
    <row r="76" spans="1:6" ht="15" x14ac:dyDescent="0.25">
      <c r="A76"/>
    </row>
  </sheetData>
  <mergeCells count="5">
    <mergeCell ref="E41:H41"/>
    <mergeCell ref="E31:AD31"/>
    <mergeCell ref="E1:AD1"/>
    <mergeCell ref="E11:AD11"/>
    <mergeCell ref="E21:AD21"/>
  </mergeCells>
  <conditionalFormatting sqref="E43">
    <cfRule type="cellIs" dxfId="19" priority="15" operator="greaterThanOrEqual">
      <formula>C43</formula>
    </cfRule>
    <cfRule type="cellIs" dxfId="18" priority="16" operator="lessThanOrEqual">
      <formula>C43</formula>
    </cfRule>
  </conditionalFormatting>
  <conditionalFormatting sqref="E44">
    <cfRule type="cellIs" dxfId="17" priority="13" operator="greaterThanOrEqual">
      <formula>C44</formula>
    </cfRule>
    <cfRule type="cellIs" dxfId="16" priority="14" operator="lessThanOrEqual">
      <formula>C44</formula>
    </cfRule>
  </conditionalFormatting>
  <conditionalFormatting sqref="E45">
    <cfRule type="cellIs" dxfId="15" priority="11" operator="greaterThanOrEqual">
      <formula>C45</formula>
    </cfRule>
    <cfRule type="cellIs" dxfId="14" priority="12" operator="lessThanOrEqual">
      <formula>C45</formula>
    </cfRule>
  </conditionalFormatting>
  <conditionalFormatting sqref="E46">
    <cfRule type="cellIs" dxfId="13" priority="9" operator="greaterThanOrEqual">
      <formula>C46</formula>
    </cfRule>
    <cfRule type="cellIs" dxfId="12" priority="10" operator="lessThanOrEqual">
      <formula>C46</formula>
    </cfRule>
  </conditionalFormatting>
  <conditionalFormatting sqref="E47">
    <cfRule type="cellIs" dxfId="11" priority="7" operator="greaterThanOrEqual">
      <formula>C47</formula>
    </cfRule>
    <cfRule type="cellIs" dxfId="10" priority="8" operator="lessThanOrEqual">
      <formula>C47</formula>
    </cfRule>
  </conditionalFormatting>
  <conditionalFormatting sqref="F48">
    <cfRule type="cellIs" dxfId="9" priority="21" operator="greaterThanOrEqual">
      <formula>C48</formula>
    </cfRule>
    <cfRule type="cellIs" dxfId="8" priority="22" operator="lessThanOrEqual">
      <formula>C48</formula>
    </cfRule>
  </conditionalFormatting>
  <conditionalFormatting sqref="F49">
    <cfRule type="cellIs" dxfId="7" priority="5" operator="greaterThanOrEqual">
      <formula>C49</formula>
    </cfRule>
    <cfRule type="cellIs" dxfId="6" priority="6" operator="lessThanOrEqual">
      <formula>C49</formula>
    </cfRule>
  </conditionalFormatting>
  <conditionalFormatting sqref="G48">
    <cfRule type="cellIs" dxfId="5" priority="19" operator="greaterThanOrEqual">
      <formula>C48</formula>
    </cfRule>
    <cfRule type="cellIs" dxfId="4" priority="20" operator="lessThanOrEqual">
      <formula>C48</formula>
    </cfRule>
  </conditionalFormatting>
  <conditionalFormatting sqref="G49">
    <cfRule type="cellIs" dxfId="3" priority="3" operator="greaterThanOrEqual">
      <formula>C49</formula>
    </cfRule>
    <cfRule type="cellIs" dxfId="2" priority="4" operator="lessThanOrEqual">
      <formula>C49</formula>
    </cfRule>
  </conditionalFormatting>
  <conditionalFormatting sqref="H49">
    <cfRule type="cellIs" dxfId="1" priority="1" operator="greaterThanOrEqual">
      <formula>$C$49</formula>
    </cfRule>
    <cfRule type="cellIs" dxfId="0" priority="2" operator="lessThanOrEqual">
      <formula>$C$49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Stockpile</vt:lpstr>
      <vt:lpstr>Demographic Data</vt:lpstr>
      <vt:lpstr>Price Data</vt:lpstr>
      <vt:lpstr>Prospect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ket</dc:creator>
  <cp:lastModifiedBy>ket</cp:lastModifiedBy>
  <dcterms:created xsi:type="dcterms:W3CDTF">2021-03-09T17:39:50Z</dcterms:created>
  <dcterms:modified xsi:type="dcterms:W3CDTF">2024-07-18T15:32:05Z</dcterms:modified>
</cp:coreProperties>
</file>