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t\Desktop\Nowy folder\"/>
    </mc:Choice>
  </mc:AlternateContent>
  <xr:revisionPtr revIDLastSave="0" documentId="13_ncr:1_{9E8FFFD1-5864-4E65-AAAA-69FC88DC1C95}" xr6:coauthVersionLast="47" xr6:coauthVersionMax="47" xr10:uidLastSave="{00000000-0000-0000-0000-000000000000}"/>
  <bookViews>
    <workbookView xWindow="-120" yWindow="-120" windowWidth="29040" windowHeight="15840" activeTab="3" xr2:uid="{C7B3B4E1-475B-47C2-8A01-179933B86B65}"/>
  </bookViews>
  <sheets>
    <sheet name="Price Data" sheetId="5" r:id="rId1"/>
    <sheet name="Enchanting" sheetId="8" r:id="rId2"/>
    <sheet name="Prospect" sheetId="2" r:id="rId3"/>
    <sheet name="Milling" sheetId="10" r:id="rId4"/>
    <sheet name="Alchemy" sheetId="12" r:id="rId5"/>
    <sheet name="Shuffle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20" i="9" l="1"/>
  <c r="V14" i="2"/>
  <c r="U14" i="2"/>
  <c r="T14" i="2"/>
  <c r="S14" i="2"/>
  <c r="R14" i="2"/>
  <c r="Q14" i="2"/>
  <c r="Q9" i="2"/>
  <c r="R9" i="2"/>
  <c r="S9" i="2"/>
  <c r="T9" i="2"/>
  <c r="U9" i="2"/>
  <c r="V9" i="2"/>
  <c r="B4" i="2"/>
  <c r="X9" i="2" s="1"/>
  <c r="X14" i="2" s="1"/>
  <c r="H19" i="2" s="1"/>
  <c r="E16" i="12"/>
  <c r="F16" i="12" s="1"/>
  <c r="E12" i="12"/>
  <c r="F12" i="12" s="1"/>
  <c r="AJ35" i="9"/>
  <c r="E9" i="12"/>
  <c r="F9" i="12" s="1"/>
  <c r="E8" i="12"/>
  <c r="F8" i="12" s="1"/>
  <c r="E7" i="12"/>
  <c r="F7" i="12" s="1"/>
  <c r="E3" i="12"/>
  <c r="E2" i="12"/>
  <c r="F2" i="12" s="1"/>
  <c r="E4" i="12"/>
  <c r="F4" i="12" s="1"/>
  <c r="E5" i="12"/>
  <c r="F5" i="12" s="1"/>
  <c r="E14" i="12"/>
  <c r="F14" i="12" s="1"/>
  <c r="E13" i="12"/>
  <c r="F13" i="12" s="1"/>
  <c r="E11" i="12"/>
  <c r="F11" i="12" s="1"/>
  <c r="D8" i="12"/>
  <c r="D9" i="12"/>
  <c r="D7" i="12"/>
  <c r="B4" i="10"/>
  <c r="B3" i="10"/>
  <c r="B6" i="10"/>
  <c r="B5" i="10"/>
  <c r="B7" i="10"/>
  <c r="D12" i="12"/>
  <c r="D13" i="12"/>
  <c r="D14" i="12"/>
  <c r="D11" i="12"/>
  <c r="D16" i="12"/>
  <c r="D4" i="12"/>
  <c r="D5" i="12"/>
  <c r="D3" i="12"/>
  <c r="D2" i="12"/>
  <c r="AB20" i="9"/>
  <c r="AF20" i="9" s="1"/>
  <c r="AC20" i="9"/>
  <c r="AG20" i="9" s="1"/>
  <c r="AD20" i="9"/>
  <c r="AH20" i="9" s="1"/>
  <c r="AI20" i="9"/>
  <c r="AJ10" i="9"/>
  <c r="AN10" i="9" s="1"/>
  <c r="AF10" i="9"/>
  <c r="AG10" i="9"/>
  <c r="AH10" i="9"/>
  <c r="AI10" i="9"/>
  <c r="AI9" i="9"/>
  <c r="AD10" i="9"/>
  <c r="AC10" i="9"/>
  <c r="AB10" i="9"/>
  <c r="AJ12" i="9"/>
  <c r="B9" i="10"/>
  <c r="B8" i="10"/>
  <c r="F8" i="10" s="1"/>
  <c r="H8" i="10" s="1"/>
  <c r="J8" i="10" s="1"/>
  <c r="F7" i="10"/>
  <c r="P7" i="10" s="1"/>
  <c r="O20" i="10"/>
  <c r="O21" i="10"/>
  <c r="O22" i="10"/>
  <c r="O19" i="10"/>
  <c r="AB35" i="9"/>
  <c r="AF35" i="9" s="1"/>
  <c r="AC35" i="9"/>
  <c r="AG35" i="9" s="1"/>
  <c r="AD35" i="9"/>
  <c r="AH35" i="9" s="1"/>
  <c r="AE35" i="9"/>
  <c r="AI35" i="9" s="1"/>
  <c r="AE34" i="9"/>
  <c r="AI34" i="9" s="1"/>
  <c r="AE33" i="9"/>
  <c r="AE32" i="9"/>
  <c r="AE31" i="9"/>
  <c r="AI31" i="9" s="1"/>
  <c r="AE28" i="9"/>
  <c r="AI28" i="9" s="1"/>
  <c r="AB34" i="9"/>
  <c r="AF34" i="9" s="1"/>
  <c r="AB33" i="9"/>
  <c r="AF33" i="9" s="1"/>
  <c r="AB32" i="9"/>
  <c r="AF32" i="9" s="1"/>
  <c r="AB31" i="9"/>
  <c r="AF31" i="9" s="1"/>
  <c r="AC34" i="9"/>
  <c r="AG34" i="9" s="1"/>
  <c r="AC33" i="9"/>
  <c r="AG33" i="9" s="1"/>
  <c r="AC32" i="9"/>
  <c r="AC31" i="9"/>
  <c r="AG31" i="9" s="1"/>
  <c r="AD34" i="9"/>
  <c r="AH34" i="9" s="1"/>
  <c r="AD33" i="9"/>
  <c r="AH33" i="9" s="1"/>
  <c r="AD32" i="9"/>
  <c r="AH32" i="9" s="1"/>
  <c r="AD31" i="9"/>
  <c r="AH31" i="9" s="1"/>
  <c r="AD28" i="9"/>
  <c r="AH28" i="9" s="1"/>
  <c r="AC28" i="9"/>
  <c r="AB28" i="9"/>
  <c r="AB27" i="9"/>
  <c r="AB26" i="9"/>
  <c r="AF26" i="9" s="1"/>
  <c r="AB25" i="9"/>
  <c r="AF25" i="9" s="1"/>
  <c r="AB24" i="9"/>
  <c r="AF24" i="9" s="1"/>
  <c r="AB23" i="9"/>
  <c r="AF23" i="9" s="1"/>
  <c r="AC27" i="9"/>
  <c r="AC26" i="9"/>
  <c r="AC25" i="9"/>
  <c r="AG25" i="9" s="1"/>
  <c r="AC24" i="9"/>
  <c r="AG24" i="9" s="1"/>
  <c r="AC23" i="9"/>
  <c r="AG23" i="9" s="1"/>
  <c r="AD23" i="9"/>
  <c r="AH23" i="9" s="1"/>
  <c r="AD24" i="9"/>
  <c r="AH24" i="9" s="1"/>
  <c r="AD25" i="9"/>
  <c r="AD26" i="9"/>
  <c r="AH26" i="9" s="1"/>
  <c r="AD27" i="9"/>
  <c r="AE19" i="9"/>
  <c r="AD19" i="9"/>
  <c r="AC19" i="9"/>
  <c r="AG19" i="9" s="1"/>
  <c r="AB19" i="9"/>
  <c r="AF19" i="9" s="1"/>
  <c r="AC12" i="9"/>
  <c r="AD17" i="9"/>
  <c r="AC8" i="9"/>
  <c r="AB8" i="9"/>
  <c r="AG32" i="9"/>
  <c r="AI32" i="9"/>
  <c r="AI33" i="9"/>
  <c r="AJ34" i="9"/>
  <c r="AJ32" i="9"/>
  <c r="AJ33" i="9"/>
  <c r="AJ31" i="9"/>
  <c r="AJ28" i="9"/>
  <c r="AJ18" i="9"/>
  <c r="AI24" i="9"/>
  <c r="AI25" i="9"/>
  <c r="AI26" i="9"/>
  <c r="AI27" i="9"/>
  <c r="AH25" i="9"/>
  <c r="AG26" i="9"/>
  <c r="AF27" i="9"/>
  <c r="AG27" i="9"/>
  <c r="AH27" i="9"/>
  <c r="AF28" i="9"/>
  <c r="AG28" i="9"/>
  <c r="AI23" i="9"/>
  <c r="AJ24" i="9"/>
  <c r="AJ25" i="9"/>
  <c r="AJ26" i="9"/>
  <c r="AJ27" i="9"/>
  <c r="AJ23" i="9"/>
  <c r="AJ19" i="9"/>
  <c r="F3" i="10"/>
  <c r="H3" i="10" s="1"/>
  <c r="J3" i="10" s="1"/>
  <c r="W4" i="10"/>
  <c r="W5" i="10"/>
  <c r="W6" i="10"/>
  <c r="W7" i="10"/>
  <c r="W8" i="10"/>
  <c r="W9" i="10"/>
  <c r="W3" i="10"/>
  <c r="F3" i="12" l="1"/>
  <c r="G19" i="2"/>
  <c r="N25" i="10"/>
  <c r="AK20" i="9"/>
  <c r="AN20" i="9"/>
  <c r="AK10" i="9"/>
  <c r="AK25" i="9"/>
  <c r="AK33" i="9"/>
  <c r="P8" i="10"/>
  <c r="H7" i="10"/>
  <c r="J7" i="10" s="1"/>
  <c r="AK34" i="9"/>
  <c r="AK35" i="9"/>
  <c r="AK19" i="9"/>
  <c r="AK31" i="9"/>
  <c r="AK23" i="9"/>
  <c r="AK28" i="9"/>
  <c r="AK32" i="9"/>
  <c r="AK26" i="9"/>
  <c r="AK27" i="9"/>
  <c r="AK24" i="9"/>
  <c r="T7" i="10"/>
  <c r="G4" i="10" l="1"/>
  <c r="G5" i="10"/>
  <c r="G6" i="10"/>
  <c r="G7" i="10"/>
  <c r="G8" i="10"/>
  <c r="G9" i="10"/>
  <c r="G3" i="10"/>
  <c r="P3" i="10"/>
  <c r="F5" i="10"/>
  <c r="F4" i="10"/>
  <c r="F6" i="10"/>
  <c r="F9" i="10"/>
  <c r="B3" i="2"/>
  <c r="AB17" i="9"/>
  <c r="AF17" i="9" s="1"/>
  <c r="AC17" i="9"/>
  <c r="AG17" i="9" s="1"/>
  <c r="AH17" i="9"/>
  <c r="AN18" i="9"/>
  <c r="AB12" i="9"/>
  <c r="AF12" i="9" s="1"/>
  <c r="AG12" i="9"/>
  <c r="AD12" i="9"/>
  <c r="AH12" i="9" s="1"/>
  <c r="AE12" i="9"/>
  <c r="AI12" i="9" s="1"/>
  <c r="AH19" i="9"/>
  <c r="AI4" i="9"/>
  <c r="AI5" i="9"/>
  <c r="AI6" i="9"/>
  <c r="AI7" i="9"/>
  <c r="AI8" i="9"/>
  <c r="AI11" i="9"/>
  <c r="AI15" i="9"/>
  <c r="AI16" i="9"/>
  <c r="AI17" i="9"/>
  <c r="AI3" i="9"/>
  <c r="AI19" i="9"/>
  <c r="AJ17" i="9"/>
  <c r="AN17" i="9" s="1"/>
  <c r="AD16" i="9"/>
  <c r="AH16" i="9" s="1"/>
  <c r="AC16" i="9"/>
  <c r="AG16" i="9" s="1"/>
  <c r="AB16" i="9"/>
  <c r="AF16" i="9" s="1"/>
  <c r="AJ16" i="9"/>
  <c r="AN16" i="9" s="1"/>
  <c r="AJ15" i="9"/>
  <c r="AN15" i="9" s="1"/>
  <c r="AB15" i="9"/>
  <c r="AF15" i="9" s="1"/>
  <c r="AC15" i="9"/>
  <c r="AG15" i="9" s="1"/>
  <c r="AD15" i="9"/>
  <c r="AH15" i="9" s="1"/>
  <c r="AD4" i="9"/>
  <c r="AH4" i="9" s="1"/>
  <c r="AD5" i="9"/>
  <c r="AH5" i="9" s="1"/>
  <c r="AD6" i="9"/>
  <c r="AH6" i="9" s="1"/>
  <c r="AD7" i="9"/>
  <c r="AH7" i="9" s="1"/>
  <c r="AD8" i="9"/>
  <c r="AH8" i="9" s="1"/>
  <c r="AD9" i="9"/>
  <c r="AH9" i="9" s="1"/>
  <c r="AD11" i="9"/>
  <c r="AH11" i="9" s="1"/>
  <c r="AD3" i="9"/>
  <c r="AH3" i="9" s="1"/>
  <c r="AC4" i="9"/>
  <c r="AG4" i="9" s="1"/>
  <c r="AC5" i="9"/>
  <c r="AG5" i="9" s="1"/>
  <c r="AC6" i="9"/>
  <c r="AG6" i="9" s="1"/>
  <c r="AC7" i="9"/>
  <c r="AG7" i="9" s="1"/>
  <c r="AG8" i="9"/>
  <c r="AC9" i="9"/>
  <c r="AG9" i="9" s="1"/>
  <c r="AC11" i="9"/>
  <c r="AG11" i="9" s="1"/>
  <c r="AC3" i="9"/>
  <c r="AG3" i="9" s="1"/>
  <c r="AB4" i="9"/>
  <c r="AF4" i="9" s="1"/>
  <c r="AB5" i="9"/>
  <c r="AF5" i="9" s="1"/>
  <c r="AB6" i="9"/>
  <c r="AF6" i="9" s="1"/>
  <c r="AB7" i="9"/>
  <c r="AF7" i="9" s="1"/>
  <c r="AF8" i="9"/>
  <c r="AB9" i="9"/>
  <c r="AF9" i="9" s="1"/>
  <c r="AB11" i="9"/>
  <c r="AF11" i="9" s="1"/>
  <c r="AB3" i="9"/>
  <c r="AF3" i="9" s="1"/>
  <c r="AJ11" i="9"/>
  <c r="AN11" i="9" s="1"/>
  <c r="AJ4" i="9"/>
  <c r="AN4" i="9" s="1"/>
  <c r="AJ5" i="9"/>
  <c r="AN5" i="9" s="1"/>
  <c r="AJ6" i="9"/>
  <c r="AN6" i="9" s="1"/>
  <c r="AJ7" i="9"/>
  <c r="AN7" i="9" s="1"/>
  <c r="AJ8" i="9"/>
  <c r="AN8" i="9" s="1"/>
  <c r="AJ9" i="9"/>
  <c r="AN9" i="9" s="1"/>
  <c r="AJ3" i="9"/>
  <c r="AN3" i="9" s="1"/>
  <c r="I10" i="8"/>
  <c r="K10" i="8" s="1"/>
  <c r="I27" i="8"/>
  <c r="K27" i="8" s="1"/>
  <c r="I25" i="8"/>
  <c r="K25" i="8" s="1"/>
  <c r="I20" i="8"/>
  <c r="K20" i="8" s="1"/>
  <c r="I3" i="8"/>
  <c r="K3" i="8" s="1"/>
  <c r="I4" i="8"/>
  <c r="K4" i="8" s="1"/>
  <c r="I5" i="8"/>
  <c r="K5" i="8" s="1"/>
  <c r="I6" i="8"/>
  <c r="K6" i="8" s="1"/>
  <c r="I7" i="8"/>
  <c r="K7" i="8" s="1"/>
  <c r="I8" i="8"/>
  <c r="K8" i="8" s="1"/>
  <c r="I9" i="8"/>
  <c r="K9" i="8" s="1"/>
  <c r="I11" i="8"/>
  <c r="K11" i="8" s="1"/>
  <c r="I12" i="8"/>
  <c r="K12" i="8" s="1"/>
  <c r="I13" i="8"/>
  <c r="K13" i="8" s="1"/>
  <c r="I14" i="8"/>
  <c r="K14" i="8" s="1"/>
  <c r="I15" i="8"/>
  <c r="K15" i="8" s="1"/>
  <c r="I16" i="8"/>
  <c r="K16" i="8" s="1"/>
  <c r="I17" i="8"/>
  <c r="K17" i="8" s="1"/>
  <c r="I18" i="8"/>
  <c r="K18" i="8" s="1"/>
  <c r="I19" i="8"/>
  <c r="K19" i="8" s="1"/>
  <c r="I21" i="8"/>
  <c r="K21" i="8" s="1"/>
  <c r="I22" i="8"/>
  <c r="K22" i="8" s="1"/>
  <c r="I23" i="8"/>
  <c r="K23" i="8" s="1"/>
  <c r="I24" i="8"/>
  <c r="K24" i="8" s="1"/>
  <c r="I26" i="8"/>
  <c r="K26" i="8" s="1"/>
  <c r="I28" i="8"/>
  <c r="K28" i="8" s="1"/>
  <c r="I29" i="8"/>
  <c r="K29" i="8" s="1"/>
  <c r="I2" i="8"/>
  <c r="K2" i="8" s="1"/>
  <c r="P9" i="2"/>
  <c r="P14" i="2" s="1"/>
  <c r="F9" i="2"/>
  <c r="F14" i="2" s="1"/>
  <c r="G9" i="2"/>
  <c r="G14" i="2" s="1"/>
  <c r="H9" i="2"/>
  <c r="H14" i="2" s="1"/>
  <c r="I9" i="2"/>
  <c r="I14" i="2" s="1"/>
  <c r="J9" i="2"/>
  <c r="J14" i="2" s="1"/>
  <c r="K9" i="2"/>
  <c r="K14" i="2" s="1"/>
  <c r="L9" i="2"/>
  <c r="L14" i="2" s="1"/>
  <c r="M9" i="2"/>
  <c r="M14" i="2" s="1"/>
  <c r="N9" i="2"/>
  <c r="N14" i="2" s="1"/>
  <c r="O9" i="2"/>
  <c r="O14" i="2" s="1"/>
  <c r="E9" i="2"/>
  <c r="E14" i="2" s="1"/>
  <c r="E8" i="2" l="1"/>
  <c r="E13" i="2" s="1"/>
  <c r="J8" i="2"/>
  <c r="J13" i="2" s="1"/>
  <c r="F19" i="2"/>
  <c r="E19" i="2"/>
  <c r="Q3" i="10"/>
  <c r="I3" i="10"/>
  <c r="K3" i="10" s="1"/>
  <c r="L3" i="10" s="1"/>
  <c r="N3" i="10" s="1"/>
  <c r="P6" i="10"/>
  <c r="T6" i="10" s="1"/>
  <c r="H6" i="10"/>
  <c r="J6" i="10" s="1"/>
  <c r="Q6" i="10"/>
  <c r="R6" i="10" s="1"/>
  <c r="S6" i="10" s="1"/>
  <c r="U6" i="10" s="1"/>
  <c r="V6" i="10" s="1"/>
  <c r="I6" i="10"/>
  <c r="K6" i="10" s="1"/>
  <c r="I8" i="10"/>
  <c r="K8" i="10" s="1"/>
  <c r="L8" i="10" s="1"/>
  <c r="N8" i="10" s="1"/>
  <c r="O8" i="10" s="1"/>
  <c r="Q8" i="10"/>
  <c r="R8" i="10" s="1"/>
  <c r="H5" i="10"/>
  <c r="J5" i="10" s="1"/>
  <c r="P5" i="10"/>
  <c r="T5" i="10" s="1"/>
  <c r="Q5" i="10"/>
  <c r="I5" i="10"/>
  <c r="K5" i="10" s="1"/>
  <c r="Q7" i="10"/>
  <c r="R7" i="10" s="1"/>
  <c r="S7" i="10" s="1"/>
  <c r="U7" i="10" s="1"/>
  <c r="V7" i="10" s="1"/>
  <c r="I7" i="10"/>
  <c r="K7" i="10" s="1"/>
  <c r="L7" i="10" s="1"/>
  <c r="N7" i="10" s="1"/>
  <c r="O7" i="10" s="1"/>
  <c r="Q4" i="10"/>
  <c r="I4" i="10"/>
  <c r="K4" i="10" s="1"/>
  <c r="H4" i="10"/>
  <c r="J4" i="10" s="1"/>
  <c r="P4" i="10"/>
  <c r="T4" i="10" s="1"/>
  <c r="I9" i="10"/>
  <c r="K9" i="10" s="1"/>
  <c r="Q9" i="10"/>
  <c r="N15" i="10"/>
  <c r="P9" i="10"/>
  <c r="T9" i="10" s="1"/>
  <c r="H9" i="10"/>
  <c r="J9" i="10" s="1"/>
  <c r="T3" i="10"/>
  <c r="AK6" i="9"/>
  <c r="AK9" i="9"/>
  <c r="AK15" i="9"/>
  <c r="AK7" i="9"/>
  <c r="AK12" i="9"/>
  <c r="AK3" i="9"/>
  <c r="AK8" i="9"/>
  <c r="AK11" i="9"/>
  <c r="AK5" i="9"/>
  <c r="AK4" i="9"/>
  <c r="AK17" i="9"/>
  <c r="AK16" i="9"/>
  <c r="H8" i="2"/>
  <c r="H13" i="2" s="1"/>
  <c r="I8" i="2"/>
  <c r="I13" i="2" s="1"/>
  <c r="K8" i="2"/>
  <c r="K13" i="2" s="1"/>
  <c r="L8" i="2"/>
  <c r="L13" i="2" s="1"/>
  <c r="M8" i="2"/>
  <c r="M13" i="2" s="1"/>
  <c r="N8" i="2"/>
  <c r="N13" i="2" s="1"/>
  <c r="O8" i="2"/>
  <c r="O13" i="2" s="1"/>
  <c r="P8" i="2"/>
  <c r="P13" i="2" s="1"/>
  <c r="I19" i="2" l="1"/>
  <c r="F18" i="2"/>
  <c r="O3" i="10"/>
  <c r="R3" i="10"/>
  <c r="S3" i="10" s="1"/>
  <c r="U3" i="10" s="1"/>
  <c r="V3" i="10" s="1"/>
  <c r="L6" i="10"/>
  <c r="N6" i="10" s="1"/>
  <c r="O6" i="10" s="1"/>
  <c r="Y6" i="10"/>
  <c r="X6" i="10"/>
  <c r="L5" i="10"/>
  <c r="N5" i="10" s="1"/>
  <c r="O5" i="10" s="1"/>
  <c r="R5" i="10"/>
  <c r="S5" i="10" s="1"/>
  <c r="U5" i="10" s="1"/>
  <c r="V5" i="10" s="1"/>
  <c r="Y7" i="10"/>
  <c r="X7" i="10"/>
  <c r="L4" i="10"/>
  <c r="N4" i="10" s="1"/>
  <c r="O4" i="10" s="1"/>
  <c r="R4" i="10"/>
  <c r="S4" i="10" s="1"/>
  <c r="U4" i="10" s="1"/>
  <c r="V4" i="10" s="1"/>
  <c r="R9" i="10"/>
  <c r="S9" i="10" s="1"/>
  <c r="U9" i="10" s="1"/>
  <c r="V9" i="10" s="1"/>
  <c r="L9" i="10"/>
  <c r="N9" i="10" s="1"/>
  <c r="O9" i="10" s="1"/>
  <c r="G8" i="2"/>
  <c r="G13" i="2" s="1"/>
  <c r="F8" i="2"/>
  <c r="F13" i="2" s="1"/>
  <c r="E18" i="2" l="1"/>
  <c r="I18" i="2" s="1"/>
  <c r="Y3" i="10"/>
  <c r="Y5" i="10"/>
  <c r="X5" i="10"/>
  <c r="X4" i="10"/>
  <c r="Y4" i="10"/>
  <c r="X9" i="10"/>
  <c r="Y9" i="10"/>
  <c r="X3" i="10"/>
  <c r="S8" i="10"/>
  <c r="U8" i="10" s="1"/>
  <c r="T8" i="10"/>
  <c r="O15" i="10"/>
  <c r="V8" i="10" l="1"/>
  <c r="P21" i="10" l="1"/>
  <c r="P22" i="10"/>
  <c r="P20" i="10"/>
  <c r="P19" i="10"/>
  <c r="X8" i="10"/>
  <c r="P15" i="10" s="1"/>
  <c r="Y8" i="10"/>
  <c r="P25" i="10" l="1"/>
  <c r="O25" i="10"/>
</calcChain>
</file>

<file path=xl/sharedStrings.xml><?xml version="1.0" encoding="utf-8"?>
<sst xmlns="http://schemas.openxmlformats.org/spreadsheetml/2006/main" count="424" uniqueCount="218">
  <si>
    <t>X</t>
  </si>
  <si>
    <t>Amount</t>
  </si>
  <si>
    <t>Price</t>
  </si>
  <si>
    <t>Ores</t>
  </si>
  <si>
    <t>Gems</t>
  </si>
  <si>
    <t>Live DATA [%]</t>
  </si>
  <si>
    <t>Greens</t>
  </si>
  <si>
    <t>Blues</t>
  </si>
  <si>
    <t>Total</t>
  </si>
  <si>
    <t>Live DATA [Amount]</t>
  </si>
  <si>
    <t>Saronite Ore</t>
  </si>
  <si>
    <t>Titanium Ore</t>
  </si>
  <si>
    <t>Sun Crystal</t>
  </si>
  <si>
    <t>Shadow Crystal</t>
  </si>
  <si>
    <t>Huge Citrine</t>
  </si>
  <si>
    <t>Dark Jade</t>
  </si>
  <si>
    <t>Chalcedony</t>
  </si>
  <si>
    <t>Bloodstone</t>
  </si>
  <si>
    <t>Twilight Opal</t>
  </si>
  <si>
    <t>Sky Sapphire</t>
  </si>
  <si>
    <t>Scarlet Ruby</t>
  </si>
  <si>
    <t>Monarch Topaz</t>
  </si>
  <si>
    <t>Forest Emerald</t>
  </si>
  <si>
    <t>Autumn's Glow</t>
  </si>
  <si>
    <t>Eternals</t>
  </si>
  <si>
    <t>Eternal Earth</t>
  </si>
  <si>
    <t>Eternal Water</t>
  </si>
  <si>
    <t>Eternal Fire</t>
  </si>
  <si>
    <t>Eternal Life</t>
  </si>
  <si>
    <t>Eternal Shadow</t>
  </si>
  <si>
    <t>Eternal Air</t>
  </si>
  <si>
    <t>Enchanting</t>
  </si>
  <si>
    <t>Infinite Dust</t>
  </si>
  <si>
    <t>Dream Shard</t>
  </si>
  <si>
    <t>Abyss Crystal</t>
  </si>
  <si>
    <t>Greater Cosmic Essence</t>
  </si>
  <si>
    <t>Wotlk</t>
  </si>
  <si>
    <t>Name</t>
  </si>
  <si>
    <t>Dust</t>
  </si>
  <si>
    <t>Essence</t>
  </si>
  <si>
    <t>Dream</t>
  </si>
  <si>
    <t>Abyss</t>
  </si>
  <si>
    <t>Cost</t>
  </si>
  <si>
    <t>Profit</t>
  </si>
  <si>
    <t>Titanium Bar</t>
  </si>
  <si>
    <t xml:space="preserve"> Enchant Staff - Greater Spellpower</t>
  </si>
  <si>
    <t xml:space="preserve"> Enchant Boots - Greater Assault</t>
  </si>
  <si>
    <t xml:space="preserve"> Enchant Boots - Tuskarr's Vitality</t>
  </si>
  <si>
    <t xml:space="preserve"> Enchant Chest - Powerful Stats</t>
  </si>
  <si>
    <t xml:space="preserve"> Enchant Cloak - Wisdom</t>
  </si>
  <si>
    <t xml:space="preserve"> Enchant Weapon - Berserking</t>
  </si>
  <si>
    <t xml:space="preserve"> Enchant Weapon - Black Magic</t>
  </si>
  <si>
    <t xml:space="preserve"> Enchant Cloak - Titanweave</t>
  </si>
  <si>
    <t xml:space="preserve"> Enchant Weapon - Mighty Spellpower</t>
  </si>
  <si>
    <t xml:space="preserve"> Enchant Weapon - Superior Potency</t>
  </si>
  <si>
    <t xml:space="preserve"> Enchant 2H Weapon - Massacre</t>
  </si>
  <si>
    <t xml:space="preserve"> Enchant Bracers - Greater Assault</t>
  </si>
  <si>
    <t xml:space="preserve"> Enchant Cloak - Greater Speed</t>
  </si>
  <si>
    <t xml:space="preserve"> Enchant Cloak - Mighty Armor</t>
  </si>
  <si>
    <t xml:space="preserve"> Enchant Chest - Super Health</t>
  </si>
  <si>
    <t xml:space="preserve"> Enchant Chest - Greater Mana Restoration</t>
  </si>
  <si>
    <t xml:space="preserve"> Enchant Cloak - Major Agility</t>
  </si>
  <si>
    <t xml:space="preserve"> Enchant Shield - Defense</t>
  </si>
  <si>
    <t xml:space="preserve"> Enchant Boots - Superior Agility</t>
  </si>
  <si>
    <t xml:space="preserve"> Enchant Gloves - Major Agility</t>
  </si>
  <si>
    <t xml:space="preserve"> Enchant Boots - Greater Spirit</t>
  </si>
  <si>
    <t xml:space="preserve"> Enchant Gloves - Precision</t>
  </si>
  <si>
    <t xml:space="preserve"> Enchant Chest - Greater Defense</t>
  </si>
  <si>
    <t xml:space="preserve"> Enchant Shield - Greater Intellect</t>
  </si>
  <si>
    <t xml:space="preserve"> Enchant Boots - Icewalker</t>
  </si>
  <si>
    <t xml:space="preserve"> Enchant Boots - Greater Fortitude</t>
  </si>
  <si>
    <t xml:space="preserve"> Enchant Gloves - Exceptional Spellpower</t>
  </si>
  <si>
    <t xml:space="preserve">Sell </t>
  </si>
  <si>
    <t>Blood Sun Necklace</t>
  </si>
  <si>
    <t>Jade Ring of Slaying</t>
  </si>
  <si>
    <t>Jade Dagger Pendant</t>
  </si>
  <si>
    <t>Crystal Citrine Necklace</t>
  </si>
  <si>
    <t>Earthshadow Ring</t>
  </si>
  <si>
    <t>Sun Rock Ring</t>
  </si>
  <si>
    <t>Crystal Chalcedony Amulet</t>
  </si>
  <si>
    <t>DE Amount</t>
  </si>
  <si>
    <t>DE %</t>
  </si>
  <si>
    <t>DE Income</t>
  </si>
  <si>
    <t xml:space="preserve"> Enchant Bracer - Superior Spellpower</t>
  </si>
  <si>
    <t>Cobalt Ore</t>
  </si>
  <si>
    <t>Frozen Orb</t>
  </si>
  <si>
    <t>Icebane Treads</t>
  </si>
  <si>
    <t>Vendor</t>
  </si>
  <si>
    <t>Spiked Cobalt Belt</t>
  </si>
  <si>
    <t>Horned Cobalt Helm</t>
  </si>
  <si>
    <t>Notched Cobalt War Axe</t>
  </si>
  <si>
    <t>Titanium Frostguard Ring</t>
  </si>
  <si>
    <t>Ore</t>
  </si>
  <si>
    <t>Eternal</t>
  </si>
  <si>
    <t>Earth</t>
  </si>
  <si>
    <t xml:space="preserve"> Fire</t>
  </si>
  <si>
    <t>Water</t>
  </si>
  <si>
    <t>Cobalt</t>
  </si>
  <si>
    <t>Saronite</t>
  </si>
  <si>
    <t>Titanium</t>
  </si>
  <si>
    <t>Craft</t>
  </si>
  <si>
    <t>Sell Price</t>
  </si>
  <si>
    <t>Forged Cobalt Claymore</t>
  </si>
  <si>
    <t>Bloodstone Band</t>
  </si>
  <si>
    <t>Goldclover</t>
  </si>
  <si>
    <t>Azure</t>
  </si>
  <si>
    <t>Icy</t>
  </si>
  <si>
    <t>Lichbloom</t>
  </si>
  <si>
    <t>Adder's Tongue</t>
  </si>
  <si>
    <t>Deadnettle</t>
  </si>
  <si>
    <t>Talandra's Rose</t>
  </si>
  <si>
    <t>Tiger Lily</t>
  </si>
  <si>
    <t>Icethorn</t>
  </si>
  <si>
    <t>%</t>
  </si>
  <si>
    <t>Income</t>
  </si>
  <si>
    <t>Data</t>
  </si>
  <si>
    <t>Herbs</t>
  </si>
  <si>
    <t>Insc</t>
  </si>
  <si>
    <t>Azure Pigment</t>
  </si>
  <si>
    <t>Icy Pigment</t>
  </si>
  <si>
    <t>Ink of the Sea</t>
  </si>
  <si>
    <t>Snowfall Ink</t>
  </si>
  <si>
    <t>DMF Cards</t>
  </si>
  <si>
    <t>DMF</t>
  </si>
  <si>
    <t>of Nobles</t>
  </si>
  <si>
    <t>of Undeath</t>
  </si>
  <si>
    <t>of Prisms</t>
  </si>
  <si>
    <t>of Chaos</t>
  </si>
  <si>
    <t>Resilient Parchment</t>
  </si>
  <si>
    <t>Live DATA [Income]</t>
  </si>
  <si>
    <t>Live DATA [Profit Per 1]</t>
  </si>
  <si>
    <t>Cost per One Card (AH)</t>
  </si>
  <si>
    <t>Mill or AH</t>
  </si>
  <si>
    <t>AH Price Lower</t>
  </si>
  <si>
    <t>Price Threshold</t>
  </si>
  <si>
    <t>Cost per One Card (Craft)</t>
  </si>
  <si>
    <t>Amount Needed for Card (Pigs)</t>
  </si>
  <si>
    <t>Inks for Trade</t>
  </si>
  <si>
    <t>Profit Craft vs AH</t>
  </si>
  <si>
    <t>Herb Value (to buy)</t>
  </si>
  <si>
    <t>Value Needed After Vendor Trade</t>
  </si>
  <si>
    <t>Best</t>
  </si>
  <si>
    <t>Herb Value</t>
  </si>
  <si>
    <t>Card to Craft</t>
  </si>
  <si>
    <t>Vendor Trade (Icy)</t>
  </si>
  <si>
    <t>JC</t>
  </si>
  <si>
    <t>BS</t>
  </si>
  <si>
    <t>Tail</t>
  </si>
  <si>
    <t>Sun</t>
  </si>
  <si>
    <t>Shadow</t>
  </si>
  <si>
    <t>Citrine</t>
  </si>
  <si>
    <t>Jade</t>
  </si>
  <si>
    <t>Chalc</t>
  </si>
  <si>
    <t>Blood</t>
  </si>
  <si>
    <t>LW</t>
  </si>
  <si>
    <t>Raw Mats</t>
  </si>
  <si>
    <t>Eternium Thread</t>
  </si>
  <si>
    <t>Frostweave Cloth</t>
  </si>
  <si>
    <t>Duskweave Leggings</t>
  </si>
  <si>
    <t>Duskweave Cowl</t>
  </si>
  <si>
    <t>Duskweave Belt</t>
  </si>
  <si>
    <t>Duskweave Wristwraps</t>
  </si>
  <si>
    <t>Duskweave Boots</t>
  </si>
  <si>
    <t>Glacial Waistband</t>
  </si>
  <si>
    <t>Crafted Amount</t>
  </si>
  <si>
    <t>Vendor Mats</t>
  </si>
  <si>
    <t>Borean Leather</t>
  </si>
  <si>
    <t>Nerubian Chitin</t>
  </si>
  <si>
    <t>Polar Cord</t>
  </si>
  <si>
    <t>Borean</t>
  </si>
  <si>
    <t>Nerubian</t>
  </si>
  <si>
    <t>Polar Boots</t>
  </si>
  <si>
    <t>Polar Vest</t>
  </si>
  <si>
    <t>Air</t>
  </si>
  <si>
    <t>Windripper Boots</t>
  </si>
  <si>
    <t>Frost</t>
  </si>
  <si>
    <t>Orb</t>
  </si>
  <si>
    <t>Durable Nerubhide Cape</t>
  </si>
  <si>
    <t>Fur</t>
  </si>
  <si>
    <t>Arctic Fur</t>
  </si>
  <si>
    <t>Card</t>
  </si>
  <si>
    <t>Avg Value</t>
  </si>
  <si>
    <t>Craft Cost</t>
  </si>
  <si>
    <t>Value All Cards</t>
  </si>
  <si>
    <t>Entire Profit</t>
  </si>
  <si>
    <t>Nobles' Profit</t>
  </si>
  <si>
    <t>Shadowmight Ring</t>
  </si>
  <si>
    <t>Reinforced Cobalt Chestpiece</t>
  </si>
  <si>
    <t>Arcanite Bar</t>
  </si>
  <si>
    <t>Result</t>
  </si>
  <si>
    <t>Flask of the Frost Wyrm</t>
  </si>
  <si>
    <t>Flask of Stoneblood</t>
  </si>
  <si>
    <t>Flask of Endless Rage</t>
  </si>
  <si>
    <t>Potion of Wild Magic</t>
  </si>
  <si>
    <t>Potion of Speed</t>
  </si>
  <si>
    <t>Indestructible Potion</t>
  </si>
  <si>
    <t>Proc Ratio</t>
  </si>
  <si>
    <t>Skyflare</t>
  </si>
  <si>
    <t>Pygmy Oil</t>
  </si>
  <si>
    <t>Frost Lotus</t>
  </si>
  <si>
    <t>Enchanted Vial</t>
  </si>
  <si>
    <t>Imbued Vial</t>
  </si>
  <si>
    <t>Pygmy Suckerfish</t>
  </si>
  <si>
    <t>Earthsiege</t>
  </si>
  <si>
    <t>Thorium Ore</t>
  </si>
  <si>
    <t>Arcane Crystal</t>
  </si>
  <si>
    <t>Craft Cost (Without Spec)</t>
  </si>
  <si>
    <t>Craft Cost (With Spec)</t>
  </si>
  <si>
    <t>Runic Mana Potion</t>
  </si>
  <si>
    <t>Titanium Powder</t>
  </si>
  <si>
    <t>Powder</t>
  </si>
  <si>
    <t>Ametrine</t>
  </si>
  <si>
    <t>Dreadstone</t>
  </si>
  <si>
    <t>Cardinal Ruby</t>
  </si>
  <si>
    <t>King's Amber</t>
  </si>
  <si>
    <t>Eye of Zul</t>
  </si>
  <si>
    <t>Majestic Zircon</t>
  </si>
  <si>
    <t>Purples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</si>
</sst>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5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.5"/>
      <color theme="1"/>
      <name val="Calibri"/>
      <family val="2"/>
      <charset val="238"/>
      <scheme val="minor"/>
    </font>
    <font>
      <b/>
      <sz val="10.5"/>
      <color theme="1"/>
      <name val="Calibri"/>
      <family val="2"/>
      <charset val="238"/>
      <scheme val="minor"/>
    </font>
    <font>
      <b/>
      <sz val="10.5"/>
      <name val="Calibri"/>
      <family val="2"/>
      <charset val="238"/>
      <scheme val="minor"/>
    </font>
    <font>
      <b/>
      <sz val="10.5"/>
      <color rgb="FF00B050"/>
      <name val="Calibri"/>
      <family val="2"/>
      <charset val="238"/>
      <scheme val="minor"/>
    </font>
    <font>
      <b/>
      <sz val="10.5"/>
      <color rgb="FF0070C0"/>
      <name val="Calibri"/>
      <family val="2"/>
      <charset val="238"/>
      <scheme val="minor"/>
    </font>
    <font>
      <sz val="10.5"/>
      <name val="Calibri"/>
      <family val="2"/>
      <charset val="238"/>
      <scheme val="minor"/>
    </font>
    <font>
      <b/>
      <sz val="10.5"/>
      <color rgb="FFFF0000"/>
      <name val="Calibri"/>
      <family val="2"/>
      <charset val="238"/>
      <scheme val="minor"/>
    </font>
    <font>
      <sz val="10.5"/>
      <color rgb="FFFF0000"/>
      <name val="Calibri"/>
      <family val="2"/>
      <charset val="238"/>
      <scheme val="minor"/>
    </font>
    <font>
      <sz val="10.5"/>
      <color rgb="FF00B050"/>
      <name val="Calibri"/>
      <family val="2"/>
      <charset val="238"/>
      <scheme val="minor"/>
    </font>
    <font>
      <sz val="10.5"/>
      <color rgb="FF0070C0"/>
      <name val="Calibri"/>
      <family val="2"/>
      <charset val="238"/>
      <scheme val="minor"/>
    </font>
    <font>
      <sz val="11"/>
      <color rgb="FF0070C0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b/>
      <sz val="9"/>
      <name val="Calibri"/>
      <family val="2"/>
      <charset val="238"/>
      <scheme val="minor"/>
    </font>
    <font>
      <sz val="9"/>
      <name val="Calibri"/>
      <family val="2"/>
      <charset val="238"/>
      <scheme val="minor"/>
    </font>
    <font>
      <b/>
      <sz val="9"/>
      <color rgb="FFFF0000"/>
      <name val="Calibri"/>
      <family val="2"/>
      <charset val="238"/>
      <scheme val="minor"/>
    </font>
    <font>
      <b/>
      <sz val="10"/>
      <color rgb="FFFF0000"/>
      <name val="Calibri"/>
      <family val="2"/>
      <charset val="238"/>
      <scheme val="minor"/>
    </font>
    <font>
      <b/>
      <sz val="10"/>
      <color rgb="FF00B050"/>
      <name val="Calibri"/>
      <family val="2"/>
      <charset val="238"/>
      <scheme val="minor"/>
    </font>
    <font>
      <b/>
      <sz val="10"/>
      <color rgb="FF0070C0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sz val="16"/>
      <color rgb="FFFF0000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b/>
      <sz val="10"/>
      <color rgb="FF7030A0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sz val="9"/>
      <color rgb="FF0070C0"/>
      <name val="Calibri"/>
      <family val="2"/>
      <charset val="238"/>
      <scheme val="minor"/>
    </font>
    <font>
      <sz val="9"/>
      <color rgb="FF7030A0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b/>
      <sz val="10"/>
      <color rgb="FF00B0F0"/>
      <name val="Calibri"/>
      <family val="2"/>
      <charset val="238"/>
      <scheme val="minor"/>
    </font>
    <font>
      <sz val="9"/>
      <color rgb="FF454545"/>
      <name val="Calibri"/>
      <family val="2"/>
      <charset val="238"/>
      <scheme val="minor"/>
    </font>
    <font>
      <sz val="9"/>
      <color rgb="FF00B050"/>
      <name val="Calibri"/>
      <family val="2"/>
      <charset val="238"/>
      <scheme val="minor"/>
    </font>
    <font>
      <sz val="9"/>
      <color rgb="FF00B0F0"/>
      <name val="Calibri"/>
      <family val="2"/>
      <charset val="238"/>
      <scheme val="minor"/>
    </font>
    <font>
      <sz val="9"/>
      <color rgb="FFB89A2E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sz val="10"/>
      <color rgb="FFFF0000"/>
      <name val="Calibri"/>
      <family val="2"/>
      <charset val="238"/>
      <scheme val="minor"/>
    </font>
    <font>
      <sz val="11"/>
      <color theme="9" tint="-0.249977111117893"/>
      <name val="Calibri"/>
      <family val="2"/>
      <charset val="238"/>
      <scheme val="minor"/>
    </font>
    <font>
      <b/>
      <sz val="11"/>
      <color theme="9" tint="-0.249977111117893"/>
      <name val="Calibri"/>
      <family val="2"/>
      <charset val="238"/>
      <scheme val="minor"/>
    </font>
    <font>
      <sz val="9"/>
      <color theme="9" tint="-0.249977111117893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9"/>
      <color theme="9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0" fontId="23" fillId="0" borderId="0" applyNumberFormat="0" applyFill="0" applyBorder="0" applyAlignment="0" applyProtection="0"/>
  </cellStyleXfs>
  <cellXfs count="15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0" fontId="6" fillId="0" borderId="0" xfId="0" applyNumberFormat="1" applyFont="1" applyAlignment="1">
      <alignment horizontal="center"/>
    </xf>
    <xf numFmtId="10" fontId="7" fillId="0" borderId="0" xfId="0" applyNumberFormat="1" applyFont="1" applyAlignment="1">
      <alignment horizontal="center"/>
    </xf>
    <xf numFmtId="0" fontId="9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10" fontId="10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1" fontId="3" fillId="0" borderId="0" xfId="0" applyNumberFormat="1" applyFont="1" applyAlignment="1">
      <alignment horizontal="center"/>
    </xf>
    <xf numFmtId="1" fontId="10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2" fontId="8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Fill="1" applyBorder="1" applyAlignment="1">
      <alignment horizontal="left"/>
    </xf>
    <xf numFmtId="0" fontId="13" fillId="0" borderId="0" xfId="0" applyFont="1"/>
    <xf numFmtId="0" fontId="12" fillId="0" borderId="0" xfId="0" applyFont="1" applyAlignment="1">
      <alignment horizontal="left"/>
    </xf>
    <xf numFmtId="10" fontId="5" fillId="0" borderId="0" xfId="0" applyNumberFormat="1" applyFont="1" applyAlignment="1">
      <alignment horizontal="center"/>
    </xf>
    <xf numFmtId="1" fontId="10" fillId="0" borderId="0" xfId="0" applyNumberFormat="1" applyFont="1" applyAlignment="1"/>
    <xf numFmtId="1" fontId="3" fillId="0" borderId="0" xfId="0" applyNumberFormat="1" applyFont="1" applyAlignment="1"/>
    <xf numFmtId="0" fontId="0" fillId="0" borderId="0" xfId="0" applyAlignment="1">
      <alignment horizontal="center"/>
    </xf>
    <xf numFmtId="0" fontId="0" fillId="0" borderId="0" xfId="0" applyFont="1"/>
    <xf numFmtId="0" fontId="15" fillId="0" borderId="0" xfId="0" applyFont="1" applyAlignment="1">
      <alignment horizontal="center"/>
    </xf>
    <xf numFmtId="0" fontId="15" fillId="0" borderId="0" xfId="0" applyFont="1"/>
    <xf numFmtId="2" fontId="15" fillId="0" borderId="0" xfId="0" applyNumberFormat="1" applyFont="1" applyAlignment="1">
      <alignment horizontal="center"/>
    </xf>
    <xf numFmtId="0" fontId="14" fillId="0" borderId="0" xfId="0" applyFont="1" applyAlignment="1"/>
    <xf numFmtId="0" fontId="16" fillId="0" borderId="0" xfId="0" applyFont="1" applyAlignment="1">
      <alignment horizontal="center"/>
    </xf>
    <xf numFmtId="2" fontId="16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2" fontId="17" fillId="0" borderId="0" xfId="0" applyNumberFormat="1" applyFont="1" applyAlignment="1">
      <alignment horizontal="center"/>
    </xf>
    <xf numFmtId="0" fontId="20" fillId="0" borderId="0" xfId="0" applyNumberFormat="1" applyFont="1" applyAlignment="1">
      <alignment horizontal="center"/>
    </xf>
    <xf numFmtId="0" fontId="21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10" fontId="8" fillId="0" borderId="0" xfId="0" applyNumberFormat="1" applyFont="1" applyAlignment="1">
      <alignment horizontal="center"/>
    </xf>
    <xf numFmtId="2" fontId="3" fillId="0" borderId="0" xfId="0" applyNumberFormat="1" applyFont="1"/>
    <xf numFmtId="0" fontId="23" fillId="0" borderId="0" xfId="1"/>
    <xf numFmtId="0" fontId="24" fillId="0" borderId="0" xfId="0" applyNumberFormat="1" applyFont="1" applyAlignment="1">
      <alignment horizontal="center"/>
    </xf>
    <xf numFmtId="0" fontId="25" fillId="0" borderId="0" xfId="0" applyFont="1"/>
    <xf numFmtId="0" fontId="14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14" fillId="0" borderId="0" xfId="0" applyFont="1"/>
    <xf numFmtId="0" fontId="27" fillId="0" borderId="0" xfId="0" applyFont="1" applyAlignment="1">
      <alignment horizontal="center"/>
    </xf>
    <xf numFmtId="0" fontId="19" fillId="0" borderId="0" xfId="0" applyNumberFormat="1" applyFont="1" applyAlignment="1">
      <alignment horizontal="center"/>
    </xf>
    <xf numFmtId="0" fontId="16" fillId="0" borderId="0" xfId="0" applyFont="1"/>
    <xf numFmtId="2" fontId="16" fillId="0" borderId="1" xfId="0" applyNumberFormat="1" applyFont="1" applyBorder="1" applyAlignment="1">
      <alignment horizontal="center"/>
    </xf>
    <xf numFmtId="2" fontId="16" fillId="0" borderId="0" xfId="0" applyNumberFormat="1" applyFont="1" applyBorder="1" applyAlignment="1">
      <alignment horizontal="center"/>
    </xf>
    <xf numFmtId="10" fontId="21" fillId="0" borderId="0" xfId="0" applyNumberFormat="1" applyFont="1" applyAlignment="1">
      <alignment horizontal="center"/>
    </xf>
    <xf numFmtId="10" fontId="22" fillId="0" borderId="0" xfId="0" applyNumberFormat="1" applyFont="1" applyAlignment="1">
      <alignment horizontal="center"/>
    </xf>
    <xf numFmtId="0" fontId="16" fillId="0" borderId="2" xfId="0" applyFont="1" applyBorder="1" applyAlignment="1">
      <alignment horizontal="center"/>
    </xf>
    <xf numFmtId="0" fontId="28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1" fontId="21" fillId="0" borderId="0" xfId="0" applyNumberFormat="1" applyFont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30" fillId="0" borderId="0" xfId="0" applyFont="1" applyAlignment="1">
      <alignment horizontal="center"/>
    </xf>
    <xf numFmtId="0" fontId="14" fillId="0" borderId="2" xfId="0" applyFont="1" applyBorder="1" applyAlignment="1">
      <alignment horizontal="center"/>
    </xf>
    <xf numFmtId="2" fontId="16" fillId="0" borderId="3" xfId="0" applyNumberFormat="1" applyFont="1" applyBorder="1" applyAlignment="1">
      <alignment horizontal="center"/>
    </xf>
    <xf numFmtId="0" fontId="31" fillId="0" borderId="0" xfId="0" applyFont="1"/>
    <xf numFmtId="0" fontId="14" fillId="0" borderId="0" xfId="0" applyFont="1" applyAlignment="1">
      <alignment horizontal="center"/>
    </xf>
    <xf numFmtId="0" fontId="14" fillId="0" borderId="1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0" fillId="0" borderId="0" xfId="0" applyBorder="1"/>
    <xf numFmtId="0" fontId="20" fillId="0" borderId="0" xfId="0" applyFont="1" applyBorder="1" applyAlignment="1"/>
    <xf numFmtId="0" fontId="16" fillId="0" borderId="1" xfId="0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32" fillId="0" borderId="0" xfId="0" applyFont="1" applyBorder="1" applyAlignment="1">
      <alignment horizontal="center"/>
    </xf>
    <xf numFmtId="0" fontId="20" fillId="0" borderId="2" xfId="0" applyNumberFormat="1" applyFont="1" applyBorder="1" applyAlignment="1">
      <alignment horizontal="center"/>
    </xf>
    <xf numFmtId="2" fontId="33" fillId="0" borderId="0" xfId="0" applyNumberFormat="1" applyFont="1" applyAlignment="1">
      <alignment horizontal="center"/>
    </xf>
    <xf numFmtId="0" fontId="30" fillId="0" borderId="3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30" fillId="0" borderId="2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35" fillId="0" borderId="4" xfId="0" applyFont="1" applyBorder="1" applyAlignment="1">
      <alignment horizontal="center"/>
    </xf>
    <xf numFmtId="10" fontId="30" fillId="0" borderId="0" xfId="0" applyNumberFormat="1" applyFont="1" applyAlignment="1">
      <alignment horizontal="center"/>
    </xf>
    <xf numFmtId="10" fontId="18" fillId="0" borderId="0" xfId="0" applyNumberFormat="1" applyFont="1" applyAlignment="1">
      <alignment horizontal="center"/>
    </xf>
    <xf numFmtId="10" fontId="34" fillId="0" borderId="0" xfId="0" applyNumberFormat="1" applyFont="1" applyAlignment="1">
      <alignment horizontal="center"/>
    </xf>
    <xf numFmtId="10" fontId="28" fillId="0" borderId="0" xfId="0" applyNumberFormat="1" applyFont="1" applyAlignment="1">
      <alignment horizontal="center"/>
    </xf>
    <xf numFmtId="10" fontId="29" fillId="0" borderId="0" xfId="0" applyNumberFormat="1" applyFont="1" applyAlignment="1">
      <alignment horizontal="center"/>
    </xf>
    <xf numFmtId="0" fontId="34" fillId="0" borderId="0" xfId="0" applyFont="1" applyAlignment="1">
      <alignment horizontal="center"/>
    </xf>
    <xf numFmtId="1" fontId="18" fillId="0" borderId="0" xfId="0" applyNumberFormat="1" applyFont="1" applyBorder="1" applyAlignment="1">
      <alignment horizontal="center"/>
    </xf>
    <xf numFmtId="0" fontId="34" fillId="0" borderId="0" xfId="0" applyFont="1" applyFill="1" applyBorder="1" applyAlignment="1">
      <alignment horizontal="center"/>
    </xf>
    <xf numFmtId="2" fontId="18" fillId="0" borderId="0" xfId="0" applyNumberFormat="1" applyFont="1" applyAlignment="1">
      <alignment horizontal="center"/>
    </xf>
    <xf numFmtId="0" fontId="36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1" fontId="16" fillId="0" borderId="0" xfId="0" applyNumberFormat="1" applyFont="1" applyAlignment="1">
      <alignment horizontal="center"/>
    </xf>
    <xf numFmtId="0" fontId="34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29" fillId="0" borderId="0" xfId="0" applyFont="1"/>
    <xf numFmtId="0" fontId="15" fillId="0" borderId="0" xfId="0" applyFont="1" applyAlignment="1"/>
    <xf numFmtId="2" fontId="19" fillId="0" borderId="0" xfId="0" applyNumberFormat="1" applyFont="1" applyAlignment="1">
      <alignment horizontal="center"/>
    </xf>
    <xf numFmtId="2" fontId="29" fillId="0" borderId="0" xfId="0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0" fontId="37" fillId="0" borderId="0" xfId="0" applyFont="1" applyAlignment="1"/>
    <xf numFmtId="0" fontId="1" fillId="0" borderId="0" xfId="0" applyFont="1"/>
    <xf numFmtId="0" fontId="1" fillId="0" borderId="0" xfId="0" applyFont="1" applyBorder="1"/>
    <xf numFmtId="0" fontId="38" fillId="0" borderId="0" xfId="0" applyFont="1"/>
    <xf numFmtId="0" fontId="38" fillId="0" borderId="0" xfId="0" applyFont="1" applyAlignment="1">
      <alignment horizontal="center"/>
    </xf>
    <xf numFmtId="2" fontId="1" fillId="0" borderId="0" xfId="0" applyNumberFormat="1" applyFont="1"/>
    <xf numFmtId="0" fontId="18" fillId="0" borderId="2" xfId="0" applyFont="1" applyBorder="1" applyAlignment="1">
      <alignment horizontal="center"/>
    </xf>
    <xf numFmtId="2" fontId="18" fillId="0" borderId="2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2" fontId="18" fillId="0" borderId="4" xfId="0" applyNumberFormat="1" applyFont="1" applyBorder="1" applyAlignment="1">
      <alignment horizontal="center"/>
    </xf>
    <xf numFmtId="10" fontId="14" fillId="0" borderId="8" xfId="0" applyNumberFormat="1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34" fillId="0" borderId="0" xfId="0" applyFont="1"/>
    <xf numFmtId="164" fontId="1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2" fontId="16" fillId="0" borderId="0" xfId="0" applyNumberFormat="1" applyFont="1"/>
    <xf numFmtId="0" fontId="17" fillId="0" borderId="0" xfId="0" applyFont="1" applyAlignment="1">
      <alignment horizontal="center"/>
    </xf>
    <xf numFmtId="1" fontId="39" fillId="0" borderId="0" xfId="0" applyNumberFormat="1" applyFont="1" applyAlignment="1"/>
    <xf numFmtId="10" fontId="39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64" fontId="18" fillId="0" borderId="0" xfId="0" applyNumberFormat="1" applyFont="1" applyAlignment="1">
      <alignment horizontal="center"/>
    </xf>
    <xf numFmtId="0" fontId="40" fillId="0" borderId="0" xfId="0" applyFont="1"/>
    <xf numFmtId="0" fontId="41" fillId="0" borderId="0" xfId="0" applyFont="1"/>
    <xf numFmtId="0" fontId="4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6" fillId="0" borderId="0" xfId="0" applyFont="1" applyAlignment="1"/>
    <xf numFmtId="0" fontId="26" fillId="0" borderId="0" xfId="0" applyFont="1"/>
    <xf numFmtId="0" fontId="3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10" fontId="26" fillId="0" borderId="0" xfId="0" applyNumberFormat="1" applyFont="1" applyAlignment="1">
      <alignment horizontal="center"/>
    </xf>
    <xf numFmtId="2" fontId="27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20" fillId="0" borderId="3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2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29"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</dxfs>
  <tableStyles count="0" defaultTableStyle="TableStyleMedium2" defaultPivotStyle="PivotStyleLight16"/>
  <colors>
    <mruColors>
      <color rgb="FFB89A2E"/>
      <color rgb="FFCDAE38"/>
      <color rgb="FFCDAE20"/>
      <color rgb="FFE4C642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7F9C2-986A-4259-967D-158D0AB39EBC}">
  <dimension ref="A1:C78"/>
  <sheetViews>
    <sheetView workbookViewId="0">
      <selection activeCell="F63" sqref="F63"/>
    </sheetView>
  </sheetViews>
  <sheetFormatPr defaultRowHeight="15" x14ac:dyDescent="0.25"/>
  <cols>
    <col min="1" max="1" width="19.7109375" bestFit="1" customWidth="1"/>
    <col min="2" max="2" width="5.7109375" bestFit="1" customWidth="1"/>
  </cols>
  <sheetData>
    <row r="1" spans="1:3" ht="15" customHeight="1" x14ac:dyDescent="0.25">
      <c r="A1" s="83" t="s">
        <v>3</v>
      </c>
      <c r="B1" s="83" t="s">
        <v>2</v>
      </c>
      <c r="C1" s="2"/>
    </row>
    <row r="2" spans="1:3" ht="15" customHeight="1" x14ac:dyDescent="0.25">
      <c r="A2" s="32" t="s">
        <v>84</v>
      </c>
      <c r="B2" s="33">
        <v>1.8</v>
      </c>
      <c r="C2" s="130"/>
    </row>
    <row r="3" spans="1:3" ht="15" customHeight="1" x14ac:dyDescent="0.25">
      <c r="A3" s="34" t="s">
        <v>10</v>
      </c>
      <c r="B3" s="33">
        <v>0.8</v>
      </c>
    </row>
    <row r="4" spans="1:3" ht="15" customHeight="1" x14ac:dyDescent="0.25">
      <c r="A4" s="92" t="s">
        <v>11</v>
      </c>
      <c r="B4" s="33">
        <v>6</v>
      </c>
      <c r="C4" s="129"/>
    </row>
    <row r="5" spans="1:3" ht="15" customHeight="1" x14ac:dyDescent="0.25">
      <c r="A5" s="34" t="s">
        <v>204</v>
      </c>
      <c r="B5" s="33">
        <v>0.9</v>
      </c>
    </row>
    <row r="6" spans="1:3" ht="15" customHeight="1" x14ac:dyDescent="0.25">
      <c r="B6" s="54"/>
    </row>
    <row r="7" spans="1:3" ht="15" customHeight="1" x14ac:dyDescent="0.25">
      <c r="A7" s="83" t="s">
        <v>4</v>
      </c>
      <c r="B7" s="53"/>
    </row>
    <row r="8" spans="1:3" ht="15" customHeight="1" x14ac:dyDescent="0.25">
      <c r="A8" s="92" t="s">
        <v>12</v>
      </c>
      <c r="B8" s="33">
        <v>1</v>
      </c>
    </row>
    <row r="9" spans="1:3" ht="15" customHeight="1" x14ac:dyDescent="0.25">
      <c r="A9" s="93" t="s">
        <v>13</v>
      </c>
      <c r="B9" s="33">
        <v>0.4</v>
      </c>
    </row>
    <row r="10" spans="1:3" ht="15" customHeight="1" x14ac:dyDescent="0.25">
      <c r="A10" s="94" t="s">
        <v>14</v>
      </c>
      <c r="B10" s="33">
        <v>1</v>
      </c>
    </row>
    <row r="11" spans="1:3" ht="15" customHeight="1" x14ac:dyDescent="0.25">
      <c r="A11" s="34" t="s">
        <v>15</v>
      </c>
      <c r="B11" s="33">
        <v>0.45</v>
      </c>
    </row>
    <row r="12" spans="1:3" ht="15" customHeight="1" x14ac:dyDescent="0.25">
      <c r="A12" s="92" t="s">
        <v>16</v>
      </c>
      <c r="B12" s="33">
        <v>1</v>
      </c>
    </row>
    <row r="13" spans="1:3" ht="15" customHeight="1" x14ac:dyDescent="0.25">
      <c r="A13" s="92" t="s">
        <v>17</v>
      </c>
      <c r="B13" s="33">
        <v>1</v>
      </c>
    </row>
    <row r="14" spans="1:3" ht="15" customHeight="1" x14ac:dyDescent="0.25">
      <c r="A14" s="60" t="s">
        <v>18</v>
      </c>
      <c r="B14" s="33">
        <v>10</v>
      </c>
    </row>
    <row r="15" spans="1:3" ht="15" customHeight="1" x14ac:dyDescent="0.25">
      <c r="A15" s="60" t="s">
        <v>19</v>
      </c>
      <c r="B15" s="33">
        <v>4.5</v>
      </c>
    </row>
    <row r="16" spans="1:3" ht="15" customHeight="1" x14ac:dyDescent="0.25">
      <c r="A16" s="60" t="s">
        <v>20</v>
      </c>
      <c r="B16" s="33">
        <v>90</v>
      </c>
    </row>
    <row r="17" spans="1:2" ht="15" customHeight="1" x14ac:dyDescent="0.25">
      <c r="A17" s="60" t="s">
        <v>21</v>
      </c>
      <c r="B17" s="33">
        <v>20</v>
      </c>
    </row>
    <row r="18" spans="1:2" ht="15" customHeight="1" x14ac:dyDescent="0.25">
      <c r="A18" s="60" t="s">
        <v>22</v>
      </c>
      <c r="B18" s="33">
        <v>4.5</v>
      </c>
    </row>
    <row r="19" spans="1:2" ht="15" customHeight="1" x14ac:dyDescent="0.25">
      <c r="A19" s="60" t="s">
        <v>23</v>
      </c>
      <c r="B19" s="33">
        <v>10</v>
      </c>
    </row>
    <row r="20" spans="1:2" ht="15" customHeight="1" x14ac:dyDescent="0.25">
      <c r="A20" s="34" t="s">
        <v>205</v>
      </c>
      <c r="B20" s="33">
        <v>0.5</v>
      </c>
    </row>
    <row r="21" spans="1:2" ht="15" customHeight="1" x14ac:dyDescent="0.25">
      <c r="A21" s="61" t="s">
        <v>211</v>
      </c>
      <c r="B21" s="33">
        <v>240</v>
      </c>
    </row>
    <row r="22" spans="1:2" ht="15" customHeight="1" x14ac:dyDescent="0.25">
      <c r="A22" s="61" t="s">
        <v>212</v>
      </c>
      <c r="B22" s="33">
        <v>240</v>
      </c>
    </row>
    <row r="23" spans="1:2" ht="15" customHeight="1" x14ac:dyDescent="0.25">
      <c r="A23" s="61" t="s">
        <v>213</v>
      </c>
      <c r="B23" s="33">
        <v>280</v>
      </c>
    </row>
    <row r="24" spans="1:2" ht="15" customHeight="1" x14ac:dyDescent="0.25">
      <c r="A24" s="61" t="s">
        <v>214</v>
      </c>
      <c r="B24" s="33">
        <v>240</v>
      </c>
    </row>
    <row r="25" spans="1:2" ht="15" customHeight="1" x14ac:dyDescent="0.25">
      <c r="A25" s="61" t="s">
        <v>215</v>
      </c>
      <c r="B25" s="33">
        <v>210</v>
      </c>
    </row>
    <row r="26" spans="1:2" ht="15" customHeight="1" x14ac:dyDescent="0.25">
      <c r="A26" s="61" t="s">
        <v>216</v>
      </c>
      <c r="B26" s="33">
        <v>210</v>
      </c>
    </row>
    <row r="27" spans="1:2" ht="15" customHeight="1" x14ac:dyDescent="0.25">
      <c r="A27" s="137" t="s">
        <v>209</v>
      </c>
      <c r="B27" s="33">
        <v>20</v>
      </c>
    </row>
    <row r="28" spans="1:2" ht="15" customHeight="1" x14ac:dyDescent="0.25"/>
    <row r="29" spans="1:2" ht="15" customHeight="1" x14ac:dyDescent="0.25">
      <c r="A29" s="64" t="s">
        <v>24</v>
      </c>
      <c r="B29" s="53"/>
    </row>
    <row r="30" spans="1:2" ht="15" customHeight="1" x14ac:dyDescent="0.25">
      <c r="A30" s="92" t="s">
        <v>25</v>
      </c>
      <c r="B30" s="33">
        <v>5</v>
      </c>
    </row>
    <row r="31" spans="1:2" ht="15" customHeight="1" x14ac:dyDescent="0.25">
      <c r="A31" s="92" t="s">
        <v>26</v>
      </c>
      <c r="B31" s="33">
        <v>5</v>
      </c>
    </row>
    <row r="32" spans="1:2" ht="15" customHeight="1" x14ac:dyDescent="0.25">
      <c r="A32" s="92" t="s">
        <v>27</v>
      </c>
      <c r="B32" s="33">
        <v>25</v>
      </c>
    </row>
    <row r="33" spans="1:3" ht="15" customHeight="1" x14ac:dyDescent="0.25">
      <c r="A33" s="92" t="s">
        <v>28</v>
      </c>
      <c r="B33" s="33">
        <v>5</v>
      </c>
    </row>
    <row r="34" spans="1:3" ht="15" customHeight="1" x14ac:dyDescent="0.25">
      <c r="A34" s="89" t="s">
        <v>29</v>
      </c>
      <c r="B34" s="33">
        <v>5</v>
      </c>
    </row>
    <row r="35" spans="1:3" ht="15" customHeight="1" x14ac:dyDescent="0.25">
      <c r="A35" s="89" t="s">
        <v>30</v>
      </c>
      <c r="B35" s="33">
        <v>5</v>
      </c>
      <c r="C35" s="127"/>
    </row>
    <row r="36" spans="1:3" ht="15" customHeight="1" x14ac:dyDescent="0.25">
      <c r="A36" s="42"/>
      <c r="B36" s="33"/>
      <c r="C36" s="131"/>
    </row>
    <row r="37" spans="1:3" ht="15" customHeight="1" x14ac:dyDescent="0.25">
      <c r="A37" s="87" t="s">
        <v>31</v>
      </c>
      <c r="B37" s="53"/>
      <c r="C37" s="127"/>
    </row>
    <row r="38" spans="1:3" ht="15" customHeight="1" x14ac:dyDescent="0.25">
      <c r="A38" s="88" t="s">
        <v>32</v>
      </c>
      <c r="B38" s="33">
        <v>3</v>
      </c>
      <c r="C38" s="127"/>
    </row>
    <row r="39" spans="1:3" ht="15" customHeight="1" x14ac:dyDescent="0.25">
      <c r="A39" s="89" t="s">
        <v>35</v>
      </c>
      <c r="B39" s="33">
        <v>12</v>
      </c>
      <c r="C39" s="131"/>
    </row>
    <row r="40" spans="1:3" ht="15" customHeight="1" x14ac:dyDescent="0.25">
      <c r="A40" s="90" t="s">
        <v>33</v>
      </c>
      <c r="B40" s="33">
        <v>23</v>
      </c>
      <c r="C40" s="131"/>
    </row>
    <row r="41" spans="1:3" ht="15" customHeight="1" x14ac:dyDescent="0.25">
      <c r="A41" s="91" t="s">
        <v>34</v>
      </c>
      <c r="B41" s="33">
        <v>44</v>
      </c>
      <c r="C41" s="131"/>
    </row>
    <row r="42" spans="1:3" ht="15" customHeight="1" x14ac:dyDescent="0.25">
      <c r="A42" s="23"/>
      <c r="B42" s="33"/>
    </row>
    <row r="43" spans="1:3" ht="15" customHeight="1" x14ac:dyDescent="0.25">
      <c r="A43" s="83" t="s">
        <v>116</v>
      </c>
      <c r="B43" s="53"/>
    </row>
    <row r="44" spans="1:3" ht="15" customHeight="1" x14ac:dyDescent="0.25">
      <c r="A44" s="127" t="s">
        <v>104</v>
      </c>
      <c r="B44" s="127">
        <v>0.65</v>
      </c>
    </row>
    <row r="45" spans="1:3" ht="15" customHeight="1" x14ac:dyDescent="0.25">
      <c r="A45" s="127" t="s">
        <v>109</v>
      </c>
      <c r="B45" s="127">
        <v>0.8</v>
      </c>
    </row>
    <row r="46" spans="1:3" ht="15" customHeight="1" x14ac:dyDescent="0.25">
      <c r="A46" s="127" t="s">
        <v>110</v>
      </c>
      <c r="B46" s="127">
        <v>2</v>
      </c>
    </row>
    <row r="47" spans="1:3" ht="15" customHeight="1" x14ac:dyDescent="0.25">
      <c r="A47" s="127" t="s">
        <v>111</v>
      </c>
      <c r="B47" s="127">
        <v>0.65</v>
      </c>
    </row>
    <row r="48" spans="1:3" ht="15" customHeight="1" x14ac:dyDescent="0.25">
      <c r="A48" s="127" t="s">
        <v>112</v>
      </c>
      <c r="B48" s="127">
        <v>2</v>
      </c>
    </row>
    <row r="49" spans="1:2" ht="15" customHeight="1" x14ac:dyDescent="0.25">
      <c r="A49" s="127" t="s">
        <v>107</v>
      </c>
      <c r="B49" s="127">
        <v>1.7</v>
      </c>
    </row>
    <row r="50" spans="1:2" ht="15" customHeight="1" x14ac:dyDescent="0.25">
      <c r="A50" s="127" t="s">
        <v>108</v>
      </c>
      <c r="B50" s="127">
        <v>1</v>
      </c>
    </row>
    <row r="51" spans="1:2" ht="15" customHeight="1" x14ac:dyDescent="0.25">
      <c r="A51" s="127" t="s">
        <v>199</v>
      </c>
      <c r="B51" s="127">
        <v>3</v>
      </c>
    </row>
    <row r="52" spans="1:2" ht="15" customHeight="1" x14ac:dyDescent="0.25">
      <c r="B52" s="54"/>
    </row>
    <row r="53" spans="1:2" ht="15" customHeight="1" x14ac:dyDescent="0.25">
      <c r="A53" s="83" t="s">
        <v>117</v>
      </c>
      <c r="B53" s="53"/>
    </row>
    <row r="54" spans="1:2" ht="15" customHeight="1" x14ac:dyDescent="0.25">
      <c r="A54" s="32" t="s">
        <v>118</v>
      </c>
      <c r="B54" s="127">
        <v>1</v>
      </c>
    </row>
    <row r="55" spans="1:2" ht="15" customHeight="1" x14ac:dyDescent="0.25">
      <c r="A55" s="32" t="s">
        <v>120</v>
      </c>
      <c r="B55" s="127">
        <v>2.5</v>
      </c>
    </row>
    <row r="56" spans="1:2" ht="15" customHeight="1" x14ac:dyDescent="0.25">
      <c r="A56" s="101" t="s">
        <v>119</v>
      </c>
      <c r="B56" s="127">
        <v>15</v>
      </c>
    </row>
    <row r="57" spans="1:2" ht="15" customHeight="1" x14ac:dyDescent="0.25">
      <c r="A57" s="101" t="s">
        <v>121</v>
      </c>
      <c r="B57" s="127">
        <v>45</v>
      </c>
    </row>
    <row r="58" spans="1:2" ht="15" customHeight="1" x14ac:dyDescent="0.25">
      <c r="B58" s="127"/>
    </row>
    <row r="59" spans="1:2" ht="15" customHeight="1" x14ac:dyDescent="0.25">
      <c r="A59" s="100" t="s">
        <v>155</v>
      </c>
      <c r="B59" s="54"/>
    </row>
    <row r="60" spans="1:2" x14ac:dyDescent="0.25">
      <c r="A60" s="60" t="s">
        <v>85</v>
      </c>
      <c r="B60" s="33">
        <v>52</v>
      </c>
    </row>
    <row r="61" spans="1:2" x14ac:dyDescent="0.25">
      <c r="A61" s="32" t="s">
        <v>157</v>
      </c>
      <c r="B61" s="127">
        <v>0.45</v>
      </c>
    </row>
    <row r="62" spans="1:2" x14ac:dyDescent="0.25">
      <c r="A62" s="32" t="s">
        <v>166</v>
      </c>
      <c r="B62" s="127">
        <v>1</v>
      </c>
    </row>
    <row r="63" spans="1:2" x14ac:dyDescent="0.25">
      <c r="A63" s="32" t="s">
        <v>167</v>
      </c>
      <c r="B63" s="127">
        <v>3</v>
      </c>
    </row>
    <row r="64" spans="1:2" x14ac:dyDescent="0.25">
      <c r="A64" s="32" t="s">
        <v>179</v>
      </c>
      <c r="B64" s="127">
        <v>124</v>
      </c>
    </row>
    <row r="65" spans="1:2" x14ac:dyDescent="0.25">
      <c r="A65" s="127" t="s">
        <v>198</v>
      </c>
      <c r="B65" s="127">
        <v>2.2999999999999998</v>
      </c>
    </row>
    <row r="66" spans="1:2" x14ac:dyDescent="0.25">
      <c r="A66" s="127" t="s">
        <v>202</v>
      </c>
      <c r="B66" s="127">
        <v>3.4</v>
      </c>
    </row>
    <row r="67" spans="1:2" x14ac:dyDescent="0.25">
      <c r="B67" s="54"/>
    </row>
    <row r="68" spans="1:2" x14ac:dyDescent="0.25">
      <c r="A68" s="83" t="s">
        <v>122</v>
      </c>
      <c r="B68" s="53"/>
    </row>
    <row r="69" spans="1:2" x14ac:dyDescent="0.25">
      <c r="A69" s="32" t="s">
        <v>124</v>
      </c>
      <c r="B69" s="127">
        <v>611</v>
      </c>
    </row>
    <row r="70" spans="1:2" x14ac:dyDescent="0.25">
      <c r="A70" s="32" t="s">
        <v>125</v>
      </c>
      <c r="B70" s="127">
        <v>25</v>
      </c>
    </row>
    <row r="71" spans="1:2" x14ac:dyDescent="0.25">
      <c r="A71" s="32" t="s">
        <v>126</v>
      </c>
      <c r="B71" s="127">
        <v>35</v>
      </c>
    </row>
    <row r="72" spans="1:2" x14ac:dyDescent="0.25">
      <c r="A72" s="32" t="s">
        <v>127</v>
      </c>
      <c r="B72" s="127">
        <v>31</v>
      </c>
    </row>
    <row r="73" spans="1:2" x14ac:dyDescent="0.25">
      <c r="B73" s="54"/>
    </row>
    <row r="74" spans="1:2" x14ac:dyDescent="0.25">
      <c r="A74" s="83" t="s">
        <v>165</v>
      </c>
      <c r="B74" s="53"/>
    </row>
    <row r="75" spans="1:2" x14ac:dyDescent="0.25">
      <c r="A75" s="127" t="s">
        <v>128</v>
      </c>
      <c r="B75" s="127">
        <v>0.5</v>
      </c>
    </row>
    <row r="76" spans="1:2" x14ac:dyDescent="0.25">
      <c r="A76" s="127" t="s">
        <v>156</v>
      </c>
      <c r="B76" s="127">
        <v>2</v>
      </c>
    </row>
    <row r="77" spans="1:2" x14ac:dyDescent="0.25">
      <c r="A77" s="127" t="s">
        <v>200</v>
      </c>
      <c r="B77" s="127">
        <v>1</v>
      </c>
    </row>
    <row r="78" spans="1:2" x14ac:dyDescent="0.25">
      <c r="A78" s="127" t="s">
        <v>201</v>
      </c>
      <c r="B78" s="127">
        <v>0.5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9ABEA-F1DC-4A3F-BA79-B74D179E0E3D}">
  <dimension ref="A1:K29"/>
  <sheetViews>
    <sheetView workbookViewId="0">
      <selection activeCell="B37" sqref="B37"/>
    </sheetView>
  </sheetViews>
  <sheetFormatPr defaultRowHeight="15" x14ac:dyDescent="0.25"/>
  <cols>
    <col min="1" max="1" width="34.85546875" bestFit="1" customWidth="1"/>
    <col min="2" max="2" width="4.5703125" bestFit="1" customWidth="1"/>
    <col min="3" max="3" width="7" bestFit="1" customWidth="1"/>
    <col min="4" max="4" width="6.28515625" bestFit="1" customWidth="1"/>
    <col min="5" max="5" width="5.42578125" bestFit="1" customWidth="1"/>
    <col min="6" max="6" width="11.140625" bestFit="1" customWidth="1"/>
    <col min="7" max="7" width="10.85546875" bestFit="1" customWidth="1"/>
    <col min="8" max="8" width="1.85546875" customWidth="1"/>
    <col min="9" max="9" width="6.5703125" bestFit="1" customWidth="1"/>
    <col min="10" max="10" width="4.42578125" bestFit="1" customWidth="1"/>
    <col min="11" max="11" width="6.5703125" bestFit="1" customWidth="1"/>
  </cols>
  <sheetData>
    <row r="1" spans="1:11" x14ac:dyDescent="0.25">
      <c r="A1" s="47" t="s">
        <v>37</v>
      </c>
      <c r="B1" s="47" t="s">
        <v>38</v>
      </c>
      <c r="C1" s="48" t="s">
        <v>39</v>
      </c>
      <c r="D1" s="49" t="s">
        <v>40</v>
      </c>
      <c r="E1" s="50" t="s">
        <v>41</v>
      </c>
      <c r="F1" s="64" t="s">
        <v>25</v>
      </c>
      <c r="G1" s="64" t="s">
        <v>44</v>
      </c>
      <c r="H1" s="29"/>
      <c r="I1" s="47" t="s">
        <v>42</v>
      </c>
      <c r="J1" s="47" t="s">
        <v>72</v>
      </c>
      <c r="K1" s="47" t="s">
        <v>43</v>
      </c>
    </row>
    <row r="2" spans="1:11" x14ac:dyDescent="0.25">
      <c r="A2" s="54" t="s">
        <v>45</v>
      </c>
      <c r="B2" s="32">
        <v>40</v>
      </c>
      <c r="C2" s="32">
        <v>0</v>
      </c>
      <c r="D2" s="32">
        <v>6</v>
      </c>
      <c r="E2" s="32">
        <v>6</v>
      </c>
      <c r="F2" s="32">
        <v>0</v>
      </c>
      <c r="G2" s="32">
        <v>0</v>
      </c>
      <c r="H2" s="54"/>
      <c r="I2" s="33">
        <f>'Price Data'!$B$38*B2+'Price Data'!$B$39*C2+'Price Data'!$B$40*D2+'Price Data'!$B$41*E2</f>
        <v>522</v>
      </c>
      <c r="J2" s="32">
        <v>1400</v>
      </c>
      <c r="K2" s="33">
        <f>(J2-I2)*0.95</f>
        <v>834.09999999999991</v>
      </c>
    </row>
    <row r="3" spans="1:11" x14ac:dyDescent="0.25">
      <c r="A3" s="54" t="s">
        <v>46</v>
      </c>
      <c r="B3" s="32">
        <v>0</v>
      </c>
      <c r="C3" s="32">
        <v>4</v>
      </c>
      <c r="D3" s="32">
        <v>4</v>
      </c>
      <c r="E3" s="32">
        <v>0</v>
      </c>
      <c r="F3" s="32">
        <v>0</v>
      </c>
      <c r="G3" s="32">
        <v>0</v>
      </c>
      <c r="H3" s="54"/>
      <c r="I3" s="33">
        <f>'Price Data'!$B$38*B3+'Price Data'!$B$39*C3+'Price Data'!$B$40*D3+'Price Data'!$B$41*E3</f>
        <v>140</v>
      </c>
      <c r="J3" s="32">
        <v>100</v>
      </c>
      <c r="K3" s="33">
        <f t="shared" ref="K3:K29" si="0">(J3-I3)*0.95</f>
        <v>-38</v>
      </c>
    </row>
    <row r="4" spans="1:11" x14ac:dyDescent="0.25">
      <c r="A4" s="54" t="s">
        <v>47</v>
      </c>
      <c r="B4" s="32">
        <v>10</v>
      </c>
      <c r="C4" s="32">
        <v>2</v>
      </c>
      <c r="D4" s="32">
        <v>2</v>
      </c>
      <c r="E4" s="32">
        <v>0</v>
      </c>
      <c r="F4" s="32">
        <v>0</v>
      </c>
      <c r="G4" s="32">
        <v>0</v>
      </c>
      <c r="H4" s="54"/>
      <c r="I4" s="33">
        <f>'Price Data'!$B$38*B4+'Price Data'!$B$39*C4+'Price Data'!$B$40*D4+'Price Data'!$B$41*E4</f>
        <v>100</v>
      </c>
      <c r="J4" s="32">
        <v>100</v>
      </c>
      <c r="K4" s="33">
        <f t="shared" si="0"/>
        <v>0</v>
      </c>
    </row>
    <row r="5" spans="1:11" x14ac:dyDescent="0.25">
      <c r="A5" s="54" t="s">
        <v>83</v>
      </c>
      <c r="B5" s="32">
        <v>6</v>
      </c>
      <c r="C5" s="32">
        <v>6</v>
      </c>
      <c r="D5" s="32">
        <v>1</v>
      </c>
      <c r="E5" s="32">
        <v>0</v>
      </c>
      <c r="F5" s="32">
        <v>0</v>
      </c>
      <c r="G5" s="32">
        <v>0</v>
      </c>
      <c r="H5" s="54"/>
      <c r="I5" s="33">
        <f>'Price Data'!$B$38*B5+'Price Data'!$B$39*C5+'Price Data'!$B$40*D5+'Price Data'!$B$41*E5</f>
        <v>113</v>
      </c>
      <c r="J5" s="32">
        <v>120</v>
      </c>
      <c r="K5" s="33">
        <f t="shared" si="0"/>
        <v>6.6499999999999995</v>
      </c>
    </row>
    <row r="6" spans="1:11" x14ac:dyDescent="0.25">
      <c r="A6" s="54" t="s">
        <v>48</v>
      </c>
      <c r="B6" s="32">
        <v>0</v>
      </c>
      <c r="C6" s="32">
        <v>0</v>
      </c>
      <c r="D6" s="32">
        <v>4</v>
      </c>
      <c r="E6" s="32">
        <v>4</v>
      </c>
      <c r="F6" s="32">
        <v>0</v>
      </c>
      <c r="G6" s="32">
        <v>0</v>
      </c>
      <c r="H6" s="54"/>
      <c r="I6" s="33">
        <f>'Price Data'!$B$38*B6+'Price Data'!$B$39*C6+'Price Data'!$B$40*D6+'Price Data'!$B$41*E6</f>
        <v>268</v>
      </c>
      <c r="J6" s="32">
        <v>850</v>
      </c>
      <c r="K6" s="33">
        <f t="shared" si="0"/>
        <v>552.9</v>
      </c>
    </row>
    <row r="7" spans="1:11" x14ac:dyDescent="0.25">
      <c r="A7" s="54" t="s">
        <v>49</v>
      </c>
      <c r="B7" s="32">
        <v>0</v>
      </c>
      <c r="C7" s="32">
        <v>6</v>
      </c>
      <c r="D7" s="32">
        <v>0</v>
      </c>
      <c r="E7" s="32">
        <v>1</v>
      </c>
      <c r="F7" s="32">
        <v>0</v>
      </c>
      <c r="G7" s="32">
        <v>0</v>
      </c>
      <c r="H7" s="54"/>
      <c r="I7" s="33">
        <f>'Price Data'!$B$38*B7+'Price Data'!$B$39*C7+'Price Data'!$B$40*D7+'Price Data'!$B$41*E7</f>
        <v>116</v>
      </c>
      <c r="J7" s="32">
        <v>290</v>
      </c>
      <c r="K7" s="33">
        <f t="shared" si="0"/>
        <v>165.29999999999998</v>
      </c>
    </row>
    <row r="8" spans="1:11" x14ac:dyDescent="0.25">
      <c r="A8" s="54" t="s">
        <v>50</v>
      </c>
      <c r="B8" s="32">
        <v>12</v>
      </c>
      <c r="C8" s="32">
        <v>4</v>
      </c>
      <c r="D8" s="32">
        <v>4</v>
      </c>
      <c r="E8" s="32">
        <v>10</v>
      </c>
      <c r="F8" s="32">
        <v>0</v>
      </c>
      <c r="G8" s="32">
        <v>0</v>
      </c>
      <c r="H8" s="54"/>
      <c r="I8" s="33">
        <f>'Price Data'!$B$38*B8+'Price Data'!$B$39*C8+'Price Data'!$B$40*D8+'Price Data'!$B$41*E8</f>
        <v>616</v>
      </c>
      <c r="J8" s="32">
        <v>1900</v>
      </c>
      <c r="K8" s="33">
        <f t="shared" si="0"/>
        <v>1219.8</v>
      </c>
    </row>
    <row r="9" spans="1:11" x14ac:dyDescent="0.25">
      <c r="A9" s="54" t="s">
        <v>51</v>
      </c>
      <c r="B9" s="32">
        <v>0</v>
      </c>
      <c r="C9" s="32">
        <v>6</v>
      </c>
      <c r="D9" s="32">
        <v>6</v>
      </c>
      <c r="E9" s="32">
        <v>6</v>
      </c>
      <c r="F9" s="32">
        <v>0</v>
      </c>
      <c r="G9" s="32">
        <v>0</v>
      </c>
      <c r="H9" s="54"/>
      <c r="I9" s="33">
        <f>'Price Data'!$B$38*B9+'Price Data'!$B$39*C9+'Price Data'!$B$40*D9+'Price Data'!$B$41*E9</f>
        <v>474</v>
      </c>
      <c r="J9" s="32">
        <v>1050</v>
      </c>
      <c r="K9" s="33">
        <f t="shared" si="0"/>
        <v>547.19999999999993</v>
      </c>
    </row>
    <row r="10" spans="1:11" x14ac:dyDescent="0.25">
      <c r="A10" s="54" t="s">
        <v>52</v>
      </c>
      <c r="B10" s="32">
        <v>8</v>
      </c>
      <c r="C10" s="32">
        <v>0</v>
      </c>
      <c r="D10" s="32">
        <v>2</v>
      </c>
      <c r="E10" s="32">
        <v>0</v>
      </c>
      <c r="F10" s="32">
        <v>0</v>
      </c>
      <c r="G10" s="32">
        <v>2</v>
      </c>
      <c r="H10" s="54"/>
      <c r="I10" s="33">
        <f>'Price Data'!$B$38*B10+'Price Data'!$B$39*C10+'Price Data'!$B$40*D10+'Price Data'!$B$41*E10++'Price Data'!$B$4*2*G10</f>
        <v>94</v>
      </c>
      <c r="J10" s="32">
        <v>110</v>
      </c>
      <c r="K10" s="33">
        <f t="shared" si="0"/>
        <v>15.2</v>
      </c>
    </row>
    <row r="11" spans="1:11" x14ac:dyDescent="0.25">
      <c r="A11" s="54" t="s">
        <v>53</v>
      </c>
      <c r="B11" s="32">
        <v>30</v>
      </c>
      <c r="C11" s="32">
        <v>0</v>
      </c>
      <c r="D11" s="32">
        <v>6</v>
      </c>
      <c r="E11" s="32">
        <v>6</v>
      </c>
      <c r="F11" s="32">
        <v>0</v>
      </c>
      <c r="G11" s="32">
        <v>0</v>
      </c>
      <c r="H11" s="54"/>
      <c r="I11" s="33">
        <f>'Price Data'!$B$38*B11+'Price Data'!$B$39*C11+'Price Data'!$B$40*D11+'Price Data'!$B$41*E11</f>
        <v>492</v>
      </c>
      <c r="J11" s="32">
        <v>1150</v>
      </c>
      <c r="K11" s="33">
        <f t="shared" si="0"/>
        <v>625.1</v>
      </c>
    </row>
    <row r="12" spans="1:11" x14ac:dyDescent="0.25">
      <c r="A12" s="54" t="s">
        <v>54</v>
      </c>
      <c r="B12" s="32">
        <v>10</v>
      </c>
      <c r="C12" s="32">
        <v>2</v>
      </c>
      <c r="D12" s="32">
        <v>2</v>
      </c>
      <c r="E12" s="32">
        <v>4</v>
      </c>
      <c r="F12" s="32">
        <v>0</v>
      </c>
      <c r="G12" s="32">
        <v>0</v>
      </c>
      <c r="H12" s="54"/>
      <c r="I12" s="33">
        <f>'Price Data'!$B$38*B12+'Price Data'!$B$39*C12+'Price Data'!$B$40*D12+'Price Data'!$B$41*E12</f>
        <v>276</v>
      </c>
      <c r="J12" s="32">
        <v>1660</v>
      </c>
      <c r="K12" s="33">
        <f t="shared" si="0"/>
        <v>1314.8</v>
      </c>
    </row>
    <row r="13" spans="1:11" x14ac:dyDescent="0.25">
      <c r="A13" s="54" t="s">
        <v>55</v>
      </c>
      <c r="B13" s="32">
        <v>40</v>
      </c>
      <c r="C13" s="32">
        <v>6</v>
      </c>
      <c r="D13" s="32">
        <v>0</v>
      </c>
      <c r="E13" s="32">
        <v>6</v>
      </c>
      <c r="F13" s="32">
        <v>0</v>
      </c>
      <c r="G13" s="32">
        <v>0</v>
      </c>
      <c r="H13" s="54"/>
      <c r="I13" s="33">
        <f>'Price Data'!$B$38*B13+'Price Data'!$B$39*C13+'Price Data'!$B$40*D13+'Price Data'!$B$41*E13</f>
        <v>456</v>
      </c>
      <c r="J13" s="32">
        <v>1200</v>
      </c>
      <c r="K13" s="33">
        <f t="shared" si="0"/>
        <v>706.8</v>
      </c>
    </row>
    <row r="14" spans="1:11" x14ac:dyDescent="0.25">
      <c r="A14" s="54" t="s">
        <v>56</v>
      </c>
      <c r="B14" s="32">
        <v>24</v>
      </c>
      <c r="C14" s="32">
        <v>6</v>
      </c>
      <c r="D14" s="32">
        <v>0</v>
      </c>
      <c r="E14" s="32">
        <v>0</v>
      </c>
      <c r="F14" s="32">
        <v>0</v>
      </c>
      <c r="G14" s="32">
        <v>0</v>
      </c>
      <c r="H14" s="54"/>
      <c r="I14" s="33">
        <f>'Price Data'!$B$38*B14+'Price Data'!$B$39*C14+'Price Data'!$B$40*D14+'Price Data'!$B$41*E14</f>
        <v>144</v>
      </c>
      <c r="J14" s="32">
        <v>230</v>
      </c>
      <c r="K14" s="33">
        <f t="shared" si="0"/>
        <v>81.7</v>
      </c>
    </row>
    <row r="15" spans="1:11" x14ac:dyDescent="0.25">
      <c r="A15" s="54" t="s">
        <v>57</v>
      </c>
      <c r="B15" s="32">
        <v>16</v>
      </c>
      <c r="C15" s="32">
        <v>4</v>
      </c>
      <c r="D15" s="32">
        <v>0</v>
      </c>
      <c r="E15" s="32">
        <v>0</v>
      </c>
      <c r="F15" s="32">
        <v>0</v>
      </c>
      <c r="G15" s="32">
        <v>0</v>
      </c>
      <c r="H15" s="54"/>
      <c r="I15" s="33">
        <f>'Price Data'!$B$38*B15+'Price Data'!$B$39*C15+'Price Data'!$B$40*D15+'Price Data'!$B$41*E15</f>
        <v>96</v>
      </c>
      <c r="J15" s="32">
        <v>100</v>
      </c>
      <c r="K15" s="33">
        <f t="shared" si="0"/>
        <v>3.8</v>
      </c>
    </row>
    <row r="16" spans="1:11" x14ac:dyDescent="0.25">
      <c r="A16" s="54" t="s">
        <v>58</v>
      </c>
      <c r="B16" s="32">
        <v>15</v>
      </c>
      <c r="C16" s="32">
        <v>2</v>
      </c>
      <c r="D16" s="32">
        <v>0</v>
      </c>
      <c r="E16" s="32">
        <v>0</v>
      </c>
      <c r="F16" s="32">
        <v>0</v>
      </c>
      <c r="G16" s="32">
        <v>0</v>
      </c>
      <c r="H16" s="54"/>
      <c r="I16" s="33">
        <f>'Price Data'!$B$38*B16+'Price Data'!$B$39*C16+'Price Data'!$B$40*D16+'Price Data'!$B$41*E16</f>
        <v>69</v>
      </c>
      <c r="J16" s="32">
        <v>20</v>
      </c>
      <c r="K16" s="33">
        <f t="shared" si="0"/>
        <v>-46.55</v>
      </c>
    </row>
    <row r="17" spans="1:11" x14ac:dyDescent="0.25">
      <c r="A17" s="54" t="s">
        <v>59</v>
      </c>
      <c r="B17" s="32">
        <v>20</v>
      </c>
      <c r="C17" s="32">
        <v>4</v>
      </c>
      <c r="D17" s="32">
        <v>0</v>
      </c>
      <c r="E17" s="32">
        <v>0</v>
      </c>
      <c r="F17" s="32">
        <v>0</v>
      </c>
      <c r="G17" s="32">
        <v>0</v>
      </c>
      <c r="H17" s="54"/>
      <c r="I17" s="33">
        <f>'Price Data'!$B$38*B17+'Price Data'!$B$39*C17+'Price Data'!$B$40*D17+'Price Data'!$B$41*E17</f>
        <v>108</v>
      </c>
      <c r="J17" s="32">
        <v>140</v>
      </c>
      <c r="K17" s="33">
        <f t="shared" si="0"/>
        <v>30.4</v>
      </c>
    </row>
    <row r="18" spans="1:11" x14ac:dyDescent="0.25">
      <c r="A18" s="54" t="s">
        <v>60</v>
      </c>
      <c r="B18" s="32">
        <v>4</v>
      </c>
      <c r="C18" s="32">
        <v>4</v>
      </c>
      <c r="D18" s="32">
        <v>0</v>
      </c>
      <c r="E18" s="32">
        <v>0</v>
      </c>
      <c r="F18" s="32">
        <v>0</v>
      </c>
      <c r="G18" s="32">
        <v>0</v>
      </c>
      <c r="H18" s="54"/>
      <c r="I18" s="33">
        <f>'Price Data'!$B$38*B18+'Price Data'!$B$39*C18+'Price Data'!$B$40*D18+'Price Data'!$B$41*E18</f>
        <v>60</v>
      </c>
      <c r="J18" s="32">
        <v>10</v>
      </c>
      <c r="K18" s="33">
        <f t="shared" si="0"/>
        <v>-47.5</v>
      </c>
    </row>
    <row r="19" spans="1:11" x14ac:dyDescent="0.25">
      <c r="A19" s="54" t="s">
        <v>61</v>
      </c>
      <c r="B19" s="32">
        <v>8</v>
      </c>
      <c r="C19" s="32">
        <v>2</v>
      </c>
      <c r="D19" s="32">
        <v>2</v>
      </c>
      <c r="E19" s="32">
        <v>0</v>
      </c>
      <c r="F19" s="32">
        <v>0</v>
      </c>
      <c r="G19" s="32">
        <v>0</v>
      </c>
      <c r="H19" s="54"/>
      <c r="I19" s="33">
        <f>'Price Data'!$B$38*B19+'Price Data'!$B$39*C19+'Price Data'!$B$40*D19+'Price Data'!$B$41*E19</f>
        <v>94</v>
      </c>
      <c r="J19" s="32">
        <v>70</v>
      </c>
      <c r="K19" s="33">
        <f t="shared" si="0"/>
        <v>-22.799999999999997</v>
      </c>
    </row>
    <row r="20" spans="1:11" x14ac:dyDescent="0.25">
      <c r="A20" s="54" t="s">
        <v>62</v>
      </c>
      <c r="B20" s="32">
        <v>6</v>
      </c>
      <c r="C20" s="32">
        <v>0</v>
      </c>
      <c r="D20" s="32">
        <v>0</v>
      </c>
      <c r="E20" s="32">
        <v>0</v>
      </c>
      <c r="F20" s="32">
        <v>6</v>
      </c>
      <c r="G20" s="32">
        <v>0</v>
      </c>
      <c r="H20" s="54"/>
      <c r="I20" s="33">
        <f>'Price Data'!$B$38*B20+'Price Data'!$B$39*C20+'Price Data'!$B$40*D20+'Price Data'!$B$41*E20+'Price Data'!$B$30*F20</f>
        <v>48</v>
      </c>
      <c r="J20" s="32">
        <v>60</v>
      </c>
      <c r="K20" s="33">
        <f t="shared" si="0"/>
        <v>11.399999999999999</v>
      </c>
    </row>
    <row r="21" spans="1:11" x14ac:dyDescent="0.25">
      <c r="A21" s="54" t="s">
        <v>63</v>
      </c>
      <c r="B21" s="32">
        <v>16</v>
      </c>
      <c r="C21" s="32">
        <v>4</v>
      </c>
      <c r="D21" s="32">
        <v>0</v>
      </c>
      <c r="E21" s="32">
        <v>0</v>
      </c>
      <c r="F21" s="32">
        <v>0</v>
      </c>
      <c r="G21" s="32">
        <v>0</v>
      </c>
      <c r="H21" s="54"/>
      <c r="I21" s="33">
        <f>'Price Data'!$B$38*B21+'Price Data'!$B$39*C21+'Price Data'!$B$40*D21+'Price Data'!$B$41*E21</f>
        <v>96</v>
      </c>
      <c r="J21" s="32">
        <v>160</v>
      </c>
      <c r="K21" s="33">
        <f t="shared" si="0"/>
        <v>60.8</v>
      </c>
    </row>
    <row r="22" spans="1:11" x14ac:dyDescent="0.25">
      <c r="A22" s="54" t="s">
        <v>64</v>
      </c>
      <c r="B22" s="32">
        <v>0</v>
      </c>
      <c r="C22" s="32">
        <v>4</v>
      </c>
      <c r="D22" s="32">
        <v>1</v>
      </c>
      <c r="E22" s="32">
        <v>0</v>
      </c>
      <c r="F22" s="32">
        <v>0</v>
      </c>
      <c r="G22" s="32">
        <v>0</v>
      </c>
      <c r="H22" s="54"/>
      <c r="I22" s="33">
        <f>'Price Data'!$B$38*B22+'Price Data'!$B$39*C22+'Price Data'!$B$40*D22+'Price Data'!$B$41*E22</f>
        <v>71</v>
      </c>
      <c r="J22" s="32">
        <v>80</v>
      </c>
      <c r="K22" s="33">
        <f t="shared" si="0"/>
        <v>8.5499999999999989</v>
      </c>
    </row>
    <row r="23" spans="1:11" x14ac:dyDescent="0.25">
      <c r="A23" s="54" t="s">
        <v>65</v>
      </c>
      <c r="B23" s="32">
        <v>10</v>
      </c>
      <c r="C23" s="32">
        <v>1</v>
      </c>
      <c r="D23" s="32">
        <v>0</v>
      </c>
      <c r="E23" s="32">
        <v>0</v>
      </c>
      <c r="F23" s="32">
        <v>0</v>
      </c>
      <c r="G23" s="32">
        <v>0</v>
      </c>
      <c r="H23" s="54"/>
      <c r="I23" s="33">
        <f>'Price Data'!$B$38*B23+'Price Data'!$B$39*C23+'Price Data'!$B$40*D23+'Price Data'!$B$41*E23</f>
        <v>42</v>
      </c>
      <c r="J23" s="32">
        <v>8</v>
      </c>
      <c r="K23" s="33">
        <f t="shared" si="0"/>
        <v>-32.299999999999997</v>
      </c>
    </row>
    <row r="24" spans="1:11" x14ac:dyDescent="0.25">
      <c r="A24" s="54" t="s">
        <v>66</v>
      </c>
      <c r="B24" s="32">
        <v>0</v>
      </c>
      <c r="C24" s="32">
        <v>4</v>
      </c>
      <c r="D24" s="32">
        <v>0</v>
      </c>
      <c r="E24" s="32">
        <v>0</v>
      </c>
      <c r="F24" s="32">
        <v>0</v>
      </c>
      <c r="G24" s="32">
        <v>0</v>
      </c>
      <c r="H24" s="54"/>
      <c r="I24" s="33">
        <f>'Price Data'!$B$38*B24+'Price Data'!$B$39*C24+'Price Data'!$B$40*D24+'Price Data'!$B$41*E24</f>
        <v>48</v>
      </c>
      <c r="J24" s="32">
        <v>60</v>
      </c>
      <c r="K24" s="33">
        <f t="shared" si="0"/>
        <v>11.399999999999999</v>
      </c>
    </row>
    <row r="25" spans="1:11" x14ac:dyDescent="0.25">
      <c r="A25" s="54" t="s">
        <v>67</v>
      </c>
      <c r="B25" s="32">
        <v>10</v>
      </c>
      <c r="C25" s="32">
        <v>0</v>
      </c>
      <c r="D25" s="32">
        <v>0</v>
      </c>
      <c r="E25" s="32">
        <v>0</v>
      </c>
      <c r="F25" s="32">
        <v>1</v>
      </c>
      <c r="G25" s="32">
        <v>0</v>
      </c>
      <c r="H25" s="54"/>
      <c r="I25" s="33">
        <f>'Price Data'!$B$38*B25+'Price Data'!$B$39*C25+'Price Data'!$B$40*D25+'Price Data'!$B$41*E25+'Price Data'!$B$30*F25</f>
        <v>35</v>
      </c>
      <c r="J25" s="32">
        <v>35</v>
      </c>
      <c r="K25" s="33">
        <f t="shared" si="0"/>
        <v>0</v>
      </c>
    </row>
    <row r="26" spans="1:11" x14ac:dyDescent="0.25">
      <c r="A26" s="54" t="s">
        <v>68</v>
      </c>
      <c r="B26" s="32">
        <v>12</v>
      </c>
      <c r="C26" s="32">
        <v>0</v>
      </c>
      <c r="D26" s="32">
        <v>0</v>
      </c>
      <c r="E26" s="32">
        <v>0</v>
      </c>
      <c r="F26" s="32">
        <v>0</v>
      </c>
      <c r="G26" s="32">
        <v>0</v>
      </c>
      <c r="H26" s="54"/>
      <c r="I26" s="33">
        <f>'Price Data'!$B$38*B26+'Price Data'!$B$39*C26+'Price Data'!$B$40*D26+'Price Data'!$B$41*E26</f>
        <v>36</v>
      </c>
      <c r="J26" s="32">
        <v>40</v>
      </c>
      <c r="K26" s="33">
        <f t="shared" si="0"/>
        <v>3.8</v>
      </c>
    </row>
    <row r="27" spans="1:11" x14ac:dyDescent="0.25">
      <c r="A27" s="54" t="s">
        <v>69</v>
      </c>
      <c r="B27" s="32">
        <v>8</v>
      </c>
      <c r="C27" s="32">
        <v>0</v>
      </c>
      <c r="D27" s="32">
        <v>0</v>
      </c>
      <c r="E27" s="32">
        <v>0</v>
      </c>
      <c r="F27" s="32">
        <v>0.1</v>
      </c>
      <c r="G27" s="32">
        <v>0</v>
      </c>
      <c r="H27" s="54"/>
      <c r="I27" s="33">
        <f>'Price Data'!$B$38*B27+'Price Data'!$B$39*C27+'Price Data'!$B$40*D27+'Price Data'!$B$41*E27+'Price Data'!$B$30*F27</f>
        <v>24.5</v>
      </c>
      <c r="J27" s="32">
        <v>40</v>
      </c>
      <c r="K27" s="33">
        <f t="shared" si="0"/>
        <v>14.725</v>
      </c>
    </row>
    <row r="28" spans="1:11" x14ac:dyDescent="0.25">
      <c r="A28" s="54" t="s">
        <v>70</v>
      </c>
      <c r="B28" s="32">
        <v>3</v>
      </c>
      <c r="C28" s="32">
        <v>1</v>
      </c>
      <c r="D28" s="32">
        <v>0</v>
      </c>
      <c r="E28" s="32">
        <v>0</v>
      </c>
      <c r="F28" s="32">
        <v>0</v>
      </c>
      <c r="G28" s="32">
        <v>0</v>
      </c>
      <c r="H28" s="54"/>
      <c r="I28" s="33">
        <f>'Price Data'!$B$38*B28+'Price Data'!$B$39*C28+'Price Data'!$B$40*D28+'Price Data'!$B$41*E28</f>
        <v>21</v>
      </c>
      <c r="J28" s="32">
        <v>40</v>
      </c>
      <c r="K28" s="33">
        <f t="shared" si="0"/>
        <v>18.05</v>
      </c>
    </row>
    <row r="29" spans="1:11" x14ac:dyDescent="0.25">
      <c r="A29" s="54" t="s">
        <v>71</v>
      </c>
      <c r="B29" s="32">
        <v>4</v>
      </c>
      <c r="C29" s="32">
        <v>0.34</v>
      </c>
      <c r="D29" s="32">
        <v>0</v>
      </c>
      <c r="E29" s="32">
        <v>0</v>
      </c>
      <c r="F29" s="32">
        <v>0</v>
      </c>
      <c r="G29" s="32">
        <v>0</v>
      </c>
      <c r="H29" s="54"/>
      <c r="I29" s="33">
        <f>'Price Data'!$B$38*B29+'Price Data'!$B$39*C29+'Price Data'!$B$40*D29+'Price Data'!$B$41*E29</f>
        <v>16.079999999999998</v>
      </c>
      <c r="J29" s="32">
        <v>10</v>
      </c>
      <c r="K29" s="33">
        <f t="shared" si="0"/>
        <v>-5.775999999999998</v>
      </c>
    </row>
  </sheetData>
  <conditionalFormatting sqref="K2:K29">
    <cfRule type="cellIs" dxfId="28" priority="1" operator="lessThanOrEqual">
      <formula>24</formula>
    </cfRule>
    <cfRule type="cellIs" dxfId="27" priority="2" operator="greaterThanOrEqual">
      <formula>25</formula>
    </cfRule>
  </conditionalFormatting>
  <pageMargins left="0.7" right="0.7" top="0.75" bottom="0.75" header="0.3" footer="0.3"/>
  <pageSetup paperSize="9" orientation="portrait" r:id="rId1"/>
  <ignoredErrors>
    <ignoredError sqref="I20 I26:I27 I25 I1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ED8FC-4477-47EF-BB8A-1454229AC74B}">
  <dimension ref="A1:AD76"/>
  <sheetViews>
    <sheetView workbookViewId="0">
      <selection activeCell="I19" sqref="I19"/>
    </sheetView>
  </sheetViews>
  <sheetFormatPr defaultRowHeight="14.25" x14ac:dyDescent="0.25"/>
  <cols>
    <col min="1" max="1" width="11.140625" style="3" bestFit="1" customWidth="1"/>
    <col min="2" max="2" width="7.42578125" style="3" bestFit="1" customWidth="1"/>
    <col min="3" max="3" width="1.85546875" style="3" customWidth="1"/>
    <col min="4" max="4" width="2.140625" style="3" customWidth="1"/>
    <col min="5" max="5" width="9.5703125" style="3" bestFit="1" customWidth="1"/>
    <col min="6" max="6" width="12.85546875" style="3" bestFit="1" customWidth="1"/>
    <col min="7" max="7" width="10.7109375" style="3" bestFit="1" customWidth="1"/>
    <col min="8" max="8" width="8.42578125" style="3" bestFit="1" customWidth="1"/>
    <col min="9" max="10" width="9.85546875" style="3" bestFit="1" customWidth="1"/>
    <col min="11" max="11" width="11.140625" style="3" bestFit="1" customWidth="1"/>
    <col min="12" max="12" width="10.85546875" style="3" bestFit="1" customWidth="1"/>
    <col min="13" max="13" width="10.5703125" style="3" bestFit="1" customWidth="1"/>
    <col min="14" max="14" width="12.7109375" style="3" bestFit="1" customWidth="1"/>
    <col min="15" max="15" width="12.85546875" style="3" bestFit="1" customWidth="1"/>
    <col min="16" max="16" width="13.140625" style="3" bestFit="1" customWidth="1"/>
    <col min="17" max="17" width="8.5703125" style="3" bestFit="1" customWidth="1"/>
    <col min="18" max="18" width="10.140625" style="3" bestFit="1" customWidth="1"/>
    <col min="19" max="19" width="11.5703125" style="3" bestFit="1" customWidth="1"/>
    <col min="20" max="20" width="11.28515625" style="3" bestFit="1" customWidth="1"/>
    <col min="21" max="21" width="8.42578125" style="3" bestFit="1" customWidth="1"/>
    <col min="22" max="22" width="12.5703125" style="3" bestFit="1" customWidth="1"/>
    <col min="23" max="23" width="5.5703125" style="3" bestFit="1" customWidth="1"/>
    <col min="24" max="24" width="6" style="3" bestFit="1" customWidth="1"/>
    <col min="25" max="25" width="6.5703125" style="3" bestFit="1" customWidth="1"/>
    <col min="26" max="26" width="10.7109375" style="3" bestFit="1" customWidth="1"/>
    <col min="27" max="27" width="7.42578125" style="3" bestFit="1" customWidth="1"/>
    <col min="28" max="28" width="6" style="3" bestFit="1" customWidth="1"/>
    <col min="29" max="29" width="9.42578125" style="3" bestFit="1" customWidth="1"/>
    <col min="30" max="30" width="16.140625" style="3" bestFit="1" customWidth="1"/>
    <col min="31" max="16384" width="9.140625" style="3"/>
  </cols>
  <sheetData>
    <row r="1" spans="1:30" ht="14.25" customHeight="1" x14ac:dyDescent="0.25">
      <c r="A1" s="29"/>
      <c r="B1" s="121" t="s">
        <v>1</v>
      </c>
      <c r="C1" s="121"/>
      <c r="D1" s="31"/>
      <c r="E1" s="140" t="s">
        <v>9</v>
      </c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14.25" customHeight="1" x14ac:dyDescent="0.25">
      <c r="A2" s="121" t="s">
        <v>36</v>
      </c>
      <c r="B2" s="53" t="s">
        <v>0</v>
      </c>
      <c r="C2" s="37"/>
      <c r="D2" s="29"/>
      <c r="E2" s="133" t="s">
        <v>12</v>
      </c>
      <c r="F2" s="62" t="s">
        <v>13</v>
      </c>
      <c r="G2" s="63" t="s">
        <v>14</v>
      </c>
      <c r="H2" s="133" t="s">
        <v>15</v>
      </c>
      <c r="I2" s="133" t="s">
        <v>16</v>
      </c>
      <c r="J2" s="133" t="s">
        <v>17</v>
      </c>
      <c r="K2" s="49" t="s">
        <v>18</v>
      </c>
      <c r="L2" s="49" t="s">
        <v>19</v>
      </c>
      <c r="M2" s="49" t="s">
        <v>20</v>
      </c>
      <c r="N2" s="49" t="s">
        <v>21</v>
      </c>
      <c r="O2" s="49" t="s">
        <v>22</v>
      </c>
      <c r="P2" s="49" t="s">
        <v>23</v>
      </c>
      <c r="Q2" s="134" t="s">
        <v>211</v>
      </c>
      <c r="R2" s="134" t="s">
        <v>212</v>
      </c>
      <c r="S2" s="134" t="s">
        <v>213</v>
      </c>
      <c r="T2" s="135" t="s">
        <v>214</v>
      </c>
      <c r="U2" s="135" t="s">
        <v>215</v>
      </c>
      <c r="V2" s="135" t="s">
        <v>216</v>
      </c>
      <c r="W2" s="135"/>
      <c r="X2" s="133" t="s">
        <v>209</v>
      </c>
      <c r="Y2" s="5"/>
      <c r="Z2" s="5"/>
      <c r="AA2" s="5"/>
      <c r="AB2" s="5"/>
      <c r="AC2" s="5"/>
      <c r="AD2" s="5"/>
    </row>
    <row r="3" spans="1:30" ht="14.25" customHeight="1" x14ac:dyDescent="0.25">
      <c r="A3" s="97" t="s">
        <v>10</v>
      </c>
      <c r="B3" s="98">
        <f>4455/5</f>
        <v>891</v>
      </c>
      <c r="C3" s="53"/>
      <c r="D3" s="54"/>
      <c r="E3" s="98">
        <v>161</v>
      </c>
      <c r="F3" s="98">
        <v>179</v>
      </c>
      <c r="G3" s="98">
        <v>165</v>
      </c>
      <c r="H3" s="98">
        <v>157</v>
      </c>
      <c r="I3" s="98">
        <v>146</v>
      </c>
      <c r="J3" s="98">
        <v>169</v>
      </c>
      <c r="K3" s="98">
        <v>29</v>
      </c>
      <c r="L3" s="98">
        <v>38</v>
      </c>
      <c r="M3" s="98">
        <v>37</v>
      </c>
      <c r="N3" s="98">
        <v>46</v>
      </c>
      <c r="O3" s="98">
        <v>35</v>
      </c>
      <c r="P3" s="98">
        <v>36</v>
      </c>
      <c r="Q3" s="53" t="s">
        <v>0</v>
      </c>
      <c r="R3" s="53" t="s">
        <v>0</v>
      </c>
      <c r="S3" s="53" t="s">
        <v>0</v>
      </c>
      <c r="T3" s="53" t="s">
        <v>0</v>
      </c>
      <c r="U3" s="53" t="s">
        <v>0</v>
      </c>
      <c r="V3" s="53" t="s">
        <v>0</v>
      </c>
      <c r="W3" s="136"/>
      <c r="X3" s="53" t="s">
        <v>0</v>
      </c>
      <c r="Y3" s="8"/>
      <c r="Z3" s="8"/>
      <c r="AA3" s="8"/>
      <c r="AB3" s="8"/>
      <c r="AC3" s="8"/>
      <c r="AD3" s="8"/>
    </row>
    <row r="4" spans="1:30" ht="14.25" customHeight="1" x14ac:dyDescent="0.25">
      <c r="A4" s="99" t="s">
        <v>11</v>
      </c>
      <c r="B4" s="98">
        <f>11805/5</f>
        <v>2361</v>
      </c>
      <c r="C4" s="53"/>
      <c r="D4" s="54"/>
      <c r="E4" s="98">
        <v>527</v>
      </c>
      <c r="F4" s="98">
        <v>582</v>
      </c>
      <c r="G4" s="98">
        <v>584</v>
      </c>
      <c r="H4" s="98">
        <v>497</v>
      </c>
      <c r="I4" s="98">
        <v>564</v>
      </c>
      <c r="J4" s="98">
        <v>554</v>
      </c>
      <c r="K4" s="98">
        <v>83</v>
      </c>
      <c r="L4" s="98">
        <v>91</v>
      </c>
      <c r="M4" s="98">
        <v>106</v>
      </c>
      <c r="N4" s="98">
        <v>88</v>
      </c>
      <c r="O4" s="98">
        <v>94</v>
      </c>
      <c r="P4" s="98">
        <v>97</v>
      </c>
      <c r="Q4" s="95">
        <v>85</v>
      </c>
      <c r="R4" s="95">
        <v>101</v>
      </c>
      <c r="S4" s="95">
        <v>102</v>
      </c>
      <c r="T4" s="95">
        <v>95</v>
      </c>
      <c r="U4" s="95">
        <v>96</v>
      </c>
      <c r="V4" s="95">
        <v>91</v>
      </c>
      <c r="W4" s="136"/>
      <c r="X4" s="98">
        <v>1561</v>
      </c>
      <c r="Y4" s="8"/>
      <c r="Z4" s="8"/>
      <c r="AA4" s="8"/>
      <c r="AB4" s="8"/>
      <c r="AC4" s="8"/>
      <c r="AD4" s="8"/>
    </row>
    <row r="5" spans="1:30" ht="14.25" customHeight="1" x14ac:dyDescent="0.35">
      <c r="A5" s="9"/>
      <c r="B5" s="10"/>
      <c r="C5" s="45"/>
      <c r="E5" s="24"/>
      <c r="F5" s="24"/>
      <c r="G5" s="24"/>
      <c r="H5" s="25"/>
      <c r="I5" s="24"/>
      <c r="J5" s="25"/>
      <c r="K5" s="25"/>
      <c r="L5" s="25"/>
      <c r="M5" s="25"/>
      <c r="N5" s="24"/>
      <c r="O5" s="24"/>
      <c r="P5" s="24"/>
      <c r="R5" s="8"/>
      <c r="S5" s="8"/>
      <c r="T5" s="8"/>
      <c r="U5" s="8"/>
      <c r="V5" s="8"/>
      <c r="X5" s="8"/>
      <c r="Y5" s="8"/>
      <c r="Z5" s="8"/>
      <c r="AA5" s="8"/>
      <c r="AB5" s="8"/>
      <c r="AC5" s="8"/>
      <c r="AD5" s="8"/>
    </row>
    <row r="6" spans="1:30" ht="14.25" customHeight="1" x14ac:dyDescent="0.25">
      <c r="A6" s="29"/>
      <c r="B6" s="31"/>
      <c r="C6" s="31"/>
      <c r="D6" s="31"/>
      <c r="E6" s="140" t="s">
        <v>5</v>
      </c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R6" s="8"/>
      <c r="S6" s="8"/>
      <c r="T6" s="8"/>
      <c r="U6" s="8"/>
      <c r="V6" s="8"/>
      <c r="X6" s="7"/>
      <c r="Y6" s="8"/>
      <c r="Z6" s="8"/>
      <c r="AA6" s="8"/>
      <c r="AB6" s="8"/>
      <c r="AC6" s="8"/>
      <c r="AD6" s="8"/>
    </row>
    <row r="7" spans="1:30" ht="14.25" customHeight="1" x14ac:dyDescent="0.25">
      <c r="A7" s="121" t="s">
        <v>36</v>
      </c>
      <c r="B7" s="53" t="s">
        <v>0</v>
      </c>
      <c r="C7" s="37"/>
      <c r="D7" s="29"/>
      <c r="E7" s="133" t="s">
        <v>12</v>
      </c>
      <c r="F7" s="62" t="s">
        <v>13</v>
      </c>
      <c r="G7" s="63" t="s">
        <v>14</v>
      </c>
      <c r="H7" s="133" t="s">
        <v>15</v>
      </c>
      <c r="I7" s="133" t="s">
        <v>16</v>
      </c>
      <c r="J7" s="133" t="s">
        <v>17</v>
      </c>
      <c r="K7" s="49" t="s">
        <v>18</v>
      </c>
      <c r="L7" s="49" t="s">
        <v>19</v>
      </c>
      <c r="M7" s="49" t="s">
        <v>20</v>
      </c>
      <c r="N7" s="49" t="s">
        <v>21</v>
      </c>
      <c r="O7" s="49" t="s">
        <v>22</v>
      </c>
      <c r="P7" s="49" t="s">
        <v>23</v>
      </c>
      <c r="Q7" s="134" t="s">
        <v>211</v>
      </c>
      <c r="R7" s="134" t="s">
        <v>212</v>
      </c>
      <c r="S7" s="134" t="s">
        <v>213</v>
      </c>
      <c r="T7" s="135" t="s">
        <v>214</v>
      </c>
      <c r="U7" s="135" t="s">
        <v>215</v>
      </c>
      <c r="V7" s="135" t="s">
        <v>216</v>
      </c>
      <c r="X7" s="133" t="s">
        <v>209</v>
      </c>
      <c r="Y7" s="18"/>
      <c r="Z7" s="18"/>
      <c r="AA7" s="18"/>
      <c r="AB7" s="18"/>
      <c r="AC7" s="18"/>
      <c r="AD7" s="18"/>
    </row>
    <row r="8" spans="1:30" ht="14.25" customHeight="1" x14ac:dyDescent="0.25">
      <c r="A8" s="97" t="s">
        <v>10</v>
      </c>
      <c r="B8" s="53" t="s">
        <v>0</v>
      </c>
      <c r="C8" s="53"/>
      <c r="D8" s="54"/>
      <c r="E8" s="88">
        <f>E3/$B$3</f>
        <v>0.18069584736251404</v>
      </c>
      <c r="F8" s="88">
        <f>F3/$B$3</f>
        <v>0.20089786756453423</v>
      </c>
      <c r="G8" s="88">
        <f>G3/$B$3</f>
        <v>0.18518518518518517</v>
      </c>
      <c r="H8" s="88">
        <f t="shared" ref="H8:P8" si="0">H3/$B$3</f>
        <v>0.17620650953984288</v>
      </c>
      <c r="I8" s="88">
        <f t="shared" si="0"/>
        <v>0.1638608305274972</v>
      </c>
      <c r="J8" s="88">
        <f>J3/$B$3</f>
        <v>0.18967452300785634</v>
      </c>
      <c r="K8" s="88">
        <f t="shared" si="0"/>
        <v>3.2547699214365879E-2</v>
      </c>
      <c r="L8" s="88">
        <f t="shared" si="0"/>
        <v>4.2648709315375982E-2</v>
      </c>
      <c r="M8" s="88">
        <f t="shared" si="0"/>
        <v>4.1526374859708191E-2</v>
      </c>
      <c r="N8" s="88">
        <f t="shared" si="0"/>
        <v>5.1627384960718295E-2</v>
      </c>
      <c r="O8" s="88">
        <f t="shared" si="0"/>
        <v>3.9281705948372617E-2</v>
      </c>
      <c r="P8" s="88">
        <f t="shared" si="0"/>
        <v>4.0404040404040407E-2</v>
      </c>
      <c r="Q8" s="53" t="s">
        <v>0</v>
      </c>
      <c r="R8" s="53" t="s">
        <v>0</v>
      </c>
      <c r="S8" s="53" t="s">
        <v>0</v>
      </c>
      <c r="T8" s="53" t="s">
        <v>0</v>
      </c>
      <c r="U8" s="53" t="s">
        <v>0</v>
      </c>
      <c r="V8" s="53" t="s">
        <v>0</v>
      </c>
      <c r="W8" s="136"/>
      <c r="X8" s="53" t="s">
        <v>0</v>
      </c>
      <c r="Y8" s="5"/>
      <c r="Z8" s="5"/>
      <c r="AA8" s="5"/>
      <c r="AB8" s="5"/>
      <c r="AC8" s="5"/>
      <c r="AD8" s="5"/>
    </row>
    <row r="9" spans="1:30" ht="14.25" customHeight="1" x14ac:dyDescent="0.25">
      <c r="A9" s="99" t="s">
        <v>11</v>
      </c>
      <c r="B9" s="53" t="s">
        <v>0</v>
      </c>
      <c r="C9" s="53"/>
      <c r="D9" s="54"/>
      <c r="E9" s="88">
        <f>E4/$B$4</f>
        <v>0.22321050402371875</v>
      </c>
      <c r="F9" s="88">
        <f t="shared" ref="F9:O9" si="1">F4/$B$4</f>
        <v>0.24650571791613723</v>
      </c>
      <c r="G9" s="88">
        <f t="shared" si="1"/>
        <v>0.24735281660313427</v>
      </c>
      <c r="H9" s="88">
        <f t="shared" si="1"/>
        <v>0.21050402371876323</v>
      </c>
      <c r="I9" s="88">
        <f t="shared" si="1"/>
        <v>0.23888182973316391</v>
      </c>
      <c r="J9" s="88">
        <f t="shared" si="1"/>
        <v>0.23464633629817874</v>
      </c>
      <c r="K9" s="88">
        <f t="shared" si="1"/>
        <v>3.515459551037696E-2</v>
      </c>
      <c r="L9" s="88">
        <f t="shared" si="1"/>
        <v>3.8542990258365099E-2</v>
      </c>
      <c r="M9" s="88">
        <f t="shared" si="1"/>
        <v>4.4896230410842862E-2</v>
      </c>
      <c r="N9" s="88">
        <f t="shared" si="1"/>
        <v>3.727234222786955E-2</v>
      </c>
      <c r="O9" s="88">
        <f t="shared" si="1"/>
        <v>3.9813638288860649E-2</v>
      </c>
      <c r="P9" s="88">
        <f>P4/$B$4</f>
        <v>4.1084286319356206E-2</v>
      </c>
      <c r="Q9" s="88">
        <f t="shared" ref="Q9:V9" si="2">Q4/$B$4</f>
        <v>3.6001694197373993E-2</v>
      </c>
      <c r="R9" s="88">
        <f t="shared" si="2"/>
        <v>4.2778483693350272E-2</v>
      </c>
      <c r="S9" s="88">
        <f t="shared" si="2"/>
        <v>4.3202033036848796E-2</v>
      </c>
      <c r="T9" s="88">
        <f t="shared" si="2"/>
        <v>4.0237187632359173E-2</v>
      </c>
      <c r="U9" s="88">
        <f t="shared" si="2"/>
        <v>4.0660736975857689E-2</v>
      </c>
      <c r="V9" s="88">
        <f t="shared" si="2"/>
        <v>3.8542990258365099E-2</v>
      </c>
      <c r="W9" s="136"/>
      <c r="X9" s="88">
        <f>X4/$B$4</f>
        <v>0.66116052520118596</v>
      </c>
      <c r="Y9" s="136"/>
      <c r="AD9" s="11"/>
    </row>
    <row r="10" spans="1:30" ht="14.25" customHeight="1" x14ac:dyDescent="0.35">
      <c r="A10" s="9"/>
      <c r="B10" s="6"/>
      <c r="C10" s="45"/>
      <c r="E10" s="8"/>
      <c r="F10" s="8"/>
      <c r="G10" s="8"/>
      <c r="H10" s="7"/>
      <c r="I10" s="8"/>
      <c r="J10" s="7"/>
      <c r="K10" s="7"/>
      <c r="L10" s="7"/>
      <c r="M10" s="7"/>
      <c r="N10" s="8"/>
      <c r="O10" s="8"/>
      <c r="P10" s="8"/>
      <c r="R10" s="11"/>
      <c r="X10" s="11"/>
      <c r="AD10" s="11"/>
    </row>
    <row r="11" spans="1:30" s="29" customFormat="1" ht="14.25" customHeight="1" x14ac:dyDescent="0.2">
      <c r="B11" s="31"/>
      <c r="C11" s="31"/>
      <c r="D11" s="31"/>
      <c r="E11" s="140" t="s">
        <v>129</v>
      </c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R11" s="125"/>
      <c r="X11" s="125"/>
      <c r="AD11" s="125"/>
    </row>
    <row r="12" spans="1:30" ht="14.25" customHeight="1" x14ac:dyDescent="0.25">
      <c r="A12" s="121" t="s">
        <v>36</v>
      </c>
      <c r="B12" s="53" t="s">
        <v>0</v>
      </c>
      <c r="C12" s="37"/>
      <c r="D12" s="29"/>
      <c r="E12" s="133" t="s">
        <v>12</v>
      </c>
      <c r="F12" s="62" t="s">
        <v>13</v>
      </c>
      <c r="G12" s="63" t="s">
        <v>14</v>
      </c>
      <c r="H12" s="133" t="s">
        <v>15</v>
      </c>
      <c r="I12" s="133" t="s">
        <v>16</v>
      </c>
      <c r="J12" s="133" t="s">
        <v>17</v>
      </c>
      <c r="K12" s="49" t="s">
        <v>18</v>
      </c>
      <c r="L12" s="49" t="s">
        <v>19</v>
      </c>
      <c r="M12" s="49" t="s">
        <v>20</v>
      </c>
      <c r="N12" s="49" t="s">
        <v>21</v>
      </c>
      <c r="O12" s="49" t="s">
        <v>22</v>
      </c>
      <c r="P12" s="49" t="s">
        <v>23</v>
      </c>
      <c r="Q12" s="134" t="s">
        <v>211</v>
      </c>
      <c r="R12" s="134" t="s">
        <v>212</v>
      </c>
      <c r="S12" s="134" t="s">
        <v>213</v>
      </c>
      <c r="T12" s="135" t="s">
        <v>214</v>
      </c>
      <c r="U12" s="135" t="s">
        <v>215</v>
      </c>
      <c r="V12" s="135" t="s">
        <v>216</v>
      </c>
      <c r="X12" s="133" t="s">
        <v>209</v>
      </c>
      <c r="AD12" s="18"/>
    </row>
    <row r="13" spans="1:30" ht="14.25" customHeight="1" x14ac:dyDescent="0.25">
      <c r="A13" s="97" t="s">
        <v>10</v>
      </c>
      <c r="B13" s="53" t="s">
        <v>0</v>
      </c>
      <c r="C13" s="53"/>
      <c r="D13" s="54"/>
      <c r="E13" s="95">
        <f>'Price Data'!$B$8*E8</f>
        <v>0.18069584736251404</v>
      </c>
      <c r="F13" s="95">
        <f>'Price Data'!$B$9*F8</f>
        <v>8.0359147025813704E-2</v>
      </c>
      <c r="G13" s="95">
        <f>'Price Data'!$B$10*G8</f>
        <v>0.18518518518518517</v>
      </c>
      <c r="H13" s="95">
        <f>'Price Data'!$B$11*H8</f>
        <v>7.929292929292929E-2</v>
      </c>
      <c r="I13" s="95">
        <f>'Price Data'!$B$12*I8</f>
        <v>0.1638608305274972</v>
      </c>
      <c r="J13" s="95">
        <f>'Price Data'!$B$13*J8</f>
        <v>0.18967452300785634</v>
      </c>
      <c r="K13" s="95">
        <f>'Price Data'!$B$14*K8</f>
        <v>0.32547699214365877</v>
      </c>
      <c r="L13" s="95">
        <f>'Price Data'!$B$15*L8</f>
        <v>0.19191919191919193</v>
      </c>
      <c r="M13" s="95">
        <f>'Price Data'!$B$16*M8</f>
        <v>3.737373737373737</v>
      </c>
      <c r="N13" s="95">
        <f>'Price Data'!$B$17*N8</f>
        <v>1.0325476992143658</v>
      </c>
      <c r="O13" s="95">
        <f>'Price Data'!$B$18*O8</f>
        <v>0.17676767676767677</v>
      </c>
      <c r="P13" s="95">
        <f>'Price Data'!$B$19*P8</f>
        <v>0.40404040404040409</v>
      </c>
      <c r="Q13" s="53" t="s">
        <v>0</v>
      </c>
      <c r="R13" s="53" t="s">
        <v>0</v>
      </c>
      <c r="S13" s="53" t="s">
        <v>0</v>
      </c>
      <c r="T13" s="53" t="s">
        <v>0</v>
      </c>
      <c r="U13" s="53" t="s">
        <v>0</v>
      </c>
      <c r="V13" s="53" t="s">
        <v>0</v>
      </c>
      <c r="W13" s="136"/>
      <c r="X13" s="53" t="s">
        <v>0</v>
      </c>
      <c r="Y13" s="136"/>
      <c r="AD13" s="5"/>
    </row>
    <row r="14" spans="1:30" ht="14.25" customHeight="1" x14ac:dyDescent="0.25">
      <c r="A14" s="99" t="s">
        <v>11</v>
      </c>
      <c r="B14" s="53" t="s">
        <v>0</v>
      </c>
      <c r="C14" s="53"/>
      <c r="D14" s="54"/>
      <c r="E14" s="95">
        <f>'Price Data'!$B$8*E9</f>
        <v>0.22321050402371875</v>
      </c>
      <c r="F14" s="95">
        <f>'Price Data'!$B$9*F9</f>
        <v>9.8602287166454902E-2</v>
      </c>
      <c r="G14" s="95">
        <f>'Price Data'!$B$10*G9</f>
        <v>0.24735281660313427</v>
      </c>
      <c r="H14" s="95">
        <f>'Price Data'!$B$11*H9</f>
        <v>9.4726810673443448E-2</v>
      </c>
      <c r="I14" s="95">
        <f>'Price Data'!$B$12*I9</f>
        <v>0.23888182973316391</v>
      </c>
      <c r="J14" s="95">
        <f>'Price Data'!$B$13*J9</f>
        <v>0.23464633629817874</v>
      </c>
      <c r="K14" s="95">
        <f>'Price Data'!$B$14*K9</f>
        <v>0.35154595510376963</v>
      </c>
      <c r="L14" s="95">
        <f>'Price Data'!$B$15*L9</f>
        <v>0.17344345616264295</v>
      </c>
      <c r="M14" s="95">
        <f>'Price Data'!$B$16*M9</f>
        <v>4.0406607369758571</v>
      </c>
      <c r="N14" s="95">
        <f>'Price Data'!$B$17*N9</f>
        <v>0.74544684455739096</v>
      </c>
      <c r="O14" s="95">
        <f>'Price Data'!$B$18*O9</f>
        <v>0.17916137229987292</v>
      </c>
      <c r="P14" s="95">
        <f>'Price Data'!$B$19*P9</f>
        <v>0.41084286319356206</v>
      </c>
      <c r="Q14" s="95">
        <f>'Price Data'!$B$21*Q9</f>
        <v>8.6404066073697585</v>
      </c>
      <c r="R14" s="95">
        <f>'Price Data'!$B$22*R9</f>
        <v>10.266836086404066</v>
      </c>
      <c r="S14" s="95">
        <f>'Price Data'!$B$23*S9</f>
        <v>12.096569250317662</v>
      </c>
      <c r="T14" s="95">
        <f>'Price Data'!$B$24*T9</f>
        <v>9.6569250317662014</v>
      </c>
      <c r="U14" s="95">
        <f>'Price Data'!$B$25*U9</f>
        <v>8.5387547649301148</v>
      </c>
      <c r="V14" s="95">
        <f>'Price Data'!$B$26*V9</f>
        <v>8.0940279542566707</v>
      </c>
      <c r="W14" s="136"/>
      <c r="X14" s="95">
        <f>'Price Data'!$B$27*X9</f>
        <v>13.223210504023719</v>
      </c>
      <c r="Y14" s="136"/>
      <c r="AD14" s="8"/>
    </row>
    <row r="15" spans="1:30" ht="14.25" customHeight="1" x14ac:dyDescent="0.35">
      <c r="C15" s="46"/>
      <c r="H15" s="6"/>
      <c r="I15" s="17"/>
      <c r="Q15" s="8"/>
      <c r="R15" s="8"/>
      <c r="S15" s="8"/>
      <c r="T15" s="8"/>
      <c r="AD15" s="8"/>
    </row>
    <row r="16" spans="1:30" s="29" customFormat="1" ht="14.25" customHeight="1" x14ac:dyDescent="0.2">
      <c r="B16" s="28"/>
      <c r="C16" s="103"/>
      <c r="E16" s="140" t="s">
        <v>130</v>
      </c>
      <c r="F16" s="140"/>
      <c r="G16" s="140"/>
      <c r="H16" s="31"/>
      <c r="I16" s="31"/>
      <c r="J16" s="31"/>
      <c r="K16" s="31"/>
      <c r="L16" s="31"/>
      <c r="M16" s="31"/>
      <c r="N16" s="31"/>
      <c r="O16" s="31"/>
      <c r="P16" s="31"/>
      <c r="Q16" s="126"/>
      <c r="R16" s="126"/>
      <c r="S16" s="126"/>
      <c r="T16" s="126"/>
      <c r="AD16" s="126"/>
    </row>
    <row r="17" spans="1:30" ht="14.25" customHeight="1" x14ac:dyDescent="0.25">
      <c r="A17" s="121" t="s">
        <v>36</v>
      </c>
      <c r="B17" s="53" t="s">
        <v>0</v>
      </c>
      <c r="C17" s="53"/>
      <c r="D17" s="54"/>
      <c r="E17" s="57" t="s">
        <v>6</v>
      </c>
      <c r="F17" s="58" t="s">
        <v>7</v>
      </c>
      <c r="G17" s="138" t="s">
        <v>217</v>
      </c>
      <c r="H17" s="57" t="s">
        <v>210</v>
      </c>
      <c r="I17" s="47" t="s">
        <v>8</v>
      </c>
      <c r="J17" s="38"/>
      <c r="K17" s="39"/>
      <c r="L17" s="39"/>
      <c r="M17" s="39"/>
      <c r="N17" s="39"/>
      <c r="O17" s="39"/>
      <c r="P17" s="40"/>
      <c r="Q17" s="4"/>
      <c r="AD17" s="16"/>
    </row>
    <row r="18" spans="1:30" ht="14.25" customHeight="1" x14ac:dyDescent="0.25">
      <c r="A18" s="97" t="s">
        <v>10</v>
      </c>
      <c r="B18" s="53" t="s">
        <v>0</v>
      </c>
      <c r="C18" s="53"/>
      <c r="D18" s="32"/>
      <c r="E18" s="36">
        <f>SUM(E13:J13)-'Price Data'!B3</f>
        <v>7.9068462401795769E-2</v>
      </c>
      <c r="F18" s="36">
        <f>SUM(K13:P13)-'Price Data'!B3</f>
        <v>5.0681257014590342</v>
      </c>
      <c r="G18" s="53" t="s">
        <v>0</v>
      </c>
      <c r="H18" s="53" t="s">
        <v>0</v>
      </c>
      <c r="I18" s="95">
        <f>(SUM(E18:H18)-'Price Data'!B3*3)*0.9</f>
        <v>2.4724747474747466</v>
      </c>
      <c r="J18" s="30"/>
      <c r="K18" s="30"/>
      <c r="L18" s="30"/>
      <c r="M18" s="30"/>
      <c r="N18" s="30"/>
      <c r="O18" s="30"/>
      <c r="P18" s="30"/>
      <c r="Q18" s="18"/>
      <c r="R18" s="4"/>
      <c r="S18" s="4"/>
      <c r="T18" s="4"/>
      <c r="U18" s="4"/>
      <c r="V18" s="4"/>
      <c r="W18" s="4"/>
      <c r="X18" s="5"/>
      <c r="Y18" s="5"/>
      <c r="Z18" s="5"/>
      <c r="AA18" s="5"/>
      <c r="AB18" s="5"/>
      <c r="AC18" s="5"/>
      <c r="AD18" s="5"/>
    </row>
    <row r="19" spans="1:30" ht="14.25" customHeight="1" x14ac:dyDescent="0.25">
      <c r="A19" s="99" t="s">
        <v>11</v>
      </c>
      <c r="B19" s="53" t="s">
        <v>0</v>
      </c>
      <c r="C19" s="53"/>
      <c r="D19" s="32"/>
      <c r="E19" s="36">
        <f>SUM(E14:J14)-'Price Data'!B4</f>
        <v>-4.862579415501906</v>
      </c>
      <c r="F19" s="36">
        <f>SUM(K14:P14)-'Price Data'!B4</f>
        <v>-9.8898771706904753E-2</v>
      </c>
      <c r="G19" s="36">
        <f>SUM(Q14:V14)-'Price Data'!B4</f>
        <v>51.29351969504448</v>
      </c>
      <c r="H19" s="139">
        <f>X14-'Price Data'!B4</f>
        <v>7.2232105040237187</v>
      </c>
      <c r="I19" s="95">
        <f>(SUM(E19:H19)-'Price Data'!B4)*0.9</f>
        <v>42.799726810673448</v>
      </c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ht="14.25" customHeight="1" x14ac:dyDescent="0.35">
      <c r="C20" s="46"/>
      <c r="H20" s="16"/>
      <c r="I20" s="16"/>
      <c r="J20" s="16"/>
      <c r="K20" s="16"/>
      <c r="L20" s="16"/>
      <c r="M20" s="16"/>
      <c r="N20" s="16"/>
      <c r="O20" s="16"/>
      <c r="P20" s="16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4.25" customHeight="1" x14ac:dyDescent="0.35">
      <c r="C21" s="46"/>
      <c r="H21" s="43"/>
      <c r="I21" s="43"/>
      <c r="J21" s="43"/>
      <c r="K21" s="43"/>
      <c r="L21" s="43"/>
      <c r="M21" s="43"/>
      <c r="N21" s="43"/>
      <c r="O21" s="43"/>
      <c r="P21" s="43"/>
    </row>
    <row r="22" spans="1:30" ht="14.25" customHeight="1" x14ac:dyDescent="0.35">
      <c r="C22" s="46"/>
    </row>
    <row r="23" spans="1:30" ht="14.25" customHeight="1" x14ac:dyDescent="0.25"/>
    <row r="24" spans="1:30" ht="14.25" customHeight="1" x14ac:dyDescent="0.25">
      <c r="A24" s="19"/>
      <c r="B24" s="10"/>
      <c r="C24" s="6"/>
      <c r="E24" s="30"/>
      <c r="F24" s="30"/>
      <c r="G24" s="30"/>
      <c r="H24" s="30"/>
      <c r="I24" s="30"/>
      <c r="J24" s="30"/>
      <c r="L24" s="30"/>
      <c r="M24" s="30"/>
      <c r="N24" s="30"/>
      <c r="O24" s="30"/>
      <c r="P24" s="30"/>
    </row>
    <row r="25" spans="1:30" ht="14.25" customHeight="1" x14ac:dyDescent="0.25"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U25" s="12"/>
      <c r="V25" s="12"/>
      <c r="W25" s="12"/>
      <c r="X25" s="12"/>
    </row>
    <row r="26" spans="1:30" ht="14.25" customHeight="1" x14ac:dyDescent="0.25"/>
    <row r="27" spans="1:30" ht="14.25" customHeight="1" x14ac:dyDescent="0.25">
      <c r="M27" s="19"/>
    </row>
    <row r="28" spans="1:30" ht="14.25" customHeight="1" x14ac:dyDescent="0.25"/>
    <row r="29" spans="1:30" ht="14.25" customHeight="1" x14ac:dyDescent="0.25">
      <c r="M29" s="20"/>
    </row>
    <row r="30" spans="1:30" ht="14.25" customHeight="1" x14ac:dyDescent="0.25">
      <c r="M30" s="19"/>
    </row>
    <row r="31" spans="1:30" ht="14.25" customHeight="1" x14ac:dyDescent="0.25">
      <c r="M31" s="19"/>
    </row>
    <row r="32" spans="1:30" ht="14.25" customHeight="1" x14ac:dyDescent="0.25">
      <c r="M32" s="19"/>
    </row>
    <row r="33" spans="1:30" ht="14.25" customHeight="1" x14ac:dyDescent="0.25">
      <c r="M33" s="21"/>
    </row>
    <row r="34" spans="1:30" ht="14.25" customHeight="1" x14ac:dyDescent="0.25">
      <c r="M34" s="21"/>
    </row>
    <row r="35" spans="1:30" ht="14.25" customHeight="1" x14ac:dyDescent="0.25">
      <c r="A35" s="9"/>
      <c r="B35" s="10"/>
      <c r="C35" s="6"/>
      <c r="E35" s="14"/>
      <c r="F35" s="14"/>
      <c r="G35" s="14"/>
      <c r="H35" s="13"/>
      <c r="I35" s="14"/>
      <c r="J35" s="13"/>
      <c r="K35" s="13"/>
      <c r="L35" s="13"/>
      <c r="M35" s="21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" x14ac:dyDescent="0.25">
      <c r="A36" s="9"/>
      <c r="B36" s="10"/>
      <c r="C36" s="6"/>
      <c r="E36" s="14"/>
      <c r="F36" s="14"/>
      <c r="G36" s="14"/>
      <c r="H36" s="14"/>
      <c r="J36" s="13"/>
      <c r="K36" s="14"/>
      <c r="L36" s="13"/>
      <c r="M36" s="21"/>
      <c r="N36" s="13"/>
      <c r="O36" s="13"/>
      <c r="P36" s="13"/>
      <c r="Q36" s="13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" x14ac:dyDescent="0.25">
      <c r="A37" s="9"/>
      <c r="B37" s="10"/>
      <c r="C37" s="6"/>
      <c r="E37" s="14"/>
      <c r="F37" s="14"/>
      <c r="G37" s="14"/>
      <c r="J37" s="14"/>
      <c r="K37" s="14"/>
      <c r="L37" s="14"/>
      <c r="M37" s="21"/>
      <c r="N37" s="13"/>
      <c r="O37" s="13"/>
      <c r="P37" s="13"/>
      <c r="Q37" s="13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x14ac:dyDescent="0.25">
      <c r="B38" s="10"/>
      <c r="C38" s="6"/>
      <c r="E38" s="14"/>
      <c r="F38" s="14"/>
      <c r="G38" s="14"/>
      <c r="J38" s="14"/>
      <c r="K38" s="14"/>
      <c r="L38" s="14"/>
      <c r="M38" s="22"/>
      <c r="N38" s="14"/>
      <c r="O38" s="14"/>
      <c r="P38" s="14"/>
      <c r="Q38" s="14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4"/>
    </row>
    <row r="39" spans="1:30" x14ac:dyDescent="0.25">
      <c r="B39" s="10"/>
      <c r="C39" s="6"/>
      <c r="E39" s="14"/>
      <c r="F39" s="14"/>
      <c r="G39" s="14"/>
      <c r="J39" s="14"/>
      <c r="K39" s="14"/>
      <c r="L39" s="14"/>
      <c r="M39" s="14"/>
      <c r="N39" s="14"/>
      <c r="O39" s="14"/>
      <c r="P39" s="14"/>
      <c r="Q39" s="14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</row>
    <row r="40" spans="1:30" x14ac:dyDescent="0.25">
      <c r="O40" s="12"/>
      <c r="P40" s="12"/>
    </row>
    <row r="41" spans="1:30" x14ac:dyDescent="0.25">
      <c r="J41" s="16"/>
      <c r="K41" s="16"/>
      <c r="L41" s="16"/>
      <c r="M41" s="16"/>
      <c r="N41" s="16"/>
      <c r="O41" s="16"/>
      <c r="P41" s="16"/>
      <c r="Q41" s="16"/>
      <c r="R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</row>
    <row r="42" spans="1:30" x14ac:dyDescent="0.25">
      <c r="J42" s="15"/>
      <c r="K42" s="15"/>
      <c r="L42" s="15"/>
      <c r="M42" s="15"/>
      <c r="N42" s="15"/>
      <c r="O42" s="15"/>
      <c r="P42" s="15"/>
      <c r="Q42" s="15"/>
      <c r="R42" s="4"/>
      <c r="T42" s="4"/>
      <c r="U42" s="4"/>
      <c r="V42" s="4"/>
      <c r="W42" s="4"/>
      <c r="X42" s="5"/>
      <c r="Y42" s="5"/>
      <c r="Z42" s="5"/>
      <c r="AA42" s="5"/>
      <c r="AB42" s="5"/>
      <c r="AC42" s="5"/>
      <c r="AD42" s="5"/>
    </row>
    <row r="43" spans="1:30" x14ac:dyDescent="0.25"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x14ac:dyDescent="0.25">
      <c r="K44" s="13"/>
      <c r="L44" s="13"/>
      <c r="M44" s="14"/>
      <c r="N44" s="14"/>
      <c r="O44" s="14"/>
      <c r="P44" s="14"/>
      <c r="Q44" s="14"/>
      <c r="R44" s="14"/>
      <c r="S44" s="13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x14ac:dyDescent="0.25">
      <c r="K45" s="13"/>
      <c r="L45" s="13"/>
      <c r="N45" s="14"/>
      <c r="O45" s="14"/>
      <c r="P45" s="14"/>
      <c r="Q45" s="14"/>
      <c r="R45" s="14"/>
      <c r="S45" s="13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x14ac:dyDescent="0.25">
      <c r="K46" s="14"/>
      <c r="L46" s="13"/>
      <c r="N46" s="13"/>
      <c r="O46" s="13"/>
      <c r="P46" s="13"/>
      <c r="Q46" s="13"/>
      <c r="R46" s="14"/>
      <c r="S46" s="13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x14ac:dyDescent="0.25">
      <c r="K47" s="14"/>
      <c r="L47" s="14"/>
      <c r="N47" s="13"/>
      <c r="O47" s="13"/>
      <c r="P47" s="13"/>
      <c r="Q47" s="13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x14ac:dyDescent="0.25">
      <c r="K48" s="14"/>
      <c r="L48" s="14"/>
      <c r="N48" s="14"/>
      <c r="O48" s="14"/>
      <c r="P48" s="14"/>
      <c r="Q48" s="14"/>
      <c r="R48" s="13"/>
      <c r="S48" s="14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4"/>
    </row>
    <row r="49" spans="6:30" x14ac:dyDescent="0.25">
      <c r="K49" s="14"/>
      <c r="L49" s="14"/>
      <c r="N49" s="14"/>
      <c r="O49" s="14"/>
      <c r="P49" s="14"/>
      <c r="Q49" s="14"/>
      <c r="R49" s="13"/>
      <c r="S49" s="17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</row>
    <row r="62" spans="6:30" ht="15" x14ac:dyDescent="0.25">
      <c r="F62" s="1"/>
    </row>
    <row r="63" spans="6:30" ht="15" x14ac:dyDescent="0.25">
      <c r="F63" s="1"/>
    </row>
    <row r="64" spans="6:30" ht="15" x14ac:dyDescent="0.25">
      <c r="F64" s="1"/>
    </row>
    <row r="65" spans="1:6" ht="15" x14ac:dyDescent="0.25">
      <c r="F65" s="1"/>
    </row>
    <row r="66" spans="1:6" ht="15" x14ac:dyDescent="0.25">
      <c r="F66" s="1"/>
    </row>
    <row r="67" spans="1:6" ht="15" x14ac:dyDescent="0.25">
      <c r="F67" s="1"/>
    </row>
    <row r="68" spans="1:6" ht="15" x14ac:dyDescent="0.25">
      <c r="F68" s="1"/>
    </row>
    <row r="76" spans="1:6" ht="15" x14ac:dyDescent="0.25">
      <c r="A76"/>
    </row>
  </sheetData>
  <mergeCells count="4">
    <mergeCell ref="E1:P1"/>
    <mergeCell ref="E11:P11"/>
    <mergeCell ref="E6:P6"/>
    <mergeCell ref="E16:G16"/>
  </mergeCells>
  <phoneticPr fontId="43" type="noConversion"/>
  <conditionalFormatting sqref="I18:I19">
    <cfRule type="cellIs" dxfId="26" priority="1" operator="lessThanOrEqual">
      <formula>3</formula>
    </cfRule>
    <cfRule type="cellIs" dxfId="25" priority="2" operator="greaterThanOrEqual">
      <formula>5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56384-D789-471F-9F04-D83A275C437D}">
  <dimension ref="A1:AB29"/>
  <sheetViews>
    <sheetView tabSelected="1" workbookViewId="0">
      <selection activeCell="S28" sqref="S28"/>
    </sheetView>
  </sheetViews>
  <sheetFormatPr defaultRowHeight="15" x14ac:dyDescent="0.25"/>
  <cols>
    <col min="1" max="1" width="13.7109375" bestFit="1" customWidth="1"/>
    <col min="2" max="2" width="6.42578125" bestFit="1" customWidth="1"/>
    <col min="3" max="3" width="4.85546875" bestFit="1" customWidth="1"/>
    <col min="4" max="4" width="3.5703125" bestFit="1" customWidth="1"/>
    <col min="5" max="5" width="2.140625" customWidth="1"/>
    <col min="6" max="6" width="5" bestFit="1" customWidth="1"/>
    <col min="7" max="7" width="4" bestFit="1" customWidth="1"/>
    <col min="8" max="9" width="4.85546875" bestFit="1" customWidth="1"/>
    <col min="10" max="12" width="5.42578125" bestFit="1" customWidth="1"/>
    <col min="13" max="13" width="3" customWidth="1"/>
    <col min="14" max="15" width="15.7109375" customWidth="1"/>
    <col min="16" max="16" width="15.42578125" bestFit="1" customWidth="1"/>
    <col min="17" max="17" width="12.7109375" customWidth="1"/>
    <col min="18" max="18" width="11.5703125" bestFit="1" customWidth="1"/>
    <col min="19" max="19" width="28.42578125" bestFit="1" customWidth="1"/>
    <col min="20" max="22" width="6.7109375" customWidth="1"/>
    <col min="23" max="23" width="19.42578125" bestFit="1" customWidth="1"/>
    <col min="24" max="24" width="14.5703125" bestFit="1" customWidth="1"/>
  </cols>
  <sheetData>
    <row r="1" spans="1:28" ht="14.25" customHeight="1" x14ac:dyDescent="0.25">
      <c r="B1" s="140" t="s">
        <v>115</v>
      </c>
      <c r="C1" s="140"/>
      <c r="D1" s="140"/>
      <c r="E1" s="51"/>
      <c r="F1" s="140" t="s">
        <v>113</v>
      </c>
      <c r="G1" s="140"/>
      <c r="H1" s="140" t="s">
        <v>114</v>
      </c>
      <c r="I1" s="140"/>
      <c r="J1" s="140" t="s">
        <v>43</v>
      </c>
      <c r="K1" s="140"/>
      <c r="L1" s="140"/>
      <c r="M1" s="29"/>
      <c r="N1" s="141" t="s">
        <v>134</v>
      </c>
      <c r="O1" s="143"/>
      <c r="P1" s="144" t="s">
        <v>136</v>
      </c>
      <c r="Q1" s="145"/>
      <c r="R1" s="69" t="s">
        <v>137</v>
      </c>
      <c r="S1" s="69" t="s">
        <v>140</v>
      </c>
      <c r="T1" s="141" t="s">
        <v>135</v>
      </c>
      <c r="U1" s="142"/>
      <c r="V1" s="143"/>
      <c r="W1" s="65" t="s">
        <v>131</v>
      </c>
      <c r="X1" s="71" t="s">
        <v>138</v>
      </c>
      <c r="Y1" s="65" t="s">
        <v>132</v>
      </c>
    </row>
    <row r="2" spans="1:28" ht="14.25" customHeight="1" x14ac:dyDescent="0.25">
      <c r="A2" s="52" t="s">
        <v>116</v>
      </c>
      <c r="B2" s="68" t="s">
        <v>1</v>
      </c>
      <c r="C2" s="68" t="s">
        <v>105</v>
      </c>
      <c r="D2" s="64" t="s">
        <v>106</v>
      </c>
      <c r="E2" s="29"/>
      <c r="F2" s="68" t="s">
        <v>105</v>
      </c>
      <c r="G2" s="64" t="s">
        <v>106</v>
      </c>
      <c r="H2" s="68" t="s">
        <v>105</v>
      </c>
      <c r="I2" s="68" t="s">
        <v>106</v>
      </c>
      <c r="J2" s="68" t="s">
        <v>105</v>
      </c>
      <c r="K2" s="64" t="s">
        <v>106</v>
      </c>
      <c r="L2" s="68" t="s">
        <v>8</v>
      </c>
      <c r="M2" s="29"/>
      <c r="N2" s="82" t="s">
        <v>139</v>
      </c>
      <c r="O2" s="73" t="s">
        <v>133</v>
      </c>
      <c r="P2" s="72" t="s">
        <v>105</v>
      </c>
      <c r="Q2" s="78" t="s">
        <v>106</v>
      </c>
      <c r="R2" s="73" t="s">
        <v>105</v>
      </c>
      <c r="S2" s="78" t="s">
        <v>106</v>
      </c>
      <c r="T2" s="74" t="s">
        <v>105</v>
      </c>
      <c r="U2" s="79" t="s">
        <v>106</v>
      </c>
      <c r="V2" s="73" t="s">
        <v>8</v>
      </c>
      <c r="W2" s="65" t="s">
        <v>8</v>
      </c>
      <c r="X2" s="80" t="s">
        <v>0</v>
      </c>
      <c r="Y2" s="80" t="s">
        <v>0</v>
      </c>
      <c r="Z2" s="26"/>
      <c r="AB2" s="28"/>
    </row>
    <row r="3" spans="1:28" ht="14.25" customHeight="1" x14ac:dyDescent="0.25">
      <c r="A3" s="32" t="s">
        <v>104</v>
      </c>
      <c r="B3" s="32">
        <f>12505/5</f>
        <v>2501</v>
      </c>
      <c r="C3" s="127">
        <v>6265</v>
      </c>
      <c r="D3" s="127">
        <v>636</v>
      </c>
      <c r="E3" s="32"/>
      <c r="F3" s="33">
        <f t="shared" ref="F3:F9" si="0">C3/B3</f>
        <v>2.5049980007996799</v>
      </c>
      <c r="G3" s="33">
        <f t="shared" ref="G3:G9" si="1">D3/B3</f>
        <v>0.25429828068772492</v>
      </c>
      <c r="H3" s="33">
        <f>MIN('Price Data'!$B$54:$B$55)*F3</f>
        <v>2.5049980007996799</v>
      </c>
      <c r="I3" s="33">
        <f>MIN('Price Data'!$B$56:$B$57)*G3</f>
        <v>3.8144742103158737</v>
      </c>
      <c r="J3" s="33">
        <f>H3-'Price Data'!B44</f>
        <v>1.85499800079968</v>
      </c>
      <c r="K3" s="33">
        <f>I3-'Price Data'!B44</f>
        <v>3.1644742103158738</v>
      </c>
      <c r="L3" s="33">
        <f>(SUM(J3:K3)+'Price Data'!B44)*0.9</f>
        <v>5.1025249900039986</v>
      </c>
      <c r="M3" s="33"/>
      <c r="N3" s="66">
        <f>L3/5</f>
        <v>1.0205049980007996</v>
      </c>
      <c r="O3" s="77" t="str">
        <f>IF(N3-0.5&gt;'Price Data'!B44,"Buy","Don't Buy")</f>
        <v>Don't Buy</v>
      </c>
      <c r="P3" s="33">
        <f t="shared" ref="P3:P9" si="2">6/F3</f>
        <v>2.3952114924181966</v>
      </c>
      <c r="Q3" s="55">
        <f t="shared" ref="Q3:Q9" si="3">12/G3</f>
        <v>47.188679245283019</v>
      </c>
      <c r="R3" s="55">
        <f>((Q3*F3)-(P3*F3))/10</f>
        <v>11.22075471698113</v>
      </c>
      <c r="S3" s="55">
        <f>Q3-R3</f>
        <v>35.967924528301893</v>
      </c>
      <c r="T3" s="66">
        <f>'Price Data'!B44*5*P3</f>
        <v>7.7844373503591395</v>
      </c>
      <c r="U3" s="56">
        <f>'Price Data'!B44*5*S3</f>
        <v>116.89575471698114</v>
      </c>
      <c r="V3" s="55">
        <f>SUM(T3:U3)+'Price Data'!$B$75*1+'Price Data'!$B$33*3</f>
        <v>140.18019206734027</v>
      </c>
      <c r="W3" s="59">
        <f>'Price Data'!$B$75*1+'Price Data'!$B$33*3+MIN('Price Data'!$B$56*2,$B$47)*6+MIN('Price Data'!$B$54*2,$B$45)*3</f>
        <v>201.5</v>
      </c>
      <c r="X3" s="33">
        <f>W3-V3</f>
        <v>61.319807932659728</v>
      </c>
      <c r="Y3" s="59" t="str">
        <f>IF(V3+10&lt;W3,"Mill","AH")</f>
        <v>Mill</v>
      </c>
    </row>
    <row r="4" spans="1:28" ht="14.25" customHeight="1" x14ac:dyDescent="0.25">
      <c r="A4" s="32" t="s">
        <v>109</v>
      </c>
      <c r="B4" s="32">
        <f>8990/5</f>
        <v>1798</v>
      </c>
      <c r="C4" s="127">
        <v>4488</v>
      </c>
      <c r="D4" s="127">
        <v>399</v>
      </c>
      <c r="E4" s="32"/>
      <c r="F4" s="33">
        <f t="shared" si="0"/>
        <v>2.4961067853170191</v>
      </c>
      <c r="G4" s="33">
        <f t="shared" si="1"/>
        <v>0.22191323692992213</v>
      </c>
      <c r="H4" s="33">
        <f>MIN('Price Data'!$B$54:$B$55)*F4</f>
        <v>2.4961067853170191</v>
      </c>
      <c r="I4" s="33">
        <f>MIN('Price Data'!$B$56:$B$57)*G4</f>
        <v>3.3286985539488319</v>
      </c>
      <c r="J4" s="33">
        <f>H4-'Price Data'!B45</f>
        <v>1.6961067853170191</v>
      </c>
      <c r="K4" s="33">
        <f>I4-'Price Data'!B45</f>
        <v>2.528698553948832</v>
      </c>
      <c r="L4" s="33">
        <f>(SUM(J4:K4)+'Price Data'!B45)*0.9</f>
        <v>4.5223248053392657</v>
      </c>
      <c r="M4" s="33"/>
      <c r="N4" s="66">
        <f t="shared" ref="N4:N9" si="4">L4/5</f>
        <v>0.90446496106785312</v>
      </c>
      <c r="O4" s="77" t="str">
        <f>IF(N4-0.5&gt;'Price Data'!B45,"Buy","Don't Buy")</f>
        <v>Don't Buy</v>
      </c>
      <c r="P4" s="33">
        <f t="shared" si="2"/>
        <v>2.403743315508021</v>
      </c>
      <c r="Q4" s="55">
        <f t="shared" si="3"/>
        <v>54.075187969924812</v>
      </c>
      <c r="R4" s="55">
        <f t="shared" ref="R4:R9" si="5">((Q4*F4)-(P4*F4))/10</f>
        <v>12.897744360902257</v>
      </c>
      <c r="S4" s="55">
        <f t="shared" ref="S4:S9" si="6">Q4-R4</f>
        <v>41.177443609022554</v>
      </c>
      <c r="T4" s="66">
        <f>'Price Data'!B45*5*P4</f>
        <v>9.614973262032084</v>
      </c>
      <c r="U4" s="56">
        <f>'Price Data'!B45*5*S4</f>
        <v>164.70977443609021</v>
      </c>
      <c r="V4" s="55">
        <f>SUM(T4:U4)+'Price Data'!$B$75*1+'Price Data'!$B$33*3</f>
        <v>189.82474769812231</v>
      </c>
      <c r="W4" s="59">
        <f>'Price Data'!$B$75*1+'Price Data'!$B$33*3+MIN('Price Data'!$B$56*2,$B$47)*6+MIN('Price Data'!$B$54*2,$B$45)*3</f>
        <v>201.5</v>
      </c>
      <c r="X4" s="33">
        <f t="shared" ref="X4:X9" si="7">W4-V4</f>
        <v>11.675252301877691</v>
      </c>
      <c r="Y4" s="59" t="str">
        <f t="shared" ref="Y4:Y9" si="8">IF(V4+10&lt;W4,"Mill","AH")</f>
        <v>Mill</v>
      </c>
    </row>
    <row r="5" spans="1:28" ht="14.25" customHeight="1" x14ac:dyDescent="0.25">
      <c r="A5" s="32" t="s">
        <v>110</v>
      </c>
      <c r="B5" s="32">
        <f>6610/5</f>
        <v>1322</v>
      </c>
      <c r="C5" s="127">
        <v>3303</v>
      </c>
      <c r="D5" s="127">
        <v>386</v>
      </c>
      <c r="E5" s="32"/>
      <c r="F5" s="33">
        <f t="shared" si="0"/>
        <v>2.4984871406959153</v>
      </c>
      <c r="G5" s="33">
        <f t="shared" si="1"/>
        <v>0.291981845688351</v>
      </c>
      <c r="H5" s="33">
        <f>MIN('Price Data'!$B$54:$B$55)*F5</f>
        <v>2.4984871406959153</v>
      </c>
      <c r="I5" s="33">
        <f>MIN('Price Data'!$B$56:$B$57)*G5</f>
        <v>4.3797276853252649</v>
      </c>
      <c r="J5" s="33">
        <f>H5-'Price Data'!B46</f>
        <v>0.49848714069591527</v>
      </c>
      <c r="K5" s="33">
        <f>I5-'Price Data'!B46</f>
        <v>2.3797276853252649</v>
      </c>
      <c r="L5" s="33">
        <f>(SUM(J5:K5)+'Price Data'!B46)*0.9</f>
        <v>4.3903933434190625</v>
      </c>
      <c r="M5" s="33"/>
      <c r="N5" s="66">
        <f t="shared" si="4"/>
        <v>0.87807866868381246</v>
      </c>
      <c r="O5" s="77" t="str">
        <f>IF(N5-0.5&gt;'Price Data'!B46,"Buy","Don't Buy")</f>
        <v>Don't Buy</v>
      </c>
      <c r="P5" s="33">
        <f t="shared" si="2"/>
        <v>2.4014532243415077</v>
      </c>
      <c r="Q5" s="55">
        <f t="shared" si="3"/>
        <v>41.098445595854919</v>
      </c>
      <c r="R5" s="55">
        <f t="shared" si="5"/>
        <v>9.6683937823834185</v>
      </c>
      <c r="S5" s="55">
        <f t="shared" si="6"/>
        <v>31.430051813471501</v>
      </c>
      <c r="T5" s="66">
        <f>'Price Data'!B46*5*P5</f>
        <v>24.014532243415076</v>
      </c>
      <c r="U5" s="56">
        <f>'Price Data'!B46*5*S5</f>
        <v>314.30051813471499</v>
      </c>
      <c r="V5" s="55">
        <f>SUM(T5:U5)+'Price Data'!$B$75*1+'Price Data'!$B$33*3</f>
        <v>353.81505037813008</v>
      </c>
      <c r="W5" s="59">
        <f>'Price Data'!$B$75*1+'Price Data'!$B$33*3+MIN('Price Data'!$B$56*2,$B$47)*6+MIN('Price Data'!$B$54*2,$B$45)*3</f>
        <v>201.5</v>
      </c>
      <c r="X5" s="33">
        <f t="shared" si="7"/>
        <v>-152.31505037813008</v>
      </c>
      <c r="Y5" s="59" t="str">
        <f t="shared" si="8"/>
        <v>AH</v>
      </c>
    </row>
    <row r="6" spans="1:28" ht="14.25" customHeight="1" x14ac:dyDescent="0.25">
      <c r="A6" s="32" t="s">
        <v>111</v>
      </c>
      <c r="B6" s="32">
        <f>8770/5</f>
        <v>1754</v>
      </c>
      <c r="C6" s="127">
        <v>4387</v>
      </c>
      <c r="D6" s="127">
        <v>484</v>
      </c>
      <c r="E6" s="32"/>
      <c r="F6" s="33">
        <f t="shared" si="0"/>
        <v>2.5011402508551881</v>
      </c>
      <c r="G6" s="33">
        <f t="shared" si="1"/>
        <v>0.27594070695553019</v>
      </c>
      <c r="H6" s="33">
        <f>MIN('Price Data'!$B$54:$B$55)*F6</f>
        <v>2.5011402508551881</v>
      </c>
      <c r="I6" s="33">
        <f>MIN('Price Data'!$B$56:$B$57)*G6</f>
        <v>4.1391106043329531</v>
      </c>
      <c r="J6" s="33">
        <f>H6-'Price Data'!B47</f>
        <v>1.8511402508551882</v>
      </c>
      <c r="K6" s="33">
        <f>I6-'Price Data'!B47</f>
        <v>3.4891106043329532</v>
      </c>
      <c r="L6" s="33">
        <f>(SUM(J6:K6)+'Price Data'!B47)*0.9</f>
        <v>5.3912257696693278</v>
      </c>
      <c r="M6" s="33"/>
      <c r="N6" s="66">
        <f t="shared" si="4"/>
        <v>1.0782451539338656</v>
      </c>
      <c r="O6" s="77" t="str">
        <f>IF(N6-0.5&gt;'Price Data'!B47,"Buy","Don't Buy")</f>
        <v>Don't Buy</v>
      </c>
      <c r="P6" s="33">
        <f t="shared" si="2"/>
        <v>2.3989058582174607</v>
      </c>
      <c r="Q6" s="55">
        <f t="shared" si="3"/>
        <v>43.487603305785129</v>
      </c>
      <c r="R6" s="55">
        <f t="shared" si="5"/>
        <v>10.276859504132233</v>
      </c>
      <c r="S6" s="55">
        <f t="shared" si="6"/>
        <v>33.210743801652896</v>
      </c>
      <c r="T6" s="66">
        <f>'Price Data'!B47*5*P6</f>
        <v>7.7964440392067473</v>
      </c>
      <c r="U6" s="56">
        <f>'Price Data'!B47*5*S6</f>
        <v>107.93491735537191</v>
      </c>
      <c r="V6" s="55">
        <f>SUM(T6:U6)+'Price Data'!$B$75*1+'Price Data'!$B$33*3</f>
        <v>131.23136139457864</v>
      </c>
      <c r="W6" s="59">
        <f>'Price Data'!$B$75*1+'Price Data'!$B$33*3+MIN('Price Data'!$B$56*2,$B$47)*6+MIN('Price Data'!$B$54*2,$B$45)*3</f>
        <v>201.5</v>
      </c>
      <c r="X6" s="33">
        <f t="shared" si="7"/>
        <v>70.268638605421359</v>
      </c>
      <c r="Y6" s="59" t="str">
        <f t="shared" si="8"/>
        <v>Mill</v>
      </c>
    </row>
    <row r="7" spans="1:28" ht="14.25" customHeight="1" x14ac:dyDescent="0.25">
      <c r="A7" s="32" t="s">
        <v>112</v>
      </c>
      <c r="B7" s="32">
        <f>3685/5</f>
        <v>737</v>
      </c>
      <c r="C7" s="127">
        <v>2187</v>
      </c>
      <c r="D7" s="127">
        <v>392</v>
      </c>
      <c r="E7" s="32"/>
      <c r="F7" s="33">
        <f t="shared" si="0"/>
        <v>2.9674355495251019</v>
      </c>
      <c r="G7" s="33">
        <f t="shared" si="1"/>
        <v>0.53188602442333788</v>
      </c>
      <c r="H7" s="33">
        <f>MIN('Price Data'!$B$54:$B$55)*F7</f>
        <v>2.9674355495251019</v>
      </c>
      <c r="I7" s="33">
        <f>MIN('Price Data'!$B$56:$B$57)*G7</f>
        <v>7.9782903663500679</v>
      </c>
      <c r="J7" s="33">
        <f>H7-'Price Data'!B48</f>
        <v>0.96743554952510191</v>
      </c>
      <c r="K7" s="33">
        <f>I7-'Price Data'!B48</f>
        <v>5.9782903663500679</v>
      </c>
      <c r="L7" s="33">
        <f>(SUM(J7:K7)+'Price Data'!B48)*0.9</f>
        <v>8.0511533242876521</v>
      </c>
      <c r="M7" s="33"/>
      <c r="N7" s="66">
        <f t="shared" si="4"/>
        <v>1.6102306648575304</v>
      </c>
      <c r="O7" s="77" t="str">
        <f>IF(N7-0.5&gt;'Price Data'!B48,"Buy","Don't Buy")</f>
        <v>Don't Buy</v>
      </c>
      <c r="P7" s="33">
        <f t="shared" si="2"/>
        <v>2.0219478737997254</v>
      </c>
      <c r="Q7" s="55">
        <f t="shared" si="3"/>
        <v>22.561224489795919</v>
      </c>
      <c r="R7" s="55">
        <f t="shared" si="5"/>
        <v>6.0948979591836734</v>
      </c>
      <c r="S7" s="55">
        <f t="shared" si="6"/>
        <v>16.466326530612246</v>
      </c>
      <c r="T7" s="66">
        <f>'Price Data'!B48*5*P7</f>
        <v>20.219478737997253</v>
      </c>
      <c r="U7" s="56">
        <f>'Price Data'!B48*5*S7</f>
        <v>164.66326530612247</v>
      </c>
      <c r="V7" s="55">
        <f>SUM(T7:U7)+'Price Data'!$B$75*1+'Price Data'!$B$33*3</f>
        <v>200.38274404411973</v>
      </c>
      <c r="W7" s="59">
        <f>'Price Data'!$B$75*1+'Price Data'!$B$33*3+MIN('Price Data'!$B$56*2,$B$47)*6+MIN('Price Data'!$B$54*2,$B$45)*3</f>
        <v>201.5</v>
      </c>
      <c r="X7" s="33">
        <f t="shared" si="7"/>
        <v>1.1172559558802675</v>
      </c>
      <c r="Y7" s="59" t="str">
        <f t="shared" si="8"/>
        <v>AH</v>
      </c>
    </row>
    <row r="8" spans="1:28" ht="14.25" customHeight="1" x14ac:dyDescent="0.25">
      <c r="A8" s="32" t="s">
        <v>107</v>
      </c>
      <c r="B8" s="32">
        <f>1800/5</f>
        <v>360</v>
      </c>
      <c r="C8" s="32">
        <v>1078</v>
      </c>
      <c r="D8" s="32">
        <v>207</v>
      </c>
      <c r="E8" s="32"/>
      <c r="F8" s="33">
        <f t="shared" si="0"/>
        <v>2.9944444444444445</v>
      </c>
      <c r="G8" s="33">
        <f t="shared" si="1"/>
        <v>0.57499999999999996</v>
      </c>
      <c r="H8" s="33">
        <f>MIN('Price Data'!$B$54:$B$55)*F8</f>
        <v>2.9944444444444445</v>
      </c>
      <c r="I8" s="33">
        <f>MIN('Price Data'!$B$56:$B$57)*G8</f>
        <v>8.625</v>
      </c>
      <c r="J8" s="33">
        <f>H8-'Price Data'!B49</f>
        <v>1.2944444444444445</v>
      </c>
      <c r="K8" s="33">
        <f>I8-'Price Data'!B49</f>
        <v>6.9249999999999998</v>
      </c>
      <c r="L8" s="33">
        <f>(SUM(J8:K8)+'Price Data'!B49)*0.9</f>
        <v>8.9275000000000002</v>
      </c>
      <c r="M8" s="33"/>
      <c r="N8" s="66">
        <f t="shared" si="4"/>
        <v>1.7855000000000001</v>
      </c>
      <c r="O8" s="77" t="str">
        <f>IF(N8-0.5&gt;'Price Data'!B49,"Buy","Don't Buy")</f>
        <v>Don't Buy</v>
      </c>
      <c r="P8" s="33">
        <f t="shared" si="2"/>
        <v>2.0037105751391464</v>
      </c>
      <c r="Q8" s="55">
        <f t="shared" si="3"/>
        <v>20.869565217391305</v>
      </c>
      <c r="R8" s="55">
        <f t="shared" si="5"/>
        <v>5.649275362318841</v>
      </c>
      <c r="S8" s="55">
        <f t="shared" si="6"/>
        <v>15.220289855072464</v>
      </c>
      <c r="T8" s="66">
        <f>'Price Data'!B49*5*P8</f>
        <v>17.031539888682744</v>
      </c>
      <c r="U8" s="56">
        <f>'Price Data'!B49*5*S8</f>
        <v>129.37246376811595</v>
      </c>
      <c r="V8" s="55">
        <f>SUM(T8:U8)+'Price Data'!$B$75*1+'Price Data'!$B$33*3</f>
        <v>161.90400365679869</v>
      </c>
      <c r="W8" s="59">
        <f>'Price Data'!$B$75*1+'Price Data'!$B$33*3+MIN('Price Data'!$B$56*2,$B$47)*6+MIN('Price Data'!$B$54*2,$B$45)*3</f>
        <v>201.5</v>
      </c>
      <c r="X8" s="33">
        <f t="shared" si="7"/>
        <v>39.595996343201307</v>
      </c>
      <c r="Y8" s="59" t="str">
        <f t="shared" si="8"/>
        <v>Mill</v>
      </c>
    </row>
    <row r="9" spans="1:28" ht="14.25" customHeight="1" x14ac:dyDescent="0.25">
      <c r="A9" s="32" t="s">
        <v>108</v>
      </c>
      <c r="B9" s="32">
        <f>1520/5</f>
        <v>304</v>
      </c>
      <c r="C9" s="32">
        <v>884</v>
      </c>
      <c r="D9" s="32">
        <v>140</v>
      </c>
      <c r="E9" s="32"/>
      <c r="F9" s="33">
        <f t="shared" si="0"/>
        <v>2.9078947368421053</v>
      </c>
      <c r="G9" s="33">
        <f t="shared" si="1"/>
        <v>0.46052631578947367</v>
      </c>
      <c r="H9" s="33">
        <f>MIN('Price Data'!$B$54:$B$55)*F9</f>
        <v>2.9078947368421053</v>
      </c>
      <c r="I9" s="33">
        <f>MIN('Price Data'!$B$56:$B$57)*G9</f>
        <v>6.9078947368421053</v>
      </c>
      <c r="J9" s="33">
        <f>H9-'Price Data'!B50</f>
        <v>1.9078947368421053</v>
      </c>
      <c r="K9" s="33">
        <f>I9-'Price Data'!B50</f>
        <v>5.9078947368421053</v>
      </c>
      <c r="L9" s="33">
        <f>(SUM(J9:K9)+'Price Data'!B50)*0.9</f>
        <v>7.9342105263157894</v>
      </c>
      <c r="M9" s="33"/>
      <c r="N9" s="66">
        <f t="shared" si="4"/>
        <v>1.5868421052631578</v>
      </c>
      <c r="O9" s="77" t="str">
        <f>IF(N9-0.5&gt;'Price Data'!B50,"Buy","Don't Buy")</f>
        <v>Buy</v>
      </c>
      <c r="P9" s="33">
        <f t="shared" si="2"/>
        <v>2.0633484162895925</v>
      </c>
      <c r="Q9" s="55">
        <f t="shared" si="3"/>
        <v>26.057142857142857</v>
      </c>
      <c r="R9" s="55">
        <f t="shared" si="5"/>
        <v>6.9771428571428569</v>
      </c>
      <c r="S9" s="55">
        <f t="shared" si="6"/>
        <v>19.079999999999998</v>
      </c>
      <c r="T9" s="66">
        <f>'Price Data'!B50*5*P9</f>
        <v>10.316742081447963</v>
      </c>
      <c r="U9" s="56">
        <f>'Price Data'!B50*5*S9</f>
        <v>95.399999999999991</v>
      </c>
      <c r="V9" s="55">
        <f>SUM(T9:U9)+'Price Data'!$B$75*1+'Price Data'!$B$33*3</f>
        <v>121.21674208144796</v>
      </c>
      <c r="W9" s="59">
        <f>'Price Data'!$B$75*1+'Price Data'!$B$33*3+MIN('Price Data'!$B$56*2,$B$47)*6+MIN('Price Data'!$B$54*2,$B$45)*3</f>
        <v>201.5</v>
      </c>
      <c r="X9" s="33">
        <f t="shared" si="7"/>
        <v>80.283257918552039</v>
      </c>
      <c r="Y9" s="59" t="str">
        <f t="shared" si="8"/>
        <v>Mill</v>
      </c>
    </row>
    <row r="11" spans="1:28" x14ac:dyDescent="0.25">
      <c r="P11" s="67"/>
      <c r="R11" s="67"/>
      <c r="S11" s="67"/>
      <c r="T11" s="67"/>
      <c r="U11" s="67"/>
      <c r="V11" s="75"/>
      <c r="W11" s="75"/>
      <c r="X11" s="75"/>
      <c r="Y11" s="75"/>
    </row>
    <row r="12" spans="1:28" ht="15.75" thickBot="1" x14ac:dyDescent="0.3">
      <c r="N12" s="54"/>
      <c r="O12" s="67"/>
      <c r="V12" s="75"/>
      <c r="W12" s="76"/>
      <c r="X12" s="76"/>
      <c r="Y12" s="76"/>
    </row>
    <row r="13" spans="1:28" ht="15.75" thickBot="1" x14ac:dyDescent="0.3">
      <c r="N13" s="146" t="s">
        <v>141</v>
      </c>
      <c r="O13" s="147"/>
      <c r="P13" s="148"/>
      <c r="R13" s="107"/>
      <c r="S13" s="107"/>
      <c r="T13" s="107"/>
      <c r="U13" s="108"/>
      <c r="V13" s="109"/>
      <c r="W13" s="70"/>
      <c r="X13" s="75"/>
      <c r="Y13" s="75"/>
    </row>
    <row r="14" spans="1:28" x14ac:dyDescent="0.25">
      <c r="N14" s="84" t="s">
        <v>144</v>
      </c>
      <c r="O14" s="65" t="s">
        <v>142</v>
      </c>
      <c r="P14" s="84" t="s">
        <v>143</v>
      </c>
      <c r="R14" s="108"/>
      <c r="S14" s="110"/>
      <c r="T14" s="110"/>
      <c r="U14" s="108"/>
      <c r="V14" s="109"/>
      <c r="W14" s="75"/>
      <c r="X14" s="75"/>
      <c r="Y14" s="75"/>
    </row>
    <row r="15" spans="1:28" ht="15.75" thickBot="1" x14ac:dyDescent="0.3">
      <c r="M15" s="44"/>
      <c r="N15" s="86" t="str">
        <f>INDEX(A3:A9,MATCH(MAX(F3:F9),F3:F9,0),1)</f>
        <v>Lichbloom</v>
      </c>
      <c r="O15" s="85" t="str">
        <f>INDEX(A3:A9,MATCH(_xlfn.MAXIFS(N3:N9,O3:O9,"Buy"),N3:N9,0),1)</f>
        <v>Adder's Tongue</v>
      </c>
      <c r="P15" s="85" t="str">
        <f>INDEX(A3:A9,MATCH(MAX(X3:X9),X3:X9,0),1)</f>
        <v>Adder's Tongue</v>
      </c>
      <c r="R15" s="111"/>
      <c r="S15" s="111"/>
      <c r="T15" s="111"/>
      <c r="U15" s="108"/>
      <c r="V15" s="108"/>
    </row>
    <row r="16" spans="1:28" ht="15.75" thickBot="1" x14ac:dyDescent="0.3">
      <c r="N16" s="32"/>
      <c r="O16" s="81"/>
      <c r="R16" s="111"/>
      <c r="S16" s="111"/>
      <c r="T16" s="111"/>
      <c r="U16" s="108"/>
      <c r="V16" s="108"/>
    </row>
    <row r="17" spans="1:26" ht="15.75" thickBot="1" x14ac:dyDescent="0.3">
      <c r="N17" s="146" t="s">
        <v>123</v>
      </c>
      <c r="O17" s="147"/>
      <c r="P17" s="148"/>
      <c r="R17" s="111"/>
      <c r="S17" s="111"/>
      <c r="T17" s="111"/>
      <c r="U17" s="108"/>
      <c r="V17" s="108"/>
    </row>
    <row r="18" spans="1:26" x14ac:dyDescent="0.25">
      <c r="A18" s="32"/>
      <c r="N18" s="65" t="s">
        <v>180</v>
      </c>
      <c r="O18" s="65" t="s">
        <v>181</v>
      </c>
      <c r="P18" s="65" t="s">
        <v>182</v>
      </c>
      <c r="R18" s="111"/>
      <c r="S18" s="111"/>
      <c r="T18" s="111"/>
      <c r="U18" s="108"/>
      <c r="V18" s="108"/>
      <c r="X18" s="67"/>
      <c r="Y18" s="67"/>
      <c r="Z18" s="67"/>
    </row>
    <row r="19" spans="1:26" x14ac:dyDescent="0.25">
      <c r="A19" s="32"/>
      <c r="N19" s="113" t="s">
        <v>124</v>
      </c>
      <c r="O19" s="114">
        <f>'Price Data'!B69*8</f>
        <v>4888</v>
      </c>
      <c r="P19" s="114">
        <f>MIN(V3:V9)*32</f>
        <v>3878.9357466063348</v>
      </c>
      <c r="R19" s="108"/>
      <c r="S19" s="108"/>
      <c r="T19" s="108"/>
      <c r="U19" s="108"/>
      <c r="V19" s="108"/>
      <c r="Y19" s="67"/>
      <c r="Z19" s="67"/>
    </row>
    <row r="20" spans="1:26" x14ac:dyDescent="0.25">
      <c r="A20" s="32"/>
      <c r="N20" s="113" t="s">
        <v>125</v>
      </c>
      <c r="O20" s="114">
        <f>'Price Data'!B70*8</f>
        <v>200</v>
      </c>
      <c r="P20" s="114">
        <f>MIN(V3:V9)*32</f>
        <v>3878.9357466063348</v>
      </c>
      <c r="R20" s="108"/>
      <c r="S20" s="112"/>
      <c r="T20" s="108"/>
      <c r="U20" s="108"/>
      <c r="V20" s="108"/>
      <c r="X20" s="67"/>
      <c r="Y20" s="67"/>
      <c r="Z20" s="67"/>
    </row>
    <row r="21" spans="1:26" x14ac:dyDescent="0.25">
      <c r="A21" s="32"/>
      <c r="N21" s="113" t="s">
        <v>126</v>
      </c>
      <c r="O21" s="114">
        <f>'Price Data'!B71*8</f>
        <v>280</v>
      </c>
      <c r="P21" s="114">
        <f>MIN(V3:V9)*32</f>
        <v>3878.9357466063348</v>
      </c>
      <c r="R21" s="111"/>
      <c r="S21" s="108"/>
      <c r="T21" s="108"/>
      <c r="U21" s="108"/>
      <c r="V21" s="108"/>
      <c r="X21" s="67"/>
      <c r="Z21" s="67"/>
    </row>
    <row r="22" spans="1:26" ht="15.75" thickBot="1" x14ac:dyDescent="0.3">
      <c r="A22" s="32"/>
      <c r="N22" s="115" t="s">
        <v>127</v>
      </c>
      <c r="O22" s="116">
        <f>'Price Data'!B72*8</f>
        <v>248</v>
      </c>
      <c r="P22" s="116">
        <f>MIN(V3:V9)*32</f>
        <v>3878.9357466063348</v>
      </c>
      <c r="X22" s="67"/>
      <c r="Y22" s="67"/>
      <c r="Z22" s="67"/>
    </row>
    <row r="23" spans="1:26" ht="15.75" thickBot="1" x14ac:dyDescent="0.3">
      <c r="A23" s="32"/>
      <c r="N23" s="106"/>
      <c r="O23" s="106"/>
      <c r="P23" s="41"/>
      <c r="X23" s="67"/>
      <c r="Y23" s="67"/>
      <c r="Z23" s="67"/>
    </row>
    <row r="24" spans="1:26" x14ac:dyDescent="0.25">
      <c r="A24" s="32"/>
      <c r="N24" s="117" t="s">
        <v>183</v>
      </c>
      <c r="O24" s="117" t="s">
        <v>184</v>
      </c>
      <c r="P24" s="118" t="s">
        <v>185</v>
      </c>
    </row>
    <row r="25" spans="1:26" ht="15.75" thickBot="1" x14ac:dyDescent="0.3">
      <c r="N25" s="116">
        <f>SUM(O19:O22)</f>
        <v>5616</v>
      </c>
      <c r="O25" s="116">
        <f>N25-P19</f>
        <v>1737.0642533936652</v>
      </c>
      <c r="P25" s="116">
        <f>O19-P19</f>
        <v>1009.0642533936652</v>
      </c>
    </row>
    <row r="26" spans="1:26" x14ac:dyDescent="0.25">
      <c r="P26" s="27"/>
    </row>
    <row r="27" spans="1:26" x14ac:dyDescent="0.25">
      <c r="P27" s="27"/>
    </row>
    <row r="28" spans="1:26" x14ac:dyDescent="0.25">
      <c r="P28" s="27"/>
    </row>
    <row r="29" spans="1:26" x14ac:dyDescent="0.25">
      <c r="P29" s="27"/>
    </row>
  </sheetData>
  <mergeCells count="9">
    <mergeCell ref="N17:P17"/>
    <mergeCell ref="N13:P13"/>
    <mergeCell ref="T1:V1"/>
    <mergeCell ref="P1:Q1"/>
    <mergeCell ref="N1:O1"/>
    <mergeCell ref="B1:D1"/>
    <mergeCell ref="F1:G1"/>
    <mergeCell ref="H1:I1"/>
    <mergeCell ref="J1:L1"/>
  </mergeCells>
  <conditionalFormatting sqref="L3:L9">
    <cfRule type="cellIs" dxfId="24" priority="23" operator="greaterThanOrEqual">
      <formula>5</formula>
    </cfRule>
    <cfRule type="cellIs" dxfId="23" priority="24" operator="lessThan">
      <formula>5</formula>
    </cfRule>
  </conditionalFormatting>
  <conditionalFormatting sqref="K3:K9">
    <cfRule type="cellIs" dxfId="22" priority="21" operator="greaterThan">
      <formula>5</formula>
    </cfRule>
    <cfRule type="cellIs" dxfId="21" priority="22" operator="lessThanOrEqual">
      <formula>4</formula>
    </cfRule>
  </conditionalFormatting>
  <conditionalFormatting sqref="J3:J9">
    <cfRule type="cellIs" dxfId="20" priority="19" operator="greaterThan">
      <formula>5</formula>
    </cfRule>
    <cfRule type="cellIs" dxfId="19" priority="20" operator="lessThanOrEqual">
      <formula>4</formula>
    </cfRule>
  </conditionalFormatting>
  <conditionalFormatting sqref="Y3:Y9">
    <cfRule type="containsText" dxfId="18" priority="17" operator="containsText" text="Mill">
      <formula>NOT(ISERROR(SEARCH("Mill",Y3)))</formula>
    </cfRule>
    <cfRule type="containsText" dxfId="17" priority="18" operator="containsText" text="AH">
      <formula>NOT(ISERROR(SEARCH("AH",Y3)))</formula>
    </cfRule>
  </conditionalFormatting>
  <conditionalFormatting sqref="O3:O9">
    <cfRule type="containsText" dxfId="16" priority="15" operator="containsText" text="Don't Buy">
      <formula>NOT(ISERROR(SEARCH("Don't Buy",O3)))</formula>
    </cfRule>
    <cfRule type="containsText" dxfId="15" priority="16" operator="containsText" text="Buy">
      <formula>NOT(ISERROR(SEARCH("Buy",O3)))</formula>
    </cfRule>
  </conditionalFormatting>
  <conditionalFormatting sqref="V3:V9">
    <cfRule type="top10" dxfId="14" priority="13" bottom="1" rank="1"/>
  </conditionalFormatting>
  <conditionalFormatting sqref="X3:X9">
    <cfRule type="top10" dxfId="13" priority="11" rank="1"/>
  </conditionalFormatting>
  <conditionalFormatting sqref="N3:N9">
    <cfRule type="top10" dxfId="12" priority="2" rank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EF844-E719-410A-89F0-2E23A8A956E9}">
  <dimension ref="A1:F20"/>
  <sheetViews>
    <sheetView workbookViewId="0">
      <selection activeCell="D16" sqref="D16"/>
    </sheetView>
  </sheetViews>
  <sheetFormatPr defaultRowHeight="15" x14ac:dyDescent="0.25"/>
  <cols>
    <col min="1" max="1" width="19.42578125" style="27" bestFit="1" customWidth="1"/>
    <col min="2" max="2" width="7.42578125" style="27" bestFit="1" customWidth="1"/>
    <col min="3" max="3" width="5.85546875" style="27" bestFit="1" customWidth="1"/>
    <col min="4" max="4" width="8.85546875" style="27" bestFit="1" customWidth="1"/>
    <col min="5" max="5" width="21.140625" style="27" bestFit="1" customWidth="1"/>
    <col min="6" max="6" width="18.42578125" style="27" bestFit="1" customWidth="1"/>
    <col min="7" max="16384" width="9.140625" style="27"/>
  </cols>
  <sheetData>
    <row r="1" spans="1:6" x14ac:dyDescent="0.25">
      <c r="A1" s="121" t="s">
        <v>37</v>
      </c>
      <c r="B1" s="121" t="s">
        <v>1</v>
      </c>
      <c r="C1" s="121" t="s">
        <v>189</v>
      </c>
      <c r="D1" s="121" t="s">
        <v>196</v>
      </c>
      <c r="E1" s="132" t="s">
        <v>206</v>
      </c>
      <c r="F1" s="132" t="s">
        <v>207</v>
      </c>
    </row>
    <row r="2" spans="1:6" x14ac:dyDescent="0.25">
      <c r="A2" s="127" t="s">
        <v>188</v>
      </c>
      <c r="B2" s="34">
        <v>110</v>
      </c>
      <c r="C2" s="34">
        <v>140</v>
      </c>
      <c r="D2" s="128">
        <f>C2/B2</f>
        <v>1.2727272727272727</v>
      </c>
      <c r="E2" s="33">
        <f>'Price Data'!B5+'Price Data'!B20</f>
        <v>1.4</v>
      </c>
      <c r="F2" s="33">
        <f>E2*(2-D2)</f>
        <v>1.0181818181818181</v>
      </c>
    </row>
    <row r="3" spans="1:6" x14ac:dyDescent="0.25">
      <c r="A3" s="127" t="s">
        <v>44</v>
      </c>
      <c r="B3" s="34">
        <v>465</v>
      </c>
      <c r="C3" s="34">
        <v>545</v>
      </c>
      <c r="D3" s="128">
        <f>C3/B3</f>
        <v>1.1720430107526882</v>
      </c>
      <c r="E3" s="33">
        <f>MIN('Price Data'!B3*16,'Price Data'!B4*2)</f>
        <v>12</v>
      </c>
      <c r="F3" s="33">
        <f t="shared" ref="F3:F16" si="0">E3*(2-D3)</f>
        <v>9.9354838709677402</v>
      </c>
    </row>
    <row r="4" spans="1:6" x14ac:dyDescent="0.25">
      <c r="A4" s="127" t="s">
        <v>197</v>
      </c>
      <c r="B4" s="34">
        <v>60</v>
      </c>
      <c r="C4" s="34">
        <v>67</v>
      </c>
      <c r="D4" s="128">
        <f t="shared" ref="D4:D14" si="1">C4/B4</f>
        <v>1.1166666666666667</v>
      </c>
      <c r="E4" s="33">
        <f>'Price Data'!B13+'Price Data'!B12+'Price Data'!B35</f>
        <v>7</v>
      </c>
      <c r="F4" s="33">
        <f t="shared" si="0"/>
        <v>6.1833333333333336</v>
      </c>
    </row>
    <row r="5" spans="1:6" x14ac:dyDescent="0.25">
      <c r="A5" s="127" t="s">
        <v>203</v>
      </c>
      <c r="B5" s="34">
        <v>60</v>
      </c>
      <c r="C5" s="34">
        <v>74</v>
      </c>
      <c r="D5" s="128">
        <f t="shared" si="1"/>
        <v>1.2333333333333334</v>
      </c>
      <c r="E5" s="33">
        <f>'Price Data'!B10+'Price Data'!B11+'Price Data'!B32</f>
        <v>26.45</v>
      </c>
      <c r="F5" s="33">
        <f t="shared" si="0"/>
        <v>20.278333333333332</v>
      </c>
    </row>
    <row r="6" spans="1:6" x14ac:dyDescent="0.25">
      <c r="A6" s="127"/>
      <c r="B6" s="34"/>
      <c r="C6" s="34"/>
      <c r="D6" s="128"/>
      <c r="E6" s="33"/>
      <c r="F6" s="33"/>
    </row>
    <row r="7" spans="1:6" x14ac:dyDescent="0.25">
      <c r="A7" s="127" t="s">
        <v>190</v>
      </c>
      <c r="B7" s="34">
        <v>140</v>
      </c>
      <c r="C7" s="34">
        <v>334</v>
      </c>
      <c r="D7" s="128">
        <f>(C7/B7)/2</f>
        <v>1.1928571428571428</v>
      </c>
      <c r="E7" s="33">
        <f>('Price Data'!B48*5+'Price Data'!B49*5+'Price Data'!B51+'Price Data'!B77)/2</f>
        <v>11.25</v>
      </c>
      <c r="F7" s="33">
        <f t="shared" si="0"/>
        <v>9.0803571428571423</v>
      </c>
    </row>
    <row r="8" spans="1:6" x14ac:dyDescent="0.25">
      <c r="A8" s="127" t="s">
        <v>191</v>
      </c>
      <c r="B8" s="34">
        <v>10</v>
      </c>
      <c r="C8" s="34">
        <v>24</v>
      </c>
      <c r="D8" s="128">
        <f>(C8/B8)/2</f>
        <v>1.2</v>
      </c>
      <c r="E8" s="33">
        <f>('Price Data'!B49*7+'Price Data'!B33*0.3+'Price Data'!B51+'Price Data'!B77)/2</f>
        <v>8.6999999999999993</v>
      </c>
      <c r="F8" s="33">
        <f t="shared" si="0"/>
        <v>6.96</v>
      </c>
    </row>
    <row r="9" spans="1:6" x14ac:dyDescent="0.25">
      <c r="A9" s="127" t="s">
        <v>192</v>
      </c>
      <c r="B9" s="34">
        <v>140</v>
      </c>
      <c r="C9" s="34">
        <v>341</v>
      </c>
      <c r="D9" s="128">
        <f>(C9/B9)/2</f>
        <v>1.2178571428571427</v>
      </c>
      <c r="E9" s="33">
        <f>('Price Data'!B49*7+'Price Data'!B44*3+'Price Data'!B51+'Price Data'!B77)/2</f>
        <v>8.9250000000000007</v>
      </c>
      <c r="F9" s="33">
        <f t="shared" si="0"/>
        <v>6.9806250000000016</v>
      </c>
    </row>
    <row r="10" spans="1:6" x14ac:dyDescent="0.25">
      <c r="A10" s="127"/>
      <c r="B10" s="34"/>
      <c r="C10" s="34"/>
      <c r="D10" s="128"/>
      <c r="E10" s="33"/>
      <c r="F10" s="33"/>
    </row>
    <row r="11" spans="1:6" x14ac:dyDescent="0.25">
      <c r="A11" s="127" t="s">
        <v>208</v>
      </c>
      <c r="B11" s="34">
        <v>250</v>
      </c>
      <c r="C11" s="34">
        <v>323</v>
      </c>
      <c r="D11" s="128">
        <f t="shared" si="1"/>
        <v>1.292</v>
      </c>
      <c r="E11" s="33">
        <f>'Price Data'!B49*2+'Price Data'!B78</f>
        <v>3.9</v>
      </c>
      <c r="F11" s="33">
        <f t="shared" si="0"/>
        <v>2.7611999999999997</v>
      </c>
    </row>
    <row r="12" spans="1:6" x14ac:dyDescent="0.25">
      <c r="A12" s="127" t="s">
        <v>193</v>
      </c>
      <c r="B12" s="34">
        <v>400</v>
      </c>
      <c r="C12" s="34">
        <v>470</v>
      </c>
      <c r="D12" s="128">
        <f t="shared" si="1"/>
        <v>1.175</v>
      </c>
      <c r="E12" s="33">
        <f>'Price Data'!B49*2+MIN('Price Data'!B65,('Price Data'!B66)/D16)+'Price Data'!B78</f>
        <v>6.1601904761904756</v>
      </c>
      <c r="F12" s="33">
        <f t="shared" si="0"/>
        <v>5.0821571428571417</v>
      </c>
    </row>
    <row r="13" spans="1:6" x14ac:dyDescent="0.25">
      <c r="A13" s="127" t="s">
        <v>194</v>
      </c>
      <c r="B13" s="34">
        <v>900</v>
      </c>
      <c r="C13" s="34">
        <v>1111</v>
      </c>
      <c r="D13" s="128">
        <f t="shared" si="1"/>
        <v>1.2344444444444445</v>
      </c>
      <c r="E13" s="33">
        <f>'Price Data'!B50*2+MIN('Price Data'!B65,('Price Data'!B66)/D16)+'Price Data'!B78</f>
        <v>4.7601904761904761</v>
      </c>
      <c r="F13" s="33">
        <f t="shared" si="0"/>
        <v>3.6441902645502644</v>
      </c>
    </row>
    <row r="14" spans="1:6" x14ac:dyDescent="0.25">
      <c r="A14" s="127" t="s">
        <v>195</v>
      </c>
      <c r="B14" s="34">
        <v>140</v>
      </c>
      <c r="C14" s="34">
        <v>165</v>
      </c>
      <c r="D14" s="128">
        <f t="shared" si="1"/>
        <v>1.1785714285714286</v>
      </c>
      <c r="E14" s="33">
        <f>'Price Data'!B48*2+'Price Data'!B78</f>
        <v>4.5</v>
      </c>
      <c r="F14" s="33">
        <f t="shared" si="0"/>
        <v>3.6964285714285712</v>
      </c>
    </row>
    <row r="15" spans="1:6" x14ac:dyDescent="0.25">
      <c r="A15" s="127"/>
      <c r="B15" s="34"/>
      <c r="C15" s="34"/>
      <c r="D15" s="128"/>
      <c r="E15" s="33"/>
      <c r="F15" s="33"/>
    </row>
    <row r="16" spans="1:6" x14ac:dyDescent="0.25">
      <c r="A16" s="127" t="s">
        <v>198</v>
      </c>
      <c r="B16" s="34">
        <v>1047</v>
      </c>
      <c r="C16" s="34">
        <v>1575</v>
      </c>
      <c r="D16" s="128">
        <f>C16/B16</f>
        <v>1.5042979942693411</v>
      </c>
      <c r="E16" s="33">
        <f>MIN('Price Data'!B66*(D16-1),'Price Data'!B65)</f>
        <v>1.7146131805157596</v>
      </c>
      <c r="F16" s="33">
        <f t="shared" si="0"/>
        <v>0.84993719263388645</v>
      </c>
    </row>
    <row r="17" spans="1:4" x14ac:dyDescent="0.25">
      <c r="B17" s="34"/>
      <c r="C17" s="34"/>
      <c r="D17" s="128"/>
    </row>
    <row r="18" spans="1:4" x14ac:dyDescent="0.25">
      <c r="A18" s="54"/>
      <c r="D18" s="120"/>
    </row>
    <row r="19" spans="1:4" x14ac:dyDescent="0.25">
      <c r="D19" s="120"/>
    </row>
    <row r="20" spans="1:4" x14ac:dyDescent="0.25">
      <c r="B20" s="41"/>
      <c r="C20" s="4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25822-D102-4342-9E14-A99EBEF9D590}">
  <dimension ref="A1:AN36"/>
  <sheetViews>
    <sheetView workbookViewId="0">
      <selection activeCell="AK11" sqref="AK11"/>
    </sheetView>
  </sheetViews>
  <sheetFormatPr defaultRowHeight="15" x14ac:dyDescent="0.25"/>
  <cols>
    <col min="1" max="1" width="21.85546875" style="27" bestFit="1" customWidth="1"/>
    <col min="2" max="2" width="6" style="27" bestFit="1" customWidth="1"/>
    <col min="3" max="3" width="7.5703125" style="27" bestFit="1" customWidth="1"/>
    <col min="4" max="4" width="7.85546875" style="27" bestFit="1" customWidth="1"/>
    <col min="5" max="5" width="5.140625" style="27" bestFit="1" customWidth="1"/>
    <col min="6" max="6" width="4.42578125" style="27" bestFit="1" customWidth="1"/>
    <col min="7" max="7" width="6" style="27" bestFit="1" customWidth="1"/>
    <col min="8" max="8" width="3.28515625" style="27" bestFit="1" customWidth="1"/>
    <col min="9" max="9" width="7.140625" style="27" bestFit="1" customWidth="1"/>
    <col min="10" max="10" width="4" style="27" bestFit="1" customWidth="1"/>
    <col min="11" max="11" width="5" style="27" bestFit="1" customWidth="1"/>
    <col min="12" max="12" width="4.5703125" style="27" bestFit="1" customWidth="1"/>
    <col min="13" max="13" width="6.5703125" style="27" bestFit="1" customWidth="1"/>
    <col min="14" max="14" width="8.28515625" style="27" bestFit="1" customWidth="1"/>
    <col min="15" max="15" width="3.5703125" style="27" bestFit="1" customWidth="1"/>
    <col min="16" max="16" width="3.85546875" style="27" bestFit="1" customWidth="1"/>
    <col min="17" max="17" width="7.140625" style="27" bestFit="1" customWidth="1"/>
    <col min="18" max="18" width="6.28515625" style="27" bestFit="1" customWidth="1"/>
    <col min="19" max="19" width="4.42578125" style="27" bestFit="1" customWidth="1"/>
    <col min="20" max="20" width="5" style="27" bestFit="1" customWidth="1"/>
    <col min="21" max="21" width="5.42578125" style="27" bestFit="1" customWidth="1"/>
    <col min="22" max="22" width="2.85546875" style="27" customWidth="1"/>
    <col min="23" max="23" width="13.85546875" style="27" bestFit="1" customWidth="1"/>
    <col min="24" max="24" width="4.5703125" style="27" bestFit="1" customWidth="1"/>
    <col min="25" max="25" width="7" style="27" bestFit="1" customWidth="1"/>
    <col min="26" max="26" width="6.28515625" style="27" bestFit="1" customWidth="1"/>
    <col min="27" max="27" width="5.42578125" style="27" bestFit="1" customWidth="1"/>
    <col min="28" max="28" width="6.7109375" style="27" bestFit="1" customWidth="1"/>
    <col min="29" max="29" width="7" style="27" bestFit="1" customWidth="1"/>
    <col min="30" max="32" width="6.7109375" style="27" bestFit="1" customWidth="1"/>
    <col min="33" max="33" width="7" style="27" bestFit="1" customWidth="1"/>
    <col min="34" max="34" width="6.7109375" style="27" bestFit="1" customWidth="1"/>
    <col min="35" max="35" width="6.7109375" style="27" customWidth="1"/>
    <col min="36" max="36" width="5.7109375" style="27" bestFit="1" customWidth="1"/>
    <col min="37" max="37" width="6.7109375" style="27" bestFit="1" customWidth="1"/>
    <col min="38" max="38" width="2" style="27" customWidth="1"/>
    <col min="39" max="39" width="8" style="27" bestFit="1" customWidth="1"/>
    <col min="40" max="40" width="5.42578125" style="27" bestFit="1" customWidth="1"/>
    <col min="41" max="16384" width="9.140625" style="27"/>
  </cols>
  <sheetData>
    <row r="1" spans="1:40" x14ac:dyDescent="0.25">
      <c r="B1" s="140" t="s">
        <v>92</v>
      </c>
      <c r="C1" s="140"/>
      <c r="D1" s="140"/>
      <c r="E1" s="149" t="s">
        <v>93</v>
      </c>
      <c r="F1" s="149"/>
      <c r="G1" s="149"/>
      <c r="H1" s="149"/>
      <c r="I1" s="149"/>
      <c r="J1" s="29"/>
      <c r="K1" s="29"/>
      <c r="L1" s="29"/>
      <c r="M1" s="29"/>
      <c r="N1" s="29"/>
      <c r="O1" s="29"/>
      <c r="P1" s="149" t="s">
        <v>4</v>
      </c>
      <c r="Q1" s="149"/>
      <c r="R1" s="149"/>
      <c r="S1" s="149"/>
      <c r="T1" s="149"/>
      <c r="U1" s="149"/>
      <c r="V1" s="29"/>
      <c r="W1" s="103"/>
      <c r="X1" s="140" t="s">
        <v>80</v>
      </c>
      <c r="Y1" s="140"/>
      <c r="Z1" s="140"/>
      <c r="AA1" s="31"/>
      <c r="AB1" s="140" t="s">
        <v>81</v>
      </c>
      <c r="AC1" s="140"/>
      <c r="AD1" s="140"/>
      <c r="AE1" s="140"/>
      <c r="AF1" s="140" t="s">
        <v>82</v>
      </c>
      <c r="AG1" s="140"/>
      <c r="AH1" s="140"/>
      <c r="AI1" s="140"/>
      <c r="AJ1" s="140" t="s">
        <v>100</v>
      </c>
      <c r="AK1" s="140"/>
      <c r="AL1" s="103"/>
      <c r="AM1" s="140" t="s">
        <v>87</v>
      </c>
      <c r="AN1" s="140"/>
    </row>
    <row r="2" spans="1:40" x14ac:dyDescent="0.25">
      <c r="A2" s="121" t="s">
        <v>145</v>
      </c>
      <c r="B2" s="121" t="s">
        <v>97</v>
      </c>
      <c r="C2" s="121" t="s">
        <v>98</v>
      </c>
      <c r="D2" s="122" t="s">
        <v>99</v>
      </c>
      <c r="E2" s="122" t="s">
        <v>94</v>
      </c>
      <c r="F2" s="122" t="s">
        <v>95</v>
      </c>
      <c r="G2" s="122" t="s">
        <v>96</v>
      </c>
      <c r="H2" s="122" t="s">
        <v>173</v>
      </c>
      <c r="I2" s="122" t="s">
        <v>149</v>
      </c>
      <c r="J2" s="49" t="s">
        <v>176</v>
      </c>
      <c r="K2" s="121" t="s">
        <v>175</v>
      </c>
      <c r="L2" s="121" t="s">
        <v>38</v>
      </c>
      <c r="M2" s="121" t="s">
        <v>169</v>
      </c>
      <c r="N2" s="121" t="s">
        <v>170</v>
      </c>
      <c r="O2" s="121" t="s">
        <v>178</v>
      </c>
      <c r="P2" s="122" t="s">
        <v>148</v>
      </c>
      <c r="Q2" s="62" t="s">
        <v>149</v>
      </c>
      <c r="R2" s="63" t="s">
        <v>150</v>
      </c>
      <c r="S2" s="122" t="s">
        <v>151</v>
      </c>
      <c r="T2" s="122" t="s">
        <v>152</v>
      </c>
      <c r="U2" s="122" t="s">
        <v>153</v>
      </c>
      <c r="V2" s="29"/>
      <c r="W2" s="121" t="s">
        <v>164</v>
      </c>
      <c r="X2" s="121" t="s">
        <v>38</v>
      </c>
      <c r="Y2" s="122" t="s">
        <v>39</v>
      </c>
      <c r="Z2" s="49" t="s">
        <v>40</v>
      </c>
      <c r="AA2" s="50" t="s">
        <v>41</v>
      </c>
      <c r="AB2" s="121" t="s">
        <v>38</v>
      </c>
      <c r="AC2" s="122" t="s">
        <v>39</v>
      </c>
      <c r="AD2" s="49" t="s">
        <v>40</v>
      </c>
      <c r="AE2" s="50" t="s">
        <v>41</v>
      </c>
      <c r="AF2" s="64" t="s">
        <v>38</v>
      </c>
      <c r="AG2" s="122" t="s">
        <v>39</v>
      </c>
      <c r="AH2" s="49" t="s">
        <v>40</v>
      </c>
      <c r="AI2" s="50" t="s">
        <v>41</v>
      </c>
      <c r="AJ2" s="121" t="s">
        <v>42</v>
      </c>
      <c r="AK2" s="121" t="s">
        <v>43</v>
      </c>
      <c r="AL2" s="28"/>
      <c r="AM2" s="121" t="s">
        <v>101</v>
      </c>
      <c r="AN2" s="121" t="s">
        <v>43</v>
      </c>
    </row>
    <row r="3" spans="1:40" x14ac:dyDescent="0.25">
      <c r="A3" s="60" t="s">
        <v>73</v>
      </c>
      <c r="B3" s="32">
        <v>0</v>
      </c>
      <c r="C3" s="32">
        <v>0</v>
      </c>
      <c r="D3" s="32">
        <v>0</v>
      </c>
      <c r="E3" s="32">
        <v>1</v>
      </c>
      <c r="F3" s="32">
        <v>0</v>
      </c>
      <c r="G3" s="32">
        <v>0</v>
      </c>
      <c r="H3" s="32">
        <v>0</v>
      </c>
      <c r="I3" s="32">
        <v>0</v>
      </c>
      <c r="J3" s="32">
        <v>0</v>
      </c>
      <c r="K3" s="32">
        <v>0</v>
      </c>
      <c r="L3" s="32">
        <v>0</v>
      </c>
      <c r="M3" s="32">
        <v>0</v>
      </c>
      <c r="N3" s="32">
        <v>0</v>
      </c>
      <c r="O3" s="32">
        <v>0</v>
      </c>
      <c r="P3" s="32">
        <v>2</v>
      </c>
      <c r="Q3" s="32">
        <v>0</v>
      </c>
      <c r="R3" s="32">
        <v>0</v>
      </c>
      <c r="S3" s="32">
        <v>0</v>
      </c>
      <c r="T3" s="32">
        <v>1</v>
      </c>
      <c r="U3" s="32">
        <v>1</v>
      </c>
      <c r="V3" s="32"/>
      <c r="W3" s="32">
        <v>130</v>
      </c>
      <c r="X3" s="32">
        <v>0</v>
      </c>
      <c r="Y3" s="32">
        <v>0</v>
      </c>
      <c r="Z3" s="32">
        <v>130</v>
      </c>
      <c r="AA3" s="32">
        <v>0</v>
      </c>
      <c r="AB3" s="33">
        <f t="shared" ref="AB3:AB10" si="0">X3/W3</f>
        <v>0</v>
      </c>
      <c r="AC3" s="33">
        <f t="shared" ref="AC3:AC10" si="1">Y3/W3</f>
        <v>0</v>
      </c>
      <c r="AD3" s="33">
        <f t="shared" ref="AD3:AD10" si="2">Z3/W3</f>
        <v>1</v>
      </c>
      <c r="AE3" s="33">
        <v>0</v>
      </c>
      <c r="AF3" s="33">
        <f>'Price Data'!$B$38*AB3</f>
        <v>0</v>
      </c>
      <c r="AG3" s="33">
        <f>'Price Data'!$B$39*AC3</f>
        <v>0</v>
      </c>
      <c r="AH3" s="33">
        <f>'Price Data'!$B$40*AD3</f>
        <v>23</v>
      </c>
      <c r="AI3" s="33">
        <f>'Price Data'!$B$41*AE3</f>
        <v>0</v>
      </c>
      <c r="AJ3" s="33">
        <f>'Price Data'!$B$30*E3+'Price Data'!$B$8*P3+'Price Data'!$B$9*Q3+'Price Data'!$B$10*R3+'Price Data'!$B$11*S3+'Price Data'!$B$12*T3+'Price Data'!$B$13*U3</f>
        <v>9</v>
      </c>
      <c r="AK3" s="33">
        <f>(SUM(AF3:AI3)-AJ3)*0.95</f>
        <v>13.299999999999999</v>
      </c>
      <c r="AL3" s="32"/>
      <c r="AM3" s="32">
        <v>4.7</v>
      </c>
      <c r="AN3" s="33">
        <f>AM3-AJ3</f>
        <v>-4.3</v>
      </c>
    </row>
    <row r="4" spans="1:40" x14ac:dyDescent="0.25">
      <c r="A4" s="92" t="s">
        <v>103</v>
      </c>
      <c r="B4" s="32">
        <v>0</v>
      </c>
      <c r="C4" s="32">
        <v>0</v>
      </c>
      <c r="D4" s="32">
        <v>0</v>
      </c>
      <c r="E4" s="32">
        <v>0.2</v>
      </c>
      <c r="F4" s="32">
        <v>0</v>
      </c>
      <c r="G4" s="32">
        <v>0</v>
      </c>
      <c r="H4" s="32">
        <v>0</v>
      </c>
      <c r="I4" s="32">
        <v>0</v>
      </c>
      <c r="J4" s="32">
        <v>0</v>
      </c>
      <c r="K4" s="32">
        <v>0</v>
      </c>
      <c r="L4" s="32">
        <v>0</v>
      </c>
      <c r="M4" s="32">
        <v>0</v>
      </c>
      <c r="N4" s="32">
        <v>0</v>
      </c>
      <c r="O4" s="32">
        <v>0</v>
      </c>
      <c r="P4" s="32">
        <v>0</v>
      </c>
      <c r="Q4" s="32">
        <v>0</v>
      </c>
      <c r="R4" s="32">
        <v>0</v>
      </c>
      <c r="S4" s="32">
        <v>0</v>
      </c>
      <c r="T4" s="32">
        <v>0</v>
      </c>
      <c r="U4" s="32">
        <v>1</v>
      </c>
      <c r="V4" s="32"/>
      <c r="W4" s="32">
        <v>459</v>
      </c>
      <c r="X4" s="32">
        <v>855</v>
      </c>
      <c r="Y4" s="32">
        <v>48.66</v>
      </c>
      <c r="Z4" s="32">
        <v>5.33</v>
      </c>
      <c r="AA4" s="32">
        <v>0</v>
      </c>
      <c r="AB4" s="33">
        <f t="shared" si="0"/>
        <v>1.8627450980392157</v>
      </c>
      <c r="AC4" s="33">
        <f t="shared" si="1"/>
        <v>0.10601307189542483</v>
      </c>
      <c r="AD4" s="33">
        <f t="shared" si="2"/>
        <v>1.1612200435729848E-2</v>
      </c>
      <c r="AE4" s="33">
        <v>0</v>
      </c>
      <c r="AF4" s="33">
        <f>'Price Data'!$B$38*AB4</f>
        <v>5.5882352941176467</v>
      </c>
      <c r="AG4" s="33">
        <f>'Price Data'!$B$39*AC4</f>
        <v>1.2721568627450979</v>
      </c>
      <c r="AH4" s="33">
        <f>'Price Data'!$B$40*AD4</f>
        <v>0.26708061002178651</v>
      </c>
      <c r="AI4" s="33">
        <f>'Price Data'!$B$41*AE4</f>
        <v>0</v>
      </c>
      <c r="AJ4" s="33">
        <f>'Price Data'!$B$30*E4+'Price Data'!$B$8*P4+'Price Data'!$B$9*Q4+'Price Data'!$B$10*R4+'Price Data'!$B$11*S4+'Price Data'!$B$12*T4+'Price Data'!$B$13*U4</f>
        <v>2</v>
      </c>
      <c r="AK4" s="33">
        <f t="shared" ref="AK4:AK10" si="3">(SUM(AF4:AI4)-AJ4)*0.95</f>
        <v>4.8710991285403038</v>
      </c>
      <c r="AL4" s="32"/>
      <c r="AM4" s="32">
        <v>3.1</v>
      </c>
      <c r="AN4" s="33">
        <f t="shared" ref="AN4:AN10" si="4">AM4-AJ4</f>
        <v>1.1000000000000001</v>
      </c>
    </row>
    <row r="5" spans="1:40" x14ac:dyDescent="0.25">
      <c r="A5" s="92" t="s">
        <v>79</v>
      </c>
      <c r="B5" s="32">
        <v>0</v>
      </c>
      <c r="C5" s="32">
        <v>0</v>
      </c>
      <c r="D5" s="32">
        <v>0</v>
      </c>
      <c r="E5" s="32">
        <v>0.2</v>
      </c>
      <c r="F5" s="32">
        <v>0</v>
      </c>
      <c r="G5" s="32">
        <v>0</v>
      </c>
      <c r="H5" s="32">
        <v>0</v>
      </c>
      <c r="I5" s="32">
        <v>0</v>
      </c>
      <c r="J5" s="32">
        <v>0</v>
      </c>
      <c r="K5" s="32">
        <v>0</v>
      </c>
      <c r="L5" s="32">
        <v>0</v>
      </c>
      <c r="M5" s="32">
        <v>0</v>
      </c>
      <c r="N5" s="32">
        <v>0</v>
      </c>
      <c r="O5" s="32">
        <v>0</v>
      </c>
      <c r="P5" s="32">
        <v>0</v>
      </c>
      <c r="Q5" s="32">
        <v>0</v>
      </c>
      <c r="R5" s="32">
        <v>0</v>
      </c>
      <c r="S5" s="32">
        <v>0</v>
      </c>
      <c r="T5" s="32">
        <v>1</v>
      </c>
      <c r="U5" s="32">
        <v>0</v>
      </c>
      <c r="V5" s="32"/>
      <c r="W5" s="32">
        <v>458</v>
      </c>
      <c r="X5" s="32">
        <v>865</v>
      </c>
      <c r="Y5" s="32">
        <v>53</v>
      </c>
      <c r="Z5" s="32">
        <v>5</v>
      </c>
      <c r="AA5" s="32">
        <v>0</v>
      </c>
      <c r="AB5" s="33">
        <f t="shared" si="0"/>
        <v>1.8886462882096069</v>
      </c>
      <c r="AC5" s="33">
        <f t="shared" si="1"/>
        <v>0.11572052401746726</v>
      </c>
      <c r="AD5" s="33">
        <f t="shared" si="2"/>
        <v>1.0917030567685589E-2</v>
      </c>
      <c r="AE5" s="33">
        <v>0</v>
      </c>
      <c r="AF5" s="33">
        <f>'Price Data'!$B$38*AB5</f>
        <v>5.6659388646288207</v>
      </c>
      <c r="AG5" s="33">
        <f>'Price Data'!$B$39*AC5</f>
        <v>1.3886462882096071</v>
      </c>
      <c r="AH5" s="33">
        <f>'Price Data'!$B$40*AD5</f>
        <v>0.25109170305676853</v>
      </c>
      <c r="AI5" s="33">
        <f>'Price Data'!$B$41*AE5</f>
        <v>0</v>
      </c>
      <c r="AJ5" s="33">
        <f>'Price Data'!$B$30*E5+'Price Data'!$B$8*P5+'Price Data'!$B$9*Q5+'Price Data'!$B$10*R5+'Price Data'!$B$11*S5+'Price Data'!$B$12*T5+'Price Data'!$B$13*U5</f>
        <v>2</v>
      </c>
      <c r="AK5" s="33">
        <f t="shared" si="3"/>
        <v>5.0403930131004362</v>
      </c>
      <c r="AL5" s="32"/>
      <c r="AM5" s="32">
        <v>3.1</v>
      </c>
      <c r="AN5" s="33">
        <f t="shared" si="4"/>
        <v>1.1000000000000001</v>
      </c>
    </row>
    <row r="6" spans="1:40" x14ac:dyDescent="0.25">
      <c r="A6" s="34" t="s">
        <v>74</v>
      </c>
      <c r="B6" s="32">
        <v>0</v>
      </c>
      <c r="C6" s="32">
        <v>0</v>
      </c>
      <c r="D6" s="32">
        <v>0</v>
      </c>
      <c r="E6" s="32">
        <v>1</v>
      </c>
      <c r="F6" s="32">
        <v>0</v>
      </c>
      <c r="G6" s="32">
        <v>0</v>
      </c>
      <c r="H6" s="32">
        <v>0</v>
      </c>
      <c r="I6" s="32">
        <v>0</v>
      </c>
      <c r="J6" s="32">
        <v>0</v>
      </c>
      <c r="K6" s="32">
        <v>0</v>
      </c>
      <c r="L6" s="32">
        <v>0</v>
      </c>
      <c r="M6" s="32">
        <v>0</v>
      </c>
      <c r="N6" s="32">
        <v>0</v>
      </c>
      <c r="O6" s="32">
        <v>0</v>
      </c>
      <c r="P6" s="32">
        <v>0</v>
      </c>
      <c r="Q6" s="32">
        <v>0</v>
      </c>
      <c r="R6" s="32">
        <v>0</v>
      </c>
      <c r="S6" s="32">
        <v>2</v>
      </c>
      <c r="T6" s="32">
        <v>0</v>
      </c>
      <c r="U6" s="32">
        <v>0</v>
      </c>
      <c r="V6" s="32"/>
      <c r="W6" s="32">
        <v>20</v>
      </c>
      <c r="X6" s="32">
        <v>0</v>
      </c>
      <c r="Y6" s="32">
        <v>0</v>
      </c>
      <c r="Z6" s="32">
        <v>6.66</v>
      </c>
      <c r="AA6" s="32">
        <v>0</v>
      </c>
      <c r="AB6" s="33">
        <f t="shared" si="0"/>
        <v>0</v>
      </c>
      <c r="AC6" s="33">
        <f t="shared" si="1"/>
        <v>0</v>
      </c>
      <c r="AD6" s="33">
        <f t="shared" si="2"/>
        <v>0.33300000000000002</v>
      </c>
      <c r="AE6" s="33">
        <v>0</v>
      </c>
      <c r="AF6" s="33">
        <f>'Price Data'!$B$38*AB6</f>
        <v>0</v>
      </c>
      <c r="AG6" s="33">
        <f>'Price Data'!$B$39*AC6</f>
        <v>0</v>
      </c>
      <c r="AH6" s="33">
        <f>'Price Data'!$B$40*AD6</f>
        <v>7.6590000000000007</v>
      </c>
      <c r="AI6" s="33">
        <f>'Price Data'!$B$41*AE6</f>
        <v>0</v>
      </c>
      <c r="AJ6" s="33">
        <f>'Price Data'!$B$30*E6+'Price Data'!$B$8*P6+'Price Data'!$B$9*Q6+'Price Data'!$B$10*R6+'Price Data'!$B$11*S6+'Price Data'!$B$12*T6+'Price Data'!$B$13*U6</f>
        <v>5.9</v>
      </c>
      <c r="AK6" s="33">
        <f t="shared" si="3"/>
        <v>1.6710500000000001</v>
      </c>
      <c r="AL6" s="32"/>
      <c r="AM6" s="32">
        <v>5</v>
      </c>
      <c r="AN6" s="33">
        <f t="shared" si="4"/>
        <v>-0.90000000000000036</v>
      </c>
    </row>
    <row r="7" spans="1:40" x14ac:dyDescent="0.25">
      <c r="A7" s="60" t="s">
        <v>75</v>
      </c>
      <c r="B7" s="32">
        <v>0</v>
      </c>
      <c r="C7" s="32">
        <v>0</v>
      </c>
      <c r="D7" s="32">
        <v>0</v>
      </c>
      <c r="E7" s="32">
        <v>1</v>
      </c>
      <c r="F7" s="32">
        <v>0</v>
      </c>
      <c r="G7" s="32">
        <v>0</v>
      </c>
      <c r="H7" s="32">
        <v>0</v>
      </c>
      <c r="I7" s="32">
        <v>0</v>
      </c>
      <c r="J7" s="32">
        <v>0</v>
      </c>
      <c r="K7" s="32">
        <v>0</v>
      </c>
      <c r="L7" s="32">
        <v>0</v>
      </c>
      <c r="M7" s="32">
        <v>0</v>
      </c>
      <c r="N7" s="32">
        <v>0</v>
      </c>
      <c r="O7" s="32">
        <v>0</v>
      </c>
      <c r="P7" s="32">
        <v>0</v>
      </c>
      <c r="Q7" s="32">
        <v>0</v>
      </c>
      <c r="R7" s="32">
        <v>2</v>
      </c>
      <c r="S7" s="32">
        <v>2</v>
      </c>
      <c r="T7" s="32">
        <v>0</v>
      </c>
      <c r="U7" s="32">
        <v>0</v>
      </c>
      <c r="V7" s="32"/>
      <c r="W7" s="32">
        <v>78</v>
      </c>
      <c r="X7" s="32">
        <v>0</v>
      </c>
      <c r="Y7" s="32">
        <v>0</v>
      </c>
      <c r="Z7" s="32">
        <v>78</v>
      </c>
      <c r="AA7" s="32">
        <v>0</v>
      </c>
      <c r="AB7" s="33">
        <f t="shared" si="0"/>
        <v>0</v>
      </c>
      <c r="AC7" s="33">
        <f t="shared" si="1"/>
        <v>0</v>
      </c>
      <c r="AD7" s="33">
        <f t="shared" si="2"/>
        <v>1</v>
      </c>
      <c r="AE7" s="33">
        <v>0</v>
      </c>
      <c r="AF7" s="33">
        <f>'Price Data'!$B$38*AB7</f>
        <v>0</v>
      </c>
      <c r="AG7" s="33">
        <f>'Price Data'!$B$39*AC7</f>
        <v>0</v>
      </c>
      <c r="AH7" s="33">
        <f>'Price Data'!$B$40*AD7</f>
        <v>23</v>
      </c>
      <c r="AI7" s="33">
        <f>'Price Data'!$B$41*AE7</f>
        <v>0</v>
      </c>
      <c r="AJ7" s="33">
        <f>'Price Data'!$B$30*E7+'Price Data'!$B$8*P7+'Price Data'!$B$9*Q7+'Price Data'!$B$10*R7+'Price Data'!$B$11*S7+'Price Data'!$B$12*T7+'Price Data'!$B$13*U7</f>
        <v>7.9</v>
      </c>
      <c r="AK7" s="33">
        <f t="shared" si="3"/>
        <v>14.344999999999999</v>
      </c>
      <c r="AL7" s="32"/>
      <c r="AM7" s="32">
        <v>4.5</v>
      </c>
      <c r="AN7" s="33">
        <f t="shared" si="4"/>
        <v>-3.4000000000000004</v>
      </c>
    </row>
    <row r="8" spans="1:40" x14ac:dyDescent="0.25">
      <c r="A8" s="92" t="s">
        <v>76</v>
      </c>
      <c r="B8" s="32">
        <v>0</v>
      </c>
      <c r="C8" s="32">
        <v>0</v>
      </c>
      <c r="D8" s="32">
        <v>0</v>
      </c>
      <c r="E8" s="32">
        <v>0.2</v>
      </c>
      <c r="F8" s="32">
        <v>0</v>
      </c>
      <c r="G8" s="32">
        <v>0</v>
      </c>
      <c r="H8" s="32">
        <v>0</v>
      </c>
      <c r="I8" s="32">
        <v>0</v>
      </c>
      <c r="J8" s="32">
        <v>0</v>
      </c>
      <c r="K8" s="32">
        <v>0</v>
      </c>
      <c r="L8" s="32">
        <v>0</v>
      </c>
      <c r="M8" s="32">
        <v>0</v>
      </c>
      <c r="N8" s="32">
        <v>0</v>
      </c>
      <c r="O8" s="32">
        <v>0</v>
      </c>
      <c r="P8" s="32">
        <v>0</v>
      </c>
      <c r="Q8" s="32">
        <v>0</v>
      </c>
      <c r="R8" s="32">
        <v>1</v>
      </c>
      <c r="S8" s="32">
        <v>0</v>
      </c>
      <c r="T8" s="32">
        <v>0</v>
      </c>
      <c r="U8" s="32">
        <v>0</v>
      </c>
      <c r="V8" s="32"/>
      <c r="W8" s="32">
        <v>436</v>
      </c>
      <c r="X8" s="32">
        <v>821</v>
      </c>
      <c r="Y8" s="32">
        <v>49</v>
      </c>
      <c r="Z8" s="32">
        <v>4</v>
      </c>
      <c r="AA8" s="32">
        <v>0</v>
      </c>
      <c r="AB8" s="33">
        <f>X8/W8</f>
        <v>1.8830275229357798</v>
      </c>
      <c r="AC8" s="33">
        <f>Y8/W8</f>
        <v>0.11238532110091744</v>
      </c>
      <c r="AD8" s="33">
        <f t="shared" si="2"/>
        <v>9.1743119266055051E-3</v>
      </c>
      <c r="AE8" s="33">
        <v>0</v>
      </c>
      <c r="AF8" s="33">
        <f>'Price Data'!$B$38*AB8</f>
        <v>5.6490825688073389</v>
      </c>
      <c r="AG8" s="33">
        <f>'Price Data'!$B$39*AC8</f>
        <v>1.3486238532110093</v>
      </c>
      <c r="AH8" s="33">
        <f>'Price Data'!$B$40*AD8</f>
        <v>0.21100917431192662</v>
      </c>
      <c r="AI8" s="33">
        <f>'Price Data'!$B$41*AE8</f>
        <v>0</v>
      </c>
      <c r="AJ8" s="33">
        <f>'Price Data'!$B$30*E8+'Price Data'!$B$8*P8+'Price Data'!$B$9*Q8+'Price Data'!$B$10*R8+'Price Data'!$B$11*S8+'Price Data'!$B$12*T8+'Price Data'!$B$13*U8</f>
        <v>2</v>
      </c>
      <c r="AK8" s="33">
        <f t="shared" si="3"/>
        <v>4.9482798165137609</v>
      </c>
      <c r="AL8" s="32"/>
      <c r="AM8" s="32">
        <v>3.1</v>
      </c>
      <c r="AN8" s="33">
        <f t="shared" si="4"/>
        <v>1.1000000000000001</v>
      </c>
    </row>
    <row r="9" spans="1:40" x14ac:dyDescent="0.25">
      <c r="A9" s="34" t="s">
        <v>77</v>
      </c>
      <c r="B9" s="32">
        <v>0</v>
      </c>
      <c r="C9" s="32">
        <v>0</v>
      </c>
      <c r="D9" s="32">
        <v>0</v>
      </c>
      <c r="E9" s="32">
        <v>1</v>
      </c>
      <c r="F9" s="32">
        <v>0</v>
      </c>
      <c r="G9" s="32">
        <v>0</v>
      </c>
      <c r="H9" s="32">
        <v>0</v>
      </c>
      <c r="I9" s="32">
        <v>0</v>
      </c>
      <c r="J9" s="32">
        <v>0</v>
      </c>
      <c r="K9" s="32">
        <v>0</v>
      </c>
      <c r="L9" s="32">
        <v>0</v>
      </c>
      <c r="M9" s="32">
        <v>0</v>
      </c>
      <c r="N9" s="32">
        <v>0</v>
      </c>
      <c r="O9" s="32">
        <v>0</v>
      </c>
      <c r="P9" s="32">
        <v>0</v>
      </c>
      <c r="Q9" s="32">
        <v>2</v>
      </c>
      <c r="R9" s="32">
        <v>0</v>
      </c>
      <c r="S9" s="32">
        <v>0</v>
      </c>
      <c r="T9" s="32">
        <v>0</v>
      </c>
      <c r="U9" s="32">
        <v>0</v>
      </c>
      <c r="V9" s="32"/>
      <c r="W9" s="32">
        <v>20</v>
      </c>
      <c r="X9" s="32">
        <v>0</v>
      </c>
      <c r="Y9" s="32">
        <v>0</v>
      </c>
      <c r="Z9" s="32">
        <v>6.66</v>
      </c>
      <c r="AA9" s="32">
        <v>0</v>
      </c>
      <c r="AB9" s="33">
        <f t="shared" si="0"/>
        <v>0</v>
      </c>
      <c r="AC9" s="33">
        <f t="shared" si="1"/>
        <v>0</v>
      </c>
      <c r="AD9" s="33">
        <f t="shared" si="2"/>
        <v>0.33300000000000002</v>
      </c>
      <c r="AE9" s="33">
        <v>0</v>
      </c>
      <c r="AF9" s="33">
        <f>'Price Data'!$B$38*AB9</f>
        <v>0</v>
      </c>
      <c r="AG9" s="33">
        <f>'Price Data'!$B$38*AC9</f>
        <v>0</v>
      </c>
      <c r="AH9" s="33">
        <f>'Price Data'!$B$38*AD9</f>
        <v>0.99900000000000011</v>
      </c>
      <c r="AI9" s="33">
        <f>'Price Data'!$B$38*AE9</f>
        <v>0</v>
      </c>
      <c r="AJ9" s="33">
        <f>'Price Data'!$B$30*E9+'Price Data'!$B$8*P9+'Price Data'!$B$9*Q9+'Price Data'!$B$10*R9+'Price Data'!$B$11*S9+'Price Data'!$B$12*T9+'Price Data'!$B$13*U9</f>
        <v>5.8</v>
      </c>
      <c r="AK9" s="33">
        <f t="shared" si="3"/>
        <v>-4.5609500000000001</v>
      </c>
      <c r="AL9" s="32"/>
      <c r="AM9" s="32">
        <v>4</v>
      </c>
      <c r="AN9" s="33">
        <f t="shared" si="4"/>
        <v>-1.7999999999999998</v>
      </c>
    </row>
    <row r="10" spans="1:40" s="54" customFormat="1" ht="12" x14ac:dyDescent="0.2">
      <c r="A10" s="32" t="s">
        <v>186</v>
      </c>
      <c r="B10" s="32">
        <v>0</v>
      </c>
      <c r="C10" s="32">
        <v>0</v>
      </c>
      <c r="D10" s="32">
        <v>0</v>
      </c>
      <c r="E10" s="32">
        <v>1</v>
      </c>
      <c r="F10" s="32">
        <v>0</v>
      </c>
      <c r="G10" s="32">
        <v>0</v>
      </c>
      <c r="H10" s="32">
        <v>0</v>
      </c>
      <c r="I10" s="32">
        <v>1</v>
      </c>
      <c r="J10" s="32">
        <v>0</v>
      </c>
      <c r="K10" s="32">
        <v>0</v>
      </c>
      <c r="L10" s="32">
        <v>0</v>
      </c>
      <c r="M10" s="32">
        <v>0</v>
      </c>
      <c r="N10" s="32">
        <v>0</v>
      </c>
      <c r="O10" s="32">
        <v>0</v>
      </c>
      <c r="P10" s="32">
        <v>0</v>
      </c>
      <c r="Q10" s="32">
        <v>0</v>
      </c>
      <c r="R10" s="32">
        <v>0</v>
      </c>
      <c r="S10" s="32">
        <v>0</v>
      </c>
      <c r="T10" s="32">
        <v>0</v>
      </c>
      <c r="U10" s="32">
        <v>0</v>
      </c>
      <c r="V10" s="32"/>
      <c r="W10" s="32">
        <v>30</v>
      </c>
      <c r="X10" s="32">
        <v>141</v>
      </c>
      <c r="Y10" s="32">
        <v>9</v>
      </c>
      <c r="Z10" s="32">
        <v>0</v>
      </c>
      <c r="AA10" s="32">
        <v>0</v>
      </c>
      <c r="AB10" s="32">
        <f t="shared" si="0"/>
        <v>4.7</v>
      </c>
      <c r="AC10" s="32">
        <f t="shared" si="1"/>
        <v>0.3</v>
      </c>
      <c r="AD10" s="32">
        <f t="shared" si="2"/>
        <v>0</v>
      </c>
      <c r="AE10" s="33">
        <v>0</v>
      </c>
      <c r="AF10" s="33">
        <f>'Price Data'!$B$38*AB10</f>
        <v>14.100000000000001</v>
      </c>
      <c r="AG10" s="33">
        <f>'Price Data'!$B$38*AC10</f>
        <v>0.89999999999999991</v>
      </c>
      <c r="AH10" s="33">
        <f>'Price Data'!$B$38*AD10</f>
        <v>0</v>
      </c>
      <c r="AI10" s="33">
        <f>'Price Data'!$B$38*AE10</f>
        <v>0</v>
      </c>
      <c r="AJ10" s="33">
        <f>'Price Data'!B30*E10+'Price Data'!B34*I10</f>
        <v>10</v>
      </c>
      <c r="AK10" s="33">
        <f t="shared" si="3"/>
        <v>4.7500000000000018</v>
      </c>
      <c r="AL10" s="32"/>
      <c r="AM10" s="32">
        <v>3.6</v>
      </c>
      <c r="AN10" s="33">
        <f t="shared" si="4"/>
        <v>-6.4</v>
      </c>
    </row>
    <row r="11" spans="1:40" x14ac:dyDescent="0.25">
      <c r="A11" s="92" t="s">
        <v>78</v>
      </c>
      <c r="B11" s="32">
        <v>0</v>
      </c>
      <c r="C11" s="32">
        <v>0</v>
      </c>
      <c r="D11" s="32">
        <v>0</v>
      </c>
      <c r="E11" s="32">
        <v>0.2</v>
      </c>
      <c r="F11" s="32">
        <v>0</v>
      </c>
      <c r="G11" s="32">
        <v>0</v>
      </c>
      <c r="H11" s="32">
        <v>0</v>
      </c>
      <c r="I11" s="32">
        <v>0</v>
      </c>
      <c r="J11" s="32">
        <v>0</v>
      </c>
      <c r="K11" s="32">
        <v>0</v>
      </c>
      <c r="L11" s="32">
        <v>0</v>
      </c>
      <c r="M11" s="32">
        <v>0</v>
      </c>
      <c r="N11" s="32">
        <v>0</v>
      </c>
      <c r="O11" s="32">
        <v>0</v>
      </c>
      <c r="P11" s="32">
        <v>1</v>
      </c>
      <c r="Q11" s="32">
        <v>0</v>
      </c>
      <c r="R11" s="32">
        <v>0</v>
      </c>
      <c r="S11" s="32">
        <v>0</v>
      </c>
      <c r="T11" s="32">
        <v>0</v>
      </c>
      <c r="U11" s="32">
        <v>0</v>
      </c>
      <c r="V11" s="32"/>
      <c r="W11" s="32">
        <v>371</v>
      </c>
      <c r="X11" s="32">
        <v>729</v>
      </c>
      <c r="Y11" s="32">
        <v>37.33</v>
      </c>
      <c r="Z11" s="32">
        <v>1.33</v>
      </c>
      <c r="AA11" s="32">
        <v>0</v>
      </c>
      <c r="AB11" s="33">
        <f>X11/W11</f>
        <v>1.9649595687331536</v>
      </c>
      <c r="AC11" s="33">
        <f>Y11/W11</f>
        <v>0.10061994609164419</v>
      </c>
      <c r="AD11" s="33">
        <f>Z11/W11</f>
        <v>3.5849056603773585E-3</v>
      </c>
      <c r="AE11" s="33">
        <v>0</v>
      </c>
      <c r="AF11" s="33">
        <f>'Price Data'!$B$38*AB11</f>
        <v>5.894878706199461</v>
      </c>
      <c r="AG11" s="33">
        <f>'Price Data'!$B$39*AC11</f>
        <v>1.2074393530997303</v>
      </c>
      <c r="AH11" s="33">
        <f>'Price Data'!$B$40*AD11</f>
        <v>8.2452830188679244E-2</v>
      </c>
      <c r="AI11" s="33">
        <f>'Price Data'!$B$41*AE11</f>
        <v>0</v>
      </c>
      <c r="AJ11" s="33">
        <f>'Price Data'!$B$30*E11+'Price Data'!$B$8*P11+'Price Data'!$B$9*Q11+'Price Data'!$B$10*R11+'Price Data'!$B$11*S11+'Price Data'!$B$12*T11+'Price Data'!$B$13*U11</f>
        <v>2</v>
      </c>
      <c r="AK11" s="33">
        <f>(SUM(AF11:AI11)-AJ11)*0.95</f>
        <v>4.9255323450134778</v>
      </c>
      <c r="AL11" s="32"/>
      <c r="AM11" s="32">
        <v>3.1</v>
      </c>
      <c r="AN11" s="33">
        <f>AM11-AJ11</f>
        <v>1.1000000000000001</v>
      </c>
    </row>
    <row r="12" spans="1:40" x14ac:dyDescent="0.25">
      <c r="A12" s="61" t="s">
        <v>91</v>
      </c>
      <c r="B12" s="32">
        <v>0</v>
      </c>
      <c r="C12" s="32">
        <v>16</v>
      </c>
      <c r="D12" s="32">
        <v>2</v>
      </c>
      <c r="E12" s="32">
        <v>0</v>
      </c>
      <c r="F12" s="32">
        <v>3</v>
      </c>
      <c r="G12" s="32">
        <v>3</v>
      </c>
      <c r="H12" s="32">
        <v>0</v>
      </c>
      <c r="I12" s="32">
        <v>0</v>
      </c>
      <c r="J12" s="32">
        <v>1</v>
      </c>
      <c r="K12" s="32">
        <v>0</v>
      </c>
      <c r="L12" s="32">
        <v>0</v>
      </c>
      <c r="M12" s="32">
        <v>0</v>
      </c>
      <c r="N12" s="32">
        <v>0</v>
      </c>
      <c r="O12" s="32">
        <v>0</v>
      </c>
      <c r="P12" s="32">
        <v>0</v>
      </c>
      <c r="Q12" s="32">
        <v>0</v>
      </c>
      <c r="R12" s="32">
        <v>0</v>
      </c>
      <c r="S12" s="32">
        <v>0</v>
      </c>
      <c r="T12" s="32">
        <v>0</v>
      </c>
      <c r="U12" s="32">
        <v>0</v>
      </c>
      <c r="V12" s="32"/>
      <c r="W12" s="32">
        <v>0</v>
      </c>
      <c r="X12" s="32">
        <v>0</v>
      </c>
      <c r="Y12" s="32">
        <v>0</v>
      </c>
      <c r="Z12" s="32">
        <v>0</v>
      </c>
      <c r="AA12" s="32">
        <v>0</v>
      </c>
      <c r="AB12" s="33" t="e">
        <f>X12/W12</f>
        <v>#DIV/0!</v>
      </c>
      <c r="AC12" s="33" t="e">
        <f>Y12/W12</f>
        <v>#DIV/0!</v>
      </c>
      <c r="AD12" s="33" t="e">
        <f>Z12/W12</f>
        <v>#DIV/0!</v>
      </c>
      <c r="AE12" s="33" t="e">
        <f t="shared" ref="AE12" si="5">W12/AA12</f>
        <v>#DIV/0!</v>
      </c>
      <c r="AF12" s="33" t="e">
        <f>'Price Data'!$B$38*AB12</f>
        <v>#DIV/0!</v>
      </c>
      <c r="AG12" s="33" t="e">
        <f>'Price Data'!$B$39*AC12</f>
        <v>#DIV/0!</v>
      </c>
      <c r="AH12" s="33" t="e">
        <f>'Price Data'!$B$40*AD12</f>
        <v>#DIV/0!</v>
      </c>
      <c r="AI12" s="33" t="e">
        <f>'Price Data'!$B$41*AE12</f>
        <v>#DIV/0!</v>
      </c>
      <c r="AJ12" s="61">
        <f>MIN('Price Data'!$B$4*D12,'Price Data'!$B$3*C12)+'Price Data'!$B$32*F12+'Price Data'!$B$31*G12+'Price Data'!$B$60*J12</f>
        <v>154</v>
      </c>
      <c r="AK12" s="33" t="e">
        <f>(SUM(AF12:AI12)-AJ12)*0.95</f>
        <v>#DIV/0!</v>
      </c>
      <c r="AL12" s="32"/>
      <c r="AM12" s="35" t="s">
        <v>0</v>
      </c>
      <c r="AN12" s="35" t="s">
        <v>0</v>
      </c>
    </row>
    <row r="13" spans="1:40" x14ac:dyDescent="0.25">
      <c r="A13" s="54"/>
      <c r="B13" s="54"/>
      <c r="C13" s="54"/>
      <c r="D13" s="54"/>
      <c r="E13" s="54"/>
      <c r="F13" s="54"/>
      <c r="G13" s="54"/>
      <c r="H13" s="32"/>
      <c r="I13" s="54"/>
      <c r="J13" s="54"/>
      <c r="K13" s="54"/>
      <c r="L13" s="54"/>
      <c r="M13" s="54"/>
      <c r="N13" s="54"/>
      <c r="O13" s="32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123"/>
      <c r="AC13" s="123"/>
      <c r="AD13" s="123"/>
      <c r="AE13" s="123"/>
      <c r="AF13" s="54"/>
      <c r="AG13" s="54"/>
      <c r="AH13" s="54"/>
      <c r="AI13" s="54"/>
      <c r="AJ13" s="54"/>
      <c r="AK13" s="54"/>
      <c r="AL13" s="54"/>
      <c r="AM13" s="54"/>
      <c r="AN13" s="54"/>
    </row>
    <row r="14" spans="1:40" x14ac:dyDescent="0.25">
      <c r="A14" s="124" t="s">
        <v>146</v>
      </c>
      <c r="B14" s="54"/>
      <c r="C14" s="54"/>
      <c r="D14" s="54"/>
      <c r="E14" s="54"/>
      <c r="F14" s="54"/>
      <c r="G14" s="54"/>
      <c r="H14" s="32"/>
      <c r="I14" s="54"/>
      <c r="J14" s="54"/>
      <c r="K14" s="54"/>
      <c r="L14" s="54"/>
      <c r="M14" s="54"/>
      <c r="N14" s="54"/>
      <c r="O14" s="32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123"/>
      <c r="AC14" s="123"/>
      <c r="AD14" s="123"/>
      <c r="AE14" s="123"/>
      <c r="AF14" s="54"/>
      <c r="AG14" s="54"/>
      <c r="AH14" s="54"/>
      <c r="AI14" s="54"/>
      <c r="AJ14" s="54"/>
      <c r="AK14" s="54"/>
      <c r="AL14" s="54"/>
      <c r="AM14" s="54"/>
      <c r="AN14" s="54"/>
    </row>
    <row r="15" spans="1:40" x14ac:dyDescent="0.25">
      <c r="A15" s="32" t="s">
        <v>88</v>
      </c>
      <c r="B15" s="32">
        <v>12</v>
      </c>
      <c r="C15" s="32">
        <v>0</v>
      </c>
      <c r="D15" s="32">
        <v>0</v>
      </c>
      <c r="E15" s="32">
        <v>0</v>
      </c>
      <c r="F15" s="32">
        <v>0</v>
      </c>
      <c r="G15" s="32">
        <v>0</v>
      </c>
      <c r="H15" s="32">
        <v>0</v>
      </c>
      <c r="I15" s="32">
        <v>0</v>
      </c>
      <c r="J15" s="32">
        <v>0</v>
      </c>
      <c r="K15" s="32">
        <v>0</v>
      </c>
      <c r="L15" s="32">
        <v>0</v>
      </c>
      <c r="M15" s="32">
        <v>0</v>
      </c>
      <c r="N15" s="32">
        <v>0</v>
      </c>
      <c r="O15" s="32">
        <v>0</v>
      </c>
      <c r="P15" s="32">
        <v>0</v>
      </c>
      <c r="Q15" s="32">
        <v>0</v>
      </c>
      <c r="R15" s="32">
        <v>0</v>
      </c>
      <c r="S15" s="32">
        <v>0</v>
      </c>
      <c r="T15" s="32">
        <v>0</v>
      </c>
      <c r="U15" s="32">
        <v>0</v>
      </c>
      <c r="V15" s="54"/>
      <c r="W15" s="32">
        <v>20</v>
      </c>
      <c r="X15" s="32">
        <v>83</v>
      </c>
      <c r="Y15" s="32">
        <v>7</v>
      </c>
      <c r="Z15" s="32">
        <v>2</v>
      </c>
      <c r="AA15" s="32">
        <v>0</v>
      </c>
      <c r="AB15" s="33">
        <f>X15/W15</f>
        <v>4.1500000000000004</v>
      </c>
      <c r="AC15" s="33">
        <f>Y15/W15</f>
        <v>0.35</v>
      </c>
      <c r="AD15" s="33">
        <f>Z15/W15</f>
        <v>0.1</v>
      </c>
      <c r="AE15" s="33">
        <v>0</v>
      </c>
      <c r="AF15" s="33">
        <f>'Price Data'!$B$38*AB15</f>
        <v>12.450000000000001</v>
      </c>
      <c r="AG15" s="33">
        <f>'Price Data'!$B$39*AC15</f>
        <v>4.1999999999999993</v>
      </c>
      <c r="AH15" s="33">
        <f>'Price Data'!$B$40*AD15</f>
        <v>2.3000000000000003</v>
      </c>
      <c r="AI15" s="33">
        <f>'Price Data'!$B$41*AE15</f>
        <v>0</v>
      </c>
      <c r="AJ15" s="32">
        <f>'Price Data'!$B$2*B15</f>
        <v>21.6</v>
      </c>
      <c r="AK15" s="33">
        <f>(SUM(AF15:AI15)-AJ15)*0.95</f>
        <v>-2.5175000000000018</v>
      </c>
      <c r="AL15" s="32"/>
      <c r="AM15" s="32">
        <v>3.3</v>
      </c>
      <c r="AN15" s="33">
        <f>AM15-AJ15</f>
        <v>-18.3</v>
      </c>
    </row>
    <row r="16" spans="1:40" x14ac:dyDescent="0.25">
      <c r="A16" s="32" t="s">
        <v>89</v>
      </c>
      <c r="B16" s="32">
        <v>8</v>
      </c>
      <c r="C16" s="32">
        <v>0</v>
      </c>
      <c r="D16" s="32">
        <v>0</v>
      </c>
      <c r="E16" s="32">
        <v>0</v>
      </c>
      <c r="F16" s="32">
        <v>0</v>
      </c>
      <c r="G16" s="32">
        <v>0</v>
      </c>
      <c r="H16" s="32">
        <v>0</v>
      </c>
      <c r="I16" s="32">
        <v>0</v>
      </c>
      <c r="J16" s="32">
        <v>0</v>
      </c>
      <c r="K16" s="32">
        <v>0</v>
      </c>
      <c r="L16" s="32">
        <v>0</v>
      </c>
      <c r="M16" s="32">
        <v>0</v>
      </c>
      <c r="N16" s="32">
        <v>0</v>
      </c>
      <c r="O16" s="32">
        <v>0</v>
      </c>
      <c r="P16" s="32">
        <v>0</v>
      </c>
      <c r="Q16" s="32">
        <v>0</v>
      </c>
      <c r="R16" s="32">
        <v>0</v>
      </c>
      <c r="S16" s="32">
        <v>0</v>
      </c>
      <c r="T16" s="32">
        <v>0</v>
      </c>
      <c r="U16" s="32">
        <v>0</v>
      </c>
      <c r="V16" s="54"/>
      <c r="W16" s="32">
        <v>20</v>
      </c>
      <c r="X16" s="32">
        <v>98</v>
      </c>
      <c r="Y16" s="32">
        <v>7</v>
      </c>
      <c r="Z16" s="32">
        <v>0</v>
      </c>
      <c r="AA16" s="32">
        <v>0</v>
      </c>
      <c r="AB16" s="33">
        <f>X16/W16</f>
        <v>4.9000000000000004</v>
      </c>
      <c r="AC16" s="33">
        <f>Y16/W16</f>
        <v>0.35</v>
      </c>
      <c r="AD16" s="33">
        <f>Z16/W16</f>
        <v>0</v>
      </c>
      <c r="AE16" s="33">
        <v>0</v>
      </c>
      <c r="AF16" s="33">
        <f>'Price Data'!$B$38*AB16</f>
        <v>14.700000000000001</v>
      </c>
      <c r="AG16" s="33">
        <f>'Price Data'!$B$39*AC16</f>
        <v>4.1999999999999993</v>
      </c>
      <c r="AH16" s="33">
        <f>'Price Data'!$B$40*AD16</f>
        <v>0</v>
      </c>
      <c r="AI16" s="33">
        <f>'Price Data'!$B$41*AE16</f>
        <v>0</v>
      </c>
      <c r="AJ16" s="32">
        <f>'Price Data'!$B$2*B16</f>
        <v>14.4</v>
      </c>
      <c r="AK16" s="33">
        <f>(SUM(AF16:AI16)-AJ16)*0.95</f>
        <v>4.2749999999999977</v>
      </c>
      <c r="AL16" s="32"/>
      <c r="AM16" s="32">
        <v>5.2</v>
      </c>
      <c r="AN16" s="33">
        <f>AM16-AJ16</f>
        <v>-9.1999999999999993</v>
      </c>
    </row>
    <row r="17" spans="1:40" x14ac:dyDescent="0.25">
      <c r="A17" s="92" t="s">
        <v>90</v>
      </c>
      <c r="B17" s="32">
        <v>10</v>
      </c>
      <c r="C17" s="32">
        <v>0</v>
      </c>
      <c r="D17" s="32">
        <v>0</v>
      </c>
      <c r="E17" s="32">
        <v>0</v>
      </c>
      <c r="F17" s="32">
        <v>0</v>
      </c>
      <c r="G17" s="32">
        <v>0</v>
      </c>
      <c r="H17" s="32">
        <v>0</v>
      </c>
      <c r="I17" s="32">
        <v>0</v>
      </c>
      <c r="J17" s="32">
        <v>0</v>
      </c>
      <c r="K17" s="32">
        <v>0</v>
      </c>
      <c r="L17" s="32">
        <v>0</v>
      </c>
      <c r="M17" s="32">
        <v>0</v>
      </c>
      <c r="N17" s="32">
        <v>0</v>
      </c>
      <c r="O17" s="32">
        <v>0</v>
      </c>
      <c r="P17" s="32">
        <v>0</v>
      </c>
      <c r="Q17" s="32">
        <v>0</v>
      </c>
      <c r="R17" s="32">
        <v>0</v>
      </c>
      <c r="S17" s="32">
        <v>0</v>
      </c>
      <c r="T17" s="32">
        <v>0</v>
      </c>
      <c r="U17" s="32">
        <v>0</v>
      </c>
      <c r="V17" s="54"/>
      <c r="W17" s="32">
        <v>643</v>
      </c>
      <c r="X17" s="32">
        <v>890</v>
      </c>
      <c r="Y17" s="32">
        <v>730</v>
      </c>
      <c r="Z17" s="32">
        <v>19</v>
      </c>
      <c r="AA17" s="32">
        <v>0</v>
      </c>
      <c r="AB17" s="33">
        <f t="shared" ref="AB17" si="6">X17/W17</f>
        <v>1.3841368584758942</v>
      </c>
      <c r="AC17" s="33">
        <f t="shared" ref="AC17" si="7">Y17/W17</f>
        <v>1.1353032659409019</v>
      </c>
      <c r="AD17" s="33">
        <f>Z17/W17</f>
        <v>2.9548989113530325E-2</v>
      </c>
      <c r="AE17" s="33">
        <v>0</v>
      </c>
      <c r="AF17" s="33">
        <f>'Price Data'!$B$38*AB17</f>
        <v>4.1524105754276821</v>
      </c>
      <c r="AG17" s="33">
        <f>'Price Data'!$B$39*AC17</f>
        <v>13.623639191290824</v>
      </c>
      <c r="AH17" s="33">
        <f>'Price Data'!$B$40*AD17</f>
        <v>0.67962674961119751</v>
      </c>
      <c r="AI17" s="33">
        <f>'Price Data'!$B$41*AE17</f>
        <v>0</v>
      </c>
      <c r="AJ17" s="32">
        <f>'Price Data'!$B$2*B17</f>
        <v>18</v>
      </c>
      <c r="AK17" s="33">
        <f>(SUM(AF17:AI17)-AJ17)*0.95</f>
        <v>0.43289269051322116</v>
      </c>
      <c r="AL17" s="32"/>
      <c r="AM17" s="32">
        <v>9.9</v>
      </c>
      <c r="AN17" s="33">
        <f>AM17-AJ17</f>
        <v>-8.1</v>
      </c>
    </row>
    <row r="18" spans="1:40" ht="14.25" customHeight="1" x14ac:dyDescent="0.25">
      <c r="A18" s="96" t="s">
        <v>102</v>
      </c>
      <c r="B18" s="34">
        <v>10</v>
      </c>
      <c r="C18" s="35" t="s">
        <v>0</v>
      </c>
      <c r="D18" s="35" t="s">
        <v>0</v>
      </c>
      <c r="E18" s="35" t="s">
        <v>0</v>
      </c>
      <c r="F18" s="35" t="s">
        <v>0</v>
      </c>
      <c r="G18" s="35" t="s">
        <v>0</v>
      </c>
      <c r="H18" s="32">
        <v>0</v>
      </c>
      <c r="I18" s="32">
        <v>0</v>
      </c>
      <c r="J18" s="35" t="s">
        <v>0</v>
      </c>
      <c r="K18" s="32">
        <v>0</v>
      </c>
      <c r="L18" s="32">
        <v>0</v>
      </c>
      <c r="M18" s="32">
        <v>0</v>
      </c>
      <c r="N18" s="32">
        <v>0</v>
      </c>
      <c r="O18" s="32">
        <v>0</v>
      </c>
      <c r="P18" s="35" t="s">
        <v>0</v>
      </c>
      <c r="Q18" s="35" t="s">
        <v>0</v>
      </c>
      <c r="R18" s="35" t="s">
        <v>0</v>
      </c>
      <c r="S18" s="35" t="s">
        <v>0</v>
      </c>
      <c r="T18" s="35" t="s">
        <v>0</v>
      </c>
      <c r="U18" s="35" t="s">
        <v>0</v>
      </c>
      <c r="V18" s="54"/>
      <c r="W18" s="35" t="s">
        <v>0</v>
      </c>
      <c r="X18" s="35" t="s">
        <v>0</v>
      </c>
      <c r="Y18" s="35" t="s">
        <v>0</v>
      </c>
      <c r="Z18" s="35" t="s">
        <v>0</v>
      </c>
      <c r="AA18" s="35" t="s">
        <v>0</v>
      </c>
      <c r="AB18" s="104" t="s">
        <v>0</v>
      </c>
      <c r="AC18" s="104" t="s">
        <v>0</v>
      </c>
      <c r="AD18" s="104" t="s">
        <v>0</v>
      </c>
      <c r="AE18" s="104" t="s">
        <v>0</v>
      </c>
      <c r="AF18" s="35" t="s">
        <v>0</v>
      </c>
      <c r="AG18" s="35" t="s">
        <v>0</v>
      </c>
      <c r="AH18" s="35" t="s">
        <v>0</v>
      </c>
      <c r="AI18" s="35" t="s">
        <v>0</v>
      </c>
      <c r="AJ18" s="95">
        <f>'Price Data'!$B$2*B18</f>
        <v>18</v>
      </c>
      <c r="AK18" s="35" t="s">
        <v>0</v>
      </c>
      <c r="AL18" s="32"/>
      <c r="AM18" s="32">
        <v>11.7</v>
      </c>
      <c r="AN18" s="33">
        <f>AM18-AJ18</f>
        <v>-6.3000000000000007</v>
      </c>
    </row>
    <row r="19" spans="1:40" x14ac:dyDescent="0.25">
      <c r="A19" s="61" t="s">
        <v>86</v>
      </c>
      <c r="B19" s="32">
        <v>0</v>
      </c>
      <c r="C19" s="32">
        <v>24</v>
      </c>
      <c r="D19" s="32">
        <v>0</v>
      </c>
      <c r="E19" s="32">
        <v>0</v>
      </c>
      <c r="F19" s="32">
        <v>2</v>
      </c>
      <c r="G19" s="32">
        <v>2</v>
      </c>
      <c r="H19" s="32">
        <v>0</v>
      </c>
      <c r="I19" s="32">
        <v>0</v>
      </c>
      <c r="J19" s="32">
        <v>1</v>
      </c>
      <c r="K19" s="32">
        <v>0</v>
      </c>
      <c r="L19" s="32">
        <v>0</v>
      </c>
      <c r="M19" s="32">
        <v>0</v>
      </c>
      <c r="N19" s="32">
        <v>0</v>
      </c>
      <c r="O19" s="32">
        <v>0</v>
      </c>
      <c r="P19" s="32">
        <v>0</v>
      </c>
      <c r="Q19" s="32">
        <v>0</v>
      </c>
      <c r="R19" s="32">
        <v>0</v>
      </c>
      <c r="S19" s="32">
        <v>0</v>
      </c>
      <c r="T19" s="32">
        <v>0</v>
      </c>
      <c r="U19" s="32">
        <v>0</v>
      </c>
      <c r="V19" s="54"/>
      <c r="W19" s="32">
        <v>0</v>
      </c>
      <c r="X19" s="32">
        <v>0</v>
      </c>
      <c r="Y19" s="32">
        <v>0</v>
      </c>
      <c r="Z19" s="32">
        <v>0</v>
      </c>
      <c r="AA19" s="32">
        <v>0</v>
      </c>
      <c r="AB19" s="33" t="e">
        <f>X19/W19</f>
        <v>#DIV/0!</v>
      </c>
      <c r="AC19" s="33" t="e">
        <f>Y19/W19</f>
        <v>#DIV/0!</v>
      </c>
      <c r="AD19" s="33" t="e">
        <f>Z19/W19</f>
        <v>#DIV/0!</v>
      </c>
      <c r="AE19" s="33" t="e">
        <f>W19/AA19</f>
        <v>#DIV/0!</v>
      </c>
      <c r="AF19" s="33" t="e">
        <f>'Price Data'!$B$38*AB19</f>
        <v>#DIV/0!</v>
      </c>
      <c r="AG19" s="33" t="e">
        <f>'Price Data'!$B$39*AC19</f>
        <v>#DIV/0!</v>
      </c>
      <c r="AH19" s="33" t="e">
        <f>'Price Data'!$B$40*AD19</f>
        <v>#DIV/0!</v>
      </c>
      <c r="AI19" s="33" t="e">
        <f>'Price Data'!$B$41*AE19</f>
        <v>#DIV/0!</v>
      </c>
      <c r="AJ19" s="61">
        <f>'Price Data'!$B$3*C19+'Price Data'!$B$32*F19+'Price Data'!$B$31*G19+'Price Data'!$B$60*J19</f>
        <v>131.19999999999999</v>
      </c>
      <c r="AK19" s="33" t="e">
        <f>(SUM(AF19:AI19)-AJ19)*0.95</f>
        <v>#DIV/0!</v>
      </c>
      <c r="AL19" s="32"/>
      <c r="AM19" s="35" t="s">
        <v>0</v>
      </c>
      <c r="AN19" s="35" t="s">
        <v>0</v>
      </c>
    </row>
    <row r="20" spans="1:40" x14ac:dyDescent="0.25">
      <c r="A20" s="119" t="s">
        <v>187</v>
      </c>
      <c r="B20" s="32">
        <v>8</v>
      </c>
      <c r="C20" s="32">
        <v>0</v>
      </c>
      <c r="D20" s="32">
        <v>0</v>
      </c>
      <c r="E20" s="32">
        <v>0</v>
      </c>
      <c r="F20" s="32">
        <v>0</v>
      </c>
      <c r="G20" s="32">
        <v>0.2</v>
      </c>
      <c r="H20" s="32">
        <v>0</v>
      </c>
      <c r="I20" s="32">
        <v>0</v>
      </c>
      <c r="J20" s="32">
        <v>0</v>
      </c>
      <c r="K20" s="32">
        <v>0</v>
      </c>
      <c r="L20" s="32">
        <v>0</v>
      </c>
      <c r="M20" s="32">
        <v>0</v>
      </c>
      <c r="N20" s="32">
        <v>0</v>
      </c>
      <c r="O20" s="32">
        <v>0</v>
      </c>
      <c r="P20" s="32">
        <v>0</v>
      </c>
      <c r="Q20" s="32">
        <v>0</v>
      </c>
      <c r="R20" s="32">
        <v>0</v>
      </c>
      <c r="S20" s="32">
        <v>0</v>
      </c>
      <c r="T20" s="32">
        <v>0</v>
      </c>
      <c r="U20" s="32">
        <v>0</v>
      </c>
      <c r="V20" s="54"/>
      <c r="W20" s="127">
        <v>273</v>
      </c>
      <c r="X20" s="127">
        <v>1031</v>
      </c>
      <c r="Y20" s="127">
        <v>93</v>
      </c>
      <c r="Z20" s="32">
        <v>10</v>
      </c>
      <c r="AA20" s="32">
        <v>0</v>
      </c>
      <c r="AB20" s="33">
        <f>X20/W20</f>
        <v>3.7765567765567765</v>
      </c>
      <c r="AC20" s="33">
        <f>Y20/W20</f>
        <v>0.34065934065934067</v>
      </c>
      <c r="AD20" s="33">
        <f>Z20/W20</f>
        <v>3.6630036630036632E-2</v>
      </c>
      <c r="AE20" s="33">
        <v>0</v>
      </c>
      <c r="AF20" s="33">
        <f>'Price Data'!$B$38*AB20</f>
        <v>11.329670329670328</v>
      </c>
      <c r="AG20" s="33">
        <f>'Price Data'!$B$39*AC20</f>
        <v>4.0879120879120876</v>
      </c>
      <c r="AH20" s="33">
        <f>'Price Data'!$B$40*AD20</f>
        <v>0.8424908424908425</v>
      </c>
      <c r="AI20" s="33">
        <f>'Price Data'!$B$41*AE20</f>
        <v>0</v>
      </c>
      <c r="AJ20" s="32">
        <f>'Price Data'!$B$2*B20+'Price Data'!B31*G20</f>
        <v>15.4</v>
      </c>
      <c r="AK20" s="33">
        <f>(SUM(AF20:AI20)-AJ20)*0.95</f>
        <v>0.81706959706959581</v>
      </c>
      <c r="AL20" s="54"/>
      <c r="AM20" s="32">
        <v>7.49</v>
      </c>
      <c r="AN20" s="33">
        <f>AM20-AJ20</f>
        <v>-7.91</v>
      </c>
    </row>
    <row r="21" spans="1:40" x14ac:dyDescent="0.25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</row>
    <row r="22" spans="1:40" x14ac:dyDescent="0.25">
      <c r="A22" s="52" t="s">
        <v>147</v>
      </c>
      <c r="B22" s="54"/>
      <c r="C22" s="54"/>
      <c r="D22" s="54"/>
      <c r="E22" s="54"/>
      <c r="F22" s="54"/>
      <c r="G22" s="54"/>
      <c r="H22" s="32"/>
      <c r="I22" s="54"/>
      <c r="J22" s="54"/>
      <c r="K22" s="54"/>
      <c r="L22" s="54"/>
      <c r="M22" s="54"/>
      <c r="N22" s="54"/>
      <c r="O22" s="32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123"/>
      <c r="AC22" s="123"/>
      <c r="AD22" s="123"/>
      <c r="AE22" s="123"/>
      <c r="AF22" s="54"/>
      <c r="AG22" s="54"/>
      <c r="AH22" s="54"/>
      <c r="AI22" s="54"/>
      <c r="AJ22" s="54"/>
      <c r="AK22" s="54"/>
      <c r="AL22" s="54"/>
      <c r="AM22" s="54"/>
      <c r="AN22" s="54"/>
    </row>
    <row r="23" spans="1:40" x14ac:dyDescent="0.25">
      <c r="A23" s="92" t="s">
        <v>160</v>
      </c>
      <c r="B23" s="32">
        <v>0</v>
      </c>
      <c r="C23" s="32">
        <v>0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32">
        <v>0</v>
      </c>
      <c r="J23" s="32">
        <v>0</v>
      </c>
      <c r="K23" s="32">
        <v>35</v>
      </c>
      <c r="L23" s="32">
        <v>0</v>
      </c>
      <c r="M23" s="32">
        <v>0</v>
      </c>
      <c r="N23" s="32">
        <v>0</v>
      </c>
      <c r="O23" s="32">
        <v>0</v>
      </c>
      <c r="P23" s="32">
        <v>0</v>
      </c>
      <c r="Q23" s="32">
        <v>0</v>
      </c>
      <c r="R23" s="32">
        <v>0</v>
      </c>
      <c r="S23" s="32">
        <v>0</v>
      </c>
      <c r="T23" s="32">
        <v>0</v>
      </c>
      <c r="U23" s="32">
        <v>0</v>
      </c>
      <c r="V23" s="54"/>
      <c r="W23" s="32">
        <v>0</v>
      </c>
      <c r="X23" s="32">
        <v>0</v>
      </c>
      <c r="Y23" s="32">
        <v>0</v>
      </c>
      <c r="Z23" s="32">
        <v>0</v>
      </c>
      <c r="AA23" s="32">
        <v>0</v>
      </c>
      <c r="AB23" s="33" t="e">
        <f t="shared" ref="AB23:AB28" si="8">X23/W23</f>
        <v>#DIV/0!</v>
      </c>
      <c r="AC23" s="33" t="e">
        <f t="shared" ref="AC23:AC28" si="9">Y23/W23</f>
        <v>#DIV/0!</v>
      </c>
      <c r="AD23" s="33" t="e">
        <f t="shared" ref="AD23:AD28" si="10">Z23/W23</f>
        <v>#DIV/0!</v>
      </c>
      <c r="AE23" s="33">
        <v>0</v>
      </c>
      <c r="AF23" s="33" t="e">
        <f>'Price Data'!$B$38*AB23</f>
        <v>#DIV/0!</v>
      </c>
      <c r="AG23" s="33" t="e">
        <f>'Price Data'!$B$39*AC23</f>
        <v>#DIV/0!</v>
      </c>
      <c r="AH23" s="33" t="e">
        <f>'Price Data'!$B$40*AD23</f>
        <v>#DIV/0!</v>
      </c>
      <c r="AI23" s="33">
        <f>'Price Data'!$B$41*AE23</f>
        <v>0</v>
      </c>
      <c r="AJ23" s="32">
        <f>'Price Data'!$B$61*K23+'Price Data'!$B$76</f>
        <v>17.75</v>
      </c>
      <c r="AK23" s="33" t="e">
        <f>(SUM(AF23:AI23)-AJ23)*0.95</f>
        <v>#DIV/0!</v>
      </c>
      <c r="AL23" s="32"/>
      <c r="AM23" s="35" t="s">
        <v>0</v>
      </c>
      <c r="AN23" s="35" t="s">
        <v>0</v>
      </c>
    </row>
    <row r="24" spans="1:40" x14ac:dyDescent="0.25">
      <c r="A24" s="92" t="s">
        <v>158</v>
      </c>
      <c r="B24" s="32">
        <v>0</v>
      </c>
      <c r="C24" s="32">
        <v>0</v>
      </c>
      <c r="D24" s="32">
        <v>0</v>
      </c>
      <c r="E24" s="32">
        <v>0</v>
      </c>
      <c r="F24" s="32">
        <v>0</v>
      </c>
      <c r="G24" s="32">
        <v>0</v>
      </c>
      <c r="H24" s="32">
        <v>0</v>
      </c>
      <c r="I24" s="32">
        <v>0</v>
      </c>
      <c r="J24" s="32">
        <v>0</v>
      </c>
      <c r="K24" s="32">
        <v>40</v>
      </c>
      <c r="L24" s="32">
        <v>0</v>
      </c>
      <c r="M24" s="32">
        <v>0</v>
      </c>
      <c r="N24" s="32">
        <v>0</v>
      </c>
      <c r="O24" s="32">
        <v>0</v>
      </c>
      <c r="P24" s="32">
        <v>0</v>
      </c>
      <c r="Q24" s="32">
        <v>0</v>
      </c>
      <c r="R24" s="32">
        <v>0</v>
      </c>
      <c r="S24" s="32">
        <v>0</v>
      </c>
      <c r="T24" s="32">
        <v>0</v>
      </c>
      <c r="U24" s="32">
        <v>0</v>
      </c>
      <c r="V24" s="54"/>
      <c r="W24" s="32">
        <v>0</v>
      </c>
      <c r="X24" s="32">
        <v>0</v>
      </c>
      <c r="Y24" s="32">
        <v>0</v>
      </c>
      <c r="Z24" s="32">
        <v>0</v>
      </c>
      <c r="AA24" s="32">
        <v>0</v>
      </c>
      <c r="AB24" s="33" t="e">
        <f t="shared" si="8"/>
        <v>#DIV/0!</v>
      </c>
      <c r="AC24" s="33" t="e">
        <f t="shared" si="9"/>
        <v>#DIV/0!</v>
      </c>
      <c r="AD24" s="33" t="e">
        <f t="shared" si="10"/>
        <v>#DIV/0!</v>
      </c>
      <c r="AE24" s="33">
        <v>0</v>
      </c>
      <c r="AF24" s="33" t="e">
        <f>'Price Data'!$B$38*AB24</f>
        <v>#DIV/0!</v>
      </c>
      <c r="AG24" s="33" t="e">
        <f>'Price Data'!$B$39*AC24</f>
        <v>#DIV/0!</v>
      </c>
      <c r="AH24" s="33" t="e">
        <f>'Price Data'!$B$40*AD24</f>
        <v>#DIV/0!</v>
      </c>
      <c r="AI24" s="33">
        <f>'Price Data'!$B$41*AE24</f>
        <v>0</v>
      </c>
      <c r="AJ24" s="32">
        <f>'Price Data'!$B$61*K24+'Price Data'!$B$76</f>
        <v>20</v>
      </c>
      <c r="AK24" s="33" t="e">
        <f t="shared" ref="AK24:AK27" si="11">(SUM(AF24:AI24)-AJ24)*0.95</f>
        <v>#DIV/0!</v>
      </c>
      <c r="AL24" s="32"/>
      <c r="AM24" s="35" t="s">
        <v>0</v>
      </c>
      <c r="AN24" s="35" t="s">
        <v>0</v>
      </c>
    </row>
    <row r="25" spans="1:40" x14ac:dyDescent="0.25">
      <c r="A25" s="92" t="s">
        <v>159</v>
      </c>
      <c r="B25" s="32">
        <v>0</v>
      </c>
      <c r="C25" s="32">
        <v>0</v>
      </c>
      <c r="D25" s="32">
        <v>0</v>
      </c>
      <c r="E25" s="32">
        <v>0</v>
      </c>
      <c r="F25" s="32">
        <v>0</v>
      </c>
      <c r="G25" s="32">
        <v>0</v>
      </c>
      <c r="H25" s="32">
        <v>0</v>
      </c>
      <c r="I25" s="32">
        <v>0</v>
      </c>
      <c r="J25" s="32">
        <v>0</v>
      </c>
      <c r="K25" s="32">
        <v>40</v>
      </c>
      <c r="L25" s="32">
        <v>0</v>
      </c>
      <c r="M25" s="32">
        <v>0</v>
      </c>
      <c r="N25" s="32">
        <v>0</v>
      </c>
      <c r="O25" s="32">
        <v>0</v>
      </c>
      <c r="P25" s="32">
        <v>0</v>
      </c>
      <c r="Q25" s="32">
        <v>0</v>
      </c>
      <c r="R25" s="32">
        <v>0</v>
      </c>
      <c r="S25" s="32">
        <v>0</v>
      </c>
      <c r="T25" s="32">
        <v>0</v>
      </c>
      <c r="U25" s="32">
        <v>0</v>
      </c>
      <c r="V25" s="54"/>
      <c r="W25" s="32">
        <v>0</v>
      </c>
      <c r="X25" s="32">
        <v>0</v>
      </c>
      <c r="Y25" s="32">
        <v>0</v>
      </c>
      <c r="Z25" s="32">
        <v>0</v>
      </c>
      <c r="AA25" s="32">
        <v>0</v>
      </c>
      <c r="AB25" s="33" t="e">
        <f t="shared" si="8"/>
        <v>#DIV/0!</v>
      </c>
      <c r="AC25" s="33" t="e">
        <f t="shared" si="9"/>
        <v>#DIV/0!</v>
      </c>
      <c r="AD25" s="33" t="e">
        <f t="shared" si="10"/>
        <v>#DIV/0!</v>
      </c>
      <c r="AE25" s="33">
        <v>0</v>
      </c>
      <c r="AF25" s="33" t="e">
        <f>'Price Data'!$B$38*AB25</f>
        <v>#DIV/0!</v>
      </c>
      <c r="AG25" s="33" t="e">
        <f>'Price Data'!$B$39*AC25</f>
        <v>#DIV/0!</v>
      </c>
      <c r="AH25" s="33" t="e">
        <f>'Price Data'!$B$40*AD25</f>
        <v>#DIV/0!</v>
      </c>
      <c r="AI25" s="33">
        <f>'Price Data'!$B$41*AE25</f>
        <v>0</v>
      </c>
      <c r="AJ25" s="32">
        <f>'Price Data'!$B$61*K25+'Price Data'!$B$76</f>
        <v>20</v>
      </c>
      <c r="AK25" s="33" t="e">
        <f>(SUM(AF25:AI25)-AJ25)*0.95</f>
        <v>#DIV/0!</v>
      </c>
      <c r="AL25" s="32"/>
      <c r="AM25" s="35" t="s">
        <v>0</v>
      </c>
      <c r="AN25" s="35" t="s">
        <v>0</v>
      </c>
    </row>
    <row r="26" spans="1:40" x14ac:dyDescent="0.25">
      <c r="A26" s="92" t="s">
        <v>161</v>
      </c>
      <c r="B26" s="32">
        <v>0</v>
      </c>
      <c r="C26" s="32">
        <v>0</v>
      </c>
      <c r="D26" s="32">
        <v>0</v>
      </c>
      <c r="E26" s="32">
        <v>0</v>
      </c>
      <c r="F26" s="32">
        <v>0</v>
      </c>
      <c r="G26" s="32">
        <v>0</v>
      </c>
      <c r="H26" s="32">
        <v>0</v>
      </c>
      <c r="I26" s="32">
        <v>0</v>
      </c>
      <c r="J26" s="32">
        <v>0</v>
      </c>
      <c r="K26" s="32">
        <v>40</v>
      </c>
      <c r="L26" s="32">
        <v>0</v>
      </c>
      <c r="M26" s="32">
        <v>0</v>
      </c>
      <c r="N26" s="32">
        <v>0</v>
      </c>
      <c r="O26" s="32">
        <v>0</v>
      </c>
      <c r="P26" s="32">
        <v>0</v>
      </c>
      <c r="Q26" s="32">
        <v>0</v>
      </c>
      <c r="R26" s="32">
        <v>0</v>
      </c>
      <c r="S26" s="32">
        <v>0</v>
      </c>
      <c r="T26" s="32">
        <v>0</v>
      </c>
      <c r="U26" s="32">
        <v>0</v>
      </c>
      <c r="V26" s="54"/>
      <c r="W26" s="32">
        <v>0</v>
      </c>
      <c r="X26" s="32">
        <v>0</v>
      </c>
      <c r="Y26" s="32">
        <v>0</v>
      </c>
      <c r="Z26" s="32">
        <v>0</v>
      </c>
      <c r="AA26" s="32">
        <v>0</v>
      </c>
      <c r="AB26" s="33" t="e">
        <f t="shared" si="8"/>
        <v>#DIV/0!</v>
      </c>
      <c r="AC26" s="33" t="e">
        <f t="shared" si="9"/>
        <v>#DIV/0!</v>
      </c>
      <c r="AD26" s="33" t="e">
        <f t="shared" si="10"/>
        <v>#DIV/0!</v>
      </c>
      <c r="AE26" s="33">
        <v>0</v>
      </c>
      <c r="AF26" s="33" t="e">
        <f>'Price Data'!$B$38*AB26</f>
        <v>#DIV/0!</v>
      </c>
      <c r="AG26" s="33" t="e">
        <f>'Price Data'!$B$39*AC26</f>
        <v>#DIV/0!</v>
      </c>
      <c r="AH26" s="33" t="e">
        <f>'Price Data'!$B$40*AD26</f>
        <v>#DIV/0!</v>
      </c>
      <c r="AI26" s="33">
        <f>'Price Data'!$B$41*AE26</f>
        <v>0</v>
      </c>
      <c r="AJ26" s="32">
        <f>'Price Data'!$B$61*K26+'Price Data'!$B$76</f>
        <v>20</v>
      </c>
      <c r="AK26" s="33" t="e">
        <f>(SUM(AF26:AI26)-AJ26)*0.95</f>
        <v>#DIV/0!</v>
      </c>
      <c r="AL26" s="32"/>
      <c r="AM26" s="35" t="s">
        <v>0</v>
      </c>
      <c r="AN26" s="35" t="s">
        <v>0</v>
      </c>
    </row>
    <row r="27" spans="1:40" x14ac:dyDescent="0.25">
      <c r="A27" s="92" t="s">
        <v>162</v>
      </c>
      <c r="B27" s="32">
        <v>0</v>
      </c>
      <c r="C27" s="32">
        <v>0</v>
      </c>
      <c r="D27" s="32">
        <v>0</v>
      </c>
      <c r="E27" s="32">
        <v>0</v>
      </c>
      <c r="F27" s="32">
        <v>0</v>
      </c>
      <c r="G27" s="32">
        <v>0</v>
      </c>
      <c r="H27" s="32">
        <v>0</v>
      </c>
      <c r="I27" s="32">
        <v>0</v>
      </c>
      <c r="J27" s="32">
        <v>0</v>
      </c>
      <c r="K27" s="32">
        <v>50</v>
      </c>
      <c r="L27" s="32">
        <v>0</v>
      </c>
      <c r="M27" s="32">
        <v>0</v>
      </c>
      <c r="N27" s="32">
        <v>0</v>
      </c>
      <c r="O27" s="32">
        <v>0</v>
      </c>
      <c r="P27" s="32">
        <v>0</v>
      </c>
      <c r="Q27" s="32">
        <v>0</v>
      </c>
      <c r="R27" s="32">
        <v>0</v>
      </c>
      <c r="S27" s="32">
        <v>0</v>
      </c>
      <c r="T27" s="32">
        <v>0</v>
      </c>
      <c r="U27" s="32">
        <v>0</v>
      </c>
      <c r="V27" s="54"/>
      <c r="W27" s="32">
        <v>0</v>
      </c>
      <c r="X27" s="32">
        <v>0</v>
      </c>
      <c r="Y27" s="32">
        <v>0</v>
      </c>
      <c r="Z27" s="32">
        <v>0</v>
      </c>
      <c r="AA27" s="32">
        <v>0</v>
      </c>
      <c r="AB27" s="33" t="e">
        <f t="shared" si="8"/>
        <v>#DIV/0!</v>
      </c>
      <c r="AC27" s="33" t="e">
        <f t="shared" si="9"/>
        <v>#DIV/0!</v>
      </c>
      <c r="AD27" s="33" t="e">
        <f t="shared" si="10"/>
        <v>#DIV/0!</v>
      </c>
      <c r="AE27" s="33">
        <v>0</v>
      </c>
      <c r="AF27" s="33" t="e">
        <f>'Price Data'!$B$38*AB27</f>
        <v>#DIV/0!</v>
      </c>
      <c r="AG27" s="33" t="e">
        <f>'Price Data'!$B$39*AC27</f>
        <v>#DIV/0!</v>
      </c>
      <c r="AH27" s="33" t="e">
        <f>'Price Data'!$B$40*AD27</f>
        <v>#DIV/0!</v>
      </c>
      <c r="AI27" s="33">
        <f>'Price Data'!$B$41*AE27</f>
        <v>0</v>
      </c>
      <c r="AJ27" s="32">
        <f>'Price Data'!$B$61*K27+'Price Data'!$B$76</f>
        <v>24.5</v>
      </c>
      <c r="AK27" s="33" t="e">
        <f t="shared" si="11"/>
        <v>#DIV/0!</v>
      </c>
      <c r="AL27" s="32"/>
      <c r="AM27" s="35" t="s">
        <v>0</v>
      </c>
      <c r="AN27" s="35" t="s">
        <v>0</v>
      </c>
    </row>
    <row r="28" spans="1:40" x14ac:dyDescent="0.25">
      <c r="A28" s="61" t="s">
        <v>163</v>
      </c>
      <c r="B28" s="32">
        <v>0</v>
      </c>
      <c r="C28" s="32">
        <v>0</v>
      </c>
      <c r="D28" s="32">
        <v>0</v>
      </c>
      <c r="E28" s="32">
        <v>0</v>
      </c>
      <c r="F28" s="32">
        <v>2</v>
      </c>
      <c r="G28" s="32">
        <v>2</v>
      </c>
      <c r="H28" s="32">
        <v>0</v>
      </c>
      <c r="I28" s="32">
        <v>0</v>
      </c>
      <c r="J28" s="32">
        <v>1</v>
      </c>
      <c r="K28" s="32">
        <v>40</v>
      </c>
      <c r="L28" s="32">
        <v>8</v>
      </c>
      <c r="M28" s="32">
        <v>0</v>
      </c>
      <c r="N28" s="32">
        <v>0</v>
      </c>
      <c r="O28" s="32">
        <v>0</v>
      </c>
      <c r="P28" s="32">
        <v>0</v>
      </c>
      <c r="Q28" s="32">
        <v>0</v>
      </c>
      <c r="R28" s="32">
        <v>0</v>
      </c>
      <c r="S28" s="32">
        <v>0</v>
      </c>
      <c r="T28" s="32">
        <v>0</v>
      </c>
      <c r="U28" s="32">
        <v>0</v>
      </c>
      <c r="V28" s="54"/>
      <c r="W28" s="32">
        <v>0</v>
      </c>
      <c r="X28" s="32">
        <v>0</v>
      </c>
      <c r="Y28" s="32">
        <v>0</v>
      </c>
      <c r="Z28" s="32">
        <v>0</v>
      </c>
      <c r="AA28" s="32">
        <v>0</v>
      </c>
      <c r="AB28" s="33" t="e">
        <f t="shared" si="8"/>
        <v>#DIV/0!</v>
      </c>
      <c r="AC28" s="33" t="e">
        <f t="shared" si="9"/>
        <v>#DIV/0!</v>
      </c>
      <c r="AD28" s="33" t="e">
        <f t="shared" si="10"/>
        <v>#DIV/0!</v>
      </c>
      <c r="AE28" s="33" t="e">
        <f>W28/AA28</f>
        <v>#DIV/0!</v>
      </c>
      <c r="AF28" s="33" t="e">
        <f>'Price Data'!$B$38*AB28</f>
        <v>#DIV/0!</v>
      </c>
      <c r="AG28" s="33" t="e">
        <f>'Price Data'!$B$39*AC28</f>
        <v>#DIV/0!</v>
      </c>
      <c r="AH28" s="33" t="e">
        <f>'Price Data'!$B$40*AD28</f>
        <v>#DIV/0!</v>
      </c>
      <c r="AI28" s="33" t="e">
        <f>'Price Data'!$B$41*AE28</f>
        <v>#DIV/0!</v>
      </c>
      <c r="AJ28" s="61">
        <f>'Price Data'!$B$61*K28+'Price Data'!$B$32*F28+'Price Data'!$B$31*G28+'Price Data'!B60*J28+'Price Data'!$B$76*2</f>
        <v>134</v>
      </c>
      <c r="AK28" s="33" t="e">
        <f>(SUM(AF28:AI28)-AJ28)*0.95</f>
        <v>#DIV/0!</v>
      </c>
      <c r="AL28" s="32"/>
      <c r="AM28" s="35" t="s">
        <v>0</v>
      </c>
      <c r="AN28" s="35" t="s">
        <v>0</v>
      </c>
    </row>
    <row r="29" spans="1:40" x14ac:dyDescent="0.25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32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123"/>
      <c r="AC29" s="123"/>
      <c r="AD29" s="123"/>
      <c r="AE29" s="123"/>
      <c r="AF29" s="54"/>
      <c r="AG29" s="54"/>
      <c r="AH29" s="54"/>
      <c r="AI29" s="54"/>
      <c r="AJ29" s="54"/>
      <c r="AK29" s="54"/>
      <c r="AL29" s="54"/>
      <c r="AM29" s="54"/>
      <c r="AN29" s="54"/>
    </row>
    <row r="30" spans="1:40" x14ac:dyDescent="0.25">
      <c r="A30" s="52" t="s">
        <v>154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32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123"/>
      <c r="AC30" s="123"/>
      <c r="AD30" s="123"/>
      <c r="AE30" s="123"/>
      <c r="AF30" s="54"/>
      <c r="AG30" s="54"/>
      <c r="AH30" s="54"/>
      <c r="AI30" s="54"/>
      <c r="AJ30" s="54"/>
      <c r="AK30" s="54"/>
      <c r="AL30" s="54"/>
      <c r="AM30" s="54"/>
      <c r="AN30" s="54"/>
    </row>
    <row r="31" spans="1:40" x14ac:dyDescent="0.25">
      <c r="A31" s="61" t="s">
        <v>168</v>
      </c>
      <c r="B31" s="32">
        <v>0</v>
      </c>
      <c r="C31" s="32">
        <v>0</v>
      </c>
      <c r="D31" s="32">
        <v>0</v>
      </c>
      <c r="E31" s="32">
        <v>0</v>
      </c>
      <c r="F31" s="32">
        <v>2</v>
      </c>
      <c r="G31" s="32">
        <v>2</v>
      </c>
      <c r="H31" s="32">
        <v>0</v>
      </c>
      <c r="I31" s="32">
        <v>0</v>
      </c>
      <c r="J31" s="32">
        <v>1</v>
      </c>
      <c r="K31" s="32">
        <v>0</v>
      </c>
      <c r="L31" s="32">
        <v>0</v>
      </c>
      <c r="M31" s="32">
        <v>48</v>
      </c>
      <c r="N31" s="32">
        <v>4</v>
      </c>
      <c r="O31" s="32">
        <v>0</v>
      </c>
      <c r="P31" s="32">
        <v>0</v>
      </c>
      <c r="Q31" s="32">
        <v>0</v>
      </c>
      <c r="R31" s="32">
        <v>0</v>
      </c>
      <c r="S31" s="32">
        <v>0</v>
      </c>
      <c r="T31" s="32">
        <v>0</v>
      </c>
      <c r="U31" s="32">
        <v>0</v>
      </c>
      <c r="V31" s="54"/>
      <c r="W31" s="32">
        <v>0</v>
      </c>
      <c r="X31" s="32">
        <v>0</v>
      </c>
      <c r="Y31" s="32">
        <v>0</v>
      </c>
      <c r="Z31" s="32">
        <v>0</v>
      </c>
      <c r="AA31" s="32">
        <v>0</v>
      </c>
      <c r="AB31" s="33" t="e">
        <f>X31/W31</f>
        <v>#DIV/0!</v>
      </c>
      <c r="AC31" s="33" t="e">
        <f>Y31/W31</f>
        <v>#DIV/0!</v>
      </c>
      <c r="AD31" s="33" t="e">
        <f>Z31/W31</f>
        <v>#DIV/0!</v>
      </c>
      <c r="AE31" s="33" t="e">
        <f>W31/AA31</f>
        <v>#DIV/0!</v>
      </c>
      <c r="AF31" s="33" t="e">
        <f>'Price Data'!$B$38*AB31</f>
        <v>#DIV/0!</v>
      </c>
      <c r="AG31" s="33" t="e">
        <f>'Price Data'!$B$38*AC31</f>
        <v>#DIV/0!</v>
      </c>
      <c r="AH31" s="33" t="e">
        <f>'Price Data'!$B$38*AD31</f>
        <v>#DIV/0!</v>
      </c>
      <c r="AI31" s="33" t="e">
        <f>'Price Data'!$B$38*AE31</f>
        <v>#DIV/0!</v>
      </c>
      <c r="AJ31" s="105">
        <f>'Price Data'!$B$32*F31+'Price Data'!$B$31+G31+'Price Data'!$B$60+J31+'Price Data'!$B$62*M31+'Price Data'!$B$63*N31</f>
        <v>170</v>
      </c>
      <c r="AK31" s="33" t="e">
        <f>(SUM(AF31:AI31)-AJ31)*0.95</f>
        <v>#DIV/0!</v>
      </c>
      <c r="AL31" s="32"/>
      <c r="AM31" s="35" t="s">
        <v>0</v>
      </c>
      <c r="AN31" s="35" t="s">
        <v>0</v>
      </c>
    </row>
    <row r="32" spans="1:40" x14ac:dyDescent="0.25">
      <c r="A32" s="61" t="s">
        <v>171</v>
      </c>
      <c r="B32" s="32">
        <v>0</v>
      </c>
      <c r="C32" s="32">
        <v>0</v>
      </c>
      <c r="D32" s="32">
        <v>0</v>
      </c>
      <c r="E32" s="32">
        <v>0</v>
      </c>
      <c r="F32" s="32">
        <v>2</v>
      </c>
      <c r="G32" s="32">
        <v>2</v>
      </c>
      <c r="H32" s="32">
        <v>0</v>
      </c>
      <c r="I32" s="32">
        <v>0</v>
      </c>
      <c r="J32" s="32">
        <v>1</v>
      </c>
      <c r="K32" s="32">
        <v>0</v>
      </c>
      <c r="L32" s="32">
        <v>0</v>
      </c>
      <c r="M32" s="32">
        <v>48</v>
      </c>
      <c r="N32" s="32">
        <v>4</v>
      </c>
      <c r="O32" s="32">
        <v>0</v>
      </c>
      <c r="P32" s="32">
        <v>0</v>
      </c>
      <c r="Q32" s="32">
        <v>0</v>
      </c>
      <c r="R32" s="32">
        <v>0</v>
      </c>
      <c r="S32" s="32">
        <v>0</v>
      </c>
      <c r="T32" s="32">
        <v>0</v>
      </c>
      <c r="U32" s="32">
        <v>0</v>
      </c>
      <c r="V32" s="54"/>
      <c r="W32" s="32">
        <v>0</v>
      </c>
      <c r="X32" s="32">
        <v>0</v>
      </c>
      <c r="Y32" s="32">
        <v>0</v>
      </c>
      <c r="Z32" s="32">
        <v>0</v>
      </c>
      <c r="AA32" s="32">
        <v>0</v>
      </c>
      <c r="AB32" s="33" t="e">
        <f>X32/W32</f>
        <v>#DIV/0!</v>
      </c>
      <c r="AC32" s="33" t="e">
        <f>Y32/W32</f>
        <v>#DIV/0!</v>
      </c>
      <c r="AD32" s="33" t="e">
        <f>Z32/W32</f>
        <v>#DIV/0!</v>
      </c>
      <c r="AE32" s="33" t="e">
        <f>W32/AA32</f>
        <v>#DIV/0!</v>
      </c>
      <c r="AF32" s="33" t="e">
        <f>'Price Data'!$B$38*AB32</f>
        <v>#DIV/0!</v>
      </c>
      <c r="AG32" s="33" t="e">
        <f>'Price Data'!$B$38*AC32</f>
        <v>#DIV/0!</v>
      </c>
      <c r="AH32" s="33" t="e">
        <f>'Price Data'!$B$38*AD32</f>
        <v>#DIV/0!</v>
      </c>
      <c r="AI32" s="33" t="e">
        <f>'Price Data'!$B$38*AE32</f>
        <v>#DIV/0!</v>
      </c>
      <c r="AJ32" s="105">
        <f>'Price Data'!$B$32*F32+'Price Data'!$B$31+G32+'Price Data'!$B$60+J32+'Price Data'!$B$62*M32+'Price Data'!$B$63*N32</f>
        <v>170</v>
      </c>
      <c r="AK32" s="33" t="e">
        <f t="shared" ref="AK32:AK33" si="12">(SUM(AF32:AI32)-AJ32)*0.95</f>
        <v>#DIV/0!</v>
      </c>
      <c r="AL32" s="32"/>
      <c r="AM32" s="35" t="s">
        <v>0</v>
      </c>
      <c r="AN32" s="35" t="s">
        <v>0</v>
      </c>
    </row>
    <row r="33" spans="1:40" x14ac:dyDescent="0.25">
      <c r="A33" s="61" t="s">
        <v>172</v>
      </c>
      <c r="B33" s="32">
        <v>0</v>
      </c>
      <c r="C33" s="32">
        <v>0</v>
      </c>
      <c r="D33" s="32">
        <v>0</v>
      </c>
      <c r="E33" s="32">
        <v>0</v>
      </c>
      <c r="F33" s="32">
        <v>3</v>
      </c>
      <c r="G33" s="32">
        <v>3</v>
      </c>
      <c r="H33" s="32">
        <v>0</v>
      </c>
      <c r="I33" s="32">
        <v>0</v>
      </c>
      <c r="J33" s="32">
        <v>1</v>
      </c>
      <c r="K33" s="32">
        <v>0</v>
      </c>
      <c r="L33" s="32">
        <v>0</v>
      </c>
      <c r="M33" s="32">
        <v>60</v>
      </c>
      <c r="N33" s="32">
        <v>8</v>
      </c>
      <c r="O33" s="32">
        <v>0</v>
      </c>
      <c r="P33" s="32">
        <v>0</v>
      </c>
      <c r="Q33" s="32">
        <v>0</v>
      </c>
      <c r="R33" s="32">
        <v>0</v>
      </c>
      <c r="S33" s="32">
        <v>0</v>
      </c>
      <c r="T33" s="32">
        <v>0</v>
      </c>
      <c r="U33" s="32">
        <v>0</v>
      </c>
      <c r="V33" s="54"/>
      <c r="W33" s="32">
        <v>0</v>
      </c>
      <c r="X33" s="32">
        <v>0</v>
      </c>
      <c r="Y33" s="32">
        <v>0</v>
      </c>
      <c r="Z33" s="32">
        <v>0</v>
      </c>
      <c r="AA33" s="32">
        <v>0</v>
      </c>
      <c r="AB33" s="33" t="e">
        <f>X33/W33</f>
        <v>#DIV/0!</v>
      </c>
      <c r="AC33" s="33" t="e">
        <f>Y33/W33</f>
        <v>#DIV/0!</v>
      </c>
      <c r="AD33" s="33" t="e">
        <f>Z33/W33</f>
        <v>#DIV/0!</v>
      </c>
      <c r="AE33" s="33" t="e">
        <f>W33/AA33</f>
        <v>#DIV/0!</v>
      </c>
      <c r="AF33" s="33" t="e">
        <f>'Price Data'!$B$38*AB33</f>
        <v>#DIV/0!</v>
      </c>
      <c r="AG33" s="33" t="e">
        <f>'Price Data'!$B$38*AC33</f>
        <v>#DIV/0!</v>
      </c>
      <c r="AH33" s="33" t="e">
        <f>'Price Data'!$B$38*AD33</f>
        <v>#DIV/0!</v>
      </c>
      <c r="AI33" s="33" t="e">
        <f>'Price Data'!$B$38*AE33</f>
        <v>#DIV/0!</v>
      </c>
      <c r="AJ33" s="105">
        <f>'Price Data'!$B$32*F33+'Price Data'!$B$31+G33+'Price Data'!$B$60+J33+'Price Data'!$B$62*M33+'Price Data'!$B$63*N33</f>
        <v>220</v>
      </c>
      <c r="AK33" s="33" t="e">
        <f t="shared" si="12"/>
        <v>#DIV/0!</v>
      </c>
      <c r="AL33" s="32"/>
      <c r="AM33" s="35" t="s">
        <v>0</v>
      </c>
      <c r="AN33" s="35" t="s">
        <v>0</v>
      </c>
    </row>
    <row r="34" spans="1:40" x14ac:dyDescent="0.25">
      <c r="A34" s="61" t="s">
        <v>174</v>
      </c>
      <c r="B34" s="32">
        <v>0</v>
      </c>
      <c r="C34" s="32">
        <v>0</v>
      </c>
      <c r="D34" s="32">
        <v>0</v>
      </c>
      <c r="E34" s="32">
        <v>0</v>
      </c>
      <c r="F34" s="32">
        <v>0</v>
      </c>
      <c r="G34" s="32">
        <v>5</v>
      </c>
      <c r="H34" s="32">
        <v>5</v>
      </c>
      <c r="I34" s="32">
        <v>0</v>
      </c>
      <c r="J34" s="32">
        <v>1</v>
      </c>
      <c r="K34" s="32">
        <v>0</v>
      </c>
      <c r="L34" s="32">
        <v>0</v>
      </c>
      <c r="M34" s="32">
        <v>60</v>
      </c>
      <c r="N34" s="32">
        <v>0</v>
      </c>
      <c r="O34" s="32">
        <v>0</v>
      </c>
      <c r="P34" s="32">
        <v>0</v>
      </c>
      <c r="Q34" s="32">
        <v>0</v>
      </c>
      <c r="R34" s="32">
        <v>0</v>
      </c>
      <c r="S34" s="32">
        <v>0</v>
      </c>
      <c r="T34" s="32">
        <v>0</v>
      </c>
      <c r="U34" s="32">
        <v>0</v>
      </c>
      <c r="V34" s="54"/>
      <c r="W34" s="32">
        <v>0</v>
      </c>
      <c r="X34" s="32">
        <v>0</v>
      </c>
      <c r="Y34" s="32">
        <v>0</v>
      </c>
      <c r="Z34" s="32">
        <v>0</v>
      </c>
      <c r="AA34" s="32">
        <v>0</v>
      </c>
      <c r="AB34" s="33" t="e">
        <f>X34/W34</f>
        <v>#DIV/0!</v>
      </c>
      <c r="AC34" s="33" t="e">
        <f>Y34/W34</f>
        <v>#DIV/0!</v>
      </c>
      <c r="AD34" s="33" t="e">
        <f>Z34/W34</f>
        <v>#DIV/0!</v>
      </c>
      <c r="AE34" s="33" t="e">
        <f>W34/AA34</f>
        <v>#DIV/0!</v>
      </c>
      <c r="AF34" s="33" t="e">
        <f>'Price Data'!$B$38*AB34</f>
        <v>#DIV/0!</v>
      </c>
      <c r="AG34" s="33" t="e">
        <f>'Price Data'!$B$38*AC34</f>
        <v>#DIV/0!</v>
      </c>
      <c r="AH34" s="33" t="e">
        <f>'Price Data'!$B$38*AD34</f>
        <v>#DIV/0!</v>
      </c>
      <c r="AI34" s="33" t="e">
        <f>'Price Data'!$B$38*AE34</f>
        <v>#DIV/0!</v>
      </c>
      <c r="AJ34" s="105">
        <f>'Price Data'!$B$31*G34+'Price Data'!$B$35*H34+'Price Data'!$B$60*J34+'Price Data'!$B$62*M34</f>
        <v>162</v>
      </c>
      <c r="AK34" s="33" t="e">
        <f>(SUM(AF34:AI34)-AJ34)*0.95</f>
        <v>#DIV/0!</v>
      </c>
      <c r="AL34" s="32"/>
      <c r="AM34" s="35" t="s">
        <v>0</v>
      </c>
      <c r="AN34" s="35" t="s">
        <v>0</v>
      </c>
    </row>
    <row r="35" spans="1:40" x14ac:dyDescent="0.25">
      <c r="A35" s="102" t="s">
        <v>177</v>
      </c>
      <c r="B35" s="32">
        <v>0</v>
      </c>
      <c r="C35" s="32">
        <v>0</v>
      </c>
      <c r="D35" s="32">
        <v>0</v>
      </c>
      <c r="E35" s="32">
        <v>0</v>
      </c>
      <c r="F35" s="32">
        <v>0</v>
      </c>
      <c r="G35" s="32">
        <v>0</v>
      </c>
      <c r="H35" s="32">
        <v>0</v>
      </c>
      <c r="I35" s="32">
        <v>0</v>
      </c>
      <c r="J35" s="32">
        <v>1</v>
      </c>
      <c r="K35" s="32">
        <v>0</v>
      </c>
      <c r="L35" s="32">
        <v>0</v>
      </c>
      <c r="M35" s="32">
        <v>60</v>
      </c>
      <c r="N35" s="32">
        <v>40</v>
      </c>
      <c r="O35" s="32">
        <v>2</v>
      </c>
      <c r="P35" s="32">
        <v>0</v>
      </c>
      <c r="Q35" s="32">
        <v>0</v>
      </c>
      <c r="R35" s="32">
        <v>0</v>
      </c>
      <c r="S35" s="32">
        <v>0</v>
      </c>
      <c r="T35" s="32">
        <v>0</v>
      </c>
      <c r="U35" s="32">
        <v>0</v>
      </c>
      <c r="V35" s="32"/>
      <c r="W35" s="32">
        <v>0</v>
      </c>
      <c r="X35" s="32">
        <v>0</v>
      </c>
      <c r="Y35" s="32">
        <v>0</v>
      </c>
      <c r="Z35" s="32">
        <v>0</v>
      </c>
      <c r="AA35" s="32">
        <v>0</v>
      </c>
      <c r="AB35" s="33" t="e">
        <f>X35/W35</f>
        <v>#DIV/0!</v>
      </c>
      <c r="AC35" s="33" t="e">
        <f>Y35/W35</f>
        <v>#DIV/0!</v>
      </c>
      <c r="AD35" s="33" t="e">
        <f>Z35/W35</f>
        <v>#DIV/0!</v>
      </c>
      <c r="AE35" s="33" t="e">
        <f>W35/AA35</f>
        <v>#DIV/0!</v>
      </c>
      <c r="AF35" s="33" t="e">
        <f>'Price Data'!$B$38*AB35</f>
        <v>#DIV/0!</v>
      </c>
      <c r="AG35" s="33" t="e">
        <f>'Price Data'!$B$38*AC35</f>
        <v>#DIV/0!</v>
      </c>
      <c r="AH35" s="33" t="e">
        <f>'Price Data'!$B$38*AD35</f>
        <v>#DIV/0!</v>
      </c>
      <c r="AI35" s="33" t="e">
        <f>'Price Data'!$B$38*AE35</f>
        <v>#DIV/0!</v>
      </c>
      <c r="AJ35" s="105">
        <f>'Price Data'!B60*J35+'Price Data'!B63*N35+MIN('Price Data'!B64*O35,'Price Data'!B62*M35)</f>
        <v>232</v>
      </c>
      <c r="AK35" s="33" t="e">
        <f>(SUM(AF35:AI35)-AJ35)*0.95</f>
        <v>#DIV/0!</v>
      </c>
      <c r="AL35" s="32"/>
      <c r="AM35" s="35" t="s">
        <v>0</v>
      </c>
      <c r="AN35" s="35" t="s">
        <v>0</v>
      </c>
    </row>
    <row r="36" spans="1:40" x14ac:dyDescent="0.25">
      <c r="J36" s="32"/>
    </row>
  </sheetData>
  <mergeCells count="8">
    <mergeCell ref="AJ1:AK1"/>
    <mergeCell ref="AM1:AN1"/>
    <mergeCell ref="E1:I1"/>
    <mergeCell ref="B1:D1"/>
    <mergeCell ref="X1:Z1"/>
    <mergeCell ref="P1:U1"/>
    <mergeCell ref="AB1:AE1"/>
    <mergeCell ref="AF1:AI1"/>
  </mergeCells>
  <conditionalFormatting sqref="AK15:AK17 AK3:AK12 AK19">
    <cfRule type="cellIs" dxfId="11" priority="18" operator="lessThanOrEqual">
      <formula>2.99</formula>
    </cfRule>
    <cfRule type="cellIs" dxfId="10" priority="19" operator="greaterThanOrEqual">
      <formula>3</formula>
    </cfRule>
  </conditionalFormatting>
  <conditionalFormatting sqref="AN15:AN18 AN3:AN11">
    <cfRule type="cellIs" dxfId="9" priority="13" operator="greaterThan">
      <formula>0.3</formula>
    </cfRule>
    <cfRule type="cellIs" dxfId="8" priority="14" operator="lessThan">
      <formula>0.2</formula>
    </cfRule>
  </conditionalFormatting>
  <conditionalFormatting sqref="AK23:AK28">
    <cfRule type="cellIs" dxfId="7" priority="11" operator="lessThanOrEqual">
      <formula>2.99</formula>
    </cfRule>
    <cfRule type="cellIs" dxfId="6" priority="12" operator="greaterThanOrEqual">
      <formula>3</formula>
    </cfRule>
  </conditionalFormatting>
  <conditionalFormatting sqref="AK31:AK35">
    <cfRule type="cellIs" dxfId="5" priority="9" operator="lessThanOrEqual">
      <formula>2.99</formula>
    </cfRule>
    <cfRule type="cellIs" dxfId="4" priority="10" operator="greaterThanOrEqual">
      <formula>3</formula>
    </cfRule>
  </conditionalFormatting>
  <conditionalFormatting sqref="AN20">
    <cfRule type="cellIs" dxfId="3" priority="7" operator="greaterThan">
      <formula>0.3</formula>
    </cfRule>
    <cfRule type="cellIs" dxfId="2" priority="8" operator="lessThan">
      <formula>0.2</formula>
    </cfRule>
  </conditionalFormatting>
  <conditionalFormatting sqref="AK20">
    <cfRule type="cellIs" dxfId="1" priority="1" operator="lessThanOrEqual">
      <formula>2.99</formula>
    </cfRule>
    <cfRule type="cellIs" dxfId="0" priority="2" operator="greaterThanOrEqual">
      <formula>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Price Data</vt:lpstr>
      <vt:lpstr>Enchanting</vt:lpstr>
      <vt:lpstr>Prospect</vt:lpstr>
      <vt:lpstr>Milling</vt:lpstr>
      <vt:lpstr>Alchemy</vt:lpstr>
      <vt:lpstr>Shuffle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ket</dc:creator>
  <cp:lastModifiedBy>ket</cp:lastModifiedBy>
  <dcterms:created xsi:type="dcterms:W3CDTF">2021-03-09T17:39:50Z</dcterms:created>
  <dcterms:modified xsi:type="dcterms:W3CDTF">2024-07-15T16:03:52Z</dcterms:modified>
</cp:coreProperties>
</file>