
<file path=[Content_Types].xml><?xml version="1.0" encoding="utf-8"?>
<Types xmlns="http://schemas.openxmlformats.org/package/2006/content-types">
  <Override PartName="/xl/worksheets/sheet7.xml" ContentType="application/vnd.openxmlformats-officedocument.spreadsheetml.worksheet+xml"/>
  <Override PartName="/docProps/core.xml" ContentType="application/vnd.openxmlformats-package.core-properties+xml"/>
  <Override PartName="/xl/queryTables/queryTable4.xml" ContentType="application/vnd.openxmlformats-officedocument.spreadsheetml.queryTable+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Override PartName="/xl/queryTables/queryTable1.xml" ContentType="application/vnd.openxmlformats-officedocument.spreadsheetml.queryTable+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queryTables/queryTable3.xml" ContentType="application/vnd.openxmlformats-officedocument.spreadsheetml.queryTable+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Default Extension="jpeg" ContentType="image/jpeg"/>
  <Override PartName="/xl/worksheets/sheet5.xml" ContentType="application/vnd.openxmlformats-officedocument.spreadsheetml.worksheet+xml"/>
  <Override PartName="/xl/queryTables/queryTable2.xml" ContentType="application/vnd.openxmlformats-officedocument.spreadsheetml.queryTable+xml"/>
  <Override PartName="/xl/connections.xml" ContentType="application/vnd.openxmlformats-officedocument.spreadsheetml.connections+xml"/>
  <Override PartName="/xl/charts/chart4.xml" ContentType="application/vnd.openxmlformats-officedocument.drawingml.chart+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4780" yWindow="600" windowWidth="29940" windowHeight="16080" tabRatio="500" activeTab="3"/>
  </bookViews>
  <sheets>
    <sheet name="Record of changes" sheetId="1" r:id="rId1"/>
    <sheet name="Kathy's original list" sheetId="2" r:id="rId2"/>
    <sheet name="Final items" sheetId="3" r:id="rId3"/>
    <sheet name="Analysis" sheetId="4" r:id="rId4"/>
    <sheet name="kappas" sheetId="6" r:id="rId5"/>
    <sheet name="scratch" sheetId="5" r:id="rId6"/>
    <sheet name="initial kappas" sheetId="7" r:id="rId7"/>
  </sheets>
  <definedNames>
    <definedName name="first_20_kappas" localSheetId="4">kappas!#REF!</definedName>
    <definedName name="first_20_kappas_1" localSheetId="4">kappas!$A$1:$C$199</definedName>
    <definedName name="initial_test_kappas" localSheetId="6">'initial kappas'!$A$1:$C$196</definedName>
    <definedName name="items_kathy" localSheetId="1">'Kathy''s original list'!$B$1:$T$233</definedName>
    <definedName name="items_with_help_text" localSheetId="2">'Final items'!$B$1:$V$244</definedName>
  </definedName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F2" i="4"/>
  <c r="F3"/>
  <c r="F4"/>
  <c r="F5"/>
  <c r="F6"/>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H200"/>
  <c r="H201"/>
  <c r="H202"/>
  <c r="H199"/>
  <c r="H203"/>
  <c r="A153"/>
  <c r="B153"/>
  <c r="I153"/>
  <c r="A154"/>
  <c r="B154"/>
  <c r="I154"/>
  <c r="A155"/>
  <c r="B155"/>
  <c r="I155"/>
  <c r="A24"/>
  <c r="B24"/>
  <c r="I24"/>
  <c r="A42"/>
  <c r="B42"/>
  <c r="I42"/>
  <c r="A90"/>
  <c r="B90"/>
  <c r="I90"/>
  <c r="A147"/>
  <c r="B147"/>
  <c r="I147"/>
  <c r="A138"/>
  <c r="B138"/>
  <c r="I138"/>
  <c r="A126"/>
  <c r="B126"/>
  <c r="I126"/>
  <c r="A133"/>
  <c r="B133"/>
  <c r="I133"/>
  <c r="A4"/>
  <c r="B4"/>
  <c r="I4"/>
  <c r="A156"/>
  <c r="B156"/>
  <c r="I156"/>
  <c r="A157"/>
  <c r="B157"/>
  <c r="I157"/>
  <c r="A32"/>
  <c r="B32"/>
  <c r="I32"/>
  <c r="A158"/>
  <c r="B158"/>
  <c r="I158"/>
  <c r="A10"/>
  <c r="B10"/>
  <c r="I10"/>
  <c r="A128"/>
  <c r="B128"/>
  <c r="I128"/>
  <c r="A159"/>
  <c r="B159"/>
  <c r="I159"/>
  <c r="A160"/>
  <c r="B160"/>
  <c r="I160"/>
  <c r="A91"/>
  <c r="B91"/>
  <c r="I91"/>
  <c r="A48"/>
  <c r="B48"/>
  <c r="I48"/>
  <c r="A5"/>
  <c r="B5"/>
  <c r="I5"/>
  <c r="A129"/>
  <c r="B129"/>
  <c r="I129"/>
  <c r="A63"/>
  <c r="B63"/>
  <c r="I63"/>
  <c r="A150"/>
  <c r="B150"/>
  <c r="I150"/>
  <c r="A11"/>
  <c r="B11"/>
  <c r="I11"/>
  <c r="A60"/>
  <c r="B60"/>
  <c r="I60"/>
  <c r="A123"/>
  <c r="B123"/>
  <c r="I123"/>
  <c r="A89"/>
  <c r="B89"/>
  <c r="I89"/>
  <c r="A67"/>
  <c r="B67"/>
  <c r="I67"/>
  <c r="A161"/>
  <c r="B161"/>
  <c r="I161"/>
  <c r="A162"/>
  <c r="B162"/>
  <c r="I162"/>
  <c r="A124"/>
  <c r="B124"/>
  <c r="I124"/>
  <c r="A77"/>
  <c r="B77"/>
  <c r="I77"/>
  <c r="A34"/>
  <c r="B34"/>
  <c r="I34"/>
  <c r="A163"/>
  <c r="B163"/>
  <c r="I163"/>
  <c r="A47"/>
  <c r="B47"/>
  <c r="I47"/>
  <c r="A151"/>
  <c r="B151"/>
  <c r="I151"/>
  <c r="A136"/>
  <c r="B136"/>
  <c r="I136"/>
  <c r="A148"/>
  <c r="B148"/>
  <c r="I148"/>
  <c r="A122"/>
  <c r="B122"/>
  <c r="I122"/>
  <c r="A62"/>
  <c r="B62"/>
  <c r="I62"/>
  <c r="A69"/>
  <c r="B69"/>
  <c r="I69"/>
  <c r="A51"/>
  <c r="B51"/>
  <c r="I51"/>
  <c r="A130"/>
  <c r="B130"/>
  <c r="I130"/>
  <c r="A146"/>
  <c r="B146"/>
  <c r="I146"/>
  <c r="A137"/>
  <c r="B137"/>
  <c r="I137"/>
  <c r="A149"/>
  <c r="B149"/>
  <c r="I149"/>
  <c r="A135"/>
  <c r="B135"/>
  <c r="I135"/>
  <c r="A145"/>
  <c r="B145"/>
  <c r="I145"/>
  <c r="A143"/>
  <c r="B143"/>
  <c r="I143"/>
  <c r="A131"/>
  <c r="B131"/>
  <c r="I131"/>
  <c r="A144"/>
  <c r="B144"/>
  <c r="I144"/>
  <c r="A142"/>
  <c r="B142"/>
  <c r="I142"/>
  <c r="A139"/>
  <c r="B139"/>
  <c r="I139"/>
  <c r="A132"/>
  <c r="B132"/>
  <c r="I132"/>
  <c r="A140"/>
  <c r="B140"/>
  <c r="I140"/>
  <c r="A141"/>
  <c r="B141"/>
  <c r="I141"/>
  <c r="A12"/>
  <c r="B12"/>
  <c r="I12"/>
  <c r="A76"/>
  <c r="B76"/>
  <c r="I76"/>
  <c r="A70"/>
  <c r="B70"/>
  <c r="I70"/>
  <c r="A45"/>
  <c r="B45"/>
  <c r="I45"/>
  <c r="A6"/>
  <c r="B6"/>
  <c r="I6"/>
  <c r="A8"/>
  <c r="B8"/>
  <c r="I8"/>
  <c r="A57"/>
  <c r="B57"/>
  <c r="I57"/>
  <c r="A37"/>
  <c r="B37"/>
  <c r="I37"/>
  <c r="A7"/>
  <c r="B7"/>
  <c r="I7"/>
  <c r="A9"/>
  <c r="B9"/>
  <c r="I9"/>
  <c r="A13"/>
  <c r="B13"/>
  <c r="I13"/>
  <c r="A14"/>
  <c r="B14"/>
  <c r="I14"/>
  <c r="A164"/>
  <c r="B164"/>
  <c r="I164"/>
  <c r="A165"/>
  <c r="B165"/>
  <c r="I165"/>
  <c r="A15"/>
  <c r="B15"/>
  <c r="I15"/>
  <c r="A16"/>
  <c r="B16"/>
  <c r="I16"/>
  <c r="A27"/>
  <c r="B27"/>
  <c r="I27"/>
  <c r="A28"/>
  <c r="B28"/>
  <c r="I28"/>
  <c r="A44"/>
  <c r="B44"/>
  <c r="I44"/>
  <c r="A85"/>
  <c r="B85"/>
  <c r="I85"/>
  <c r="A56"/>
  <c r="B56"/>
  <c r="I56"/>
  <c r="A78"/>
  <c r="B78"/>
  <c r="I78"/>
  <c r="A36"/>
  <c r="B36"/>
  <c r="I36"/>
  <c r="A166"/>
  <c r="B166"/>
  <c r="I166"/>
  <c r="A95"/>
  <c r="B95"/>
  <c r="I95"/>
  <c r="A96"/>
  <c r="B96"/>
  <c r="I96"/>
  <c r="A97"/>
  <c r="B97"/>
  <c r="I97"/>
  <c r="A83"/>
  <c r="B83"/>
  <c r="I83"/>
  <c r="A79"/>
  <c r="B79"/>
  <c r="I79"/>
  <c r="A93"/>
  <c r="B93"/>
  <c r="I93"/>
  <c r="A82"/>
  <c r="B82"/>
  <c r="I82"/>
  <c r="A26"/>
  <c r="B26"/>
  <c r="I26"/>
  <c r="A98"/>
  <c r="B98"/>
  <c r="I98"/>
  <c r="A99"/>
  <c r="B99"/>
  <c r="I99"/>
  <c r="A86"/>
  <c r="B86"/>
  <c r="I86"/>
  <c r="A100"/>
  <c r="B100"/>
  <c r="I100"/>
  <c r="A101"/>
  <c r="B101"/>
  <c r="I101"/>
  <c r="A102"/>
  <c r="B102"/>
  <c r="I102"/>
  <c r="A103"/>
  <c r="B103"/>
  <c r="I103"/>
  <c r="A104"/>
  <c r="B104"/>
  <c r="I104"/>
  <c r="A105"/>
  <c r="B105"/>
  <c r="I105"/>
  <c r="A106"/>
  <c r="B106"/>
  <c r="I106"/>
  <c r="A72"/>
  <c r="B72"/>
  <c r="I72"/>
  <c r="A73"/>
  <c r="B73"/>
  <c r="I73"/>
  <c r="A107"/>
  <c r="B107"/>
  <c r="I107"/>
  <c r="A121"/>
  <c r="B121"/>
  <c r="I121"/>
  <c r="A74"/>
  <c r="B74"/>
  <c r="I74"/>
  <c r="A94"/>
  <c r="B94"/>
  <c r="I94"/>
  <c r="A80"/>
  <c r="B80"/>
  <c r="I80"/>
  <c r="A108"/>
  <c r="B108"/>
  <c r="I108"/>
  <c r="A109"/>
  <c r="B109"/>
  <c r="I109"/>
  <c r="A167"/>
  <c r="B167"/>
  <c r="I167"/>
  <c r="A168"/>
  <c r="B168"/>
  <c r="I168"/>
  <c r="A169"/>
  <c r="B169"/>
  <c r="I169"/>
  <c r="A110"/>
  <c r="B110"/>
  <c r="I110"/>
  <c r="A125"/>
  <c r="B125"/>
  <c r="I125"/>
  <c r="A66"/>
  <c r="B66"/>
  <c r="I66"/>
  <c r="A55"/>
  <c r="B55"/>
  <c r="I55"/>
  <c r="A111"/>
  <c r="B111"/>
  <c r="I111"/>
  <c r="A112"/>
  <c r="B112"/>
  <c r="I112"/>
  <c r="A75"/>
  <c r="B75"/>
  <c r="I75"/>
  <c r="A113"/>
  <c r="B113"/>
  <c r="I113"/>
  <c r="A87"/>
  <c r="B87"/>
  <c r="I87"/>
  <c r="A114"/>
  <c r="B114"/>
  <c r="I114"/>
  <c r="A115"/>
  <c r="B115"/>
  <c r="I115"/>
  <c r="A116"/>
  <c r="B116"/>
  <c r="I116"/>
  <c r="A88"/>
  <c r="B88"/>
  <c r="I88"/>
  <c r="A117"/>
  <c r="B117"/>
  <c r="I117"/>
  <c r="A118"/>
  <c r="B118"/>
  <c r="I118"/>
  <c r="A120"/>
  <c r="B120"/>
  <c r="I120"/>
  <c r="A119"/>
  <c r="B119"/>
  <c r="I119"/>
  <c r="A17"/>
  <c r="B17"/>
  <c r="I17"/>
  <c r="A18"/>
  <c r="B18"/>
  <c r="I18"/>
  <c r="A152"/>
  <c r="B152"/>
  <c r="I152"/>
  <c r="A19"/>
  <c r="B19"/>
  <c r="I19"/>
  <c r="A40"/>
  <c r="B40"/>
  <c r="I40"/>
  <c r="A170"/>
  <c r="B170"/>
  <c r="I170"/>
  <c r="A171"/>
  <c r="B171"/>
  <c r="I171"/>
  <c r="A172"/>
  <c r="B172"/>
  <c r="I172"/>
  <c r="A68"/>
  <c r="B68"/>
  <c r="I68"/>
  <c r="A134"/>
  <c r="B134"/>
  <c r="I134"/>
  <c r="A71"/>
  <c r="B71"/>
  <c r="I71"/>
  <c r="A84"/>
  <c r="B84"/>
  <c r="I84"/>
  <c r="A59"/>
  <c r="B59"/>
  <c r="I59"/>
  <c r="A43"/>
  <c r="B43"/>
  <c r="I43"/>
  <c r="A173"/>
  <c r="B173"/>
  <c r="I173"/>
  <c r="A41"/>
  <c r="B41"/>
  <c r="I41"/>
  <c r="A33"/>
  <c r="B33"/>
  <c r="I33"/>
  <c r="A54"/>
  <c r="B54"/>
  <c r="I54"/>
  <c r="A127"/>
  <c r="B127"/>
  <c r="I127"/>
  <c r="A29"/>
  <c r="B29"/>
  <c r="I29"/>
  <c r="A174"/>
  <c r="B174"/>
  <c r="I174"/>
  <c r="A65"/>
  <c r="B65"/>
  <c r="I65"/>
  <c r="A30"/>
  <c r="B30"/>
  <c r="I30"/>
  <c r="A175"/>
  <c r="B175"/>
  <c r="I175"/>
  <c r="A20"/>
  <c r="B20"/>
  <c r="I20"/>
  <c r="A64"/>
  <c r="B64"/>
  <c r="I64"/>
  <c r="A176"/>
  <c r="B176"/>
  <c r="I176"/>
  <c r="A50"/>
  <c r="B50"/>
  <c r="I50"/>
  <c r="A52"/>
  <c r="B52"/>
  <c r="I52"/>
  <c r="A177"/>
  <c r="B177"/>
  <c r="I177"/>
  <c r="A31"/>
  <c r="B31"/>
  <c r="I31"/>
  <c r="A178"/>
  <c r="B178"/>
  <c r="I178"/>
  <c r="A179"/>
  <c r="B179"/>
  <c r="I179"/>
  <c r="A180"/>
  <c r="B180"/>
  <c r="I180"/>
  <c r="A23"/>
  <c r="B23"/>
  <c r="I23"/>
  <c r="A3"/>
  <c r="B3"/>
  <c r="I3"/>
  <c r="A22"/>
  <c r="B22"/>
  <c r="I22"/>
  <c r="A181"/>
  <c r="B181"/>
  <c r="I181"/>
  <c r="A58"/>
  <c r="B58"/>
  <c r="I58"/>
  <c r="A21"/>
  <c r="B21"/>
  <c r="I21"/>
  <c r="A182"/>
  <c r="B182"/>
  <c r="I182"/>
  <c r="A183"/>
  <c r="B183"/>
  <c r="I183"/>
  <c r="A38"/>
  <c r="B38"/>
  <c r="I38"/>
  <c r="A39"/>
  <c r="B39"/>
  <c r="I39"/>
  <c r="A53"/>
  <c r="B53"/>
  <c r="I53"/>
  <c r="A49"/>
  <c r="B49"/>
  <c r="I49"/>
  <c r="A187"/>
  <c r="B187"/>
  <c r="I187"/>
  <c r="A188"/>
  <c r="B188"/>
  <c r="I188"/>
  <c r="A81"/>
  <c r="B81"/>
  <c r="I81"/>
  <c r="A184"/>
  <c r="B184"/>
  <c r="I184"/>
  <c r="A25"/>
  <c r="B25"/>
  <c r="I25"/>
  <c r="A92"/>
  <c r="B92"/>
  <c r="I92"/>
  <c r="A185"/>
  <c r="B185"/>
  <c r="I185"/>
  <c r="A35"/>
  <c r="B35"/>
  <c r="I35"/>
  <c r="A186"/>
  <c r="B186"/>
  <c r="I186"/>
  <c r="A61"/>
  <c r="B61"/>
  <c r="I61"/>
  <c r="A46"/>
  <c r="B46"/>
  <c r="I46"/>
  <c r="C2"/>
  <c r="D2"/>
  <c r="E2"/>
  <c r="C3"/>
  <c r="D3"/>
  <c r="E3"/>
  <c r="C4"/>
  <c r="D4"/>
  <c r="E4"/>
  <c r="C5"/>
  <c r="D5"/>
  <c r="E5"/>
  <c r="C6"/>
  <c r="D6"/>
  <c r="E6"/>
  <c r="C7"/>
  <c r="D7"/>
  <c r="E7"/>
  <c r="C8"/>
  <c r="D8"/>
  <c r="E8"/>
  <c r="C9"/>
  <c r="D9"/>
  <c r="E9"/>
  <c r="C10"/>
  <c r="D10"/>
  <c r="E10"/>
  <c r="C11"/>
  <c r="D11"/>
  <c r="E11"/>
  <c r="C12"/>
  <c r="D12"/>
  <c r="E12"/>
  <c r="C13"/>
  <c r="D13"/>
  <c r="E13"/>
  <c r="C14"/>
  <c r="D14"/>
  <c r="E14"/>
  <c r="C15"/>
  <c r="D15"/>
  <c r="E15"/>
  <c r="C16"/>
  <c r="D16"/>
  <c r="E16"/>
  <c r="C17"/>
  <c r="D17"/>
  <c r="E17"/>
  <c r="C18"/>
  <c r="D18"/>
  <c r="E18"/>
  <c r="C19"/>
  <c r="D19"/>
  <c r="E19"/>
  <c r="C20"/>
  <c r="D20"/>
  <c r="E20"/>
  <c r="C21"/>
  <c r="D21"/>
  <c r="E21"/>
  <c r="C22"/>
  <c r="D22"/>
  <c r="E22"/>
  <c r="C23"/>
  <c r="D23"/>
  <c r="E23"/>
  <c r="C24"/>
  <c r="D24"/>
  <c r="E24"/>
  <c r="C25"/>
  <c r="D25"/>
  <c r="E25"/>
  <c r="C26"/>
  <c r="D26"/>
  <c r="E26"/>
  <c r="C27"/>
  <c r="D27"/>
  <c r="E27"/>
  <c r="C28"/>
  <c r="D28"/>
  <c r="E28"/>
  <c r="C29"/>
  <c r="D29"/>
  <c r="E29"/>
  <c r="C30"/>
  <c r="D30"/>
  <c r="E30"/>
  <c r="C31"/>
  <c r="D31"/>
  <c r="E31"/>
  <c r="C32"/>
  <c r="D32"/>
  <c r="E32"/>
  <c r="C33"/>
  <c r="D33"/>
  <c r="E33"/>
  <c r="C34"/>
  <c r="D34"/>
  <c r="E34"/>
  <c r="C35"/>
  <c r="D35"/>
  <c r="E35"/>
  <c r="C36"/>
  <c r="D36"/>
  <c r="E36"/>
  <c r="C37"/>
  <c r="D37"/>
  <c r="E37"/>
  <c r="C38"/>
  <c r="D38"/>
  <c r="E38"/>
  <c r="C39"/>
  <c r="D39"/>
  <c r="E39"/>
  <c r="C40"/>
  <c r="D40"/>
  <c r="E40"/>
  <c r="C41"/>
  <c r="D41"/>
  <c r="E41"/>
  <c r="C42"/>
  <c r="D42"/>
  <c r="E42"/>
  <c r="C43"/>
  <c r="D43"/>
  <c r="E43"/>
  <c r="C44"/>
  <c r="D44"/>
  <c r="E44"/>
  <c r="C45"/>
  <c r="D45"/>
  <c r="E45"/>
  <c r="C46"/>
  <c r="D46"/>
  <c r="E46"/>
  <c r="C47"/>
  <c r="D47"/>
  <c r="E47"/>
  <c r="C48"/>
  <c r="D48"/>
  <c r="E48"/>
  <c r="C49"/>
  <c r="D49"/>
  <c r="E49"/>
  <c r="C50"/>
  <c r="D50"/>
  <c r="E50"/>
  <c r="C51"/>
  <c r="D51"/>
  <c r="E51"/>
  <c r="C52"/>
  <c r="D52"/>
  <c r="E52"/>
  <c r="C53"/>
  <c r="D53"/>
  <c r="E53"/>
  <c r="C54"/>
  <c r="D54"/>
  <c r="E54"/>
  <c r="C55"/>
  <c r="D55"/>
  <c r="E55"/>
  <c r="C56"/>
  <c r="D56"/>
  <c r="E56"/>
  <c r="C57"/>
  <c r="D57"/>
  <c r="E57"/>
  <c r="C58"/>
  <c r="D58"/>
  <c r="E58"/>
  <c r="C59"/>
  <c r="D59"/>
  <c r="E59"/>
  <c r="C60"/>
  <c r="D60"/>
  <c r="E60"/>
  <c r="C61"/>
  <c r="D61"/>
  <c r="E61"/>
  <c r="C62"/>
  <c r="D62"/>
  <c r="E62"/>
  <c r="C63"/>
  <c r="D63"/>
  <c r="E63"/>
  <c r="C64"/>
  <c r="D64"/>
  <c r="E64"/>
  <c r="C65"/>
  <c r="D65"/>
  <c r="E65"/>
  <c r="C66"/>
  <c r="D66"/>
  <c r="E66"/>
  <c r="C67"/>
  <c r="D67"/>
  <c r="E67"/>
  <c r="C68"/>
  <c r="D68"/>
  <c r="E68"/>
  <c r="C69"/>
  <c r="D69"/>
  <c r="E69"/>
  <c r="C70"/>
  <c r="D70"/>
  <c r="E70"/>
  <c r="C71"/>
  <c r="D71"/>
  <c r="E71"/>
  <c r="C72"/>
  <c r="D72"/>
  <c r="E72"/>
  <c r="C73"/>
  <c r="D73"/>
  <c r="E73"/>
  <c r="C74"/>
  <c r="D74"/>
  <c r="E74"/>
  <c r="C75"/>
  <c r="D75"/>
  <c r="E75"/>
  <c r="C76"/>
  <c r="D76"/>
  <c r="E76"/>
  <c r="C77"/>
  <c r="D77"/>
  <c r="E77"/>
  <c r="C78"/>
  <c r="D78"/>
  <c r="E78"/>
  <c r="C79"/>
  <c r="D79"/>
  <c r="E79"/>
  <c r="C80"/>
  <c r="D80"/>
  <c r="E80"/>
  <c r="C81"/>
  <c r="D81"/>
  <c r="E81"/>
  <c r="C82"/>
  <c r="D82"/>
  <c r="E82"/>
  <c r="C83"/>
  <c r="D83"/>
  <c r="E83"/>
  <c r="C84"/>
  <c r="D84"/>
  <c r="E84"/>
  <c r="C85"/>
  <c r="D85"/>
  <c r="E85"/>
  <c r="C86"/>
  <c r="D86"/>
  <c r="E86"/>
  <c r="C87"/>
  <c r="D87"/>
  <c r="E87"/>
  <c r="C88"/>
  <c r="D88"/>
  <c r="E88"/>
  <c r="C89"/>
  <c r="D89"/>
  <c r="E89"/>
  <c r="C90"/>
  <c r="D90"/>
  <c r="E90"/>
  <c r="C91"/>
  <c r="D91"/>
  <c r="E91"/>
  <c r="C92"/>
  <c r="D92"/>
  <c r="E92"/>
  <c r="C93"/>
  <c r="D93"/>
  <c r="E93"/>
  <c r="C94"/>
  <c r="D94"/>
  <c r="E94"/>
  <c r="C95"/>
  <c r="D95"/>
  <c r="E95"/>
  <c r="C96"/>
  <c r="D96"/>
  <c r="E96"/>
  <c r="C97"/>
  <c r="D97"/>
  <c r="E97"/>
  <c r="C98"/>
  <c r="D98"/>
  <c r="E98"/>
  <c r="C99"/>
  <c r="D99"/>
  <c r="E99"/>
  <c r="C100"/>
  <c r="D100"/>
  <c r="E100"/>
  <c r="C101"/>
  <c r="D101"/>
  <c r="E101"/>
  <c r="C102"/>
  <c r="D102"/>
  <c r="E102"/>
  <c r="C103"/>
  <c r="D103"/>
  <c r="E103"/>
  <c r="C104"/>
  <c r="D104"/>
  <c r="E104"/>
  <c r="C105"/>
  <c r="D105"/>
  <c r="E105"/>
  <c r="C106"/>
  <c r="D106"/>
  <c r="E106"/>
  <c r="C107"/>
  <c r="D107"/>
  <c r="E107"/>
  <c r="C108"/>
  <c r="D108"/>
  <c r="E108"/>
  <c r="C109"/>
  <c r="D109"/>
  <c r="E109"/>
  <c r="C110"/>
  <c r="D110"/>
  <c r="E110"/>
  <c r="C111"/>
  <c r="D111"/>
  <c r="E111"/>
  <c r="C112"/>
  <c r="D112"/>
  <c r="E112"/>
  <c r="C113"/>
  <c r="D113"/>
  <c r="E113"/>
  <c r="C114"/>
  <c r="D114"/>
  <c r="E114"/>
  <c r="C115"/>
  <c r="D115"/>
  <c r="E115"/>
  <c r="C116"/>
  <c r="D116"/>
  <c r="E116"/>
  <c r="C117"/>
  <c r="D117"/>
  <c r="E117"/>
  <c r="C118"/>
  <c r="D118"/>
  <c r="E118"/>
  <c r="C119"/>
  <c r="D119"/>
  <c r="E119"/>
  <c r="C120"/>
  <c r="D120"/>
  <c r="E120"/>
  <c r="C121"/>
  <c r="D121"/>
  <c r="E121"/>
  <c r="C122"/>
  <c r="D122"/>
  <c r="E122"/>
  <c r="C123"/>
  <c r="D123"/>
  <c r="E123"/>
  <c r="C124"/>
  <c r="D124"/>
  <c r="E124"/>
  <c r="C125"/>
  <c r="D125"/>
  <c r="E125"/>
  <c r="C126"/>
  <c r="D126"/>
  <c r="E126"/>
  <c r="C127"/>
  <c r="D127"/>
  <c r="E127"/>
  <c r="C128"/>
  <c r="D128"/>
  <c r="E128"/>
  <c r="C129"/>
  <c r="D129"/>
  <c r="E129"/>
  <c r="C130"/>
  <c r="D130"/>
  <c r="E130"/>
  <c r="C131"/>
  <c r="D131"/>
  <c r="E131"/>
  <c r="C132"/>
  <c r="D132"/>
  <c r="E132"/>
  <c r="C133"/>
  <c r="D133"/>
  <c r="E133"/>
  <c r="C134"/>
  <c r="D134"/>
  <c r="E134"/>
  <c r="C135"/>
  <c r="D135"/>
  <c r="E135"/>
  <c r="C136"/>
  <c r="D136"/>
  <c r="E136"/>
  <c r="C137"/>
  <c r="D137"/>
  <c r="E137"/>
  <c r="C138"/>
  <c r="D138"/>
  <c r="E138"/>
  <c r="C139"/>
  <c r="D139"/>
  <c r="E139"/>
  <c r="C140"/>
  <c r="D140"/>
  <c r="E140"/>
  <c r="C141"/>
  <c r="D141"/>
  <c r="E141"/>
  <c r="C142"/>
  <c r="D142"/>
  <c r="E142"/>
  <c r="C143"/>
  <c r="D143"/>
  <c r="E143"/>
  <c r="C144"/>
  <c r="D144"/>
  <c r="E144"/>
  <c r="C145"/>
  <c r="D145"/>
  <c r="E145"/>
  <c r="C146"/>
  <c r="D146"/>
  <c r="E146"/>
  <c r="C147"/>
  <c r="D147"/>
  <c r="E147"/>
  <c r="C148"/>
  <c r="D148"/>
  <c r="E148"/>
  <c r="C149"/>
  <c r="D149"/>
  <c r="E149"/>
  <c r="C150"/>
  <c r="D150"/>
  <c r="E150"/>
  <c r="C151"/>
  <c r="D151"/>
  <c r="E151"/>
  <c r="C152"/>
  <c r="D152"/>
  <c r="E152"/>
  <c r="C153"/>
  <c r="D153"/>
  <c r="E153"/>
  <c r="C154"/>
  <c r="D154"/>
  <c r="E154"/>
  <c r="C155"/>
  <c r="D155"/>
  <c r="E155"/>
  <c r="C156"/>
  <c r="D156"/>
  <c r="E156"/>
  <c r="C157"/>
  <c r="D157"/>
  <c r="E157"/>
  <c r="C158"/>
  <c r="D158"/>
  <c r="E158"/>
  <c r="C159"/>
  <c r="D159"/>
  <c r="E159"/>
  <c r="C160"/>
  <c r="D160"/>
  <c r="E160"/>
  <c r="C161"/>
  <c r="D161"/>
  <c r="E161"/>
  <c r="C162"/>
  <c r="D162"/>
  <c r="E162"/>
  <c r="C163"/>
  <c r="D163"/>
  <c r="E163"/>
  <c r="C164"/>
  <c r="D164"/>
  <c r="E164"/>
  <c r="C165"/>
  <c r="D165"/>
  <c r="E165"/>
  <c r="C166"/>
  <c r="D166"/>
  <c r="E166"/>
  <c r="C167"/>
  <c r="D167"/>
  <c r="E167"/>
  <c r="C168"/>
  <c r="D168"/>
  <c r="E168"/>
  <c r="C169"/>
  <c r="D169"/>
  <c r="E169"/>
  <c r="C170"/>
  <c r="D170"/>
  <c r="E170"/>
  <c r="C171"/>
  <c r="D171"/>
  <c r="E171"/>
  <c r="C172"/>
  <c r="D172"/>
  <c r="E172"/>
  <c r="C173"/>
  <c r="D173"/>
  <c r="E173"/>
  <c r="C174"/>
  <c r="D174"/>
  <c r="E174"/>
  <c r="C175"/>
  <c r="D175"/>
  <c r="E175"/>
  <c r="C176"/>
  <c r="D176"/>
  <c r="E176"/>
  <c r="C177"/>
  <c r="D177"/>
  <c r="E177"/>
  <c r="C178"/>
  <c r="D178"/>
  <c r="E178"/>
  <c r="C179"/>
  <c r="D179"/>
  <c r="E179"/>
  <c r="C180"/>
  <c r="D180"/>
  <c r="E180"/>
  <c r="C181"/>
  <c r="D181"/>
  <c r="E181"/>
  <c r="C182"/>
  <c r="D182"/>
  <c r="E182"/>
  <c r="C183"/>
  <c r="D183"/>
  <c r="E183"/>
  <c r="C184"/>
  <c r="D184"/>
  <c r="E184"/>
  <c r="C185"/>
  <c r="D185"/>
  <c r="E185"/>
  <c r="C186"/>
  <c r="D186"/>
  <c r="E186"/>
  <c r="C187"/>
  <c r="D187"/>
  <c r="E187"/>
  <c r="C188"/>
  <c r="D188"/>
  <c r="E188"/>
  <c r="E190"/>
  <c r="E191"/>
  <c r="E192"/>
  <c r="E193"/>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A2"/>
  <c r="B2"/>
  <c r="H2"/>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90"/>
  <c r="H191"/>
  <c r="H192"/>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90"/>
  <c r="J191"/>
  <c r="J192"/>
  <c r="J193"/>
  <c r="N192"/>
  <c r="H193"/>
  <c r="N193"/>
  <c r="K2"/>
  <c r="K195"/>
  <c r="K196"/>
  <c r="O192"/>
  <c r="I2"/>
  <c r="I195"/>
  <c r="I196"/>
  <c r="O193"/>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2"/>
  <c r="E195"/>
  <c r="A244" i="3"/>
  <c r="A243"/>
  <c r="A242"/>
  <c r="A241"/>
  <c r="A240"/>
  <c r="A239"/>
  <c r="A238"/>
  <c r="A237"/>
  <c r="A236"/>
  <c r="A235"/>
  <c r="A234"/>
  <c r="A233"/>
  <c r="A232"/>
  <c r="A231"/>
  <c r="A230"/>
  <c r="A229"/>
  <c r="A228"/>
  <c r="A227"/>
  <c r="A226"/>
  <c r="A225"/>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33" i="2"/>
  <c r="A232"/>
  <c r="A231"/>
  <c r="A230"/>
  <c r="A229"/>
  <c r="A228"/>
  <c r="A227"/>
  <c r="A226"/>
  <c r="A225"/>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A1"/>
  <c r="B6" i="5"/>
  <c r="B3"/>
</calcChain>
</file>

<file path=xl/connections.xml><?xml version="1.0" encoding="utf-8"?>
<connections xmlns="http://schemas.openxmlformats.org/spreadsheetml/2006/main">
  <connection id="1" name="Connection1" type="6" refreshedVersion="0">
    <textPr fileType="mac" sourceFile="Macintosh HD:Users:smooney:streetview:data:items-kathy.csv" comma="1">
      <textFields count="16">
        <textField/>
        <textField/>
        <textField/>
        <textField/>
        <textField/>
        <textField/>
        <textField/>
        <textField/>
        <textField/>
        <textField/>
        <textField/>
        <textField/>
        <textField/>
        <textField/>
        <textField/>
        <textField/>
      </textFields>
    </textPr>
  </connection>
  <connection id="2" name="Connection2" type="6" refreshedVersion="0">
    <textPr fileType="mac" sourceFile="Macintosh HD:Users:smooney:streetview:data:items_with_help_text.csv" tab="0" comma="1">
      <textFields count="16">
        <textField/>
        <textField/>
        <textField/>
        <textField/>
        <textField/>
        <textField/>
        <textField/>
        <textField/>
        <textField/>
        <textField/>
        <textField/>
        <textField/>
        <textField/>
        <textField/>
        <textField/>
        <textField/>
      </textFields>
    </textPr>
  </connection>
  <connection id="3" name="Connection4" type="6" refreshedVersion="0">
    <textPr fileType="mac" sourceFile="Macintosh HD:Users:smooney:Projects:stats:first_20_kappas.csv" comma="1">
      <textFields count="3">
        <textField/>
        <textField/>
        <textField/>
      </textFields>
    </textPr>
  </connection>
  <connection id="4" name="Connection5" type="6" refreshedVersion="0">
    <textPr fileType="mac" sourceFile="Macintosh HD:Users:smooney:Projects:stats:initial_test_kappas.csv" tab="0" comma="1">
      <textFields count="3">
        <textField/>
        <textField/>
        <textField/>
      </textFields>
    </textPr>
  </connection>
</connections>
</file>

<file path=xl/sharedStrings.xml><?xml version="1.0" encoding="utf-8"?>
<sst xmlns="http://schemas.openxmlformats.org/spreadsheetml/2006/main" count="4314" uniqueCount="1207">
  <si>
    <t xml:space="preserve">&lt;p&gt;Choose "some or a lot" rather than "few" if there are at least 3 unique graffiti tags OR at least one very prominent, multi-colored graffiti tag.&lt;/p&gt;&lt;table&gt;&lt;tr&gt;&lt;th&gt;None&lt;/th&gt;&lt;th&gt;Some or a lot&lt;/th&gt;&lt;th&gt;Little&lt;/th&gt;&lt;/tr&gt;&lt;tr&gt;&lt;td&gt;&lt;img src="[no_graffiti.png]"/&gt;&lt;/td&gt;&lt;td&gt;&lt;img src="[some_graffiti.png]"/&gt;&lt;/td&gt;&lt;td&gt;&lt;img src="[little_graffiti.png]"/&gt;&lt;/td&gt;&lt;/tr&gt;&lt;/table&gt; </t>
  </si>
  <si>
    <t xml:space="preserve">&lt;p&gt;Choose "few" rather than "some or a lot" of the litter does not appear to be concentrated.  A few empty cups or scraps of paper should be "little", where a pile or cluster of trash is "some or a lot." &lt;/p&gt;&lt;table&gt;&lt;tr&gt;&lt;th&gt;None&lt;/th&gt;&lt;th&gt;Little&lt;/th&gt;&lt;th&gt;Some or a Lot&lt;/th&gt;&lt;/tr&gt;&lt;tr&gt;&lt;td&gt;&lt;img src="[no_litter.png]"/&gt;&lt;/td&gt;&lt;td&gt;&lt;img src="[little_litter.png]"/&gt;&lt;/td&gt;&lt;td&gt;&lt;img src="[some_litter.png]"/&gt;&lt;/td&gt;&lt;/tr&gt;&lt;/table&gt; </t>
  </si>
  <si>
    <t>&lt;table&gt;&lt;tr&gt;&lt;th&gt;Poor&lt;/th&gt;&lt;th&gt;Fair&lt;/th&gt;&lt;th&gt;Good&lt;/th&gt;&lt;/tr&gt;&lt;tr&gt;&lt;td&gt;&lt;img src="[unattractive.png]"/&gt;&lt;/td&gt;&lt;td&gt;&lt;img src="[neutral.png]"/&gt;&lt;/td&gt;&lt;td&gt;&lt;img src="[attractive.png]"/&gt;&lt;/td&gt;&lt;/tr&gt;&lt;/table&gt;</t>
  </si>
  <si>
    <t>&lt;p&gt;Good: no obvious garbage, Fair: a few wrappers or other litter but nothing really gross, Poor: significant noticeable garbage and/or broken glass.&lt;/p&gt;</t>
  </si>
  <si>
    <t>Describe the overall cleanliness of the street.</t>
  </si>
  <si>
    <t>Item name</t>
    <phoneticPr fontId="2" type="noConversion"/>
  </si>
  <si>
    <t>What is the maximum slope of the segment? (Note: please check the help for the definition of slight hill)</t>
  </si>
  <si>
    <t>&lt;p&gt;None or Very Few: the path is not shaded by any trees (or only one tree) along the segment.(less than 25% is covered) Some: the path is covered between 25 and 75% of the way. Many/Dense: more than 75% of the path is shaded by trees.&lt;/p&gt;&lt;p&gt;Note: Assume this question is asking about the shade you'd expect in the middle of the day in the summer.  That is, if you see deciduous trees with no leaves (because the street view imagery was taken in winter), rate the street as though there were leaves.  If there are big trees but they don't shade the path in the image because the image was taken early in the morning, try to guess how much of the path would be shaded around noon.&lt;/p&gt;&lt;p&gt;Note also: the "path" here indicates where you would walk if you were walking down the segment.  For example, for a quite street with no explicit path and dense enough foliage next to the road so that you would actually walk in the street, consider the shade along the side of the street.&lt;/p&gt;</t>
  </si>
  <si>
    <t>How many trees shade the walking area? (This question is about amount of shade, not about number of trees -- see help for more information.)</t>
  </si>
  <si>
    <t>&lt;p&gt;&lt;img src="[public_art.png]"/&gt;&lt;/p&gt;</t>
  </si>
  <si>
    <t xml:space="preserve">&lt;p&gt;Choose "some or a lot" rather than "few" if there are at least 3 abandoned buildings OR at least 50% of buildings on the segment appear abandoned.&lt;/p&gt;&lt;p&gt;&lt;img src="[abandoned_building.png]"/&gt;&lt;/p&gt; </t>
  </si>
  <si>
    <t xml:space="preserve">&lt;p&gt;Choose "some or a lot" rather than "few" if there are at least 3 dumpsters visible.&lt;/p&gt;&lt;table&gt;&lt;tr&gt;&lt;th&gt;None&lt;/th&gt;&lt;th&gt;Little&lt;/th&gt;&lt;th&gt;Some or a lot&lt;/th&gt;&lt;/tr&gt;&lt;tr&gt;&lt;td&gt;&lt;img src="[no_dumpsters.png]"/&gt;&lt;/td&gt;&lt;td&gt;&lt;img src="[little_dumpsters.png]"/&gt;&lt;/td&gt;&lt;td&gt;&lt;img src="[some_dumpsters.png]"/&gt;&lt;/td&gt;&lt;/tr&gt;&lt;/table&gt; </t>
  </si>
  <si>
    <t>&lt;p&gt;Only public use garbage cans count. Residential garbage cans do not count.&lt;/p&gt;</t>
  </si>
  <si>
    <t>&lt;p&gt;are there obvious public restrooms on this segment that are clearly open to the public?&lt;/p&gt; &lt;p&gt;&lt;img src="[public_restrooms.png]"/&gt;&lt;/p&gt;</t>
  </si>
  <si>
    <t>&lt;p&gt;Count all the visible street-level planters on your side of the block and within 10 ft of the sidewalk edge. This includes planters on private and public property but not those inside enclosed parks or gardens.&lt;/p&gt;&lt;p&gt;Any potted arrangement of trees, shrubs, or flowers that are smaller than 10 ft square at their base. The planter should appear to be permanent (not able to be brought inside at the end of the day) but not in-ground.&lt;/p&gt;&lt;table&gt;&lt;tr&gt;&lt;th&gt;2 Planters&lt;/th&gt;&lt;th&gt;No planters (these are in-ground and permanent)&lt;/th&gt;&lt;/tr&gt;&lt;tr&gt;&lt;td&gt;&lt;img src='[planters_1.png]'/&gt;&lt;/td&gt;&lt;td&gt;&lt;img src='[planters_2.png]'/&gt;&lt;/td&gt;&lt;/tr&gt;&lt;/table&gt;</t>
  </si>
  <si>
    <t>How many small planters are there? (This includes planters outside residences)</t>
  </si>
  <si>
    <t>&lt;table&gt;&lt;tr&gt;&lt;th&gt;Flat: there is no discernable hill walking the segment. &lt;/th&gt;&lt;th&gt;Slight Hill: there is a slight hill in the segment, but not enough to make walking uphill difficult.&lt;/th&gt;&lt;th&gt;Steep Hill:  the hill in the segment makes walking or biking it difficult.&lt;/th&gt;&lt;/tr&gt;&lt;tr&gt;&lt;td&gt;&lt;img src="[slope_flat.png]"/&gt;&lt;/td&gt;&lt;td&gt;&lt;img src="[slope_slight_hill.png]"/&gt;&lt;/td&gt;&lt;td&gt;&lt;img src="[slope_steep_hill.png]"/&gt;&lt;/td&gt;&lt;/tr&gt;&lt;/table&gt;</t>
  </si>
  <si>
    <t>&lt;p&gt;&lt;img src="[benches.png]"/&gt;&lt;/p&gt;&lt;p&gt;The scale here refers to the amount of sitting space, not the number of discrete objects, so one long ledge along a streetside could count as a lot.&lt;/p&gt;</t>
  </si>
  <si>
    <t>5. number of pieces of street furniture (your side, within study area)</t>
  </si>
  <si>
    <t>&lt;p&gt;Furniture intended for people.  Benches, chairs, tables, etc.  However, do not count tables and chairs for outdoor dining.&lt;/p&gt;</t>
  </si>
  <si>
    <t>How many pieces of street furniture are there? (bus stop benches count -- see help for more specifics)</t>
  </si>
  <si>
    <t>5. number of other street items (your side, within study area)</t>
  </si>
  <si>
    <t>&lt;p&gt;Other objects intended for humans. Lamps posts, newspaper and mail boxes, bus station furniture, information booths, ATMs, small potted plants, umbrellas, trash cans, flags, railings, balloons(1 per bunch), merchandise stands, or pedestrian-scale street lights. However, if chairs are not associated with outdoor tables, count each chair or stack of chairs. Where there are both stacked tables and chairs, count each table only.&lt;/p&gt;</t>
  </si>
  <si>
    <t>How many other street items are there? (street items are objects for people -- see help for more specifics)</t>
  </si>
  <si>
    <t>&lt;p&gt;A wayfinding aid is a sign identifying the name of the cross streets. Any sign visible from the segment at the pedestrian level counts as a wayfinding aid, even if it is actually located on another segment.&lt;/p&gt;&lt;p&gt;&lt;img src="[wayfinding_aid.png]"/&gt;&lt;/p&gt;</t>
  </si>
  <si>
    <t>Are there wayfinding aids?  (Note that this includes street signs)</t>
  </si>
  <si>
    <t>&lt;p&gt;Prominent natural landscape views like bodies of water, moutain ranges, or man-made features that incorporate the natural environment; serve as natural landmarks for orientation or reference. Parks do not count as major landscape features.&lt;/p&gt;</t>
  </si>
  <si>
    <t>&lt;p&gt;Courtyard: a permanent space which people are intended/able to enter -Plaza: large open space (bigger than 15ft square), often with art, plants, or associated with buildings. -Park: place intended for human use/recreation; often with greenery, a playground, etc. Garden: enterable and larger than 10ft square. All features should be accessible.&lt;/p&gt;</t>
  </si>
  <si>
    <t>Most</t>
  </si>
  <si>
    <t>No non-residential buildings present</t>
  </si>
  <si>
    <t>&lt;p&gt;Note the amount of active-use buildings that are on your side within the study area. If a building is active, assume all sides are active (even blank walls). Record the proportion of the total block (between 1 and 100). Active use building: one in which there is frequent pedestrian traffic (more than 5 people could be expected to enter/exit if you were rating the block in person at a busy time of the day). Always active: parks, stores, restaurants, attached/apartment-style residential buildings, hospitals, and schools. Always inactive: construction sites, parking lots, churches, detached/single residence units, and vacant or abandoned lots. &lt;/p&gt;</t>
  </si>
  <si>
    <t>&lt;p&gt;Note: count only markers that identify the neighborhood -- monuments or banners identifying a particular building or a campus should not count.&lt;/p&gt;&lt;p&gt;Some examples of monuments:&lt;/p&gt;&lt;p&gt;&lt;img src="[monuments.png]"&gt;&lt;/p&gt;&lt;p&gt;Some examples of banners:&lt;/p&gt;&lt;p&gt;&lt;img src="[banners.png]"&gt;&lt;/p&gt;</t>
  </si>
  <si>
    <t>&lt;p&gt;Count individual pieces of public art that are within the study area or intended for viewing from the sidewalk. Public art: monuments, sculptures, murals, and any artistic display that has free access. Art must be the size of a small person or have clear identification indicating its status as art.&lt;/p&gt;</t>
  </si>
  <si>
    <t>&lt;p&gt;&lt;img src="[outdoor_dining.png]"/&gt; &lt;p&gt; cafes, outdoor tables at coffeeshops and plazas, etc &lt;/p&gt; &lt;p&gt;Choose "some or a lot" rather than "few" if there are at least 3 outdoor dining locations OR at least 50% of buildings on the segment have associated outdoor dining areas.&lt;/p&gt;</t>
  </si>
  <si>
    <t>How many long sight lines can you see - front, left, and right? (Note that these sight lines can appear anywhere along the block -- see help for more info)</t>
  </si>
  <si>
    <t>&lt;p&gt;Assess the percentage of sky visible in your frame of vision. Record the estimated proportion (between 1 and 100). Make sure you are at the beginning of the block just past the cross-street. Sky visible through a glass obstruction does not count as visible sky.&lt;/p&gt;</t>
  </si>
  <si>
    <t>What proportion of the view ahead is sky at the start of the segment?</t>
  </si>
  <si>
    <t>&lt;table&gt;&lt;tr&gt;&lt;th&gt;Significant open view&lt;/th&gt;&lt;th&gt;No significant open view&lt;/th&gt;&lt;/tr&gt;&lt;tr&gt;&lt;td&gt;&lt;img src="[significant_open_view.png]"&gt;&lt;/td&gt;&lt;td&gt;&lt;img src="[no_significant_open_view.png]"&gt;&lt;/td&gt;&lt;/tr&gt;&lt;/table&gt;</t>
  </si>
  <si>
    <t>Is there a significant open view of an object not on the block?  (e.g. mountains, ocean, landmark buildings, etc.)</t>
  </si>
  <si>
    <t>&lt;p&gt;Blank walls have no windows or doors meant to be opened from outside.&lt;/p&gt;&lt;p&gt;Choose "some or a lot" rather than "few" if there are at least 3 buildings with blank walls OR at least 50% of buildings on the segment have blank walls.&lt;/p&gt;&lt;p&gt;Picture of a blank wall:&lt;/p&gt;&lt;p&gt;&lt;img src="[blank_wall.png]"/&gt;&lt;/p&gt;</t>
  </si>
  <si>
    <t>How many buildings have blank walls?  (only blank walls facing the segment count)</t>
  </si>
  <si>
    <t>&lt;p&gt;Note the proportion of street-level facade on your side covered by windows of any size. Record the proportion of the whole block length (between 1 and 100) covered by street-level windows.&lt;/p&gt;</t>
  </si>
  <si>
    <t>&lt;p&gt;Little or no articulation: the facades of buildings along the segment are unadorned and do not have many window openings. Some articulation: the facades of buildings along the segment are similar in style and/or are not very ornate. Highly articulated: the facades of buildings along the segment are complex and varied.&lt;/p&gt;&lt;table&gt;&lt;tr&gt;&lt;th&gt;No Articulation&lt;/th&gt;&lt;th&gt;Some Articulation&lt;/th&gt;&lt;th&gt;Highly Articulated&lt;/th&gt;&lt;/tr&gt;&lt;tr&gt;&lt;td&gt;&lt;img src="[no_articulation.png]"/&gt;&lt;/td&gt;&lt;td&gt;&lt;img src="[some_articulation.png]"/&gt;&lt;/td&gt;&lt;td&gt;&lt;img src="[high_articulation.png]"/&gt;&lt;/td&gt;&lt;/tr&gt;&lt;/table&gt;</t>
  </si>
  <si>
    <t>&lt;p&gt;This question regards the distance a pedestrian can see from the segment and how that affects the street's feel.  Little or no enclosure: the view from the sidewalk is open in both directions for more than 15 feet for most of the segment. It is wide-open, unconstrained space. Some: the view is partially enclosed, but there are still some wide-open spaces. Highly enclosed: the buildings lining the street are within 10 feet of the sidewalk and there is a cross-sectional design ratio of approximately one(height) to two(width), or less, where the width is the width from the street's center to the street wall. Note: Take into account both the buildings and natural features (trees, bushes etc.)&lt;/p&gt;&lt;p&gt;&lt;table&gt;&lt;tr&gt;&lt;th&gt;No Enclosure&lt;/th&gt;&lt;/tr&gt;&lt;tr&gt;&lt;td&gt;&lt;img src='[no_enclosure.png]'/&gt;&lt;/td&gt;&lt;/tr&gt;&lt;tr&gt;&lt;th&gt;Some Enclosure&lt;/th&gt;&lt;/tr&gt;&lt;tr&gt;&lt;td&gt;&lt;img src='[some_enclosure.png]'/&gt;&lt;/td&gt;&lt;/tr&gt;&lt;tr&gt;&lt;th&gt;Highly enclosed&lt;/th&gt;&lt;/tr&gt;&lt;td&gt;&lt;img src='[high_enclosure.png]'/&gt;&lt;/td&gt;&lt;/tr&gt;&lt;/table&gt;&lt;p&gt;Alternately, consider the schmatic view of enclosure:&lt;/p&gt;&lt;p&gt;&lt;img src='[enclosure.png]'&gt;&lt;/p&gt;</t>
  </si>
  <si>
    <t>What is the maximum degree of enclosure on the segment?  (See help for a detailed definition of enclosure)</t>
  </si>
  <si>
    <t>&lt;p&gt;Note the proportion of your side of block that consists of a street wall of the total block length. Record the proportion estimates (between 1 and 100).&lt;/p&gt;</t>
  </si>
  <si>
    <t>&lt;p&gt;If the setbacks vary along the segment, pick the setback distance that best describes the plurality of setbacks.&lt;/p&gt;&lt;table&gt;&lt;tr&gt;&lt;th&gt;Edge&lt;/th&gt;&lt;th&gt;Within 20 feet&lt;/th&gt;&lt;th&gt;More than 20 feet&lt;/th&gt;&lt;/tr&gt;&lt;tr&gt;&lt;td&gt;&lt;img src="[edge_of_sidewalk.png]"/&gt;&lt;/td&gt;&lt;td&gt;&lt;img src="[20_feet_of_sidewalk.png]"/&gt;&lt;/td&gt;&lt;td&gt;&lt;img src="[morethan20feet.png]"/&gt;&lt;/td&gt;&lt;/tr&gt;&lt;/table&gt;</t>
  </si>
  <si>
    <t>How far are most buildings set back from the sidewalk?</t>
  </si>
  <si>
    <t>&lt;p&gt;long sight lines (count-0: min, 3: max) : the ability to see at least 1000ft or about 3 city blocks into the distance at any point during your observation through the block. Do not count views down cross streets on ends of blocks. &lt;/p&gt;</t>
  </si>
  <si>
    <t>How many buildings with nonrectangular shapes do you see? (Note that pitched roofs a pedestrian can see make a building non-rectangular; please read the help for this question at least once)</t>
  </si>
  <si>
    <t>&lt;p&gt;A segment where more than 50% of the segment has buildings&lt;/p&gt;&lt;p&gt;This means that 50% or more of the land is developed with buildings (i.e. not vacant lots, parking lots, parks, or other land uses that are not associated with buildings).  Note that this does not require that 50% of the land space is covered by buildings -- a segment through a fully built-out large-lot suburban development should count as having 50% buildings even if, say, 20% of the ground is built over.&lt;/p&gt;&lt;p&gt;&lt;img src="[building.png]"/&gt;&lt;/p&gt;</t>
  </si>
  <si>
    <t>&lt;p&gt;This question concerns bars to keep intruders out:&lt;/p&gt;&lt;p&gt;&lt;img src="[window_bars.png]"/&gt;&lt;/p&gt;&lt;p&gt;Please do not count bars to keep children in:&lt;/p&gt;&lt;p&gt;&lt;img src="[child_guards.jpg]"/&gt;&lt;/p&gt;&lt;p&gt;Choose "some or a lot" rather than "few" if there are at least 3 buildings with bars on the windows OR at least 50% of residences on the segment have bars on the windows.&lt;/p&gt;</t>
  </si>
  <si>
    <t xml:space="preserve">&lt;p&gt;Choose "some or a lot" rather than "few" if there are at least 3 buildings with garage doors facing the street OR at least 50% of residences on the segment have garage doors facing the street.&lt;/p&gt;&lt;table&gt;&lt;tr&gt;&lt;th&gt;None&lt;/th&gt;&lt;th&gt;Few&lt;/th&gt;&lt;th&gt;Some or a lot&lt;/th&gt;&lt;/tr&gt;&lt;tr&gt;&lt;td&gt;&lt;img src="[no_garage.png]"/&gt;&lt;/td&gt;&lt;td&gt;&lt;img src="[few_garages.png]"/&gt;&lt;/td&gt;&lt;td&gt;&lt;img src="[some_garages.png]"/&gt;&lt;/td&gt;&lt;/tr&gt;&lt;/table&gt; </t>
  </si>
  <si>
    <t>How many buildings have garage doors facing the street?</t>
  </si>
  <si>
    <t>MIUDQ-22==0||Minn-Irvine-133==2</t>
  </si>
  <si>
    <t>&lt;p&gt;Note that this question is asking about the prominance of garage doors that exist, not the prominance of garage doors on the street.  So if there's only one garage door on a 20-house street, but that garage's door is very prominant, pick very prominent as the answer.&lt;/p&gt;&lt;table&gt;&lt;tr&gt;&lt;th&gt;Very prominent&lt;/th&gt;&lt;th&gt;Somewhat prominent&lt;/th&gt;&lt;th&gt;Not very prominent&lt;/th&gt;&lt;/tr&gt;&lt;td&gt;&lt;img src="[very_prominent_garage.png]"/&gt;&lt;/td&gt;&lt;td&gt;&lt;img src="[somewhat_prominent.png]"/&gt;&lt;/td&gt;&lt;td&gt;&lt;img src="[not_very_prominent.png]"/&gt;&lt;/td&gt;&lt;/tr&gt;&lt;/table&gt;</t>
  </si>
  <si>
    <t>&lt;p&gt;Those built before WWll. Post WWll buildings have lots of glass, interesting lighting, and look very simple or geometric.&lt;/p&gt;</t>
  </si>
  <si>
    <t>&lt;p&gt;Count the number of distinct basic colors represented on buildings.  Select colors from this list: red, orange, yellow, green, blue, purple, brown, black, white and gray.Basic colors indicate that the colors used for the majority of the facade.&lt;/p&gt;</t>
  </si>
  <si>
    <t>&lt;p&gt;Count the number of distinct basic colors represented on buildings.  Select colors from this list: red, orange, yellow, green, blue, purple, brown, black, white and gray.  Accent colors are the colors used for building trims and roofs, street objects, awnings, signs, etc.&lt;/p&gt;</t>
  </si>
  <si>
    <t>&lt;p&gt;Non-rectangular shapes: Those that do not have simple rectangular profiles from at least one angle as seen by the passing pedestrian: Pitched roofs, ornamental trim, dormers, etc. Qualify buildings as non-rectangular, but not awnings, signage, and porches.&lt;/p&gt;</t>
  </si>
  <si>
    <t>&lt;p&gt;This includes corner lot buildings and all buildings enterable from the study area only.    Visible buildings can be distinguished by separate doors, architecture, colors, etc.&lt;/p&gt;&lt;p&gt;If you are unsure whether a given structure should count as one building or multiple buildings, consider whether it appears that each sub-section of the structure could stand on its own without major renovations if its neighbors were removed.  For example, older attached rowhouses were often built to be able to stand independantly, but more recent duplexes were typically built as a single building.&lt;/p&gt;&lt;p&gt;In a campus environment, count only buildings that are within 100 feet of the sidewalk.&lt;/p&gt;&lt;p&gt;Do not count detached garages unless they appear to have other uses associated with them (e.g. a studio above the garage).&lt;/p&gt;</t>
  </si>
  <si>
    <t>MIUDQ-22==0</t>
  </si>
  <si>
    <t xml:space="preserve">&lt;table&gt;&lt;tr&gt;&lt;th&gt;1-2 stories&lt;/th&gt;&lt;th&gt;3-4 stories&lt;/th&gt;&lt;th&gt;5 or more stories&lt;/th&gt;&lt;/tr&gt;&lt;tr&gt;&lt;td&gt;&lt;img src="[one_two_stories.png]"/&gt;&lt;/td&gt; &lt;td&gt;&lt;img src="[three_four_stories.png]"/&gt;&lt;/td&gt; &lt;td&gt;&lt;img src="[five_more_stories.png]"/&gt;&lt;/td&gt;&lt;/tr&gt;&lt;/table&gt; </t>
  </si>
  <si>
    <t>How many stories are most buildings on the segment?  (Do not count basements)</t>
  </si>
  <si>
    <t>5+ stories</t>
  </si>
  <si>
    <t>3-4 stories</t>
  </si>
  <si>
    <t>&lt;p&gt;Front porches are designated spaces on the front of the building that are large enough to accommodate two or more chairs for sitting. Chairs need not be present to count as a front porch. Porches can vary in size and type but should be elevated off the ground.  Porches typically function as an 'outdoor room.' &lt;/p&gt;&lt;p&gt;Choose "some or a lot" rather than "few" if there are at least 3 porches OR at least 50% of residences on the segment have front porches.&lt;/p&gt;&lt;p&gt;&lt;img src="[front_porch.png]"/&gt;&lt;/p&gt;</t>
  </si>
  <si>
    <t>How many buildings have front porches (porches large enough to sit on)?</t>
  </si>
  <si>
    <t>&lt;p&gt;Factories, mills, industrial complexes, etc.&lt;/p&gt;</t>
  </si>
  <si>
    <t>Streetview-1==1||PEDS-1.6==1</t>
  </si>
  <si>
    <t>&lt;p&gt;Industrial uses are intended to include job locations; do not count, say, electrical substations or warehouses.&lt;p&gt;</t>
  </si>
  <si>
    <t>&lt;p&gt;Choose "some or a lot" rather than "few" if there are at least 3 buildings with mixed-use OR at least 50% of buildings on the segment are mixed-use.&lt;/p&gt;&lt;p&gt;&lt;img src="[mixed_use.png]"&gt;&lt;/p&gt;</t>
  </si>
  <si>
    <t>&lt;p&gt;&lt;img src="[big_box.png]"&gt;&lt;/p&gt;</t>
  </si>
  <si>
    <t>&lt;p&gt;&lt;img src="[shopping_mall.png]"&gt;&lt;/p&gt;</t>
  </si>
  <si>
    <t>&lt;p&gt;A strip mall is a building with only ground floor retail uses and parking between the street and the shops.&lt;/p&gt;&lt;p&gt;&lt;img src="[strip_mall.png]"&gt;&lt;/p&gt;</t>
  </si>
  <si>
    <t>Is there a strip mall?</t>
  </si>
  <si>
    <t>&lt;p&gt;&lt;img src="[drive_through.png]"&gt;&lt;/p&gt;</t>
  </si>
  <si>
    <t>Is there a drive-through?</t>
  </si>
  <si>
    <t>&lt;p&gt;&lt;img src="[night_club.png]"&gt;&lt;/p&gt;</t>
  </si>
  <si>
    <t>&lt;p&gt;&lt;img src="[adult_uses.png]"&gt;&lt;/p&gt;</t>
  </si>
  <si>
    <t>&lt;p&gt;&lt;img src="[liquor_store.png]"&gt;&lt;/p&gt;</t>
  </si>
  <si>
    <t>&lt;p&gt;&lt;img src="[restaurant.png]"&gt;&lt;/p&gt;</t>
  </si>
  <si>
    <t>&lt;p&gt;&lt;img src="[coffee_shop.png]"&gt;&lt;/p&gt;</t>
  </si>
  <si>
    <t>Are there any coffee shops?</t>
  </si>
  <si>
    <t>&lt;p&gt;&lt;img src="[bookstore.png]"&gt;&lt;/p&gt;</t>
  </si>
  <si>
    <t>&lt;p&gt;&lt;img src="[convenience_store.png]"&gt;&lt;/p&gt;</t>
  </si>
  <si>
    <t>Is there a convenience store or bodega?</t>
  </si>
  <si>
    <t>&lt;p&gt;&lt;img src="[open_field.png]"&gt;&lt;/p&gt;</t>
  </si>
  <si>
    <t>Is there an open field or golf course? (cropland does not count)</t>
  </si>
  <si>
    <t>&lt;p&gt;&lt;img src="[lake.png]"&gt;&lt;/p&gt;</t>
  </si>
  <si>
    <t>&lt;p&gt;&lt;img src="[fountain.png]"&gt;&lt;/p&gt;</t>
  </si>
  <si>
    <t>&lt;p&gt;&lt;img src="[stream.png]"&gt;&lt;/p&gt;</t>
  </si>
  <si>
    <t>&lt;p&gt;&lt;img src="[forest.png]"&gt;&lt;/p&gt;</t>
  </si>
  <si>
    <t>&lt;p&gt;&lt;img src="[ocean.png]"&gt;&lt;/p&gt;</t>
  </si>
  <si>
    <t>&lt;p&gt;&lt;img src="[mountain.png]"&gt;&lt;/p&gt;</t>
  </si>
  <si>
    <t>&lt;p&gt;&lt;img src="[desert.png]"&gt;&lt;/p&gt;</t>
  </si>
  <si>
    <t>&lt;p&gt;Duplexes can be identified by multiple front doors, multiple mailboxes or multiple garage doors.&lt;p&gt;&lt;table&gt;&lt;tr&gt;&lt;td&gt;&lt;img src="[attached_single_family_housing_1.png]"/&gt;&lt;/td&gt;&lt;td&gt;&lt;img src="[attached_single_family_housing_2.png]"/&gt;&lt;/td&gt;&lt;/tr&gt;&lt;/table&gt;</t>
  </si>
  <si>
    <t>&lt;p&gt;&lt;img src="[townhouse_condo.png]"/&gt;&lt;/p&gt;</t>
  </si>
  <si>
    <t>&lt;p&gt;Note that an RV that does not appear to be used as a permanent residence does not count.&lt;/p&gt;&lt;p&gt;&lt;img src="[mobile_home.png]"/&gt;&lt;/p&gt;</t>
  </si>
  <si>
    <t>Is there a high school? (If there's a school and you're not sure what grade level it is or it spans junior high and high school, pick no)</t>
  </si>
  <si>
    <t>Is there any other kind of school? (If there's a school and you're not sure what grade level it is or it spans junior high and high school, pick yes)</t>
  </si>
  <si>
    <t>&lt;p&gt;Plazas and squares are public or semi-public places where people can gather.&lt;/p&gt;&lt;p&gt;&lt;img src="[plazas_squares.png]"/&gt;&lt;/p&gt;</t>
  </si>
  <si>
    <t>&lt;p&gt;Any space that seems intended for public use and is open to the public but not included in above categories or specifically commercial or industrial.  Note that streets and sidewalks do not count for this purpose.  Does not need to be publicly owned.&lt;/p&gt;</t>
  </si>
  <si>
    <t>Streetview-1==1||Minn-Irvine-34==1</t>
  </si>
  <si>
    <t>Is there any other kind of public (i.e. government or quasi-government) building?</t>
  </si>
  <si>
    <t>Commercial use implies that commerce will take place here, so a manufacturing use is not a commercial use unless it has an in-building retail outlet.</t>
  </si>
  <si>
    <t>Is there any other commercial land use? (Not included in the above land uses)</t>
  </si>
  <si>
    <t>Are there offices?  (i.e. buildings where white-collar work take place)</t>
  </si>
  <si>
    <t>Is any other barrier to walking present? (Note: a barrier is something that significantly hinders walking, not just something annoying to pedestrians)</t>
  </si>
  <si>
    <t>Minn-Irvine-98!=1</t>
  </si>
  <si>
    <t>Can that barrier be overcome?</t>
  </si>
  <si>
    <t>&lt;p&gt;&lt;img src="[railroad_track.png]"&gt;&lt;/p&gt;</t>
  </si>
  <si>
    <t>Is a railroad track present?</t>
  </si>
  <si>
    <t>Minn-Irvine-93!=1</t>
  </si>
  <si>
    <t>Is that railroad track a barrier to walking?</t>
  </si>
  <si>
    <t>&lt;p&gt;&lt;img src="[river.png]"&gt;&lt;/p&gt;</t>
  </si>
  <si>
    <t>Is a river present?</t>
  </si>
  <si>
    <t>Minn-Irvine-95!=1</t>
  </si>
  <si>
    <t>Is there any light industrial (small) land use?</t>
  </si>
  <si>
    <t>&lt;p&gt;This category includes warehouses that aren't part of warehouse stores.&lt;/p&gt;</t>
  </si>
  <si>
    <t>&lt;p&gt;Cleaned or cleared off lots, naturally occurring vegetation, natural features such as lakes and rivers.&lt;/p&gt;</t>
  </si>
  <si>
    <t>Is a road with 6+ lanes present?  (This includes both the street being rated and cross-streets at the start and end of the street being rated)</t>
  </si>
  <si>
    <t>Minn-Irvine-97!=1</t>
  </si>
  <si>
    <t>Is that road a barrier to walking?</t>
  </si>
  <si>
    <t>&lt;p&gt;Determine whether there are sufficient opportunities for the average individual to cross the street conveniently at this location. Answer yes if a typical person would not feel that he or she had to go noticeably out of his or her way to cross the street at a designated location. Also answer yes if the typical person would not be discouraged from crossing the street because designated places for crossing are too far away. If the intersection is a cul de sac, mark N/A.&lt;/p&gt;</t>
  </si>
  <si>
    <t>For an individual on this segment, how convenient (traffic-wise) do you think it is to cross the street from this segment?  (Note: the street in question is the street along the segment being rated, not any cross streets.)</t>
  </si>
  <si>
    <t>&lt;p&gt;office parks, corporate campuses, public buildings, schools, churches, hospitals etc. This also includes professional offices in residential buildings (dentist, lawyer, doctor, accountant, etc.), &lt;img src="[office_institutional.png]"/&gt;&lt;/p&gt;</t>
  </si>
  <si>
    <t>&lt;p&gt;restaurants, stores, malls, and gas stations etc. &lt;img src="[office_institutional.png]"/&gt;&lt;/p&gt;</t>
  </si>
  <si>
    <t>&lt;p&gt;&lt;img src="[recreation.png]"/&gt;&lt;/p&gt;</t>
  </si>
  <si>
    <t>&lt;p&gt;&lt;img src="[single_family_housing.png]"/&gt;&lt;/p&gt;</t>
  </si>
  <si>
    <t>&lt;p&gt;&lt;img src="[busstop_shelter.png]"/&gt;, &lt;img src="[busstop_with_bench.png]"/&gt;, &lt;img src="[busstop_with_sign.png]"/&gt;&lt;/p&gt;</t>
  </si>
  <si>
    <t>Are there any mobile homes? (Do not count RVs that don't appear to be used as permanent residences)</t>
  </si>
  <si>
    <t>Streetview</t>
  </si>
  <si>
    <t>Non-residential</t>
  </si>
  <si>
    <t>Are there any non-residential land uses?</t>
  </si>
  <si>
    <t>Elementary or junior high school</t>
  </si>
  <si>
    <t>Streetview-1==1</t>
  </si>
  <si>
    <t>Is there an Elementary or junior high school? (If there's a school and you're not sure what grade level it is or it spans junior high and high school, pick no)</t>
  </si>
  <si>
    <t>&lt;p&gt;No lighting: there is no artificial lighting in the area, Road-oriental lighting: there are public light fixtures that aim light at the road or are very high and illuminate broad expanses. Pedestrian-scale lighting: there are public light fixtures that aim light at the walking path. Other lighting: lighting from store, apartment etc. that lights the road and/or ped path.&lt;/p&gt;&lt;p&gt;Note: please include lighting that lights the road from either side but exclude pedestrian-oriented lighting that doesn't light the side of the street that's being rated.&lt;/p&gt;</t>
  </si>
  <si>
    <t xml:space="preserve">&lt;p&gt;Note that this question assesses the visual impact of the wiring, so wires on the other side of the segment do count.&lt;/p&gt;&lt;table&gt;&lt;tr&gt;&lt;th&gt;None&lt;/th&gt;&lt;th&gt;Little&lt;/th&gt;&lt;th&gt;Some&lt;/th&gt;&lt;/tr&gt;&lt;tr&gt;&lt;td&gt;&lt;img src="[no_wiring.png]"/&gt;&lt;/td&gt;&lt;td&gt;&lt;img src="[little_wiring.png]"/&gt;&lt;/td&gt;&lt;td&gt;&lt;img src="[some_wiring.png]"/&gt;&lt;/td&gt;&lt;/tr&gt;&lt;tr&gt;&lt;td&gt;&lt;/td&gt;&lt;td&gt;Random note: this coffee shop is a short walk from Steve's old house in Seattle.  Good coffee!&lt;/td&gt;&lt;td&gt;&lt;/td&gt;&lt;/tr&gt;&lt;/table&gt; </t>
  </si>
  <si>
    <t xml:space="preserve">&lt;table&gt;&lt;tr&gt;&lt;th&gt;None&lt;/th&gt;&lt;th&gt;Few&lt;/th&gt;&lt;th&gt;Some&lt;/th&gt;&lt;/tr&gt;&lt;tr&gt;&lt;td&gt;&lt;img src="[no_billboards.png]"/&gt;&lt;/td&gt;&lt;td&gt;&lt;img src="[few_billboards.png]"/&gt;&lt;/td&gt;&lt;td&gt;&lt;img src="[some_billboards.png]"/&gt;&lt;/td&gt;&lt;/tr&gt;&lt;/table&gt; </t>
  </si>
  <si>
    <t>&lt;p&gt;&lt;img src="[drainage_ditch.png]"&gt;&lt;/p&gt;</t>
  </si>
  <si>
    <t>Is a drainage ditch present?</t>
  </si>
  <si>
    <t>Present</t>
  </si>
  <si>
    <t>Minn-Irvine-96!=1</t>
  </si>
  <si>
    <t>Can the drainage ditch be overcome</t>
  </si>
  <si>
    <t>No destinations on far side</t>
  </si>
  <si>
    <t>&lt;p&gt;&lt;img src="[highway.png]"&gt;&lt;/p&gt;</t>
  </si>
  <si>
    <t>Is a highway (elevated or below ground) present?</t>
  </si>
  <si>
    <t>Minn-Irvine-92!=1</t>
  </si>
  <si>
    <t>Is the highway a barrier to walking?</t>
  </si>
  <si>
    <t>&lt;p&gt;&lt;img src="[impassable_land_use.png]"&gt;&lt;/p&gt;</t>
  </si>
  <si>
    <t>Is an impassable land use (e.g. gated community, major industrial complex) present?</t>
  </si>
  <si>
    <t>Minn-Irvine-94!=1</t>
  </si>
  <si>
    <t>Is the impassable land use a barrier to walking?</t>
  </si>
  <si>
    <t>&lt;p&gt;&lt;img src="[fence_hedges.png]"/&gt;&lt;/p&gt;&lt;p&gt;Note that the hedge need not run the length of the segment, just be present for some of it.&lt;/p&gt;</t>
  </si>
  <si>
    <t>Is that river a barrier to walking?</t>
  </si>
  <si>
    <t>&lt;p&gt;&lt;img src="[8_lanes.png]"&gt;&lt;/p&gt;</t>
  </si>
  <si>
    <t>&lt;p&gt;&lt;img src="[landscape_grass.png]"/&gt;&lt;/p&gt;&lt;p&gt;Note that the landscaping need not run the length of the segment, just be present for some of it.&lt;/p&gt;</t>
  </si>
  <si>
    <t>Is there landscaping between the road and the path/sidewalk? (Note that grass is not landscaping for the purpose of this question)</t>
  </si>
  <si>
    <t>&lt;p&gt;&lt;img src="[trees_grass.png]"/&gt;&lt;/p&gt;&lt;p&gt;Note that the grass need not run the length of the segment, just be present for some of it.&lt;/p&gt;</t>
  </si>
  <si>
    <t>&lt;p&gt;Cars in driveways that block the sidewalk should be counted.  An object is only a path obstruction if it severely reduces or completely blocks off the pedestrian facility. &lt;/p&gt;</t>
  </si>
  <si>
    <t>&lt;p&gt;An object is only a path obstruction if it severely reduces or completely blocks off the pedestrian facility. Threshold: Could you get by in wheelchair or while pushing a stroller? For this question, you are looking at potential obstructions on ALL pedestrian facilities on the street. If there are two sidewalks and only one has obstructions, please write down those obstructions.&lt;/p&gt;</t>
  </si>
  <si>
    <t>&lt;p&gt;An object is only a path obstruction if it severely reduces or completely blocks off the pedestrian facility. Threshold: Could you get by in wheelchair or while pushing a stroller? For this question, you are looking at potential obstructions on ALL pedestrian facilities on the street. If there are two sidewalks and only one has obstructions, please write those obstructions.&lt;/p&gt;</t>
  </si>
  <si>
    <t>&lt;p&gt;&lt;img src="[arcade.png]"/&gt;&lt;/p&gt;</t>
  </si>
  <si>
    <t>&lt;p&gt;&lt;img src="[awning.png]"/&gt;&lt;/p&gt;</t>
  </si>
  <si>
    <t>&lt;p&gt;&lt;img src="[concrete.png]"/&gt;&lt;/p&gt;</t>
  </si>
  <si>
    <t>&lt;p&gt;&lt;img src="[bricks_stone.png]"/&gt;&lt;/p&gt;</t>
  </si>
  <si>
    <t>&lt;p&gt;&lt;img src="[gravel.png]"/&gt;&lt;/p&gt;</t>
  </si>
  <si>
    <t>&lt;p&gt;&lt;img src="[dirt_sand.png]"/&gt;&lt;/p&gt;</t>
  </si>
  <si>
    <t>&lt;p&gt;a paved trail is any paved walkway that is not associated with a roadway.&lt;img src="[paved_trail.png]"/&gt;&lt;/p&gt;</t>
  </si>
  <si>
    <t>&lt;p&gt;a walkway will only be considered a sidewalk if it is associated with a roadway. &lt;img src="[sidewalk.png]"/&gt;&lt;/p&gt;</t>
  </si>
  <si>
    <t>&lt;p&gt;Poor: If a stroller cannot be pushed along the sidewalk without many jarring motions and/or if it clearly needs to be replaced (patches would not be sufficient). Fair: If a stroller can easily be pushed along the sidewalk with few jarring motions to the passenger and/or it only needs patches or other minor repair. Good: If a stroller can easily be pushed along the sidewalk without jarring motions to the passenger and/or it needs no repair at this time. Under Repair: If there is evidence of work being done to improve the sidewalk. Orange cones are not enough. If construction work is being done adjacent to the sidewalk, blocking it off as a result, it is considered "under repair."&lt;/p&gt;&lt;table&gt;&lt;tr&gt;&lt;th&gt;Poor&lt;/th&gt;&lt;th&gt;Good&lt;/th&gt;&lt;th&gt;Under Repair&lt;/th&gt;&lt;/tr&gt;&lt;tr&gt;&lt;td&gt;&lt;img src="[poor_sidewalk_2.png]"&gt;&lt;/td&gt;&lt;td&gt;&lt;img src="[good_sidewalk.png]"&gt;&lt;/td&gt;&lt;td&gt;&lt;img src="[sidewalk_under_repair.png]"&gt;&lt;/td&gt;&lt;/tr&gt;&lt;/table&gt;</t>
  </si>
  <si>
    <t>&lt;p&gt;If the sidewalk width varies, use the average/typical width.&lt;/p&gt;&lt;table&gt;&lt;tr&gt;&lt;th&gt;This (obstructed) sidewalk is about 5 feet wide.&lt;/th&gt;&lt;th&gt;This sidewalk is about 3 feet wide&lt;/th&gt;&lt;th&gt;A sidewalk where a family can walk comfortably is at least 4-8 Feet wide, as this one is:&lt;/th&gt;&lt;/tr&gt;&lt;tr&gt;&lt;td&gt;&lt;img src="[sidewalk_width.png]"/&gt;&lt;/td&gt;&lt;td&gt;&lt;img src="[sidewalk_width_2.png]"/&gt;&lt;/td&gt;&lt;td&gt;&lt;img src="[sidewalk.png]"/&gt;&lt;/td&gt;&lt;/tr&gt;&lt;/table&gt;</t>
  </si>
  <si>
    <t>&lt;p&gt;The image on the left is less than 5 feet and the image on the right is &gt; 5 feet.  If the distance varies, use the average or typical distance.&lt;/p&gt;&lt;p&gt;&lt;img src="[distance_from_curb.png]"/&gt;&lt;/p&gt;</t>
  </si>
  <si>
    <t>&lt;p&gt;&lt;img src="[fence_hedges.png]"/&gt;&lt;/p&gt;&lt;p&gt;Note that the fence need not run the length of the segment, just be present for some of it.&lt;/p&gt;</t>
  </si>
  <si>
    <t>&lt;p&gt;Trees are only a buffer if they are part of a landscape/grass buffer or if they occur regularly enough on the street to discourage pedestrians from walking along the roadway. Trees within a grass buffer count as a buffer. &lt;img src="[trees_grass.png]"/&gt;&lt;/p&gt;</t>
  </si>
  <si>
    <t>&lt;p&gt;The number of connections the segment has to crosswalks and other sidewalks.  For example, a typical city block segment has 6 connections: 1 to the sidewalk at the start corner, 1 to the sidewalk at the end corner, 2 to the crosswalks at the start corner and 2 to the crosswalks at the end corner.&lt;/p&gt;&lt;p&gt;This will be scored as follows:&lt;/p&gt; &lt;ul&gt;&lt;li&gt;At the beginning of the segment, looking backward 180 degrees, +90 degrees and -90 degrees:how many sidewalks or crosswalks are there?&lt;/li&gt;&lt;li&gt;At the end of the segment, looking forward, +90 degrees and -90 degrees: how many sidewalks or crosswalks are there?&lt;/li&gt;&lt;li&gt;In the middle of the segment: are how many sidewalks or crosswalks are there?&lt;/li&gt;&lt;/ul&gt;&lt;p&gt;These three scores should be added to make up the connectivity score. A very well connected segment will have a score of six plus any crosswalks that may exist along the segment.&lt;/p&gt;&lt;p&gt;Note also that a sidewalk that continues along the non-interrupted side of a 3-way intersection counts as one connection.  For example, when rating the right side of a segment that ends at a 3-way intersection where another road enters from the left, if the sidewalk continues along the right side of the street, the sidewalk makes one connection (i.e. to its continuation) at that intersection.&lt;/p&gt;</t>
  </si>
  <si>
    <t>How many connections does the sidewalk make to other sidewalks or crosswalks?  (2-lane and 1-lane streets are considered to have implicit crosswalks at corners even if no explicit crosswalk exists)</t>
  </si>
  <si>
    <t>&lt;p&gt;A mid-block crossing using different road materials to mark the crossing:&lt;/p&gt;&lt;p&gt;&lt;img src="[mid_block_crossing.png]"&gt;&lt;/p&gt;&lt;p&gt;Crosswalk types:&lt;/p&gt;&lt;p&gt;&lt;img src="[crosswalk_types.png]"&gt;&lt;/p&gt;</t>
  </si>
  <si>
    <t xml:space="preserve">Bike lanes </t>
  </si>
  <si>
    <t>&lt;p&gt;Some examples of different types of bike lanes:&lt;/p&gt;&lt;table&gt;&lt;tr&gt;&lt;th&gt;On road-painted&lt;/th&gt;&lt;th&gt;On road-physically separated&lt;/th&gt;&lt;th&gt;Off road&lt;/th&gt;&lt;/tr&gt;&lt;tr&gt;&lt;td&gt;&lt;img src="[bike_lanes_on_road.png]"&gt;&lt;/td&gt;&lt;td&gt;&lt;img src="[bike_lanes_on_road_physically_separated.png]"&gt;&lt;/td&gt;&lt;td&gt;&lt;img src="[bike_lanes_off_road.png]"&gt;&lt;/td&gt;&lt;/tr&gt;&lt;/table&gt;</t>
  </si>
  <si>
    <t>&lt;p&gt;Choose "some or a lot" rather than "few" if there are at least 3 places for a bike to be parked.&lt;/p&gt;&lt;p&gt;This question is asking about facilities designed for bikes to be parked there, not whether you see bikes parked on the segment.  In other words, count an empty bike rack, but don't count a bike locked to a lamppost.&lt;/p&gt;</t>
  </si>
  <si>
    <t>&lt;p&gt;These facilities must be usable by the public, not for private use only.&lt;/p&gt;</t>
  </si>
  <si>
    <t>&lt;p&gt;&lt;img src="[bike_route_signs.png]"/&gt;&lt;/p&gt;</t>
  </si>
  <si>
    <t>Are there bike route signs or bike crossing warnings on the segment?  (Note: do not count pavement markings)</t>
  </si>
  <si>
    <t>&lt;p&gt;&lt;img src="[trail_footpath.png]"/&gt;&lt;/p&gt;</t>
  </si>
  <si>
    <t>What type of sidewalk or path (paved or unpaved) is there?</t>
  </si>
  <si>
    <t>PEDS-4.1==4</t>
  </si>
  <si>
    <t>&lt;p&gt;&lt;img src="[asphalt.png]"/&gt;&lt;/p&gt;</t>
  </si>
  <si>
    <t>&lt;p&gt;A complete sidewalk is one that does not end WITHIN the segment that is being observed.&lt;/p&gt;&lt;p&gt;&lt;img src="[incomplete_sidewalk.png]"&gt;&lt;/p&gt;</t>
  </si>
  <si>
    <t>&lt;p&gt;Choose "some or a lot" rather than "few" if there are at least 3 visible driveways OR at least 50% of residences on the segment have visible driveways.&lt;/p&gt;&lt;p&gt;Note: Do not include commercial driveways or alleys between buildings that may lead to parking behind the building.&lt;/p&gt;&lt;p&gt;No visible driveways&lt;/p&gt;&lt;p&gt;&lt;img src="[no_visible_driveways.png]"/&gt;&lt;/p&gt;&lt;p&gt;Some visible driveways&lt;/p&gt;&lt;p&gt;&lt;img src="[some_visible_driveways.png]"/&gt;&lt;/p&gt;</t>
  </si>
  <si>
    <t>Are driveways visible?  (Residential driveways only)</t>
  </si>
  <si>
    <t>&lt;p&gt;Count perpendicular parking and back-in diagonal parking as diagonal.&lt;/p&gt;</t>
  </si>
  <si>
    <t>&lt;p&gt;If pavement is unmarked, check "parallel" only if there are cars parked within the segment or if parking signs are present. &lt;img src="[on_street_parking.png]"/&gt;&lt;/p&gt;</t>
  </si>
  <si>
    <t xml:space="preserve">&lt;p&gt;Note that the parking structure need not be on the segment being rated; it need merely be visible.&lt;/p&gt;&lt;p&gt;Please do not include parking structures that are completely underground.&lt;/p&gt; &lt;p&gt;&lt;img src="[parking_structure.png]"/&gt;&lt;/p&gt; </t>
  </si>
  <si>
    <t>Minn-Irvine-135==1</t>
  </si>
  <si>
    <t>&lt;p&gt;Varied indicates that the street level use is parking for some of the garage, where Not Parking indicates retail or other non-parking use along the entire bulding.&lt;/p&gt;&lt;table&gt;&lt;tr&gt;&lt;th&gt;Parking&lt;/th&gt;&lt;th&gt;Varied&lt;/th&gt;&lt;th&gt;Not Parking&lt;/th&gt;&lt;/tr&gt;&lt;tr&gt;&lt;td&gt;&lt;img src="[parking.png]"/&gt;&lt;/td&gt;&lt;td&gt;&lt;img src="[varied.png]"/&gt;&lt;/td&gt;&lt;td&gt;&lt;img src="[no_parking.png]"/&gt;&lt;/td&gt;&lt;/tr&gt;&lt;/table&gt;</t>
  </si>
  <si>
    <t>&lt;p&gt;Count all off-street parking spaces in segment. Cars in single family home driveways do not count. Only spaces in actual parking lots count (apartment complexes, commercial parking, office parking, etc.).  Do not include spaces in parking garages. There must be access to the lot from the segment.  &lt;/p&gt;&lt;p&gt;&lt;img src="[walkthrough_parking_lot.png]"/&gt;&lt;/p&gt;</t>
  </si>
  <si>
    <t>&lt;p&gt;For this question, the origin point of walking to the buildings will be from the sidewalk. If there is no sidewalk, origin point will be the curb of the roadway. &lt;img src="[walkthrough_parking_lot.png]"/&gt;&lt;/p&gt;</t>
  </si>
  <si>
    <t>&lt;p&gt;Count the maximum number of lanes on the segment.  (i.e. if it's two lanes but widens to include a turning lane at an intersection, count it as 3 lanes.)&lt;/p&gt;&lt;table&gt;&lt;tr&gt;&lt;th&gt;8 lanes (on the wide street)&lt;/th&gt;&lt;th&gt;3 lanes&lt;/th&gt;&lt;/tr&gt;&lt;tr&gt;&lt;td&gt;&lt;img src="[8_lanes.png]"&gt;&lt;/td&gt;&lt;td&gt;&lt;img src="[3_lanes.png]"&gt;&lt;/td&gt;&lt;/tr&gt;&lt;/table&gt;</t>
  </si>
  <si>
    <t>How many lanes are there for cars (include turning lanes but not including parking lanes)?</t>
  </si>
  <si>
    <t xml:space="preserve">&lt;p&gt;&lt;img src="[culdesac.png]"/&gt;&lt;/p&gt; </t>
  </si>
  <si>
    <t xml:space="preserve">&lt;table&gt;&lt;tr&gt;&lt;th&gt;Under an overpass&lt;/th&gt;&lt;th&gt;Next to a freeway&lt;/th&gt;&lt;th&gt;IS a freeway overpass&lt;/th&gt;&lt;/tr&gt;&lt;tr&gt;&lt;td&gt;&lt;img src="[under_freeway.png]"/&gt;&lt;/td&gt;&lt;td&gt;&lt;img src="[next_to_freeway.png]"/&gt;&lt;/td&gt;&lt;td&gt;&lt;img src="[is_freeway_overpass.png]"/&gt;&lt;/td&gt;&lt;/tr&gt;&lt;/table&gt; </t>
  </si>
  <si>
    <t>First intersection: These questions apply to the green intersection as approached from the red intersection.</t>
  </si>
  <si>
    <t>Is there a freeway overpass/underpass connected to this segment?  (That is, is any part of the segment under an overpass, adjacent to a freeway or an overpass itself?)</t>
  </si>
  <si>
    <t>&lt;p&gt;&lt;img src="[pedestrian_street.png]"/&gt;&lt;/p&gt;</t>
  </si>
  <si>
    <t>&lt;p&gt;Poor: the potholes, cracks, etc. present would cause a vehicle driving the segment to rock, dip or otherwise disrupt driving. Fair: there are potholes, cracks etc., but not enough to cause problems for a vehicle driving the segment. Good: there are no large potholes or other problems that would cause problems for a vehicle driving the segment. Patched segments are fine as long as the patches are smooth.  Under repair: A roadway will only be considered "under repair" if there is evidence of work being done to improve it. Orange cones are not enough.&lt;/p&gt;</t>
  </si>
  <si>
    <t>&lt;p&gt;Check the "non posted" box unless there is a sign WITHIN the segment that displays the speed limit. Even if there is a sign outside the segment, within plain view, it does not count. &lt;img src="[speed_limit.png]"/&gt;&lt;/p&gt;</t>
  </si>
  <si>
    <t>Is there a curb extension? (Note: a curb extension should extend significantly into the parking lane or fill it completely.)</t>
  </si>
  <si>
    <t>&lt;p&gt;Chicanes are a series of narrowings or curb extensions that alternate from one side of the street to the other forming S-shaped curves. Chokers are curb extensions at midblock or intersection corners that narrow a street by extending the sidewalk or widening the planting strip.&lt;/p&gt;&lt;p&gt;&lt;img src="[chicane_choker.png]"&gt;&lt;/p&gt;</t>
  </si>
  <si>
    <t>&lt;p&gt;&lt;img src="[flashing_warning.png]"/&gt;&lt;/p&gt;</t>
  </si>
  <si>
    <t>&lt;p&gt;Note that a traffic island on the cross-street at either end of the segment counts, since it's in the middle of the intersection by definition.&lt;/p&gt;&lt;p&gt;&lt;img src="[median_traffic.png]"/&gt;&lt;/p&gt;</t>
  </si>
  <si>
    <t>Is there a median/traffic island large enough for a pedestrian to stand on?</t>
  </si>
  <si>
    <t>&lt;p&gt;Warnings to cars &lt;img src="[overpass.png]"/&gt;&lt;/p&gt;</t>
  </si>
  <si>
    <t xml:space="preserve">&lt;p&gt;&lt;img src="[roundabout.png]/&gt;&lt;/p&gt; </t>
  </si>
  <si>
    <t xml:space="preserve">&lt;p&gt;&lt;img src="[median.png]"/&gt;&lt;/p&gt; </t>
  </si>
  <si>
    <t>&lt;p&gt;&lt;img src="[median_island_and_curb_extension.png]"/&gt;&lt;/p&gt;</t>
  </si>
  <si>
    <t>&lt;p&gt;Street sign without flashing light. Children at play signs can also be included here. Yield signs for cars do not count&lt;img src="[crossing_street_sign.png]"/&gt;&lt;/p&gt;</t>
  </si>
  <si>
    <t>&lt;p&gt;&lt;img src="[ped_sign.png]"/&gt;&lt;/p&gt;</t>
  </si>
  <si>
    <t>&lt;p&gt;&lt;img src="[yield_to_ped_paddles.png]"/&gt;&lt;/p&gt;</t>
  </si>
  <si>
    <t>&lt;p&gt;Curb cuts are breaks in the sidewalk edge that allow wheels to roll from street level to sidewalk level.  If you cannot see all curb cuts because of obstructions but it is reasonable to believe all curbs are cut, mark as all.&lt;p&gt;&lt;p&gt;&lt;img src="[curb_cuts.png]"&gt;&lt;/p&gt;&lt;p&gt;Places where crossing is expected to occur include both desginated crossings and "implicit" crossings at intersections of two streets or a pedestrian path and a street execept where crossing is explicitly prohibited (e.g. by a no crossing sign).&lt;/p&gt;&lt;p&gt;It's okay if a curb cut doesn't line up exactly with the crosswalk as long as a pedestrian could get from the curb cut to the crosswalk without going into traffic.&lt;/p&gt;</t>
  </si>
  <si>
    <t>Are there curb cuts at all places where crossing is expected to occur?  (If there are no curbs, please choose "Not applicable")</t>
  </si>
  <si>
    <t xml:space="preserve">&lt;p&gt;&lt;img src="[speed_hump.png]"/&gt;&lt;/p&gt; </t>
  </si>
  <si>
    <t>&lt;p&gt;&lt;img src="[one_way_two_way.png]"&gt;&lt;/p&gt;</t>
  </si>
  <si>
    <t>&lt;p&gt;Which iteration of streetview imaging is this from?  To date, we've identified the "dark" style and the "bright" style.  Choose other for an image that doesn't fit either category.&lt;/p&gt;&lt;table&gt;&lt;tr&gt;&lt;th&gt;Dark&lt;/th&gt;&lt;th&gt;Bright&lt;/th&gt;&lt;/tr&gt;&lt;tr&gt;&lt;td&gt;&lt;img src="[dark_camera.png]"&gt;&lt;/td&gt;&lt;td&gt;&lt;img src="[bright_camera.png]"&gt;&lt;/td&gt;&lt;/tr&gt;&lt;/table&gt;</t>
  </si>
  <si>
    <t>Which camera technology does this segment use?</t>
  </si>
  <si>
    <t>Dark</t>
  </si>
  <si>
    <t>Bright</t>
  </si>
  <si>
    <t>work location</t>
  </si>
  <si>
    <t>location</t>
  </si>
  <si>
    <t>office/home/other</t>
  </si>
  <si>
    <t>&lt;p&gt;Pick office if you did the rating at CUSSW, 7th floor, home if at home, other for any other location.&lt;/p&gt;</t>
  </si>
  <si>
    <t>Where are you doing the street rating?</t>
  </si>
  <si>
    <t>Office</t>
  </si>
  <si>
    <t>Home</t>
  </si>
  <si>
    <t>&lt;p&gt;Is it possible to read the name of the street from street corner signs?  To find out, walk up and down the street and identify the most readable street sign visible from in the street view window.  Evaluate that sign against the visibility options.  If you don't find a sign, pick "No street signs visible", of course.&lt;/p&gt;&lt;hr/&gt;&lt;p&gt;As a reference, the below image shows a clear sign&lt;/p&gt;&lt;div&gt;&lt;img src="[clear_street_sign.png]"&gt;&lt;/div&gt;&lt;p&gt;The below image shows a blurry sign&lt;/p&gt;&lt;div&gt;&lt;img src="[blurry_street_sign.png]"&gt;&lt;/div&gt;&lt;p&gt;The below image shows an unreadable sign&lt;/p&gt;&lt;div&gt;&lt;img src="[unreadable_street_sign.png]"&gt;&lt;/div&gt; &lt;/p&gt;</t>
  </si>
  <si>
    <t>Can you read any street corner signs at the default zoom level?</t>
  </si>
  <si>
    <t>Sign is clearly legible</t>
  </si>
  <si>
    <t>Sign is blurry but readable</t>
  </si>
  <si>
    <t>Sign is unreadable</t>
  </si>
  <si>
    <t>No street signs visible</t>
  </si>
  <si>
    <t>camera technology</t>
  </si>
  <si>
    <t>dark/bright/other</t>
  </si>
  <si>
    <t>Are there abandoned cars?</t>
  </si>
  <si>
    <t>&lt;p&gt;Images on the left are 3-way intersection types;those on the right are 4-way.  Note that streets need not line up directly.&lt;/p&gt;&lt;p&gt;&lt;img src="[segment_intersection.png]"/&gt;&lt;/p&gt;</t>
  </si>
  <si>
    <t>&lt;p&gt;This question refers to the signal as encountered by a driver coming from the intersection at the end point (the red intersection) through the intersection at the start point (the green intersection).&lt;/p&gt;</t>
  </si>
  <si>
    <t>&lt;p&gt;Places where crossing is expected to occur include both desginated crossings and "implicit" crossings at intersections of two streets or a pedestrian path and a street execept where crossing is explicitly prohibited (e.g. by a no crossing sign).&lt;/p&gt;</t>
  </si>
  <si>
    <t>Minn-Irvine-2==2</t>
  </si>
  <si>
    <t>&lt;p&gt;See below for details of crosswalk types.  Any crosswalk types not shown here or different markings for different crosswalks should be rated as "other".&lt;/p&gt;&lt;img src="[crosswalk_types.png]"&gt;</t>
  </si>
  <si>
    <t>&lt;p&gt;Make sure to note all marked crosswalks in segment. "Marked" refers to lines on the pavement (but not automobile stop lines) or signs, lights or signals. &lt;img src="[crosswalk.png]"/&gt;&lt;/p&gt;</t>
  </si>
  <si>
    <t xml:space="preserve">&lt;p&gt;&lt;img src="[bulb_out.png]"/&gt;&lt;/p&gt; </t>
  </si>
  <si>
    <t>&lt;p&gt;How many times do you need to click or use the forward arrow key to move from one end of the segment to the other?&lt;/p&gt;</t>
  </si>
  <si>
    <t>How many steps long is the segment?</t>
  </si>
  <si>
    <t>obstructed steps</t>
  </si>
  <si>
    <t>&lt;p&gt;An obstructed view is one in which you cannot fully see the sidewalk or adjacent buildings.&lt;p&gt;</t>
  </si>
  <si>
    <t>For how many of those steps is the view obstructed?</t>
  </si>
  <si>
    <t>image quality</t>
  </si>
  <si>
    <t>zoom levels</t>
  </si>
  <si>
    <t>5/4/3/2/1</t>
  </si>
  <si>
    <t>&lt;p&gt;There is a zoom control in the upper left corner of the streetview window -- the + button zooms in and the - button zooms out.  After how many clicks does the image stop changing? &lt;/P&gt;</t>
  </si>
  <si>
    <t>How many zoom levels are available?</t>
  </si>
  <si>
    <t>pixelation</t>
  </si>
  <si>
    <t>&lt;p&gt;There is a zoom control in the upper left corner of the streetview window -- the + button zooms in and the - button zooms out.  After how many clicks does the view become pixelated? (example below).  Note: test this by moving to the center of the segment, turning to the streetside being rated, and checking the imagery near the middle of the view.&lt;/p&gt;&lt;hr/&gt;&lt;p&gt;At default zoom (zoom level 0), we see the image below, which shows no pixelation&lt;/p&gt;&lt;div&gt;&lt;img src="[no_pixilation.png]"/&gt;&lt;/div&gt;&lt;p&gt;At zoom level 1, we see the image below, which still shows no pixeliation&lt;/p&gt;&lt;div&gt;&lt;img src="[no_pixilation_2.png]"/&gt;&lt;/div&gt;&lt;p&gt;At zoom level 2, we see the image below, which has some bleeding but still is not badly pixelated&lt;/p&gt;&lt;div&gt;&lt;img src="[no_pixilation_3.png]"/&gt;&lt;/div&gt;&lt;p&gt;But at zoom level 3, the edges of lines are no longer crisp.  We'd consider this image pixelated at zoom level 3.&lt;/p&gt;&lt;div&gt;&lt;img src="[pixilation.png]"/&gt;&lt;/div&gt;&lt;/p&gt;</t>
  </si>
  <si>
    <t>At what zoom level does pixelation begin at the start of the segment?</t>
  </si>
  <si>
    <t>street signs</t>
  </si>
  <si>
    <t>Sign is clearly legible/Sign is blurry but readable/Sign is unreadable/No street signs visible</t>
  </si>
  <si>
    <t>How many trees  shade the walking area?</t>
  </si>
  <si>
    <t>None or a few</t>
  </si>
  <si>
    <t>Many or dense</t>
  </si>
  <si>
    <t>Monuments or markers</t>
  </si>
  <si>
    <t>indicate neighborhood entry yes/no (far end of segment)</t>
  </si>
  <si>
    <t>Public art visible</t>
  </si>
  <si>
    <t>NYC HVS</t>
  </si>
  <si>
    <t>disorder</t>
  </si>
  <si>
    <t>Dilapidated exterior walls</t>
  </si>
  <si>
    <t>either major cracks in walls OR missing bricks, siding, or other outside wall material (yes/no)</t>
  </si>
  <si>
    <t>Do any buildings have either major cracks in walls OR missing bricks, siding, or other outside wall material?</t>
  </si>
  <si>
    <t>Broken or boarded up windows</t>
  </si>
  <si>
    <t>Do any buildings have broken or boarded up windows?</t>
  </si>
  <si>
    <t>Abandoned buildings/lots</t>
  </si>
  <si>
    <t>Are there abandoned buildings or lots on this block?</t>
  </si>
  <si>
    <t>PHDCN</t>
  </si>
  <si>
    <t>Abandoned cars</t>
  </si>
  <si>
    <t>Dogs (loose, unsupervised)</t>
  </si>
  <si>
    <t>Are there any loose/unsupervised/barking dogs that seem menacing?</t>
  </si>
  <si>
    <t>Dumpsters visible</t>
  </si>
  <si>
    <t>Are there dumpsters visible?</t>
  </si>
  <si>
    <t>Grafitti apparent</t>
  </si>
  <si>
    <t>some or a lot/little/none (encompasses PHDCN yes/no question)</t>
  </si>
  <si>
    <t>How much graffiti is apparent?</t>
  </si>
  <si>
    <t>Grafitti painted over</t>
  </si>
  <si>
    <t>Is graffiti painted over apparent?</t>
  </si>
  <si>
    <t>Litter apparent</t>
  </si>
  <si>
    <t>How much litter is apparent?</t>
  </si>
  <si>
    <t>empty beer bottles visible in street</t>
  </si>
  <si>
    <t>Are empty beer bottles visible in the street?</t>
  </si>
  <si>
    <t>Maintenance of buildings</t>
  </si>
  <si>
    <t>attractive/neutral/unattractive/NA</t>
  </si>
  <si>
    <t>Describe the general maintenance of the buildings.</t>
  </si>
  <si>
    <t>Attractive</t>
  </si>
  <si>
    <t>Neutral</t>
  </si>
  <si>
    <t>Unattractive</t>
  </si>
  <si>
    <t>Cleanliness</t>
  </si>
  <si>
    <t>cleanliness and building maintenance poor/fair/good</t>
  </si>
  <si>
    <t>Describe the overall cleanliness and building maintenance.</t>
  </si>
  <si>
    <t>Poor (much litter/grafitti/broken facilites)</t>
  </si>
  <si>
    <t>Fair (some litter/grafitti/broken facilites)</t>
  </si>
  <si>
    <t>Good (no litter/grafitti/broken facilites)</t>
  </si>
  <si>
    <t>Needles/syringes on sidewalk</t>
  </si>
  <si>
    <t>deleted - not viewable</t>
  </si>
  <si>
    <t>cigarettes, cigars on the street</t>
  </si>
  <si>
    <t>Condoms on sidewalk</t>
  </si>
  <si>
    <t>PEDS</t>
    <phoneticPr fontId="2" type="noConversion"/>
  </si>
  <si>
    <t>instrument</t>
  </si>
  <si>
    <t>number</t>
  </si>
  <si>
    <t>category 1</t>
  </si>
  <si>
    <t>look only on one side of street?</t>
  </si>
  <si>
    <t>measure</t>
  </si>
  <si>
    <t>codes</t>
  </si>
  <si>
    <t>skip patterns</t>
  </si>
  <si>
    <t>help text</t>
  </si>
  <si>
    <t>Meta</t>
  </si>
  <si>
    <t>distances</t>
  </si>
  <si>
    <t>steps</t>
  </si>
  <si>
    <t>3. proportion active uses (your side, within study area)</t>
  </si>
  <si>
    <t>What proportion of the block is active uses?</t>
  </si>
  <si>
    <t>architecture</t>
  </si>
  <si>
    <t>Interesting architecture?</t>
  </si>
  <si>
    <t>interesting/somewhat interesting/uninteresting</t>
  </si>
  <si>
    <t>How interesting is the architecture?</t>
  </si>
  <si>
    <t>Interesting</t>
  </si>
  <si>
    <t>Somewhat interesting</t>
  </si>
  <si>
    <t>Uninteresting</t>
  </si>
  <si>
    <t>art or banners</t>
  </si>
  <si>
    <t>Banners</t>
  </si>
  <si>
    <t>to identify neighborhood some or a lot/few/none</t>
  </si>
  <si>
    <t>Does the segment have banners or monuments that identify the neighborhood?</t>
  </si>
  <si>
    <t>Monuments</t>
  </si>
  <si>
    <t>4. number of pieces of public art (both sdies, within study area)</t>
  </si>
  <si>
    <t>How many pieces of public art do you see?</t>
  </si>
  <si>
    <t>amenities</t>
  </si>
  <si>
    <t>dining</t>
  </si>
  <si>
    <t>Amenities-outdoor dining</t>
  </si>
  <si>
    <t>Are there outdoor dining areas (cafes, outdoor tables at coffee shops or plazas, etc)?</t>
  </si>
  <si>
    <t>street furniture</t>
  </si>
  <si>
    <t>Amenities-benches</t>
  </si>
  <si>
    <t>How many benches (not a bus stop), chairs and/or ledges for sitting?</t>
  </si>
  <si>
    <t>human scale</t>
  </si>
  <si>
    <t>5. number of pieces of street furniture and other street items (your side, within study area)</t>
  </si>
  <si>
    <t>How many pieces of street furniture or other street items are there?</t>
  </si>
  <si>
    <t>vendors</t>
  </si>
  <si>
    <t>Street vendors or stalls</t>
  </si>
  <si>
    <t>How many street vendors or stalls are there?</t>
  </si>
  <si>
    <t>Amenities</t>
  </si>
  <si>
    <t>public garbage cans</t>
  </si>
  <si>
    <t>Do you see a public garbage can?</t>
  </si>
  <si>
    <t>water fountain</t>
  </si>
  <si>
    <t>Do you see a water fountain?</t>
  </si>
  <si>
    <t>Amenities-heat lamps</t>
  </si>
  <si>
    <t>How many heat lamps are there?</t>
  </si>
  <si>
    <t>Public restrooms</t>
  </si>
  <si>
    <t>Are there public restrooms?</t>
  </si>
  <si>
    <t>Wayfinding aids</t>
  </si>
  <si>
    <t>Are there wayfinding aids?</t>
  </si>
  <si>
    <t>5. number of people (your side, within study area)</t>
  </si>
  <si>
    <t>How many people are on the sidewalk?</t>
  </si>
  <si>
    <t>2. number of major landscape features (both sides, beyond study area)</t>
  </si>
  <si>
    <t>4. number of small planters (your side, within study area)</t>
  </si>
  <si>
    <t>How many small planters are there?</t>
  </si>
  <si>
    <t>slope</t>
  </si>
  <si>
    <t>Slope</t>
  </si>
  <si>
    <t>flat/slight hill/steep hill</t>
  </si>
  <si>
    <t>What is the slope of the segment?</t>
  </si>
  <si>
    <t>Flat</t>
  </si>
  <si>
    <t>Slight hill</t>
  </si>
  <si>
    <t>Steep hill</t>
  </si>
  <si>
    <t>Trees</t>
  </si>
  <si>
    <t>number shading walking area none or few/some/many or dense</t>
  </si>
  <si>
    <t>2b. number of  accent colors (both sides, beyond study area)</t>
  </si>
  <si>
    <t>How many accent colors on buildings do you see?</t>
  </si>
  <si>
    <t>5. number of buildings with non-rectangular shapes (both sides, within study area)</t>
  </si>
  <si>
    <t>How many buildings with nonrectangular shapes do you see?</t>
  </si>
  <si>
    <t>enclosure</t>
  </si>
  <si>
    <t>Buildings on &gt;1/2 segment</t>
  </si>
  <si>
    <t>Does at least 50% of the segment have buildings?</t>
  </si>
  <si>
    <t>Degree of enclosure</t>
  </si>
  <si>
    <t>little or no/some/highly enclosed</t>
  </si>
  <si>
    <t>What is the degree of enclosure?</t>
  </si>
  <si>
    <t>Little or no enclosure</t>
  </si>
  <si>
    <t>Some enclosure</t>
  </si>
  <si>
    <t>Highly enclosed</t>
  </si>
  <si>
    <t>2a. proportion street wall (your side, beyond study area)</t>
  </si>
  <si>
    <t>What proportion of the block has a street wall (buildings within 10 ft of sidewalk edge)?</t>
  </si>
  <si>
    <t>Setback from sidewalk</t>
  </si>
  <si>
    <t>buildings at edge of sidewalk/within 20 feet/more than 20 feet</t>
  </si>
  <si>
    <t>How far are the buildings set back from the sidewalk?</t>
  </si>
  <si>
    <t>At edge of sidewalk</t>
  </si>
  <si>
    <t>Within 20 feet of sidewalk</t>
  </si>
  <si>
    <t>More than 20 feet from sidewalk</t>
  </si>
  <si>
    <t>Not applicable-no buildings</t>
  </si>
  <si>
    <t>sight lines</t>
  </si>
  <si>
    <t>1. number of long sight lines (both sides, beyond study area)</t>
  </si>
  <si>
    <t>How many long sight lines can you see - front, left, and right?</t>
  </si>
  <si>
    <t>3a. proportion sky (ahead, beyond study area)</t>
  </si>
  <si>
    <t>What proportion of the view ahead is sky?</t>
  </si>
  <si>
    <t>Significant open view</t>
  </si>
  <si>
    <t>of object not on segment yes/no</t>
  </si>
  <si>
    <t>Is there a significant open view of an object not on the block?</t>
  </si>
  <si>
    <t>transparency</t>
  </si>
  <si>
    <t>Buildings-blank walls</t>
  </si>
  <si>
    <t>How many buildings have blank walls?</t>
  </si>
  <si>
    <t>1. proportion windows at street level (your side, within study area)</t>
  </si>
  <si>
    <t>What proportion of the building fronts are windows at street level?</t>
  </si>
  <si>
    <t>Articulation</t>
  </si>
  <si>
    <t>in building designs-little or no/some/highly</t>
  </si>
  <si>
    <t>How much articulation is there is building designs?</t>
  </si>
  <si>
    <t>Little or no</t>
  </si>
  <si>
    <t>Highly articulated</t>
  </si>
  <si>
    <t>1. number of courtyards, plazas, and parks (both sides, within study area)</t>
  </si>
  <si>
    <t>4. number of buildings with identifiers (both sides, within study area)</t>
  </si>
  <si>
    <t>How many buildings with identifiers are there?</t>
  </si>
  <si>
    <t>activity</t>
  </si>
  <si>
    <t>Land use-coffee shops</t>
  </si>
  <si>
    <t>Are tehre any coffee shops?</t>
  </si>
  <si>
    <t>Land use-libraries/bookshop</t>
  </si>
  <si>
    <t>Are there any libraries/bookshops?</t>
  </si>
  <si>
    <t>Land use-corner store</t>
  </si>
  <si>
    <t>Is there a corner store?</t>
  </si>
  <si>
    <t>Land use-galleries</t>
  </si>
  <si>
    <t>Are there any galleries?</t>
  </si>
  <si>
    <t>Land use-farmers market</t>
  </si>
  <si>
    <t>Is there a farmers market?</t>
  </si>
  <si>
    <t>Nature-field, golf course</t>
  </si>
  <si>
    <t>Is there an open field or golf course?</t>
  </si>
  <si>
    <t>water</t>
  </si>
  <si>
    <t>Nature-lake/pond</t>
  </si>
  <si>
    <t>Is there a lake or pond?</t>
  </si>
  <si>
    <t>Nature-fountain/pool</t>
  </si>
  <si>
    <t>Is there a fountain or pool?</t>
  </si>
  <si>
    <t>Nature-stream/river/canal</t>
  </si>
  <si>
    <t>Is there a stream, river, or canal?</t>
  </si>
  <si>
    <t>Nature-forest</t>
  </si>
  <si>
    <t>Is there a forest?</t>
  </si>
  <si>
    <t>Nature-ocean</t>
  </si>
  <si>
    <t>Is there an ocean?</t>
  </si>
  <si>
    <t>Nature-mountain or hills</t>
  </si>
  <si>
    <t>Is there a mountain or hills?</t>
  </si>
  <si>
    <t>Nature-desert</t>
  </si>
  <si>
    <t>Is there a desert?</t>
  </si>
  <si>
    <t>Appearance and condition of buildings and street space</t>
  </si>
  <si>
    <t>MIUDQ</t>
  </si>
  <si>
    <t>complexity</t>
  </si>
  <si>
    <t>1. number of buildings (both sides, beyond study area)</t>
  </si>
  <si>
    <t>How many buildings are on the segment?</t>
  </si>
  <si>
    <t>height</t>
  </si>
  <si>
    <t>Building height</t>
  </si>
  <si>
    <t>5+ stories/3-4/1-2/heights vary, no predominant height/NA</t>
  </si>
  <si>
    <t>How many stories are most buildings on the segment?</t>
  </si>
  <si>
    <t>5+ stores</t>
  </si>
  <si>
    <t>3-4 stores</t>
  </si>
  <si>
    <t>1-2 stories</t>
  </si>
  <si>
    <t>Heights vary</t>
  </si>
  <si>
    <t>Buildings -front porches</t>
  </si>
  <si>
    <t>How many buildings have front porches (porches you can sit on)?</t>
  </si>
  <si>
    <t>Buildings-barred windows</t>
  </si>
  <si>
    <t>How many buildings have windows with bars?</t>
  </si>
  <si>
    <t>Buildings-garage doors facing</t>
  </si>
  <si>
    <t>How many buildings have garage doors pacing the street?</t>
  </si>
  <si>
    <t>Garage doors=prominent</t>
  </si>
  <si>
    <t>very/somewhat/not very or not visible</t>
  </si>
  <si>
    <t>How prominent are most garage doors when looking at the front of buildings?</t>
  </si>
  <si>
    <t>Very</t>
  </si>
  <si>
    <t>Somewhat</t>
  </si>
  <si>
    <t>Not very/not visible</t>
  </si>
  <si>
    <t>aesthetics</t>
  </si>
  <si>
    <t>historic</t>
  </si>
  <si>
    <t>imageability</t>
  </si>
  <si>
    <t>3. proportion historic building frontage (both sides, within study area)</t>
  </si>
  <si>
    <t>What percent of the building frontage is historic?</t>
  </si>
  <si>
    <t>Write in %</t>
  </si>
  <si>
    <t>2a. number of  basic building colors (both sides, beyond study area)</t>
  </si>
  <si>
    <t>How many basic building colors do you see?</t>
  </si>
  <si>
    <t>commercial-other</t>
  </si>
  <si>
    <t>Is there any other commercial land use?</t>
  </si>
  <si>
    <t>offices</t>
  </si>
  <si>
    <t>Are there offices?</t>
  </si>
  <si>
    <t>service facilities (insurance offices, funeral homes, dry cleaning, laundromats, etc)</t>
  </si>
  <si>
    <t>Are there service facilities (insurance offices, funeral homes, dry cleaning, laundromats, etc)?</t>
  </si>
  <si>
    <t>office/service-other</t>
  </si>
  <si>
    <t>Is there any other kind of office or service land use?</t>
  </si>
  <si>
    <t>industrial</t>
  </si>
  <si>
    <t>Is there any industrial land use?</t>
  </si>
  <si>
    <t>light industrial (small or clean)</t>
  </si>
  <si>
    <t>Is there any light industrial (small or clean) land use?</t>
  </si>
  <si>
    <t>medium or heavy industrial (e.g. chemical plants, oil wells)</t>
  </si>
  <si>
    <t>Is there any medium or heavy industrial (e.g. chemical plants, oil wells) land use?</t>
  </si>
  <si>
    <t>industrial-other</t>
  </si>
  <si>
    <t>Is there any other industrial land use?</t>
  </si>
  <si>
    <t>harbor/marina</t>
  </si>
  <si>
    <t>Is there a harbor or marina?</t>
  </si>
  <si>
    <t>rural</t>
  </si>
  <si>
    <t>agricultural land, ranch, farming</t>
  </si>
  <si>
    <t>Is there agricultural land, ranch, farming?</t>
  </si>
  <si>
    <t>undeveloped</t>
  </si>
  <si>
    <t>vacant or undeveloped (also Minn-Irvine item 58)</t>
  </si>
  <si>
    <t>Is there vacant or undeveloped land?</t>
  </si>
  <si>
    <t>nature feature</t>
  </si>
  <si>
    <t>Is there a nature feature?</t>
  </si>
  <si>
    <t>mixed use</t>
  </si>
  <si>
    <t>Vertical mixed use</t>
  </si>
  <si>
    <t>some or a lot/few/none/NA</t>
  </si>
  <si>
    <t>Is there any vertical mixed use?</t>
  </si>
  <si>
    <t>Not applicable-no buildings &gt;1 story</t>
  </si>
  <si>
    <t>buildings</t>
  </si>
  <si>
    <t>Distinctive retail types</t>
  </si>
  <si>
    <t>big-box stores (includes superstore, warehouse store)</t>
  </si>
  <si>
    <t>Is there a big box store (e.g. super store or warehouse store)?</t>
  </si>
  <si>
    <t>shopping mall</t>
  </si>
  <si>
    <t>Is there a shopping mall?</t>
  </si>
  <si>
    <t>strip mall/row of shops</t>
  </si>
  <si>
    <t>Is there a strip mall/row of shops?</t>
  </si>
  <si>
    <t>drive-thru</t>
  </si>
  <si>
    <t>Is there a drive-thru?</t>
  </si>
  <si>
    <t>Land use-bars/nightclubs</t>
  </si>
  <si>
    <t>Are there any bars/nightclubs?</t>
  </si>
  <si>
    <t>Land use-adult uses</t>
  </si>
  <si>
    <t>Are there any adult uses?</t>
  </si>
  <si>
    <t>Land use-check cashing</t>
  </si>
  <si>
    <t>check cashing stores, pawn shops, bail bond stores-some or a lot/few/none</t>
  </si>
  <si>
    <t>Are there any check cashing establishments?</t>
  </si>
  <si>
    <t>Land use-liquor stores</t>
  </si>
  <si>
    <t>Are there any liquor stores?</t>
  </si>
  <si>
    <t>Land use-restaurants</t>
  </si>
  <si>
    <t>Are there any restaurants?</t>
  </si>
  <si>
    <t>Residential-other</t>
  </si>
  <si>
    <t>Is there any other residential land use?</t>
  </si>
  <si>
    <t>institutional</t>
  </si>
  <si>
    <t>Elementary or junior hi school</t>
  </si>
  <si>
    <t>Is there an Elementary or junior hi school?</t>
  </si>
  <si>
    <t>High school</t>
  </si>
  <si>
    <t>Is there a high school?</t>
  </si>
  <si>
    <t>University or college</t>
  </si>
  <si>
    <t>Is there a university or college?</t>
  </si>
  <si>
    <t>School-other</t>
  </si>
  <si>
    <t>Is there any other kind of school?</t>
  </si>
  <si>
    <t>public space</t>
  </si>
  <si>
    <t>Plaza, square, park, playground, landscaped open space, playing fields, garden</t>
  </si>
  <si>
    <t>Is there a park or playground?</t>
  </si>
  <si>
    <t>Is there a playing or sport field?</t>
  </si>
  <si>
    <t>Is there a plaza, square, or courtyard?</t>
  </si>
  <si>
    <t>Is there a public garden?</t>
  </si>
  <si>
    <t>Is there a beach?</t>
  </si>
  <si>
    <t>Public space-other</t>
  </si>
  <si>
    <t>Is there some other kind of public space?</t>
  </si>
  <si>
    <t>unclear/yes/no</t>
  </si>
  <si>
    <t>Is it possible for the general public to use the public space?</t>
  </si>
  <si>
    <t>Unclear</t>
  </si>
  <si>
    <t>Not applicable-no public space</t>
  </si>
  <si>
    <t>service</t>
  </si>
  <si>
    <t>Gym/fitness center</t>
  </si>
  <si>
    <t>Is there a gym/fitness center?</t>
  </si>
  <si>
    <t>movie theater</t>
  </si>
  <si>
    <t>Is there a movie theater?</t>
  </si>
  <si>
    <t>recreational-other</t>
  </si>
  <si>
    <t>Is there any other kind of recreational land use?</t>
  </si>
  <si>
    <t>community center or library</t>
  </si>
  <si>
    <t>Is there a community center or library?</t>
  </si>
  <si>
    <t>museum, auditorium, concert hall, theater</t>
  </si>
  <si>
    <t>Is there a museum, auditorium, concert hall, or theater?</t>
  </si>
  <si>
    <t>post office, police, courtroom, DMV</t>
  </si>
  <si>
    <t>Is there a post office, police, courtroom, or DMV?</t>
  </si>
  <si>
    <t>public building-other</t>
  </si>
  <si>
    <t>Is there any other kind of public building?</t>
  </si>
  <si>
    <t>religious institution</t>
  </si>
  <si>
    <t>Is there a religious institution?</t>
  </si>
  <si>
    <t>hospital, medical facility, health clinic</t>
  </si>
  <si>
    <t>Is there a hospital, medical facility, or health clinic?</t>
  </si>
  <si>
    <t>institutional-other</t>
  </si>
  <si>
    <t>Is there any other institutional land use?</t>
  </si>
  <si>
    <t>retail stores/restaurant</t>
  </si>
  <si>
    <t>Are there any retail stores/restaurants?</t>
  </si>
  <si>
    <t>bank/financial service</t>
  </si>
  <si>
    <t>Is there a bank or financial service?</t>
  </si>
  <si>
    <t>hotel/hospitality</t>
  </si>
  <si>
    <t>Is there a hotel or hospitality business?</t>
  </si>
  <si>
    <t>car dealership</t>
  </si>
  <si>
    <t>Are there any car dealerships?</t>
  </si>
  <si>
    <t>gas/service station</t>
  </si>
  <si>
    <t>Is there a gas/service station?</t>
  </si>
  <si>
    <t>road-oriented lighting/pedestrian-scale lighting/ther lighting/none</t>
  </si>
  <si>
    <t>What kind of lighting is there?</t>
  </si>
  <si>
    <t>Road-oriented lighting</t>
  </si>
  <si>
    <t>Pedestrian-oriented lighting</t>
  </si>
  <si>
    <t>Both kinds of lighting</t>
  </si>
  <si>
    <t>Other lighting</t>
  </si>
  <si>
    <t>No lighting</t>
  </si>
  <si>
    <t>powerlines</t>
  </si>
  <si>
    <t>Electrical wiring visible</t>
  </si>
  <si>
    <t>some or a lot/little/none</t>
  </si>
  <si>
    <t>Is there visible electric wiring overhead?</t>
  </si>
  <si>
    <t>Little</t>
  </si>
  <si>
    <t>Billboards present</t>
  </si>
  <si>
    <t>How many billboards are present?</t>
  </si>
  <si>
    <t>Barriers-drainage ditch</t>
  </si>
  <si>
    <t>no barrier/can be overcome/can be somewhat overcome/cannot be overcome</t>
  </si>
  <si>
    <t>Is a drainage ditch present and is it a barrier to walking?</t>
  </si>
  <si>
    <t>Not present</t>
  </si>
  <si>
    <t>Can be overcome</t>
  </si>
  <si>
    <t>Can be somewhat overcome</t>
  </si>
  <si>
    <t>Cannot be overcome</t>
  </si>
  <si>
    <t>Barriers-highway</t>
  </si>
  <si>
    <t>Barriers-impassable land use</t>
  </si>
  <si>
    <t>Is an impassable land use (e.g. gated community, major industrial complex) present and is it a barrier to walking?</t>
  </si>
  <si>
    <t>Barriers-other</t>
  </si>
  <si>
    <t>Is any other barrier to walking present?</t>
  </si>
  <si>
    <t>Barriers-railroad track</t>
  </si>
  <si>
    <t>Is a railroad track present and is it a barrier to walking?</t>
  </si>
  <si>
    <t>Barriers-river</t>
  </si>
  <si>
    <t>Is a river present and is it a barrier to walking?</t>
  </si>
  <si>
    <t>Barriers-road 6+lanes</t>
  </si>
  <si>
    <t>Is a road with 6+ lanes present and is it a barrier to walking?</t>
  </si>
  <si>
    <t>Convenience of crossing</t>
  </si>
  <si>
    <t>For an individual on this segment, how convenient (traffic-wise) do you think it is to cross the street from this segment?</t>
  </si>
  <si>
    <t>Pretty/very convenient</t>
  </si>
  <si>
    <t>Not very or inconvenient</t>
  </si>
  <si>
    <t>Not applicable-cul de sac</t>
  </si>
  <si>
    <t>Land use</t>
  </si>
  <si>
    <t>land use</t>
  </si>
  <si>
    <t>office</t>
  </si>
  <si>
    <t>Uses in segment</t>
  </si>
  <si>
    <t>office and institutional</t>
  </si>
  <si>
    <t>retail/consumer</t>
  </si>
  <si>
    <t>commercial and retail</t>
  </si>
  <si>
    <t>recreation</t>
  </si>
  <si>
    <t>recreational</t>
  </si>
  <si>
    <t>residential</t>
  </si>
  <si>
    <t>Land uses present</t>
  </si>
  <si>
    <t>single family home detached</t>
  </si>
  <si>
    <t>Are there any single family detached homes?</t>
  </si>
  <si>
    <t>Single family home duplex</t>
  </si>
  <si>
    <t xml:space="preserve">Are there any single family duplex homes? </t>
  </si>
  <si>
    <t>Town home/condo/apartment (3+ units)</t>
  </si>
  <si>
    <t>Are there any town home/condo/apartments (3+ units)?</t>
  </si>
  <si>
    <t>mobile homes</t>
  </si>
  <si>
    <t>Are there any mobile homes?</t>
  </si>
  <si>
    <t>ped path width &lt; 4 feet/4-8 feet/&gt;8 feet</t>
  </si>
  <si>
    <t>How wide is the sidewalk?</t>
  </si>
  <si>
    <t>&lt;4 feet</t>
  </si>
  <si>
    <t>4-8 feet</t>
  </si>
  <si>
    <t>&gt;8 feet</t>
  </si>
  <si>
    <t>Path distance from curb</t>
  </si>
  <si>
    <t>ped path distance from curb at edge/&lt;5 feet/&gt;5 feet</t>
  </si>
  <si>
    <t>How far is the sidewalk or path from the curb?</t>
  </si>
  <si>
    <t>Less than 5 feet</t>
  </si>
  <si>
    <t>More than 5 feet</t>
  </si>
  <si>
    <t>Buffers b/t road &amp; path</t>
  </si>
  <si>
    <t>fence</t>
  </si>
  <si>
    <t>Is there a fence between the road and the path/sidewalk?</t>
  </si>
  <si>
    <t>Not applicable-no path</t>
  </si>
  <si>
    <t>nature</t>
  </si>
  <si>
    <t>trees</t>
  </si>
  <si>
    <t>Are there trees between the road and the path/sidewalk?</t>
  </si>
  <si>
    <t>hedges</t>
  </si>
  <si>
    <t>Is there a hedge between the road and the path/sidewalk?</t>
  </si>
  <si>
    <t>landscape</t>
  </si>
  <si>
    <t>Is there landscaping between the road and the path/sidewalk?</t>
  </si>
  <si>
    <t>grass</t>
  </si>
  <si>
    <t>Is there grass between the road and the path/sidewalk?</t>
  </si>
  <si>
    <t>none</t>
  </si>
  <si>
    <t>Path obstructions</t>
  </si>
  <si>
    <t>Public access to pub space</t>
  </si>
  <si>
    <t>Do parked cars obstruct the path?</t>
  </si>
  <si>
    <t>greenery</t>
  </si>
  <si>
    <t>Does greenery obstruct the path?</t>
  </si>
  <si>
    <t>garbage cans</t>
  </si>
  <si>
    <t>Do garbage cans obstruct the path?</t>
  </si>
  <si>
    <t>other</t>
  </si>
  <si>
    <t>Does anything else obstruct the path?</t>
  </si>
  <si>
    <t>shading</t>
  </si>
  <si>
    <t>Sidewalk arcades</t>
  </si>
  <si>
    <t>some or much of sidewalk covered/little or none</t>
  </si>
  <si>
    <t>How much of the sidewalk is covered by arcades?</t>
  </si>
  <si>
    <t>Some or much</t>
  </si>
  <si>
    <t>Little or none</t>
  </si>
  <si>
    <t>Sidewalk awnings</t>
  </si>
  <si>
    <t>How much of the sidewalk is covered by awnings?</t>
  </si>
  <si>
    <t>Sidewalk other covering</t>
  </si>
  <si>
    <t>How much of the sidewalk is covered by some other covering?</t>
  </si>
  <si>
    <t>concrete</t>
  </si>
  <si>
    <t>paving bricks or flat stone</t>
  </si>
  <si>
    <t>gravel</t>
  </si>
  <si>
    <t>dirt or sand</t>
  </si>
  <si>
    <t>Sidewalk surface</t>
  </si>
  <si>
    <t>decorative paving covers most or all of sidewalk on segment yes/no</t>
  </si>
  <si>
    <t>paved trail</t>
  </si>
  <si>
    <t>Sidewalk presence</t>
  </si>
  <si>
    <t>sides of street with sidewalks ___</t>
  </si>
  <si>
    <t>Other conditions of road and sidewalk</t>
  </si>
  <si>
    <t>transit</t>
  </si>
  <si>
    <t>Bus stops</t>
  </si>
  <si>
    <t>bus stop with shelter/bus stop with bench/bus stop with signage only/none</t>
  </si>
  <si>
    <t>Is there a bus stop and if so what kind?</t>
  </si>
  <si>
    <t>Bus stop with shelter</t>
  </si>
  <si>
    <t>Bus stop with bench</t>
  </si>
  <si>
    <t xml:space="preserve">Bus stop with signage only </t>
  </si>
  <si>
    <t>No bus stop</t>
  </si>
  <si>
    <t>lighting</t>
  </si>
  <si>
    <t>Roadway/path light</t>
  </si>
  <si>
    <t>On road-physical separation</t>
  </si>
  <si>
    <t>Off road</t>
  </si>
  <si>
    <t>Bike lanes - type</t>
  </si>
  <si>
    <t>painted line on road or reflectors/physical separation on road/off road</t>
  </si>
  <si>
    <t>bike parking</t>
  </si>
  <si>
    <t>Amenities-bike rack</t>
  </si>
  <si>
    <t>How many bike racks (bike parking facilities) are on the block?</t>
  </si>
  <si>
    <t>Bicycle facilities</t>
  </si>
  <si>
    <t>visible bike parking</t>
  </si>
  <si>
    <t>bike signs</t>
  </si>
  <si>
    <t>bike route signs</t>
  </si>
  <si>
    <t>Are there bike route signs or bike crossing warnings on the segment?</t>
  </si>
  <si>
    <t>Bike route signs</t>
  </si>
  <si>
    <t>Bike crossing warnings</t>
  </si>
  <si>
    <t>Both</t>
  </si>
  <si>
    <t>Neither</t>
  </si>
  <si>
    <t>bike crossing warning</t>
  </si>
  <si>
    <t>Sidewalk</t>
  </si>
  <si>
    <t>surface</t>
  </si>
  <si>
    <t>footpath</t>
  </si>
  <si>
    <t>What type of pedestrian facility is there?</t>
  </si>
  <si>
    <t>Footpath (unpaved)</t>
  </si>
  <si>
    <t>Paved trail</t>
  </si>
  <si>
    <t>Pedestrian street (closed to cars)</t>
  </si>
  <si>
    <t>Path material</t>
  </si>
  <si>
    <t>asphalt</t>
  </si>
  <si>
    <t>What is the sidewalk or path surface made of?</t>
  </si>
  <si>
    <t>Is a highway (elevated or below ground) present and is it a barrier to walking?</t>
  </si>
  <si>
    <t>Dirt or sand</t>
  </si>
  <si>
    <t>No path at all</t>
  </si>
  <si>
    <t>continuity</t>
  </si>
  <si>
    <t>Sidewalk continuity</t>
  </si>
  <si>
    <t>ped path continuity (sidewalk only) complete/incomplete</t>
  </si>
  <si>
    <t>Is the sidewalk complete/continuous?</t>
  </si>
  <si>
    <t>Complete</t>
  </si>
  <si>
    <t>Incomplete</t>
  </si>
  <si>
    <t>Not applicable-no sidewalk</t>
  </si>
  <si>
    <t>connectivity</t>
  </si>
  <si>
    <t>Sidewalk connectivity</t>
  </si>
  <si>
    <t>ped path connectivity to other paths or crosswalks (sidewalk only) number of connections ___</t>
  </si>
  <si>
    <t>How many connections does the sidewalk make to other sidewalks or crosswalks?</t>
  </si>
  <si>
    <t>10+</t>
  </si>
  <si>
    <t>Pedestrian access point</t>
  </si>
  <si>
    <t>yes/no/DK</t>
  </si>
  <si>
    <t>Is there a ped access point that lets pedestrians go from one segment to another even tho vehicles may not be able to?</t>
  </si>
  <si>
    <t>DK</t>
  </si>
  <si>
    <t>Ped path/greenbelt</t>
  </si>
  <si>
    <t>(other than sidewalks along street) yes/no</t>
  </si>
  <si>
    <t>Are there sidewalk/greenbelts/trails/paths other than the sidewalk along the street?</t>
  </si>
  <si>
    <t>condition</t>
  </si>
  <si>
    <t>Path condition</t>
  </si>
  <si>
    <t>ped path condition poor/fair/good/under repair</t>
  </si>
  <si>
    <t>In what condition is the sidewalk or pedestrian path (paved trail)?</t>
  </si>
  <si>
    <t>Not applicable-no sidewalk or paved trail</t>
  </si>
  <si>
    <t>Sidewalk condition</t>
  </si>
  <si>
    <t>under repair/moderate or good/poor</t>
  </si>
  <si>
    <t>Sidewalk width</t>
  </si>
  <si>
    <t>under a freeway overpass/next to freeway/is a freeway overpass/none of above</t>
  </si>
  <si>
    <t>Is there a freeway overpass/underpass connected to this segment?</t>
  </si>
  <si>
    <t>Under an overpass</t>
  </si>
  <si>
    <t>Next to freeway</t>
  </si>
  <si>
    <t>IS a freeway overpass</t>
  </si>
  <si>
    <t>None of the above</t>
  </si>
  <si>
    <t>Segment an alley</t>
  </si>
  <si>
    <t>ped access</t>
  </si>
  <si>
    <t>Type of ped facility</t>
  </si>
  <si>
    <t>pedestrian street (no cars)</t>
  </si>
  <si>
    <t>Road condition</t>
  </si>
  <si>
    <t>condition of road poor/fair/good/under repair</t>
  </si>
  <si>
    <t>What is the condition of the road?</t>
  </si>
  <si>
    <t>Poor</t>
  </si>
  <si>
    <t>Fair</t>
  </si>
  <si>
    <t>Good</t>
  </si>
  <si>
    <t>Under repair</t>
  </si>
  <si>
    <t>speed</t>
  </si>
  <si>
    <t>Posted speed limit</t>
  </si>
  <si>
    <t>none/___mph</t>
  </si>
  <si>
    <t>What is the posted speed limit?</t>
  </si>
  <si>
    <t>55+</t>
  </si>
  <si>
    <t>Not posted</t>
  </si>
  <si>
    <t>parking/driveways</t>
  </si>
  <si>
    <t>Driveways visible</t>
  </si>
  <si>
    <t>some or a lot/few/none</t>
  </si>
  <si>
    <t>Are driveways visible?</t>
  </si>
  <si>
    <t>Some or a lot</t>
  </si>
  <si>
    <t>Few</t>
  </si>
  <si>
    <t>poles or signs</t>
  </si>
  <si>
    <t>Do poles or signs obstruct the path?</t>
  </si>
  <si>
    <t>parked cars</t>
  </si>
  <si>
    <t>Diagonal</t>
  </si>
  <si>
    <t>On-street parking</t>
  </si>
  <si>
    <t>parallel or diagonal/none</t>
  </si>
  <si>
    <t>Parking structure visible</t>
  </si>
  <si>
    <t>Is a parking structure visible?</t>
  </si>
  <si>
    <t>Parking structure use</t>
  </si>
  <si>
    <t>most prominent visible use on street level=parking/varied/not parking other uses</t>
  </si>
  <si>
    <t>What is the street level use of the parking structure if any?</t>
  </si>
  <si>
    <t>Parking</t>
  </si>
  <si>
    <t>Varied</t>
  </si>
  <si>
    <t>Not parking-other uses</t>
  </si>
  <si>
    <t>Not applicable-no parking structure</t>
  </si>
  <si>
    <t>Off-street parking</t>
  </si>
  <si>
    <t>lot spaces 0-5/6-25/26+</t>
  </si>
  <si>
    <t>How many off-street parking lot spaces are there?</t>
  </si>
  <si>
    <t>1-5 spaces</t>
  </si>
  <si>
    <t>6-25 spaces</t>
  </si>
  <si>
    <t>26+ spaces</t>
  </si>
  <si>
    <t>design</t>
  </si>
  <si>
    <t>Walk thru parking lot</t>
  </si>
  <si>
    <t>walk thru parking lot to get to most buildngs yes/no</t>
  </si>
  <si>
    <t>Do you have to walk through a parking lot to get to most buildings?</t>
  </si>
  <si>
    <t>Not applicable - no buildings</t>
  </si>
  <si>
    <t>Mid-block crosswalk</t>
  </si>
  <si>
    <t>How is the road marked at mid-block crosswalks, if any?</t>
  </si>
  <si>
    <t>Not applicable-no midblock crosswalks</t>
  </si>
  <si>
    <t>Mid-block crosswalk-marking</t>
  </si>
  <si>
    <t>Bike</t>
  </si>
  <si>
    <t>bicycle</t>
  </si>
  <si>
    <t>bike lane</t>
  </si>
  <si>
    <t>Bike lanes</t>
  </si>
  <si>
    <t>Are there bicycle lanes and if so how are they demarcated?</t>
  </si>
  <si>
    <t>No bike lanes</t>
  </si>
  <si>
    <t>On road-painted line or reflectors</t>
  </si>
  <si>
    <t>zebra striping yes/no</t>
  </si>
  <si>
    <t>Traffic calming</t>
  </si>
  <si>
    <t>curb bulb-out/curb extension</t>
  </si>
  <si>
    <t>traffic circle/roundabout</t>
  </si>
  <si>
    <t>median</t>
  </si>
  <si>
    <t>Crossing aids</t>
  </si>
  <si>
    <t>curb extension</t>
  </si>
  <si>
    <t>Is there a curb extension?</t>
  </si>
  <si>
    <t>Yes</t>
  </si>
  <si>
    <t>No</t>
  </si>
  <si>
    <t>calming</t>
  </si>
  <si>
    <t>Traffic control devices</t>
  </si>
  <si>
    <t>chicanes or chokers</t>
  </si>
  <si>
    <t>Is there a chicane or choker?</t>
  </si>
  <si>
    <t>flashing warning sign</t>
  </si>
  <si>
    <t>Is there a flashing warning sign?</t>
  </si>
  <si>
    <t>median/traffic island</t>
  </si>
  <si>
    <t>Is there a median/traffic island?</t>
  </si>
  <si>
    <t>overpass or underpass</t>
  </si>
  <si>
    <t>Is there an overpass or underpass?</t>
  </si>
  <si>
    <t>ped crossing warning sign</t>
  </si>
  <si>
    <t>Is there a pedestrian crossing warning sign?</t>
  </si>
  <si>
    <t>ped signal</t>
  </si>
  <si>
    <t>Is there a pedestrian signal?</t>
  </si>
  <si>
    <t>share the road warning sign</t>
  </si>
  <si>
    <t>Is there a share the road warning sign?</t>
  </si>
  <si>
    <t>Asphalt</t>
  </si>
  <si>
    <t>Concrete</t>
  </si>
  <si>
    <t>Paving bricks or flat stone</t>
  </si>
  <si>
    <t>Gravel</t>
  </si>
  <si>
    <t>Is there a pedestrian-activated signal?</t>
  </si>
  <si>
    <t>ped crossing sign</t>
  </si>
  <si>
    <t>sidewalk</t>
  </si>
  <si>
    <t>curb cuts</t>
  </si>
  <si>
    <t>Curb cuts</t>
  </si>
  <si>
    <t>Are there curb cuts at all places where crossing is expected to occur?</t>
  </si>
  <si>
    <t>speed bump/speed hump/raised crosswalk/dips</t>
  </si>
  <si>
    <t>Is there a speed bump/speed hump/raised crosswalk/dips that is intended to slow down traffic?</t>
  </si>
  <si>
    <t>rumble strips or bumps</t>
  </si>
  <si>
    <t>Are there rumble strips or bumps that are intended to slow down traffic?</t>
  </si>
  <si>
    <t>Road and parking</t>
  </si>
  <si>
    <t>type</t>
  </si>
  <si>
    <t>Segment type</t>
  </si>
  <si>
    <t>low volume road/high volume road/bike or ped path</t>
  </si>
  <si>
    <t>What type of segment is this?</t>
  </si>
  <si>
    <t>Low-volume road</t>
  </si>
  <si>
    <t>High-volume road</t>
  </si>
  <si>
    <t>Alley</t>
  </si>
  <si>
    <t>Bike or pedestrian path or street</t>
  </si>
  <si>
    <t>direction</t>
  </si>
  <si>
    <t>Direction of street</t>
  </si>
  <si>
    <t>one way/two way</t>
  </si>
  <si>
    <t>Is the street a one-way or two-way street?</t>
  </si>
  <si>
    <t>One-way</t>
  </si>
  <si>
    <t>Two-way</t>
  </si>
  <si>
    <t>lanes</t>
  </si>
  <si>
    <t>Number of vehicle lanes</t>
  </si>
  <si>
    <t>six or more/5/4/3/2/1/NA</t>
  </si>
  <si>
    <t>How many lanes are there for cars (include turning lanes)?</t>
  </si>
  <si>
    <t>6+</t>
  </si>
  <si>
    <t>Cul de sac/permanent street closing</t>
  </si>
  <si>
    <t>yes/no</t>
  </si>
  <si>
    <t>Is there a cul-de-sac or permanent street closing on this segment?</t>
  </si>
  <si>
    <t>Freeway over/underpass</t>
  </si>
  <si>
    <t>Dropped 5 q's for redundancy or time-dependence</t>
    <phoneticPr fontId="2" type="noConversion"/>
  </si>
  <si>
    <t>Modified help for 7 questions</t>
    <phoneticPr fontId="2" type="noConversion"/>
  </si>
  <si>
    <t>Modified question or help for 19 questions</t>
    <phoneticPr fontId="2" type="noConversion"/>
  </si>
  <si>
    <t>Early June</t>
    <phoneticPr fontId="2" type="noConversion"/>
  </si>
  <si>
    <t>Added 5 meta-questions</t>
    <phoneticPr fontId="2" type="noConversion"/>
  </si>
  <si>
    <t>?</t>
    <phoneticPr fontId="2" type="noConversion"/>
  </si>
  <si>
    <t>Defined initial skip patterns</t>
    <phoneticPr fontId="2" type="noConversion"/>
  </si>
  <si>
    <t>One more modified help</t>
    <phoneticPr fontId="2" type="noConversion"/>
  </si>
  <si>
    <t>Skip pattern for no buildings</t>
    <phoneticPr fontId="2" type="noConversion"/>
  </si>
  <si>
    <t>Chose to count maximum for 7 variable items</t>
    <phoneticPr fontId="2" type="noConversion"/>
  </si>
  <si>
    <t>Modified help or question for 20 questions</t>
    <phoneticPr fontId="2" type="noConversion"/>
  </si>
  <si>
    <t>Modified help for 8 questions (counting 4 MIUDQ building count questions)</t>
    <phoneticPr fontId="2" type="noConversion"/>
  </si>
  <si>
    <t>Modified 6 more questions</t>
    <phoneticPr fontId="2" type="noConversion"/>
  </si>
  <si>
    <t>1 Meta-question added</t>
    <phoneticPr fontId="2" type="noConversion"/>
  </si>
  <si>
    <t>3 more changes</t>
    <phoneticPr fontId="2" type="noConversion"/>
  </si>
  <si>
    <t>PEDS</t>
  </si>
  <si>
    <t>street</t>
  </si>
  <si>
    <t>intersection</t>
  </si>
  <si>
    <t>Segment intersections</t>
  </si>
  <si>
    <t>angled/on-street parking along most or all of segment</t>
  </si>
  <si>
    <t>What kind of on-street parking is there?</t>
  </si>
  <si>
    <t>Parallel</t>
  </si>
  <si>
    <t>3 way/4 way/other int type/deadend but path continues/segment dead ends/no intersections</t>
  </si>
  <si>
    <t>What type of intersection is this?</t>
  </si>
  <si>
    <t>3-way</t>
  </si>
  <si>
    <t>4-way</t>
  </si>
  <si>
    <t>5+ way</t>
  </si>
  <si>
    <t>Traffic circle</t>
  </si>
  <si>
    <t>Other type</t>
  </si>
  <si>
    <t>Deadend but path continues</t>
  </si>
  <si>
    <t>Segment ends</t>
  </si>
  <si>
    <t>Minn-Irvine</t>
  </si>
  <si>
    <t>traffic control</t>
  </si>
  <si>
    <t>Traffic control</t>
  </si>
  <si>
    <t>traffic signal</t>
  </si>
  <si>
    <t>What kind of traffic signal is provided?</t>
  </si>
  <si>
    <t>Traffic signal</t>
  </si>
  <si>
    <t>Stop sign</t>
  </si>
  <si>
    <t>Yield sign</t>
  </si>
  <si>
    <t>Multiple</t>
  </si>
  <si>
    <t>None</t>
  </si>
  <si>
    <t>stop sign</t>
  </si>
  <si>
    <t>yield sign</t>
  </si>
  <si>
    <t>crosswalk</t>
  </si>
  <si>
    <t>Marked for ped crossing</t>
  </si>
  <si>
    <t>all/some/none/NA</t>
  </si>
  <si>
    <t>Consider the places that are intended for pedestrians to cross the street. Are these places marked for pedestrian crossing?</t>
  </si>
  <si>
    <t>All</t>
  </si>
  <si>
    <t>Some</t>
  </si>
  <si>
    <t>Not applicable</t>
  </si>
  <si>
    <t>Crosswalks</t>
  </si>
  <si>
    <t>colored painted lines yes/no</t>
  </si>
  <si>
    <t>How is the road marked at crosswalks?</t>
  </si>
  <si>
    <t>White painted lines</t>
  </si>
  <si>
    <t>Colored painted lines</t>
  </si>
  <si>
    <t>White zebra stripes</t>
  </si>
  <si>
    <t>Colored zebra stripes</t>
  </si>
  <si>
    <t>Different road surface</t>
  </si>
  <si>
    <t>Other</t>
  </si>
  <si>
    <t>Not marked at all</t>
  </si>
  <si>
    <t>crosswalks none/1-2/3-4/&gt;4</t>
  </si>
  <si>
    <t>different road surface or paving yes/no</t>
  </si>
  <si>
    <t>other marking yes/no</t>
  </si>
  <si>
    <t>white painted lines yes/no</t>
  </si>
  <si>
    <t>Minn.Irvine.144</t>
  </si>
  <si>
    <t>PEDS.14</t>
  </si>
  <si>
    <t>PEDS.16</t>
  </si>
  <si>
    <t>Minn.Irvine.137</t>
  </si>
  <si>
    <t>Minn.Irvine.151</t>
  </si>
  <si>
    <t>Minn.Irvine.135</t>
  </si>
  <si>
    <t>Minn.Irvine.136</t>
  </si>
  <si>
    <t>PEDS.18</t>
  </si>
  <si>
    <t>PEDS.19</t>
  </si>
  <si>
    <t>Minn.Irvine.110</t>
  </si>
  <si>
    <t>Minn.Irvine.108</t>
  </si>
  <si>
    <t>Minn.Irvine.123</t>
  </si>
  <si>
    <t>PEDS.24.1</t>
  </si>
  <si>
    <t>PEDS.4.1</t>
  </si>
  <si>
    <t>PEDS.5.1</t>
  </si>
  <si>
    <t>PEDS.12</t>
  </si>
  <si>
    <t>PEDS.13</t>
  </si>
  <si>
    <t>PEDS.6</t>
  </si>
  <si>
    <t>PEDS.10</t>
  </si>
  <si>
    <t>PEDS.9</t>
  </si>
  <si>
    <t>PEDS.8.1</t>
  </si>
  <si>
    <t>PEDS.8.2</t>
  </si>
  <si>
    <t>PEDS.8.3</t>
  </si>
  <si>
    <t>PEDS.8.4</t>
  </si>
  <si>
    <t>PEDS.8.5</t>
  </si>
  <si>
    <t>PEDS.7.1</t>
  </si>
  <si>
    <t>PEDS.7.2</t>
  </si>
  <si>
    <t>PEDS.7.3</t>
  </si>
  <si>
    <t>PEDS.7.4</t>
  </si>
  <si>
    <t>PEDS.7.5</t>
  </si>
  <si>
    <t>Minn.Irvine.103</t>
  </si>
  <si>
    <t>Minn.Irvine.104</t>
  </si>
  <si>
    <t>Minn.Irvine.105</t>
  </si>
  <si>
    <t>PEDS.35</t>
  </si>
  <si>
    <t>PEDS.25</t>
  </si>
  <si>
    <t>Minn.Irvine.142</t>
  </si>
  <si>
    <t>Minn.Irvine.159</t>
  </si>
  <si>
    <t>Minn.Irvine.96</t>
  </si>
  <si>
    <t>Minn.Irvine.96.1</t>
  </si>
  <si>
    <t>Minn.Irvine.92</t>
  </si>
  <si>
    <t>Minn.Irvine.92.1</t>
  </si>
  <si>
    <t>&lt;p&gt;Street Vendors sell from carts, semi-permanent or permanent stalls, or directly on the sidewalk; do not count newspaper racks; there must be a person "manning" the stall &lt;/p&gt;  &lt;p&gt;&lt;img src="[street_vendor.png]"/&gt;&lt;/p&gt;</t>
    <phoneticPr fontId="2" type="noConversion"/>
  </si>
  <si>
    <t>&lt;p&gt;Count buildings that are not solely residential with clear signs or universal symbols that reveal their street-level use. That is, a gas pump on it could identify a gas statio or a steeple could identify a church. Words can also identify a lot/building: "high school," "pharmacy,""restaurant,""cafe," and brand or franchise names. A name such as "Joe's" would not work, while "Joe's Pub" would identify the building. If a single building has multiple street-level occupants, it is identifiable only if the majority of occupants are identifiable.&lt;/p&gt;</t>
    <phoneticPr fontId="2" type="noConversion"/>
  </si>
  <si>
    <t>Question from original list</t>
    <phoneticPr fontId="2" type="noConversion"/>
  </si>
  <si>
    <t>Question in final version</t>
    <phoneticPr fontId="2" type="noConversion"/>
  </si>
  <si>
    <t>Changes to question</t>
    <phoneticPr fontId="2" type="noConversion"/>
  </si>
  <si>
    <t>Help Text</t>
    <phoneticPr fontId="2" type="noConversion"/>
  </si>
  <si>
    <t>Any help</t>
    <phoneticPr fontId="2" type="noConversion"/>
  </si>
  <si>
    <t>yield to ped paddles</t>
  </si>
  <si>
    <t>Are there yield to pedestrian paddles?</t>
  </si>
  <si>
    <t>ped activated signal</t>
  </si>
  <si>
    <t>Qs dropped</t>
    <phoneticPr fontId="2" type="noConversion"/>
  </si>
  <si>
    <t>Qs added</t>
    <phoneticPr fontId="2" type="noConversion"/>
  </si>
  <si>
    <t>Qs modified or interpreted</t>
    <phoneticPr fontId="2" type="noConversion"/>
  </si>
  <si>
    <t>Qs originally considered</t>
    <phoneticPr fontId="2" type="noConversion"/>
  </si>
  <si>
    <t>5 on 6/22 -- inferred from others or time-dependent</t>
    <phoneticPr fontId="2" type="noConversion"/>
  </si>
  <si>
    <t>Minn.Irvine.48</t>
  </si>
  <si>
    <t>Minn.Irvine.49</t>
  </si>
  <si>
    <t>Minn.Irvine.50</t>
  </si>
  <si>
    <t>Minn.Irvine.51</t>
  </si>
  <si>
    <t>Minn.Irvine.53</t>
  </si>
  <si>
    <t>PEDS.1.6</t>
  </si>
  <si>
    <t>Minn.Irvine.54</t>
  </si>
  <si>
    <t>Minn.Irvine.55</t>
  </si>
  <si>
    <t>Minn.Irvine.56</t>
  </si>
  <si>
    <t>Minn.Irvine.57</t>
  </si>
  <si>
    <t>Minn.Irvine.59</t>
  </si>
  <si>
    <t>PEDS.1.7</t>
  </si>
  <si>
    <t>Minn.Irvine.62</t>
  </si>
  <si>
    <t>Minn.Irvine.63</t>
  </si>
  <si>
    <t>Minn.Irvine.64</t>
  </si>
  <si>
    <t>Minn.Irvine.65</t>
  </si>
  <si>
    <t>Minn.Irvine.66</t>
  </si>
  <si>
    <t>Minn.Irvine.74</t>
  </si>
  <si>
    <t>Minn.Irvine.75</t>
  </si>
  <si>
    <t>Minn.Irvine.76</t>
  </si>
  <si>
    <t>Minn.Irvine.77</t>
  </si>
  <si>
    <t>Minn.Irvine.78</t>
  </si>
  <si>
    <t>Minn.Irvine.79</t>
  </si>
  <si>
    <t>Minn.Irvine.80</t>
  </si>
  <si>
    <t>Minn.Irvine.81</t>
  </si>
  <si>
    <t>Minn.Irvine.82</t>
  </si>
  <si>
    <t>Minn.Irvine.84</t>
  </si>
  <si>
    <t>Minn.Irvine.85</t>
  </si>
  <si>
    <t>Minn.Irvine.86</t>
  </si>
  <si>
    <t>Minn.Irvine.87</t>
  </si>
  <si>
    <t>Minn.Irvine.88</t>
  </si>
  <si>
    <t>Minn.Irvine.89</t>
  </si>
  <si>
    <t>Minn.Irvine.90</t>
  </si>
  <si>
    <t>Minn.Irvine.91</t>
  </si>
  <si>
    <t>MIUDQ.22</t>
  </si>
  <si>
    <t>Minn.Irvine.127</t>
  </si>
  <si>
    <t>Minn.Irvine.131</t>
  </si>
  <si>
    <t>Minn.Irvine.130</t>
  </si>
  <si>
    <t>Minn.Irvine.133</t>
  </si>
  <si>
    <t>Minn.Irvine.134</t>
  </si>
  <si>
    <t>MIUDQ.3</t>
  </si>
  <si>
    <t>MIUDQ.23</t>
  </si>
  <si>
    <t>MIUDQ.24</t>
  </si>
  <si>
    <t>MIUDQ.5</t>
  </si>
  <si>
    <t>Minn.Irvine.129</t>
  </si>
  <si>
    <t>PEDS.29</t>
  </si>
  <si>
    <t>MIUDQ.10</t>
  </si>
  <si>
    <t>PEDS.33</t>
  </si>
  <si>
    <t>MIUDQ.9</t>
  </si>
  <si>
    <t>MIUDQ.12</t>
  </si>
  <si>
    <t>Minn.Irvine.22</t>
  </si>
  <si>
    <t>Minn.Irvine.132</t>
  </si>
  <si>
    <t>MIUDQ.19</t>
  </si>
  <si>
    <t>PEDS.32</t>
  </si>
  <si>
    <t>MIUDQ.4</t>
  </si>
  <si>
    <t>MIUDQ.21</t>
  </si>
  <si>
    <t>Minn.Irvine.156</t>
  </si>
  <si>
    <t>Minn.Irvine.17</t>
  </si>
  <si>
    <t>MIUDQ.26</t>
  </si>
  <si>
    <t>Minn.Irvine.119</t>
  </si>
  <si>
    <t>Minn.Irvine.120</t>
  </si>
  <si>
    <t>MIUDQ.18</t>
  </si>
  <si>
    <t>MIUDQ.18.1</t>
  </si>
  <si>
    <t>Minn.Irvine.157</t>
  </si>
  <si>
    <t>PEDS.26.1</t>
  </si>
  <si>
    <t>Total items</t>
    <phoneticPr fontId="2" type="noConversion"/>
  </si>
  <si>
    <t>Help Includes Images</t>
    <phoneticPr fontId="2" type="noConversion"/>
  </si>
  <si>
    <t>Text-only Help</t>
    <phoneticPr fontId="2" type="noConversion"/>
  </si>
  <si>
    <t>No Help Exists</t>
    <phoneticPr fontId="2" type="noConversion"/>
  </si>
  <si>
    <t>Total Items</t>
    <phoneticPr fontId="2" type="noConversion"/>
  </si>
  <si>
    <t>80+% Agreement</t>
    <phoneticPr fontId="2" type="noConversion"/>
  </si>
  <si>
    <t>0-79% Agreement</t>
    <phoneticPr fontId="2" type="noConversion"/>
  </si>
  <si>
    <t>Fleiss' Kappa above .6</t>
    <phoneticPr fontId="2" type="noConversion"/>
  </si>
  <si>
    <t>Fleiss' Kappa below .6</t>
    <phoneticPr fontId="2" type="noConversion"/>
  </si>
  <si>
    <t>kappa</t>
  </si>
  <si>
    <t>User</t>
  </si>
  <si>
    <t>Segment</t>
  </si>
  <si>
    <t>Meta.1</t>
  </si>
  <si>
    <t>NA</t>
  </si>
  <si>
    <t>Meta.2</t>
  </si>
  <si>
    <t>Meta.3</t>
  </si>
  <si>
    <t>Meta.4</t>
  </si>
  <si>
    <t>Meta.5</t>
  </si>
  <si>
    <t>Meta.6</t>
  </si>
  <si>
    <t>Meta.7</t>
  </si>
  <si>
    <t>PEDS.3</t>
  </si>
  <si>
    <t>Minn.Irvine.9</t>
  </si>
  <si>
    <t>Minn.Irvine.2</t>
  </si>
  <si>
    <t>Minn.Irvine.4</t>
  </si>
  <si>
    <t>PEDS.23.4</t>
  </si>
  <si>
    <t>PEDS.21.5</t>
  </si>
  <si>
    <t>PEDS.23.7</t>
  </si>
  <si>
    <t>PEDS.23.3</t>
  </si>
  <si>
    <t>PEDS.23.5</t>
  </si>
  <si>
    <t>PEDS.23.6</t>
  </si>
  <si>
    <t>PEDS.23.2</t>
  </si>
  <si>
    <t>PEDS.23.8</t>
  </si>
  <si>
    <t>PEDS.23.1</t>
  </si>
  <si>
    <t>Minn.Irvine.12</t>
  </si>
  <si>
    <t>Minn.Irvine.8</t>
  </si>
  <si>
    <t>Minn.Irvine.146</t>
  </si>
  <si>
    <t>Minn.Irvine.147</t>
  </si>
  <si>
    <t>Minn.Irvine.19</t>
  </si>
  <si>
    <t>Minn.Irvine.21</t>
  </si>
  <si>
    <t>Minn.Irvine.152</t>
  </si>
  <si>
    <t>Item type</t>
    <phoneticPr fontId="2" type="noConversion"/>
  </si>
  <si>
    <t>Categorical item count</t>
    <phoneticPr fontId="2" type="noConversion"/>
  </si>
  <si>
    <t>PEDS.26.3</t>
  </si>
  <si>
    <t>Minn.Irvine.122</t>
  </si>
  <si>
    <t>Minn.Irvine.124</t>
  </si>
  <si>
    <t>PEDS.27</t>
  </si>
  <si>
    <t>MIUDQ.17</t>
  </si>
  <si>
    <t>PEDS.2</t>
  </si>
  <si>
    <t>PEDS.28</t>
  </si>
  <si>
    <t>NYC.HVS.1</t>
  </si>
  <si>
    <t>NYC.HVS.2</t>
  </si>
  <si>
    <t>Minn.Irvine.128</t>
  </si>
  <si>
    <t>PHDCN.1</t>
  </si>
  <si>
    <t>Minn.Irvine.141</t>
  </si>
  <si>
    <t>Minn.Irvine.139</t>
  </si>
  <si>
    <t>PHDCN.2</t>
  </si>
  <si>
    <t>Minn.Irvine.140</t>
  </si>
  <si>
    <t>PHDCN.3</t>
  </si>
  <si>
    <t>Minn.Irvine.138</t>
  </si>
  <si>
    <t>PEDS.31</t>
  </si>
  <si>
    <t>Meta_time</t>
  </si>
  <si>
    <t>First.intersection..These.questions.apply.to.the.green.intersection.as.approached.from.the.red.intersection._time</t>
  </si>
  <si>
    <t>Road.and.parking_time</t>
  </si>
  <si>
    <t>Bike_time</t>
  </si>
  <si>
    <t>Sidewalk_time</t>
  </si>
  <si>
    <t>Other.conditions.of.road.and.sidewalk_time</t>
  </si>
  <si>
    <t>Land.use_time</t>
  </si>
  <si>
    <t>Appearance.and.condition.of.buildings.and.street.space_time</t>
  </si>
  <si>
    <t>R-friendly name</t>
    <phoneticPr fontId="2" type="noConversion"/>
  </si>
  <si>
    <t>.6+ kappa</t>
    <phoneticPr fontId="2" type="noConversion"/>
  </si>
  <si>
    <t>.6- kappa</t>
    <phoneticPr fontId="2" type="noConversion"/>
  </si>
  <si>
    <t>percent_agree</t>
  </si>
  <si>
    <t>Total</t>
    <phoneticPr fontId="2" type="noConversion"/>
  </si>
  <si>
    <t>Unmodified</t>
    <phoneticPr fontId="2" type="noConversion"/>
  </si>
  <si>
    <t>Reworded</t>
    <phoneticPr fontId="2" type="noConversion"/>
  </si>
  <si>
    <t>Added</t>
    <phoneticPr fontId="2" type="noConversion"/>
  </si>
  <si>
    <t>Minn.Irvine.161</t>
  </si>
  <si>
    <t>First.intersection_time</t>
  </si>
  <si>
    <t>initial kappa</t>
    <phoneticPr fontId="2" type="noConversion"/>
  </si>
  <si>
    <t>final kappa</t>
    <phoneticPr fontId="2" type="noConversion"/>
  </si>
  <si>
    <t>final percent agree</t>
    <phoneticPr fontId="2" type="noConversion"/>
  </si>
  <si>
    <t>initial percent agree</t>
    <phoneticPr fontId="2" type="noConversion"/>
  </si>
  <si>
    <t>% &gt; .6</t>
    <phoneticPr fontId="2" type="noConversion"/>
  </si>
  <si>
    <t>.8+ agreement</t>
    <phoneticPr fontId="2" type="noConversion"/>
  </si>
  <si>
    <t>% &gt; .8</t>
    <phoneticPr fontId="2" type="noConversion"/>
  </si>
  <si>
    <t>kappa &gt; .6</t>
    <phoneticPr fontId="2" type="noConversion"/>
  </si>
  <si>
    <t>%agree &gt; .8</t>
    <phoneticPr fontId="2" type="noConversion"/>
  </si>
  <si>
    <t>First Test</t>
    <phoneticPr fontId="2" type="noConversion"/>
  </si>
  <si>
    <t>Final Test</t>
    <phoneticPr fontId="2" type="noConversion"/>
  </si>
  <si>
    <t>Minn.Irvine.94</t>
  </si>
  <si>
    <t>Minn.Irvine.94.1</t>
  </si>
  <si>
    <t>Minn.Irvine.98</t>
  </si>
  <si>
    <t>Minn.Irvine.98.1</t>
  </si>
  <si>
    <t>Minn.Irvine.93</t>
  </si>
  <si>
    <t>Minn.Irvine.93.1</t>
  </si>
  <si>
    <t>Minn.Irvine.95</t>
  </si>
  <si>
    <t>Minn.Irvine.95.1</t>
  </si>
  <si>
    <t>Minn.Irvine.97</t>
  </si>
  <si>
    <t>Minn.Irvine.97.1</t>
  </si>
  <si>
    <t>Minn.Irvine.178</t>
  </si>
  <si>
    <t>Minn.Irvine.24</t>
  </si>
  <si>
    <t>Minn.Irvine.25</t>
  </si>
  <si>
    <t>Minn.Irvine.26</t>
  </si>
  <si>
    <t>PEDS.1.3</t>
  </si>
  <si>
    <t>Minn.Irvine.28</t>
  </si>
  <si>
    <t>Streetview.1</t>
  </si>
  <si>
    <t>Minn.Irvine.29</t>
  </si>
  <si>
    <t>Minn.Irvine.30</t>
  </si>
  <si>
    <t>Minn.Irvine.31</t>
  </si>
  <si>
    <t>Minn.Irvine.32</t>
  </si>
  <si>
    <t>Minn.Irvine.33</t>
  </si>
  <si>
    <t>Minn.Irvine.34</t>
  </si>
  <si>
    <t>Minn.Irvine.73</t>
  </si>
  <si>
    <t>Minn.Irvine.35</t>
  </si>
  <si>
    <t>Minn.Irvine.36</t>
  </si>
  <si>
    <t>Minn.Irvine.37</t>
  </si>
  <si>
    <t>Minn.Irvine.38</t>
  </si>
  <si>
    <t>Minn.Irvine.39</t>
  </si>
  <si>
    <t>Minn.Irvine.40</t>
  </si>
  <si>
    <t>Minn.Irvine.41</t>
  </si>
  <si>
    <t>Minn.Irvine.42</t>
  </si>
  <si>
    <t>Minn.Irvine.43</t>
  </si>
  <si>
    <t>Minn.Irvine.44</t>
  </si>
  <si>
    <t>Minn.Irvine.45</t>
  </si>
  <si>
    <t>Minn.Irvine.46</t>
  </si>
  <si>
    <t>Minn.Irvine.47</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</si>
</sst>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
    <font>
      <sz val="10"/>
      <name val="Verdana"/>
    </font>
    <font>
      <i/>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 fontId="0" fillId="0" borderId="0" xfId="0" applyNumberFormat="1"/>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18"/>
  <c:chart>
    <c:title>
      <c:tx>
        <c:rich>
          <a:bodyPr/>
          <a:lstStyle/>
          <a:p>
            <a:pPr>
              <a:defRPr sz="3600"/>
            </a:pPr>
            <a:r>
              <a:rPr lang="en-US" sz="3600"/>
              <a:t>Reliability Improvement</a:t>
            </a:r>
          </a:p>
        </c:rich>
      </c:tx>
      <c:layout/>
    </c:title>
    <c:plotArea>
      <c:layout/>
      <c:barChart>
        <c:barDir val="col"/>
        <c:grouping val="clustered"/>
        <c:ser>
          <c:idx val="0"/>
          <c:order val="0"/>
          <c:tx>
            <c:strRef>
              <c:f>Analysis!$M$192</c:f>
              <c:strCache>
                <c:ptCount val="1"/>
                <c:pt idx="0">
                  <c:v>First Test</c:v>
                </c:pt>
              </c:strCache>
            </c:strRef>
          </c:tx>
          <c:cat>
            <c:strRef>
              <c:f>Analysis!$N$191:$O$191</c:f>
              <c:strCache>
                <c:ptCount val="2"/>
                <c:pt idx="0">
                  <c:v>kappa &gt; .6</c:v>
                </c:pt>
                <c:pt idx="1">
                  <c:v>%agree &gt; .8</c:v>
                </c:pt>
              </c:strCache>
            </c:strRef>
          </c:cat>
          <c:val>
            <c:numRef>
              <c:f>Analysis!$N$192:$O$192</c:f>
              <c:numCache>
                <c:formatCode>General</c:formatCode>
                <c:ptCount val="2"/>
                <c:pt idx="0">
                  <c:v>38.83495145631068</c:v>
                </c:pt>
                <c:pt idx="1">
                  <c:v>77.00534759358288</c:v>
                </c:pt>
              </c:numCache>
            </c:numRef>
          </c:val>
        </c:ser>
        <c:ser>
          <c:idx val="1"/>
          <c:order val="1"/>
          <c:tx>
            <c:strRef>
              <c:f>Analysis!$M$193</c:f>
              <c:strCache>
                <c:ptCount val="1"/>
                <c:pt idx="0">
                  <c:v>Final Test</c:v>
                </c:pt>
              </c:strCache>
            </c:strRef>
          </c:tx>
          <c:cat>
            <c:strRef>
              <c:f>Analysis!$N$191:$O$191</c:f>
              <c:strCache>
                <c:ptCount val="2"/>
                <c:pt idx="0">
                  <c:v>kappa &gt; .6</c:v>
                </c:pt>
                <c:pt idx="1">
                  <c:v>%agree &gt; .8</c:v>
                </c:pt>
              </c:strCache>
            </c:strRef>
          </c:cat>
          <c:val>
            <c:numRef>
              <c:f>Analysis!$N$193:$O$193</c:f>
              <c:numCache>
                <c:formatCode>General</c:formatCode>
                <c:ptCount val="2"/>
                <c:pt idx="0">
                  <c:v>58.94039735099338</c:v>
                </c:pt>
                <c:pt idx="1">
                  <c:v>82.88770053475936</c:v>
                </c:pt>
              </c:numCache>
            </c:numRef>
          </c:val>
        </c:ser>
        <c:axId val="516740872"/>
        <c:axId val="516743928"/>
      </c:barChart>
      <c:catAx>
        <c:axId val="516740872"/>
        <c:scaling>
          <c:orientation val="minMax"/>
        </c:scaling>
        <c:axPos val="b"/>
        <c:tickLblPos val="nextTo"/>
        <c:txPr>
          <a:bodyPr/>
          <a:lstStyle/>
          <a:p>
            <a:pPr>
              <a:defRPr sz="2400"/>
            </a:pPr>
            <a:endParaRPr lang="en-US"/>
          </a:p>
        </c:txPr>
        <c:crossAx val="516743928"/>
        <c:crosses val="autoZero"/>
        <c:auto val="1"/>
        <c:lblAlgn val="ctr"/>
        <c:lblOffset val="100"/>
      </c:catAx>
      <c:valAx>
        <c:axId val="516743928"/>
        <c:scaling>
          <c:orientation val="minMax"/>
        </c:scaling>
        <c:axPos val="l"/>
        <c:majorGridlines/>
        <c:title>
          <c:tx>
            <c:rich>
              <a:bodyPr/>
              <a:lstStyle/>
              <a:p>
                <a:pPr>
                  <a:defRPr sz="2000"/>
                </a:pPr>
                <a:r>
                  <a:rPr lang="en-US" sz="2000"/>
                  <a:t>Percent of items</a:t>
                </a:r>
              </a:p>
            </c:rich>
          </c:tx>
          <c:layout/>
        </c:title>
        <c:numFmt formatCode="General" sourceLinked="1"/>
        <c:tickLblPos val="nextTo"/>
        <c:crossAx val="516740872"/>
        <c:crosses val="autoZero"/>
        <c:crossBetween val="between"/>
      </c:valAx>
    </c:plotArea>
    <c:legend>
      <c:legendPos val="r"/>
      <c:layout/>
      <c:txPr>
        <a:bodyPr/>
        <a:lstStyle/>
        <a:p>
          <a:pPr>
            <a:defRPr sz="3000"/>
          </a:pPr>
          <a:endParaRPr lang="en-US"/>
        </a:p>
      </c:txPr>
    </c:legend>
    <c:plotVisOnly val="1"/>
  </c:chart>
  <c:spPr>
    <a:solidFill>
      <a:schemeClr val="accent1">
        <a:lumMod val="60000"/>
        <a:lumOff val="40000"/>
      </a:schemeClr>
    </a:solidFill>
    <a:effectLst/>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34"/>
  <c:chart>
    <c:title>
      <c:tx>
        <c:rich>
          <a:bodyPr/>
          <a:lstStyle/>
          <a:p>
            <a:pPr>
              <a:defRPr sz="3600"/>
            </a:pPr>
            <a:r>
              <a:rPr lang="en-US" sz="3600"/>
              <a:t>Audit</a:t>
            </a:r>
            <a:r>
              <a:rPr lang="en-US" sz="3600" baseline="0"/>
              <a:t> </a:t>
            </a:r>
            <a:r>
              <a:rPr lang="en-US" sz="3600"/>
              <a:t>Item Modification</a:t>
            </a:r>
          </a:p>
        </c:rich>
      </c:tx>
      <c:layout/>
    </c:title>
    <c:plotArea>
      <c:layout>
        <c:manualLayout>
          <c:layoutTarget val="inner"/>
          <c:xMode val="edge"/>
          <c:yMode val="edge"/>
          <c:x val="0.0626092249690734"/>
          <c:y val="0.209448818897638"/>
          <c:w val="0.448379052369077"/>
          <c:h val="0.707874015748031"/>
        </c:manualLayout>
      </c:layout>
      <c:pieChart>
        <c:varyColors val="1"/>
        <c:ser>
          <c:idx val="0"/>
          <c:order val="0"/>
          <c:dPt>
            <c:idx val="0"/>
            <c:spPr>
              <a:solidFill>
                <a:schemeClr val="accent2"/>
              </a:solidFill>
            </c:spPr>
          </c:dPt>
          <c:dPt>
            <c:idx val="1"/>
            <c:spPr>
              <a:solidFill>
                <a:schemeClr val="bg1"/>
              </a:solidFill>
            </c:spPr>
          </c:dPt>
          <c:dPt>
            <c:idx val="2"/>
            <c:spPr>
              <a:solidFill>
                <a:schemeClr val="accent1"/>
              </a:solidFill>
            </c:spPr>
          </c:dPt>
          <c:cat>
            <c:strRef>
              <c:f>Analysis!$D$190:$D$192</c:f>
              <c:strCache>
                <c:ptCount val="3"/>
                <c:pt idx="0">
                  <c:v>Added</c:v>
                </c:pt>
                <c:pt idx="1">
                  <c:v>Reworded</c:v>
                </c:pt>
                <c:pt idx="2">
                  <c:v>Unmodified</c:v>
                </c:pt>
              </c:strCache>
            </c:strRef>
          </c:cat>
          <c:val>
            <c:numRef>
              <c:f>Analysis!$E$190:$E$192</c:f>
              <c:numCache>
                <c:formatCode>General</c:formatCode>
                <c:ptCount val="3"/>
                <c:pt idx="0">
                  <c:v>15.0</c:v>
                </c:pt>
                <c:pt idx="1">
                  <c:v>47.0</c:v>
                </c:pt>
                <c:pt idx="2">
                  <c:v>125.0</c:v>
                </c:pt>
              </c:numCache>
            </c:numRef>
          </c:val>
        </c:ser>
        <c:firstSliceAng val="0"/>
      </c:pieChart>
    </c:plotArea>
    <c:legend>
      <c:legendPos val="r"/>
      <c:layout>
        <c:manualLayout>
          <c:xMode val="edge"/>
          <c:yMode val="edge"/>
          <c:x val="0.598535158167573"/>
          <c:y val="0.247935395870792"/>
          <c:w val="0.386502248316217"/>
          <c:h val="0.642711575423151"/>
        </c:manualLayout>
      </c:layout>
      <c:txPr>
        <a:bodyPr/>
        <a:lstStyle/>
        <a:p>
          <a:pPr>
            <a:defRPr sz="2400"/>
          </a:pPr>
          <a:endParaRPr lang="en-US"/>
        </a:p>
      </c:txPr>
    </c:legend>
    <c:plotVisOnly val="1"/>
  </c:chart>
  <c:spPr>
    <a:solidFill>
      <a:schemeClr val="accent1">
        <a:lumMod val="60000"/>
        <a:lumOff val="40000"/>
      </a:schemeClr>
    </a:solidFill>
    <a:effectLst/>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pieChart>
        <c:varyColors val="1"/>
        <c:ser>
          <c:idx val="0"/>
          <c:order val="0"/>
          <c:cat>
            <c:strRef>
              <c:f>scratch!$A$2:$A$3</c:f>
              <c:strCache>
                <c:ptCount val="2"/>
                <c:pt idx="0">
                  <c:v>80+% Agreement</c:v>
                </c:pt>
                <c:pt idx="1">
                  <c:v>0-79% Agreement</c:v>
                </c:pt>
              </c:strCache>
            </c:strRef>
          </c:cat>
          <c:val>
            <c:numRef>
              <c:f>scratch!$B$2:$B$3</c:f>
              <c:numCache>
                <c:formatCode>General</c:formatCode>
                <c:ptCount val="2"/>
                <c:pt idx="0">
                  <c:v>145.0</c:v>
                </c:pt>
                <c:pt idx="1">
                  <c:v>25.0</c:v>
                </c:pt>
              </c:numCache>
            </c:numRef>
          </c:val>
        </c:ser>
        <c:firstSliceAng val="0"/>
      </c:pieChart>
    </c:plotArea>
    <c:legend>
      <c:legendPos val="r"/>
      <c:layout/>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18"/>
  <c:chart>
    <c:plotArea>
      <c:layout/>
      <c:pieChart>
        <c:varyColors val="1"/>
        <c:ser>
          <c:idx val="0"/>
          <c:order val="0"/>
          <c:cat>
            <c:strRef>
              <c:f>scratch!$A$5:$A$6</c:f>
              <c:strCache>
                <c:ptCount val="2"/>
                <c:pt idx="0">
                  <c:v>Fleiss' Kappa above .6</c:v>
                </c:pt>
                <c:pt idx="1">
                  <c:v>Fleiss' Kappa below .6</c:v>
                </c:pt>
              </c:strCache>
            </c:strRef>
          </c:cat>
          <c:val>
            <c:numRef>
              <c:f>scratch!$B$5:$B$6</c:f>
              <c:numCache>
                <c:formatCode>General</c:formatCode>
                <c:ptCount val="2"/>
                <c:pt idx="0">
                  <c:v>91.0</c:v>
                </c:pt>
                <c:pt idx="1">
                  <c:v>79.0</c:v>
                </c:pt>
              </c:numCache>
            </c:numRef>
          </c:val>
        </c:ser>
        <c:firstSliceAng val="0"/>
      </c:pieChart>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800100</xdr:colOff>
      <xdr:row>210</xdr:row>
      <xdr:rowOff>38100</xdr:rowOff>
    </xdr:from>
    <xdr:to>
      <xdr:col>3</xdr:col>
      <xdr:colOff>2565400</xdr:colOff>
      <xdr:row>229</xdr:row>
      <xdr:rowOff>127000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2933700</xdr:colOff>
      <xdr:row>210</xdr:row>
      <xdr:rowOff>25400</xdr:rowOff>
    </xdr:from>
    <xdr:to>
      <xdr:col>10</xdr:col>
      <xdr:colOff>431800</xdr:colOff>
      <xdr:row>229</xdr:row>
      <xdr:rowOff>114300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723900</xdr:colOff>
      <xdr:row>7</xdr:row>
      <xdr:rowOff>127000</xdr:rowOff>
    </xdr:from>
    <xdr:to>
      <xdr:col>5</xdr:col>
      <xdr:colOff>228600</xdr:colOff>
      <xdr:row>24</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698500</xdr:colOff>
      <xdr:row>26</xdr:row>
      <xdr:rowOff>38100</xdr:rowOff>
    </xdr:from>
    <xdr:to>
      <xdr:col>5</xdr:col>
      <xdr:colOff>203200</xdr:colOff>
      <xdr:row>42</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items-kathy"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items_with_help_text" connectionId="2"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first_20_kappas_1" connectionId="3"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initial_test_kappas" connectionId="4"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19"/>
  <sheetViews>
    <sheetView view="pageLayout" workbookViewId="0">
      <selection activeCell="B22" sqref="B22"/>
    </sheetView>
  </sheetViews>
  <sheetFormatPr baseColWidth="10" defaultRowHeight="13"/>
  <sheetData>
    <row r="1" spans="1:8">
      <c r="A1" t="s">
        <v>1014</v>
      </c>
      <c r="B1">
        <v>180</v>
      </c>
    </row>
    <row r="2" spans="1:8">
      <c r="A2" t="s">
        <v>1011</v>
      </c>
      <c r="B2">
        <v>5</v>
      </c>
      <c r="C2" t="s">
        <v>1015</v>
      </c>
    </row>
    <row r="3" spans="1:8">
      <c r="A3" t="s">
        <v>1012</v>
      </c>
    </row>
    <row r="4" spans="1:8">
      <c r="A4" t="s">
        <v>1013</v>
      </c>
      <c r="H4" s="2"/>
    </row>
    <row r="7" spans="1:8">
      <c r="A7" t="s">
        <v>901</v>
      </c>
      <c r="B7" t="s">
        <v>902</v>
      </c>
    </row>
    <row r="8" spans="1:8">
      <c r="A8" t="s">
        <v>899</v>
      </c>
      <c r="B8" t="s">
        <v>900</v>
      </c>
    </row>
    <row r="9" spans="1:8">
      <c r="A9" s="1">
        <v>39254</v>
      </c>
      <c r="B9" t="s">
        <v>896</v>
      </c>
    </row>
    <row r="10" spans="1:8">
      <c r="A10" s="1">
        <v>39260</v>
      </c>
      <c r="B10" t="s">
        <v>897</v>
      </c>
    </row>
    <row r="11" spans="1:8">
      <c r="A11" s="1">
        <v>39268</v>
      </c>
      <c r="B11" t="s">
        <v>898</v>
      </c>
    </row>
    <row r="12" spans="1:8">
      <c r="A12" s="1">
        <v>39269</v>
      </c>
      <c r="B12" t="s">
        <v>903</v>
      </c>
    </row>
    <row r="13" spans="1:8">
      <c r="A13" s="1">
        <v>39272</v>
      </c>
      <c r="B13" t="s">
        <v>904</v>
      </c>
    </row>
    <row r="14" spans="1:8">
      <c r="A14" s="1">
        <v>39274</v>
      </c>
      <c r="B14" t="s">
        <v>905</v>
      </c>
    </row>
    <row r="15" spans="1:8">
      <c r="A15" s="1">
        <v>39276</v>
      </c>
      <c r="B15" t="s">
        <v>906</v>
      </c>
    </row>
    <row r="16" spans="1:8">
      <c r="A16" s="1">
        <v>39288</v>
      </c>
      <c r="B16" t="s">
        <v>907</v>
      </c>
    </row>
    <row r="17" spans="1:2">
      <c r="A17" s="1">
        <v>39295</v>
      </c>
      <c r="B17" t="s">
        <v>908</v>
      </c>
    </row>
    <row r="18" spans="1:2">
      <c r="A18" s="1">
        <v>39296</v>
      </c>
      <c r="B18" t="s">
        <v>910</v>
      </c>
    </row>
    <row r="19" spans="1:2">
      <c r="A19" s="1">
        <v>39296</v>
      </c>
      <c r="B19" t="s">
        <v>909</v>
      </c>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T233"/>
  <sheetViews>
    <sheetView topLeftCell="A191" workbookViewId="0">
      <selection activeCell="C231" sqref="C231"/>
    </sheetView>
  </sheetViews>
  <sheetFormatPr baseColWidth="10" defaultRowHeight="13"/>
  <cols>
    <col min="2" max="2" width="9.42578125" bestFit="1" customWidth="1"/>
    <col min="3" max="3" width="5" bestFit="1" customWidth="1"/>
    <col min="4" max="4" width="7.140625" customWidth="1"/>
    <col min="5" max="5" width="5" customWidth="1"/>
    <col min="6" max="6" width="13.140625" customWidth="1"/>
    <col min="7" max="7" width="9.140625" customWidth="1"/>
    <col min="8" max="8" width="38.28515625" customWidth="1"/>
    <col min="9" max="14" width="8.140625" customWidth="1"/>
    <col min="15" max="15" width="13.7109375" bestFit="1" customWidth="1"/>
    <col min="16" max="16" width="29" bestFit="1" customWidth="1"/>
    <col min="17" max="17" width="4" bestFit="1" customWidth="1"/>
    <col min="18" max="18" width="8.85546875" bestFit="1" customWidth="1"/>
    <col min="19" max="20" width="4" bestFit="1" customWidth="1"/>
  </cols>
  <sheetData>
    <row r="1" spans="1:15">
      <c r="A1" t="str">
        <f>CONCATENATE(B1,"-",C1)</f>
        <v>PEDS-3</v>
      </c>
      <c r="B1" t="s">
        <v>313</v>
      </c>
      <c r="C1">
        <v>3</v>
      </c>
      <c r="D1" t="s">
        <v>912</v>
      </c>
      <c r="E1" t="s">
        <v>913</v>
      </c>
      <c r="F1" t="s">
        <v>914</v>
      </c>
      <c r="G1" t="s">
        <v>918</v>
      </c>
      <c r="H1" t="s">
        <v>919</v>
      </c>
      <c r="I1" t="s">
        <v>920</v>
      </c>
      <c r="J1" t="s">
        <v>921</v>
      </c>
      <c r="K1" t="s">
        <v>922</v>
      </c>
      <c r="L1" t="s">
        <v>923</v>
      </c>
      <c r="M1" t="s">
        <v>924</v>
      </c>
      <c r="N1" t="s">
        <v>925</v>
      </c>
      <c r="O1" t="s">
        <v>926</v>
      </c>
    </row>
    <row r="2" spans="1:15">
      <c r="A2" t="str">
        <f>CONCATENATE(B2,"-",C2)</f>
        <v>Minn-Irvine-9</v>
      </c>
      <c r="B2" t="s">
        <v>927</v>
      </c>
      <c r="C2">
        <v>9</v>
      </c>
      <c r="D2" t="s">
        <v>928</v>
      </c>
      <c r="F2" t="s">
        <v>929</v>
      </c>
      <c r="G2" t="s">
        <v>930</v>
      </c>
      <c r="H2" t="s">
        <v>931</v>
      </c>
      <c r="I2" t="s">
        <v>932</v>
      </c>
      <c r="J2" t="s">
        <v>933</v>
      </c>
      <c r="K2" t="s">
        <v>934</v>
      </c>
      <c r="L2" t="s">
        <v>935</v>
      </c>
      <c r="M2" t="s">
        <v>936</v>
      </c>
    </row>
    <row r="3" spans="1:15">
      <c r="A3" t="str">
        <f t="shared" ref="A3:A66" si="0">CONCATENATE(B3,"-",C3)</f>
        <v>Minn-Irvine-10</v>
      </c>
      <c r="B3" t="s">
        <v>927</v>
      </c>
      <c r="C3">
        <v>10</v>
      </c>
      <c r="D3" t="s">
        <v>928</v>
      </c>
      <c r="F3" t="s">
        <v>929</v>
      </c>
      <c r="G3" t="s">
        <v>937</v>
      </c>
    </row>
    <row r="4" spans="1:15">
      <c r="A4" t="str">
        <f t="shared" si="0"/>
        <v>Minn-Irvine-11</v>
      </c>
      <c r="B4" t="s">
        <v>927</v>
      </c>
      <c r="C4">
        <v>11</v>
      </c>
      <c r="D4" t="s">
        <v>928</v>
      </c>
      <c r="F4" t="s">
        <v>929</v>
      </c>
      <c r="G4" t="s">
        <v>938</v>
      </c>
    </row>
    <row r="5" spans="1:15">
      <c r="A5" t="str">
        <f t="shared" si="0"/>
        <v>Minn-Irvine-2</v>
      </c>
      <c r="B5" t="s">
        <v>927</v>
      </c>
      <c r="C5">
        <v>2</v>
      </c>
      <c r="D5" t="s">
        <v>939</v>
      </c>
      <c r="F5" t="s">
        <v>940</v>
      </c>
      <c r="G5" t="s">
        <v>941</v>
      </c>
      <c r="H5" t="s">
        <v>942</v>
      </c>
      <c r="I5" t="s">
        <v>943</v>
      </c>
      <c r="J5" t="s">
        <v>944</v>
      </c>
      <c r="K5" t="s">
        <v>936</v>
      </c>
      <c r="L5" t="s">
        <v>945</v>
      </c>
    </row>
    <row r="6" spans="1:15">
      <c r="A6" t="str">
        <f t="shared" si="0"/>
        <v>Minn-Irvine-4</v>
      </c>
      <c r="B6" t="s">
        <v>927</v>
      </c>
      <c r="C6">
        <v>4</v>
      </c>
      <c r="D6" t="s">
        <v>939</v>
      </c>
      <c r="F6" t="s">
        <v>946</v>
      </c>
      <c r="G6" t="s">
        <v>947</v>
      </c>
      <c r="H6" t="s">
        <v>948</v>
      </c>
      <c r="I6" t="s">
        <v>949</v>
      </c>
      <c r="J6" t="s">
        <v>950</v>
      </c>
      <c r="K6" t="s">
        <v>951</v>
      </c>
      <c r="L6" t="s">
        <v>952</v>
      </c>
      <c r="M6" t="s">
        <v>953</v>
      </c>
      <c r="N6" t="s">
        <v>954</v>
      </c>
      <c r="O6" t="s">
        <v>955</v>
      </c>
    </row>
    <row r="7" spans="1:15">
      <c r="A7" t="str">
        <f t="shared" si="0"/>
        <v>PEDS-22</v>
      </c>
      <c r="B7" t="s">
        <v>911</v>
      </c>
      <c r="C7">
        <v>22</v>
      </c>
      <c r="D7" t="s">
        <v>939</v>
      </c>
      <c r="F7" t="s">
        <v>946</v>
      </c>
      <c r="G7" t="s">
        <v>956</v>
      </c>
    </row>
    <row r="8" spans="1:15">
      <c r="A8" t="str">
        <f t="shared" si="0"/>
        <v>Minn-Irvine-6</v>
      </c>
      <c r="B8" t="s">
        <v>927</v>
      </c>
      <c r="C8">
        <v>6</v>
      </c>
      <c r="D8" t="s">
        <v>939</v>
      </c>
      <c r="F8" t="s">
        <v>946</v>
      </c>
      <c r="G8" t="s">
        <v>957</v>
      </c>
    </row>
    <row r="9" spans="1:15">
      <c r="A9" t="str">
        <f t="shared" si="0"/>
        <v>Minn-Irvine-7</v>
      </c>
      <c r="B9" t="s">
        <v>927</v>
      </c>
      <c r="C9">
        <v>7</v>
      </c>
      <c r="D9" t="s">
        <v>939</v>
      </c>
      <c r="F9" t="s">
        <v>946</v>
      </c>
      <c r="G9" t="s">
        <v>958</v>
      </c>
    </row>
    <row r="10" spans="1:15">
      <c r="A10" t="str">
        <f t="shared" si="0"/>
        <v>Minn-Irvine-3</v>
      </c>
      <c r="B10" t="s">
        <v>927</v>
      </c>
      <c r="C10">
        <v>3</v>
      </c>
      <c r="D10" t="s">
        <v>939</v>
      </c>
      <c r="F10" t="s">
        <v>946</v>
      </c>
      <c r="G10" t="s">
        <v>959</v>
      </c>
    </row>
    <row r="11" spans="1:15">
      <c r="A11" t="str">
        <f t="shared" si="0"/>
        <v>Minn-Irvine-5</v>
      </c>
      <c r="B11" t="s">
        <v>927</v>
      </c>
      <c r="C11">
        <v>5</v>
      </c>
      <c r="D11" t="s">
        <v>939</v>
      </c>
      <c r="F11" t="s">
        <v>946</v>
      </c>
      <c r="G11" t="s">
        <v>832</v>
      </c>
    </row>
    <row r="12" spans="1:15">
      <c r="A12" t="str">
        <f t="shared" si="0"/>
        <v>Minn-Irvine-148</v>
      </c>
      <c r="B12" t="s">
        <v>927</v>
      </c>
      <c r="C12">
        <v>148</v>
      </c>
      <c r="D12" t="s">
        <v>928</v>
      </c>
      <c r="F12" t="s">
        <v>833</v>
      </c>
      <c r="G12" t="s">
        <v>834</v>
      </c>
    </row>
    <row r="13" spans="1:15">
      <c r="A13" t="str">
        <f t="shared" si="0"/>
        <v>Minn-Irvine-149</v>
      </c>
      <c r="B13" t="s">
        <v>927</v>
      </c>
      <c r="C13">
        <v>149</v>
      </c>
      <c r="D13" t="s">
        <v>928</v>
      </c>
      <c r="F13" t="s">
        <v>833</v>
      </c>
      <c r="G13" t="s">
        <v>835</v>
      </c>
    </row>
    <row r="14" spans="1:15">
      <c r="A14" t="str">
        <f t="shared" si="0"/>
        <v>Minn-Irvine-150</v>
      </c>
      <c r="B14" t="s">
        <v>927</v>
      </c>
      <c r="C14">
        <v>150</v>
      </c>
      <c r="D14" t="s">
        <v>928</v>
      </c>
      <c r="F14" t="s">
        <v>833</v>
      </c>
      <c r="G14" t="s">
        <v>836</v>
      </c>
    </row>
    <row r="15" spans="1:15">
      <c r="A15" t="str">
        <f t="shared" si="0"/>
        <v>PEDS-23.4</v>
      </c>
      <c r="B15" t="s">
        <v>911</v>
      </c>
      <c r="C15">
        <v>23.4</v>
      </c>
      <c r="D15" t="s">
        <v>939</v>
      </c>
      <c r="F15" t="s">
        <v>837</v>
      </c>
      <c r="G15" t="s">
        <v>838</v>
      </c>
      <c r="H15" t="s">
        <v>839</v>
      </c>
      <c r="I15" t="s">
        <v>840</v>
      </c>
      <c r="J15" t="s">
        <v>841</v>
      </c>
    </row>
    <row r="16" spans="1:15">
      <c r="A16" t="str">
        <f t="shared" si="0"/>
        <v>PEDS-21.5</v>
      </c>
      <c r="B16" t="s">
        <v>911</v>
      </c>
      <c r="C16">
        <v>21.5</v>
      </c>
      <c r="D16" t="s">
        <v>912</v>
      </c>
      <c r="E16" t="s">
        <v>842</v>
      </c>
      <c r="F16" t="s">
        <v>843</v>
      </c>
      <c r="G16" t="s">
        <v>844</v>
      </c>
      <c r="H16" t="s">
        <v>845</v>
      </c>
      <c r="I16" t="s">
        <v>840</v>
      </c>
      <c r="J16" t="s">
        <v>841</v>
      </c>
    </row>
    <row r="17" spans="1:15">
      <c r="A17" t="str">
        <f t="shared" si="0"/>
        <v>PEDS-23.7</v>
      </c>
      <c r="B17" t="s">
        <v>911</v>
      </c>
      <c r="C17">
        <v>23.7</v>
      </c>
      <c r="D17" t="s">
        <v>939</v>
      </c>
      <c r="F17" t="s">
        <v>837</v>
      </c>
      <c r="G17" t="s">
        <v>846</v>
      </c>
      <c r="H17" t="s">
        <v>847</v>
      </c>
      <c r="I17" t="s">
        <v>840</v>
      </c>
      <c r="J17" t="s">
        <v>841</v>
      </c>
    </row>
    <row r="18" spans="1:15">
      <c r="A18" t="str">
        <f t="shared" si="0"/>
        <v>PEDS-23.3</v>
      </c>
      <c r="B18" t="s">
        <v>911</v>
      </c>
      <c r="C18">
        <v>23.3</v>
      </c>
      <c r="D18" t="s">
        <v>939</v>
      </c>
      <c r="F18" t="s">
        <v>837</v>
      </c>
      <c r="G18" t="s">
        <v>848</v>
      </c>
      <c r="H18" t="s">
        <v>849</v>
      </c>
      <c r="I18" t="s">
        <v>840</v>
      </c>
      <c r="J18" t="s">
        <v>841</v>
      </c>
    </row>
    <row r="19" spans="1:15">
      <c r="A19" t="str">
        <f t="shared" si="0"/>
        <v>PEDS-23.5</v>
      </c>
      <c r="B19" t="s">
        <v>911</v>
      </c>
      <c r="C19">
        <v>23.5</v>
      </c>
      <c r="D19" t="s">
        <v>939</v>
      </c>
      <c r="F19" t="s">
        <v>837</v>
      </c>
      <c r="G19" t="s">
        <v>850</v>
      </c>
      <c r="H19" t="s">
        <v>851</v>
      </c>
      <c r="I19" t="s">
        <v>840</v>
      </c>
      <c r="J19" t="s">
        <v>841</v>
      </c>
    </row>
    <row r="20" spans="1:15">
      <c r="A20" t="str">
        <f t="shared" si="0"/>
        <v>PEDS-23.6</v>
      </c>
      <c r="B20" t="s">
        <v>911</v>
      </c>
      <c r="C20">
        <v>23.6</v>
      </c>
      <c r="D20" t="s">
        <v>939</v>
      </c>
      <c r="F20" t="s">
        <v>837</v>
      </c>
      <c r="G20" t="s">
        <v>852</v>
      </c>
      <c r="H20" t="s">
        <v>853</v>
      </c>
      <c r="I20" t="s">
        <v>840</v>
      </c>
      <c r="J20" t="s">
        <v>841</v>
      </c>
    </row>
    <row r="21" spans="1:15">
      <c r="A21" t="str">
        <f t="shared" si="0"/>
        <v>PEDS-23.2</v>
      </c>
      <c r="B21" t="s">
        <v>911</v>
      </c>
      <c r="C21">
        <v>23.2</v>
      </c>
      <c r="D21" t="s">
        <v>939</v>
      </c>
      <c r="F21" t="s">
        <v>837</v>
      </c>
      <c r="G21" t="s">
        <v>854</v>
      </c>
      <c r="H21" t="s">
        <v>855</v>
      </c>
      <c r="I21" t="s">
        <v>840</v>
      </c>
      <c r="J21" t="s">
        <v>841</v>
      </c>
    </row>
    <row r="22" spans="1:15">
      <c r="A22" t="str">
        <f t="shared" si="0"/>
        <v>PEDS-23.8</v>
      </c>
      <c r="B22" t="s">
        <v>911</v>
      </c>
      <c r="C22">
        <v>23.8</v>
      </c>
      <c r="D22" t="s">
        <v>939</v>
      </c>
      <c r="F22" t="s">
        <v>837</v>
      </c>
      <c r="G22" t="s">
        <v>856</v>
      </c>
      <c r="H22" t="s">
        <v>857</v>
      </c>
      <c r="I22" t="s">
        <v>840</v>
      </c>
      <c r="J22" t="s">
        <v>841</v>
      </c>
    </row>
    <row r="23" spans="1:15">
      <c r="A23" t="str">
        <f t="shared" si="0"/>
        <v>PEDS-23.1</v>
      </c>
      <c r="B23" t="s">
        <v>911</v>
      </c>
      <c r="C23">
        <v>23.1</v>
      </c>
      <c r="D23" t="s">
        <v>939</v>
      </c>
      <c r="F23" t="s">
        <v>837</v>
      </c>
      <c r="G23" t="s">
        <v>1008</v>
      </c>
      <c r="H23" t="s">
        <v>1009</v>
      </c>
      <c r="I23" t="s">
        <v>840</v>
      </c>
      <c r="J23" t="s">
        <v>841</v>
      </c>
    </row>
    <row r="24" spans="1:15">
      <c r="A24" t="str">
        <f t="shared" si="0"/>
        <v>Minn-Irvine-12</v>
      </c>
      <c r="B24" t="s">
        <v>927</v>
      </c>
      <c r="C24">
        <v>12</v>
      </c>
      <c r="D24" t="s">
        <v>939</v>
      </c>
      <c r="F24" t="s">
        <v>929</v>
      </c>
      <c r="G24" t="s">
        <v>1010</v>
      </c>
      <c r="H24" t="s">
        <v>862</v>
      </c>
      <c r="I24" t="s">
        <v>840</v>
      </c>
      <c r="J24" t="s">
        <v>841</v>
      </c>
    </row>
    <row r="25" spans="1:15">
      <c r="A25" t="str">
        <f t="shared" si="0"/>
        <v>Minn-Irvine-13</v>
      </c>
      <c r="B25" t="s">
        <v>927</v>
      </c>
      <c r="C25">
        <v>13</v>
      </c>
      <c r="D25" t="s">
        <v>939</v>
      </c>
      <c r="F25" t="s">
        <v>929</v>
      </c>
      <c r="G25" t="s">
        <v>863</v>
      </c>
    </row>
    <row r="26" spans="1:15">
      <c r="A26" t="str">
        <f t="shared" si="0"/>
        <v>Minn-Irvine-8</v>
      </c>
      <c r="B26" t="s">
        <v>927</v>
      </c>
      <c r="C26">
        <v>8</v>
      </c>
      <c r="D26" t="s">
        <v>864</v>
      </c>
      <c r="E26" t="s">
        <v>865</v>
      </c>
      <c r="F26" t="s">
        <v>866</v>
      </c>
      <c r="G26" t="s">
        <v>941</v>
      </c>
      <c r="H26" t="s">
        <v>867</v>
      </c>
      <c r="I26" t="s">
        <v>943</v>
      </c>
      <c r="J26" t="s">
        <v>944</v>
      </c>
      <c r="K26" t="s">
        <v>936</v>
      </c>
      <c r="L26" t="s">
        <v>945</v>
      </c>
    </row>
    <row r="27" spans="1:15">
      <c r="A27" t="str">
        <f t="shared" si="0"/>
        <v>Minn-Irvine-146</v>
      </c>
      <c r="B27" t="s">
        <v>927</v>
      </c>
      <c r="C27">
        <v>146</v>
      </c>
      <c r="D27" t="s">
        <v>928</v>
      </c>
      <c r="F27" t="s">
        <v>833</v>
      </c>
      <c r="G27" t="s">
        <v>868</v>
      </c>
      <c r="H27" t="s">
        <v>869</v>
      </c>
      <c r="I27" t="s">
        <v>840</v>
      </c>
      <c r="J27" t="s">
        <v>841</v>
      </c>
    </row>
    <row r="28" spans="1:15">
      <c r="A28" t="str">
        <f t="shared" si="0"/>
        <v>Minn-Irvine-147</v>
      </c>
      <c r="B28" t="s">
        <v>927</v>
      </c>
      <c r="C28">
        <v>147</v>
      </c>
      <c r="D28" t="s">
        <v>928</v>
      </c>
      <c r="F28" t="s">
        <v>833</v>
      </c>
      <c r="G28" t="s">
        <v>870</v>
      </c>
      <c r="H28" t="s">
        <v>871</v>
      </c>
      <c r="I28" t="s">
        <v>840</v>
      </c>
      <c r="J28" t="s">
        <v>841</v>
      </c>
    </row>
    <row r="29" spans="1:15">
      <c r="A29" t="str">
        <f t="shared" si="0"/>
        <v>-</v>
      </c>
      <c r="H29" t="s">
        <v>872</v>
      </c>
    </row>
    <row r="30" spans="1:15">
      <c r="A30" t="str">
        <f t="shared" si="0"/>
        <v>PEDS-0</v>
      </c>
      <c r="B30" t="s">
        <v>911</v>
      </c>
      <c r="C30">
        <v>0</v>
      </c>
      <c r="D30" t="s">
        <v>912</v>
      </c>
      <c r="E30" t="s">
        <v>873</v>
      </c>
      <c r="F30" t="s">
        <v>874</v>
      </c>
      <c r="G30" t="s">
        <v>875</v>
      </c>
      <c r="H30" t="s">
        <v>876</v>
      </c>
      <c r="I30" t="s">
        <v>877</v>
      </c>
      <c r="J30" t="s">
        <v>878</v>
      </c>
      <c r="K30" t="s">
        <v>879</v>
      </c>
      <c r="L30" t="s">
        <v>880</v>
      </c>
    </row>
    <row r="31" spans="1:15">
      <c r="A31" t="str">
        <f t="shared" si="0"/>
        <v>Minn-Irvine-19</v>
      </c>
      <c r="B31" t="s">
        <v>927</v>
      </c>
      <c r="C31">
        <v>19</v>
      </c>
      <c r="D31" t="s">
        <v>912</v>
      </c>
      <c r="E31" t="s">
        <v>881</v>
      </c>
      <c r="F31" t="s">
        <v>882</v>
      </c>
      <c r="G31" t="s">
        <v>883</v>
      </c>
      <c r="H31" t="s">
        <v>884</v>
      </c>
      <c r="I31" t="s">
        <v>885</v>
      </c>
      <c r="J31" t="s">
        <v>886</v>
      </c>
    </row>
    <row r="32" spans="1:15">
      <c r="A32" t="str">
        <f t="shared" si="0"/>
        <v>Minn-Irvine-21</v>
      </c>
      <c r="B32" t="s">
        <v>927</v>
      </c>
      <c r="C32">
        <v>21</v>
      </c>
      <c r="D32" t="s">
        <v>912</v>
      </c>
      <c r="E32" t="s">
        <v>887</v>
      </c>
      <c r="F32" t="s">
        <v>888</v>
      </c>
      <c r="G32" t="s">
        <v>889</v>
      </c>
      <c r="H32" t="s">
        <v>890</v>
      </c>
      <c r="I32" t="s">
        <v>891</v>
      </c>
      <c r="J32">
        <v>5</v>
      </c>
      <c r="K32">
        <v>4</v>
      </c>
      <c r="L32">
        <v>3</v>
      </c>
      <c r="M32">
        <v>2</v>
      </c>
      <c r="N32">
        <v>1</v>
      </c>
      <c r="O32" t="s">
        <v>945</v>
      </c>
    </row>
    <row r="33" spans="1:18">
      <c r="A33" t="str">
        <f t="shared" si="0"/>
        <v>Minn-Irvine-152</v>
      </c>
      <c r="B33" t="s">
        <v>927</v>
      </c>
      <c r="C33">
        <v>152</v>
      </c>
      <c r="D33" t="s">
        <v>912</v>
      </c>
      <c r="F33" t="s">
        <v>892</v>
      </c>
      <c r="G33" t="s">
        <v>893</v>
      </c>
      <c r="H33" t="s">
        <v>894</v>
      </c>
      <c r="I33" t="s">
        <v>840</v>
      </c>
      <c r="J33" t="s">
        <v>841</v>
      </c>
    </row>
    <row r="34" spans="1:18">
      <c r="A34" t="str">
        <f t="shared" si="0"/>
        <v>Minn-Irvine-144</v>
      </c>
      <c r="B34" t="s">
        <v>927</v>
      </c>
      <c r="C34">
        <v>144</v>
      </c>
      <c r="D34" t="s">
        <v>912</v>
      </c>
      <c r="E34" t="s">
        <v>873</v>
      </c>
      <c r="F34" t="s">
        <v>895</v>
      </c>
      <c r="G34" t="s">
        <v>766</v>
      </c>
      <c r="H34" t="s">
        <v>767</v>
      </c>
      <c r="I34" t="s">
        <v>768</v>
      </c>
      <c r="J34" t="s">
        <v>769</v>
      </c>
      <c r="K34" t="s">
        <v>770</v>
      </c>
      <c r="L34" t="s">
        <v>771</v>
      </c>
    </row>
    <row r="35" spans="1:18">
      <c r="A35" t="str">
        <f t="shared" si="0"/>
        <v>Minn-Irvine-20</v>
      </c>
      <c r="B35" t="s">
        <v>927</v>
      </c>
      <c r="C35">
        <v>20</v>
      </c>
      <c r="D35" t="s">
        <v>912</v>
      </c>
      <c r="F35" t="s">
        <v>772</v>
      </c>
      <c r="G35" t="s">
        <v>893</v>
      </c>
    </row>
    <row r="36" spans="1:18">
      <c r="A36" t="str">
        <f t="shared" si="0"/>
        <v>PEDS-4.4</v>
      </c>
      <c r="B36" t="s">
        <v>911</v>
      </c>
      <c r="C36">
        <v>4.4000000000000004</v>
      </c>
      <c r="D36" t="s">
        <v>912</v>
      </c>
      <c r="E36" t="s">
        <v>773</v>
      </c>
      <c r="F36" t="s">
        <v>774</v>
      </c>
      <c r="G36" t="s">
        <v>775</v>
      </c>
    </row>
    <row r="37" spans="1:18">
      <c r="A37" t="str">
        <f t="shared" si="0"/>
        <v>PEDS-14</v>
      </c>
      <c r="B37" t="s">
        <v>911</v>
      </c>
      <c r="C37">
        <v>14</v>
      </c>
      <c r="D37" t="s">
        <v>912</v>
      </c>
      <c r="F37" t="s">
        <v>776</v>
      </c>
      <c r="G37" t="s">
        <v>777</v>
      </c>
      <c r="H37" t="s">
        <v>778</v>
      </c>
      <c r="I37" t="s">
        <v>779</v>
      </c>
      <c r="J37" t="s">
        <v>780</v>
      </c>
      <c r="K37" t="s">
        <v>781</v>
      </c>
      <c r="L37" t="s">
        <v>782</v>
      </c>
    </row>
    <row r="38" spans="1:18">
      <c r="A38" t="str">
        <f t="shared" si="0"/>
        <v>PEDS-16</v>
      </c>
      <c r="B38" t="s">
        <v>911</v>
      </c>
      <c r="C38">
        <v>16</v>
      </c>
      <c r="D38" t="s">
        <v>912</v>
      </c>
      <c r="E38" t="s">
        <v>783</v>
      </c>
      <c r="F38" t="s">
        <v>784</v>
      </c>
      <c r="G38" t="s">
        <v>785</v>
      </c>
      <c r="H38" t="s">
        <v>786</v>
      </c>
      <c r="I38">
        <v>15</v>
      </c>
      <c r="J38">
        <v>20</v>
      </c>
      <c r="K38">
        <v>25</v>
      </c>
      <c r="L38">
        <v>30</v>
      </c>
      <c r="M38">
        <v>35</v>
      </c>
      <c r="N38">
        <v>40</v>
      </c>
      <c r="O38">
        <v>45</v>
      </c>
      <c r="P38">
        <v>50</v>
      </c>
      <c r="Q38" t="s">
        <v>787</v>
      </c>
      <c r="R38" t="s">
        <v>788</v>
      </c>
    </row>
    <row r="39" spans="1:18">
      <c r="A39" t="str">
        <f t="shared" si="0"/>
        <v>Minn-Irvine-137</v>
      </c>
      <c r="B39" t="s">
        <v>927</v>
      </c>
      <c r="C39">
        <v>137</v>
      </c>
      <c r="D39" t="s">
        <v>789</v>
      </c>
      <c r="F39" t="s">
        <v>790</v>
      </c>
      <c r="G39" t="s">
        <v>791</v>
      </c>
      <c r="H39" t="s">
        <v>792</v>
      </c>
      <c r="I39" t="s">
        <v>793</v>
      </c>
      <c r="J39" t="s">
        <v>794</v>
      </c>
      <c r="K39" t="s">
        <v>936</v>
      </c>
    </row>
    <row r="40" spans="1:18">
      <c r="A40" t="str">
        <f t="shared" si="0"/>
        <v>Minn-Irvine-151</v>
      </c>
      <c r="B40" t="s">
        <v>927</v>
      </c>
      <c r="C40">
        <v>151</v>
      </c>
      <c r="D40" t="s">
        <v>928</v>
      </c>
      <c r="F40" t="s">
        <v>833</v>
      </c>
      <c r="G40" t="s">
        <v>915</v>
      </c>
      <c r="H40" t="s">
        <v>916</v>
      </c>
      <c r="I40" t="s">
        <v>917</v>
      </c>
      <c r="J40" t="s">
        <v>798</v>
      </c>
      <c r="K40" t="s">
        <v>936</v>
      </c>
    </row>
    <row r="41" spans="1:18">
      <c r="A41" t="str">
        <f t="shared" si="0"/>
        <v>PEDS-17</v>
      </c>
      <c r="B41" t="s">
        <v>911</v>
      </c>
      <c r="C41">
        <v>17</v>
      </c>
      <c r="D41" t="s">
        <v>789</v>
      </c>
      <c r="F41" t="s">
        <v>799</v>
      </c>
      <c r="G41" t="s">
        <v>800</v>
      </c>
    </row>
    <row r="42" spans="1:18">
      <c r="A42" t="str">
        <f t="shared" si="0"/>
        <v>Minn-Irvine-135</v>
      </c>
      <c r="B42" t="s">
        <v>927</v>
      </c>
      <c r="C42">
        <v>135</v>
      </c>
      <c r="D42" t="s">
        <v>789</v>
      </c>
      <c r="F42" t="s">
        <v>801</v>
      </c>
      <c r="G42" t="s">
        <v>893</v>
      </c>
      <c r="H42" t="s">
        <v>802</v>
      </c>
      <c r="I42" t="s">
        <v>840</v>
      </c>
      <c r="J42" t="s">
        <v>841</v>
      </c>
    </row>
    <row r="43" spans="1:18">
      <c r="A43" t="str">
        <f t="shared" si="0"/>
        <v>Minn-Irvine-136</v>
      </c>
      <c r="B43" t="s">
        <v>927</v>
      </c>
      <c r="C43">
        <v>136</v>
      </c>
      <c r="D43" t="s">
        <v>789</v>
      </c>
      <c r="F43" t="s">
        <v>803</v>
      </c>
      <c r="G43" t="s">
        <v>804</v>
      </c>
      <c r="H43" t="s">
        <v>805</v>
      </c>
      <c r="I43" t="s">
        <v>806</v>
      </c>
      <c r="J43" t="s">
        <v>807</v>
      </c>
      <c r="K43" t="s">
        <v>808</v>
      </c>
      <c r="L43" t="s">
        <v>809</v>
      </c>
    </row>
    <row r="44" spans="1:18">
      <c r="A44" t="str">
        <f t="shared" si="0"/>
        <v>PEDS-18</v>
      </c>
      <c r="B44" t="s">
        <v>911</v>
      </c>
      <c r="C44">
        <v>18</v>
      </c>
      <c r="D44" t="s">
        <v>789</v>
      </c>
      <c r="F44" t="s">
        <v>810</v>
      </c>
      <c r="G44" t="s">
        <v>811</v>
      </c>
      <c r="H44" t="s">
        <v>812</v>
      </c>
      <c r="I44" t="s">
        <v>813</v>
      </c>
      <c r="J44" t="s">
        <v>814</v>
      </c>
      <c r="K44" t="s">
        <v>815</v>
      </c>
      <c r="L44" t="s">
        <v>936</v>
      </c>
    </row>
    <row r="45" spans="1:18">
      <c r="A45" t="str">
        <f t="shared" si="0"/>
        <v>PEDS-19</v>
      </c>
      <c r="B45" t="s">
        <v>911</v>
      </c>
      <c r="C45">
        <v>19</v>
      </c>
      <c r="D45" t="s">
        <v>816</v>
      </c>
      <c r="F45" t="s">
        <v>817</v>
      </c>
      <c r="G45" t="s">
        <v>818</v>
      </c>
      <c r="H45" t="s">
        <v>819</v>
      </c>
      <c r="I45" t="s">
        <v>840</v>
      </c>
      <c r="J45" t="s">
        <v>841</v>
      </c>
      <c r="K45" t="s">
        <v>820</v>
      </c>
    </row>
    <row r="46" spans="1:18">
      <c r="A46" t="str">
        <f t="shared" si="0"/>
        <v>Minn-Irvine-110</v>
      </c>
      <c r="B46" t="s">
        <v>927</v>
      </c>
      <c r="C46">
        <v>110</v>
      </c>
      <c r="D46" t="s">
        <v>939</v>
      </c>
      <c r="F46" t="s">
        <v>821</v>
      </c>
      <c r="G46" t="s">
        <v>893</v>
      </c>
      <c r="H46" t="s">
        <v>822</v>
      </c>
      <c r="I46" t="s">
        <v>949</v>
      </c>
      <c r="J46" t="s">
        <v>950</v>
      </c>
      <c r="K46" t="s">
        <v>951</v>
      </c>
      <c r="L46" t="s">
        <v>952</v>
      </c>
      <c r="M46" t="s">
        <v>953</v>
      </c>
      <c r="N46" t="s">
        <v>954</v>
      </c>
      <c r="O46" t="s">
        <v>955</v>
      </c>
      <c r="P46" t="s">
        <v>823</v>
      </c>
    </row>
    <row r="47" spans="1:18">
      <c r="A47" t="str">
        <f t="shared" si="0"/>
        <v>Minn-Irvine-112</v>
      </c>
      <c r="B47" t="s">
        <v>927</v>
      </c>
      <c r="C47">
        <v>112</v>
      </c>
      <c r="D47" t="s">
        <v>939</v>
      </c>
      <c r="F47" t="s">
        <v>824</v>
      </c>
      <c r="G47" t="s">
        <v>947</v>
      </c>
    </row>
    <row r="48" spans="1:18">
      <c r="A48" t="str">
        <f t="shared" si="0"/>
        <v>Minn-Irvine-114</v>
      </c>
      <c r="B48" t="s">
        <v>927</v>
      </c>
      <c r="C48">
        <v>114</v>
      </c>
      <c r="D48" t="s">
        <v>939</v>
      </c>
      <c r="F48" t="s">
        <v>824</v>
      </c>
      <c r="G48" t="s">
        <v>957</v>
      </c>
    </row>
    <row r="49" spans="1:19">
      <c r="A49" t="str">
        <f t="shared" si="0"/>
        <v>Minn-Irvine-115</v>
      </c>
      <c r="B49" t="s">
        <v>927</v>
      </c>
      <c r="C49">
        <v>115</v>
      </c>
      <c r="D49" t="s">
        <v>939</v>
      </c>
      <c r="F49" t="s">
        <v>824</v>
      </c>
      <c r="G49" t="s">
        <v>958</v>
      </c>
    </row>
    <row r="50" spans="1:19">
      <c r="A50" t="str">
        <f t="shared" si="0"/>
        <v>Minn-Irvine-111</v>
      </c>
      <c r="B50" t="s">
        <v>927</v>
      </c>
      <c r="C50">
        <v>111</v>
      </c>
      <c r="D50" t="s">
        <v>939</v>
      </c>
      <c r="F50" t="s">
        <v>824</v>
      </c>
      <c r="G50" t="s">
        <v>959</v>
      </c>
    </row>
    <row r="51" spans="1:19">
      <c r="A51" t="str">
        <f t="shared" si="0"/>
        <v>Minn-Irvine-113</v>
      </c>
      <c r="B51" t="s">
        <v>927</v>
      </c>
      <c r="C51">
        <v>113</v>
      </c>
      <c r="D51" t="s">
        <v>939</v>
      </c>
      <c r="F51" t="s">
        <v>824</v>
      </c>
      <c r="G51" t="s">
        <v>832</v>
      </c>
    </row>
    <row r="52" spans="1:19">
      <c r="A52" t="str">
        <f t="shared" si="0"/>
        <v>-</v>
      </c>
      <c r="H52" t="s">
        <v>825</v>
      </c>
    </row>
    <row r="53" spans="1:19">
      <c r="A53" t="str">
        <f t="shared" si="0"/>
        <v>Minn-Irvine-108</v>
      </c>
      <c r="B53" t="s">
        <v>927</v>
      </c>
      <c r="C53">
        <v>108</v>
      </c>
      <c r="D53" t="s">
        <v>826</v>
      </c>
      <c r="E53" t="s">
        <v>827</v>
      </c>
      <c r="F53" t="s">
        <v>828</v>
      </c>
      <c r="G53" t="s">
        <v>893</v>
      </c>
      <c r="H53" t="s">
        <v>829</v>
      </c>
      <c r="I53" t="s">
        <v>830</v>
      </c>
      <c r="J53" t="s">
        <v>831</v>
      </c>
      <c r="K53" t="s">
        <v>709</v>
      </c>
      <c r="L53" t="s">
        <v>710</v>
      </c>
    </row>
    <row r="54" spans="1:19">
      <c r="A54" t="str">
        <f t="shared" si="0"/>
        <v>Minn-Irvine-109</v>
      </c>
      <c r="B54" t="s">
        <v>927</v>
      </c>
      <c r="C54">
        <v>109</v>
      </c>
      <c r="D54" t="s">
        <v>826</v>
      </c>
      <c r="E54" t="s">
        <v>827</v>
      </c>
      <c r="F54" t="s">
        <v>711</v>
      </c>
      <c r="G54" t="s">
        <v>712</v>
      </c>
    </row>
    <row r="55" spans="1:19">
      <c r="A55" t="str">
        <f t="shared" si="0"/>
        <v>Minn-Irvine-123</v>
      </c>
      <c r="B55" t="s">
        <v>927</v>
      </c>
      <c r="C55">
        <v>123</v>
      </c>
      <c r="D55" t="s">
        <v>826</v>
      </c>
      <c r="E55" t="s">
        <v>713</v>
      </c>
      <c r="F55" t="s">
        <v>714</v>
      </c>
      <c r="G55" t="s">
        <v>791</v>
      </c>
      <c r="H55" t="s">
        <v>715</v>
      </c>
      <c r="I55" t="s">
        <v>793</v>
      </c>
      <c r="J55" t="s">
        <v>794</v>
      </c>
      <c r="K55" t="s">
        <v>936</v>
      </c>
    </row>
    <row r="56" spans="1:19">
      <c r="A56" t="str">
        <f t="shared" si="0"/>
        <v>PEDS-24.3</v>
      </c>
      <c r="B56" t="s">
        <v>911</v>
      </c>
      <c r="C56">
        <v>24.3</v>
      </c>
      <c r="D56" t="s">
        <v>826</v>
      </c>
      <c r="E56" t="s">
        <v>713</v>
      </c>
      <c r="F56" t="s">
        <v>716</v>
      </c>
      <c r="G56" t="s">
        <v>717</v>
      </c>
    </row>
    <row r="57" spans="1:19">
      <c r="A57" t="str">
        <f t="shared" si="0"/>
        <v>PEDS-24.1</v>
      </c>
      <c r="B57" t="s">
        <v>911</v>
      </c>
      <c r="C57">
        <v>24.1</v>
      </c>
      <c r="D57" t="s">
        <v>826</v>
      </c>
      <c r="E57" t="s">
        <v>718</v>
      </c>
      <c r="F57" t="s">
        <v>716</v>
      </c>
      <c r="G57" t="s">
        <v>719</v>
      </c>
      <c r="H57" t="s">
        <v>720</v>
      </c>
      <c r="I57" t="s">
        <v>721</v>
      </c>
      <c r="J57" t="s">
        <v>722</v>
      </c>
      <c r="K57" t="s">
        <v>723</v>
      </c>
      <c r="L57" t="s">
        <v>724</v>
      </c>
    </row>
    <row r="58" spans="1:19">
      <c r="A58" t="str">
        <f t="shared" si="0"/>
        <v>PEDS-24.4</v>
      </c>
      <c r="B58" t="s">
        <v>911</v>
      </c>
      <c r="C58">
        <v>24.4</v>
      </c>
      <c r="D58" t="s">
        <v>826</v>
      </c>
      <c r="E58" t="s">
        <v>718</v>
      </c>
      <c r="F58" t="s">
        <v>716</v>
      </c>
      <c r="G58" t="s">
        <v>725</v>
      </c>
    </row>
    <row r="59" spans="1:19">
      <c r="A59" t="str">
        <f t="shared" si="0"/>
        <v>-</v>
      </c>
      <c r="H59" t="s">
        <v>726</v>
      </c>
    </row>
    <row r="60" spans="1:19">
      <c r="A60" t="str">
        <f t="shared" si="0"/>
        <v>PEDS-4.1</v>
      </c>
      <c r="B60" t="s">
        <v>911</v>
      </c>
      <c r="C60">
        <v>4.0999999999999996</v>
      </c>
      <c r="D60" t="s">
        <v>864</v>
      </c>
      <c r="E60" t="s">
        <v>727</v>
      </c>
      <c r="F60" t="s">
        <v>774</v>
      </c>
      <c r="G60" t="s">
        <v>728</v>
      </c>
      <c r="H60" t="s">
        <v>729</v>
      </c>
      <c r="I60" t="s">
        <v>730</v>
      </c>
      <c r="J60" t="s">
        <v>731</v>
      </c>
      <c r="K60" t="s">
        <v>726</v>
      </c>
      <c r="L60" t="s">
        <v>732</v>
      </c>
      <c r="M60" t="s">
        <v>936</v>
      </c>
    </row>
    <row r="61" spans="1:19">
      <c r="A61" t="str">
        <f t="shared" si="0"/>
        <v>PEDS-5.1</v>
      </c>
      <c r="B61" t="s">
        <v>911</v>
      </c>
      <c r="C61">
        <v>5.0999999999999996</v>
      </c>
      <c r="D61" t="s">
        <v>864</v>
      </c>
      <c r="E61" t="s">
        <v>727</v>
      </c>
      <c r="F61" t="s">
        <v>733</v>
      </c>
      <c r="G61" t="s">
        <v>734</v>
      </c>
      <c r="H61" t="s">
        <v>735</v>
      </c>
      <c r="I61" t="s">
        <v>858</v>
      </c>
      <c r="J61" t="s">
        <v>859</v>
      </c>
      <c r="K61" t="s">
        <v>860</v>
      </c>
      <c r="L61" t="s">
        <v>861</v>
      </c>
      <c r="M61" t="s">
        <v>737</v>
      </c>
      <c r="N61" t="s">
        <v>738</v>
      </c>
    </row>
    <row r="62" spans="1:19">
      <c r="A62" t="str">
        <f t="shared" si="0"/>
        <v>PEDS-12</v>
      </c>
      <c r="B62" t="s">
        <v>911</v>
      </c>
      <c r="C62">
        <v>12</v>
      </c>
      <c r="D62" t="s">
        <v>864</v>
      </c>
      <c r="E62" t="s">
        <v>739</v>
      </c>
      <c r="F62" t="s">
        <v>740</v>
      </c>
      <c r="G62" t="s">
        <v>741</v>
      </c>
      <c r="H62" t="s">
        <v>742</v>
      </c>
      <c r="I62" t="s">
        <v>743</v>
      </c>
      <c r="J62" t="s">
        <v>744</v>
      </c>
      <c r="K62" t="s">
        <v>745</v>
      </c>
    </row>
    <row r="63" spans="1:19">
      <c r="A63" t="str">
        <f t="shared" si="0"/>
        <v>PEDS-13</v>
      </c>
      <c r="B63" t="s">
        <v>911</v>
      </c>
      <c r="C63">
        <v>13</v>
      </c>
      <c r="D63" t="s">
        <v>864</v>
      </c>
      <c r="E63" t="s">
        <v>746</v>
      </c>
      <c r="F63" t="s">
        <v>747</v>
      </c>
      <c r="G63" t="s">
        <v>748</v>
      </c>
      <c r="H63" t="s">
        <v>749</v>
      </c>
      <c r="I63" t="s">
        <v>936</v>
      </c>
      <c r="J63">
        <v>1</v>
      </c>
      <c r="K63">
        <v>2</v>
      </c>
      <c r="L63">
        <v>3</v>
      </c>
      <c r="M63">
        <v>4</v>
      </c>
      <c r="N63">
        <v>5</v>
      </c>
      <c r="O63">
        <v>6</v>
      </c>
      <c r="P63">
        <v>7</v>
      </c>
      <c r="Q63">
        <v>8</v>
      </c>
      <c r="R63">
        <v>9</v>
      </c>
      <c r="S63" t="s">
        <v>750</v>
      </c>
    </row>
    <row r="64" spans="1:19">
      <c r="A64" t="str">
        <f t="shared" si="0"/>
        <v>Minn-Irvine-153</v>
      </c>
      <c r="B64" t="s">
        <v>927</v>
      </c>
      <c r="C64">
        <v>153</v>
      </c>
      <c r="D64" t="s">
        <v>864</v>
      </c>
      <c r="F64" t="s">
        <v>751</v>
      </c>
      <c r="G64" t="s">
        <v>752</v>
      </c>
      <c r="H64" t="s">
        <v>753</v>
      </c>
      <c r="I64" t="s">
        <v>840</v>
      </c>
      <c r="J64" t="s">
        <v>841</v>
      </c>
      <c r="K64" t="s">
        <v>754</v>
      </c>
    </row>
    <row r="65" spans="1:13">
      <c r="A65" t="str">
        <f t="shared" si="0"/>
        <v>Minn-Irvine-107</v>
      </c>
      <c r="B65" t="s">
        <v>927</v>
      </c>
      <c r="C65">
        <v>107</v>
      </c>
      <c r="D65" t="s">
        <v>864</v>
      </c>
      <c r="F65" t="s">
        <v>755</v>
      </c>
      <c r="G65" t="s">
        <v>756</v>
      </c>
      <c r="H65" t="s">
        <v>757</v>
      </c>
      <c r="I65" t="s">
        <v>840</v>
      </c>
      <c r="J65" t="s">
        <v>841</v>
      </c>
    </row>
    <row r="66" spans="1:13">
      <c r="A66" t="str">
        <f t="shared" si="0"/>
        <v>PEDS-6</v>
      </c>
      <c r="B66" t="s">
        <v>911</v>
      </c>
      <c r="C66">
        <v>6</v>
      </c>
      <c r="D66" t="s">
        <v>864</v>
      </c>
      <c r="E66" t="s">
        <v>758</v>
      </c>
      <c r="F66" t="s">
        <v>759</v>
      </c>
      <c r="G66" t="s">
        <v>760</v>
      </c>
      <c r="H66" t="s">
        <v>761</v>
      </c>
      <c r="I66" t="s">
        <v>781</v>
      </c>
      <c r="J66" t="s">
        <v>780</v>
      </c>
      <c r="K66" t="s">
        <v>779</v>
      </c>
      <c r="L66" t="s">
        <v>782</v>
      </c>
      <c r="M66" t="s">
        <v>762</v>
      </c>
    </row>
    <row r="67" spans="1:13">
      <c r="A67" t="str">
        <f t="shared" ref="A67:A130" si="1">CONCATENATE(B67,"-",C67)</f>
        <v>Minn-Irvine-101</v>
      </c>
      <c r="B67" t="s">
        <v>927</v>
      </c>
      <c r="C67">
        <v>101</v>
      </c>
      <c r="D67" t="s">
        <v>864</v>
      </c>
      <c r="E67" t="s">
        <v>758</v>
      </c>
      <c r="F67" t="s">
        <v>763</v>
      </c>
      <c r="G67" t="s">
        <v>764</v>
      </c>
    </row>
    <row r="68" spans="1:13">
      <c r="A68" t="str">
        <f t="shared" si="1"/>
        <v>PEDS-10</v>
      </c>
      <c r="B68" t="s">
        <v>911</v>
      </c>
      <c r="C68">
        <v>10</v>
      </c>
      <c r="D68" t="s">
        <v>864</v>
      </c>
      <c r="F68" t="s">
        <v>765</v>
      </c>
      <c r="G68" t="s">
        <v>646</v>
      </c>
      <c r="H68" t="s">
        <v>647</v>
      </c>
      <c r="I68" t="s">
        <v>648</v>
      </c>
      <c r="J68" t="s">
        <v>649</v>
      </c>
      <c r="K68" t="s">
        <v>650</v>
      </c>
      <c r="L68" t="s">
        <v>945</v>
      </c>
    </row>
    <row r="69" spans="1:13">
      <c r="A69" t="str">
        <f t="shared" si="1"/>
        <v>PEDS-9</v>
      </c>
      <c r="B69" t="s">
        <v>911</v>
      </c>
      <c r="C69">
        <v>9</v>
      </c>
      <c r="D69" t="s">
        <v>864</v>
      </c>
      <c r="F69" t="s">
        <v>651</v>
      </c>
      <c r="G69" t="s">
        <v>652</v>
      </c>
      <c r="H69" t="s">
        <v>653</v>
      </c>
      <c r="I69" t="s">
        <v>654</v>
      </c>
      <c r="J69" t="s">
        <v>655</v>
      </c>
      <c r="K69" t="s">
        <v>945</v>
      </c>
    </row>
    <row r="70" spans="1:13">
      <c r="A70" t="str">
        <f t="shared" si="1"/>
        <v>PEDS-8.1</v>
      </c>
      <c r="B70" t="s">
        <v>911</v>
      </c>
      <c r="C70">
        <v>8.1</v>
      </c>
      <c r="D70" t="s">
        <v>864</v>
      </c>
      <c r="F70" t="s">
        <v>656</v>
      </c>
      <c r="G70" t="s">
        <v>657</v>
      </c>
      <c r="H70" t="s">
        <v>658</v>
      </c>
      <c r="I70" t="s">
        <v>840</v>
      </c>
      <c r="J70" t="s">
        <v>841</v>
      </c>
      <c r="K70" t="s">
        <v>659</v>
      </c>
    </row>
    <row r="71" spans="1:13">
      <c r="A71" t="str">
        <f t="shared" si="1"/>
        <v>PEDS-8.2</v>
      </c>
      <c r="B71" t="s">
        <v>911</v>
      </c>
      <c r="C71">
        <v>8.1999999999999993</v>
      </c>
      <c r="D71" t="s">
        <v>660</v>
      </c>
      <c r="F71" t="s">
        <v>656</v>
      </c>
      <c r="G71" t="s">
        <v>661</v>
      </c>
      <c r="H71" t="s">
        <v>662</v>
      </c>
      <c r="I71" t="s">
        <v>840</v>
      </c>
      <c r="J71" t="s">
        <v>841</v>
      </c>
      <c r="K71" t="s">
        <v>659</v>
      </c>
    </row>
    <row r="72" spans="1:13">
      <c r="A72" t="str">
        <f t="shared" si="1"/>
        <v>PEDS-8.3</v>
      </c>
      <c r="B72" t="s">
        <v>911</v>
      </c>
      <c r="C72">
        <v>8.3000000000000007</v>
      </c>
      <c r="D72" t="s">
        <v>660</v>
      </c>
      <c r="F72" t="s">
        <v>656</v>
      </c>
      <c r="G72" t="s">
        <v>663</v>
      </c>
      <c r="H72" t="s">
        <v>664</v>
      </c>
      <c r="I72" t="s">
        <v>840</v>
      </c>
      <c r="J72" t="s">
        <v>841</v>
      </c>
      <c r="K72" t="s">
        <v>659</v>
      </c>
    </row>
    <row r="73" spans="1:13">
      <c r="A73" t="str">
        <f t="shared" si="1"/>
        <v>PEDS-8.4</v>
      </c>
      <c r="B73" t="s">
        <v>911</v>
      </c>
      <c r="C73">
        <v>8.4</v>
      </c>
      <c r="D73" t="s">
        <v>660</v>
      </c>
      <c r="F73" t="s">
        <v>656</v>
      </c>
      <c r="G73" t="s">
        <v>665</v>
      </c>
      <c r="H73" t="s">
        <v>666</v>
      </c>
      <c r="I73" t="s">
        <v>840</v>
      </c>
      <c r="J73" t="s">
        <v>841</v>
      </c>
      <c r="K73" t="s">
        <v>659</v>
      </c>
    </row>
    <row r="74" spans="1:13">
      <c r="A74" t="str">
        <f t="shared" si="1"/>
        <v>PEDS-8.5</v>
      </c>
      <c r="B74" t="s">
        <v>911</v>
      </c>
      <c r="C74">
        <v>8.5</v>
      </c>
      <c r="D74" t="s">
        <v>864</v>
      </c>
      <c r="F74" t="s">
        <v>656</v>
      </c>
      <c r="G74" t="s">
        <v>667</v>
      </c>
      <c r="H74" t="s">
        <v>668</v>
      </c>
      <c r="I74" t="s">
        <v>840</v>
      </c>
      <c r="J74" t="s">
        <v>841</v>
      </c>
      <c r="K74" t="s">
        <v>659</v>
      </c>
    </row>
    <row r="75" spans="1:13">
      <c r="A75" t="str">
        <f t="shared" si="1"/>
        <v>PEDS-8.6</v>
      </c>
      <c r="B75" t="s">
        <v>911</v>
      </c>
      <c r="C75">
        <v>8.6</v>
      </c>
      <c r="D75" t="s">
        <v>864</v>
      </c>
      <c r="F75" t="s">
        <v>656</v>
      </c>
      <c r="G75" t="s">
        <v>669</v>
      </c>
    </row>
    <row r="76" spans="1:13">
      <c r="A76" t="str">
        <f t="shared" si="1"/>
        <v>PEDS-7.1</v>
      </c>
      <c r="B76" t="s">
        <v>911</v>
      </c>
      <c r="C76">
        <v>7.1</v>
      </c>
      <c r="D76" t="s">
        <v>864</v>
      </c>
      <c r="F76" t="s">
        <v>670</v>
      </c>
      <c r="G76" t="s">
        <v>795</v>
      </c>
      <c r="H76" t="s">
        <v>796</v>
      </c>
      <c r="I76" t="s">
        <v>840</v>
      </c>
      <c r="J76" t="s">
        <v>841</v>
      </c>
      <c r="K76" t="s">
        <v>659</v>
      </c>
    </row>
    <row r="77" spans="1:13">
      <c r="A77" t="str">
        <f t="shared" si="1"/>
        <v>PEDS-7.2</v>
      </c>
      <c r="B77" t="s">
        <v>911</v>
      </c>
      <c r="C77">
        <v>7.2</v>
      </c>
      <c r="D77" t="s">
        <v>864</v>
      </c>
      <c r="F77" t="s">
        <v>670</v>
      </c>
      <c r="G77" t="s">
        <v>797</v>
      </c>
      <c r="H77" t="s">
        <v>672</v>
      </c>
      <c r="I77" t="s">
        <v>840</v>
      </c>
      <c r="J77" t="s">
        <v>841</v>
      </c>
      <c r="K77" t="s">
        <v>659</v>
      </c>
    </row>
    <row r="78" spans="1:13">
      <c r="A78" t="str">
        <f t="shared" si="1"/>
        <v>PEDS-7.3</v>
      </c>
      <c r="B78" t="s">
        <v>911</v>
      </c>
      <c r="C78">
        <v>7.3</v>
      </c>
      <c r="D78" t="s">
        <v>864</v>
      </c>
      <c r="F78" t="s">
        <v>670</v>
      </c>
      <c r="G78" t="s">
        <v>673</v>
      </c>
      <c r="H78" t="s">
        <v>674</v>
      </c>
      <c r="I78" t="s">
        <v>840</v>
      </c>
      <c r="J78" t="s">
        <v>841</v>
      </c>
      <c r="K78" t="s">
        <v>659</v>
      </c>
    </row>
    <row r="79" spans="1:13">
      <c r="A79" t="str">
        <f t="shared" si="1"/>
        <v>PEDS-7.4</v>
      </c>
      <c r="B79" t="s">
        <v>911</v>
      </c>
      <c r="C79">
        <v>7.4</v>
      </c>
      <c r="D79" t="s">
        <v>864</v>
      </c>
      <c r="F79" t="s">
        <v>670</v>
      </c>
      <c r="G79" t="s">
        <v>675</v>
      </c>
      <c r="H79" t="s">
        <v>676</v>
      </c>
      <c r="I79" t="s">
        <v>840</v>
      </c>
      <c r="J79" t="s">
        <v>841</v>
      </c>
      <c r="K79" t="s">
        <v>659</v>
      </c>
    </row>
    <row r="80" spans="1:13">
      <c r="A80" t="str">
        <f t="shared" si="1"/>
        <v>PEDS-7.5</v>
      </c>
      <c r="B80" t="s">
        <v>911</v>
      </c>
      <c r="C80">
        <v>7.5</v>
      </c>
      <c r="D80" t="s">
        <v>864</v>
      </c>
      <c r="F80" t="s">
        <v>670</v>
      </c>
      <c r="G80" t="s">
        <v>677</v>
      </c>
      <c r="H80" t="s">
        <v>678</v>
      </c>
      <c r="I80" t="s">
        <v>840</v>
      </c>
      <c r="J80" t="s">
        <v>841</v>
      </c>
      <c r="K80" t="s">
        <v>659</v>
      </c>
    </row>
    <row r="81" spans="1:13">
      <c r="A81" t="str">
        <f t="shared" si="1"/>
        <v>PEDS-7.6</v>
      </c>
      <c r="B81" t="s">
        <v>911</v>
      </c>
      <c r="C81">
        <v>7.6</v>
      </c>
      <c r="D81" t="s">
        <v>864</v>
      </c>
      <c r="F81" t="s">
        <v>670</v>
      </c>
      <c r="G81" t="s">
        <v>669</v>
      </c>
    </row>
    <row r="82" spans="1:13">
      <c r="A82" t="str">
        <f t="shared" si="1"/>
        <v>Minn-Irvine-103</v>
      </c>
      <c r="B82" t="s">
        <v>927</v>
      </c>
      <c r="C82">
        <v>103</v>
      </c>
      <c r="D82" t="s">
        <v>864</v>
      </c>
      <c r="E82" t="s">
        <v>679</v>
      </c>
      <c r="F82" t="s">
        <v>680</v>
      </c>
      <c r="G82" t="s">
        <v>681</v>
      </c>
      <c r="H82" t="s">
        <v>682</v>
      </c>
      <c r="I82" t="s">
        <v>683</v>
      </c>
      <c r="J82" t="s">
        <v>684</v>
      </c>
      <c r="K82" t="s">
        <v>745</v>
      </c>
    </row>
    <row r="83" spans="1:13">
      <c r="A83" t="str">
        <f t="shared" si="1"/>
        <v>Minn-Irvine-104</v>
      </c>
      <c r="B83" t="s">
        <v>927</v>
      </c>
      <c r="C83">
        <v>104</v>
      </c>
      <c r="D83" t="s">
        <v>864</v>
      </c>
      <c r="E83" t="s">
        <v>679</v>
      </c>
      <c r="F83" t="s">
        <v>685</v>
      </c>
      <c r="G83" t="s">
        <v>681</v>
      </c>
      <c r="H83" t="s">
        <v>686</v>
      </c>
      <c r="I83" t="s">
        <v>683</v>
      </c>
      <c r="J83" t="s">
        <v>684</v>
      </c>
      <c r="K83" t="s">
        <v>745</v>
      </c>
    </row>
    <row r="84" spans="1:13">
      <c r="A84" t="str">
        <f t="shared" si="1"/>
        <v>Minn-Irvine-105</v>
      </c>
      <c r="B84" t="s">
        <v>927</v>
      </c>
      <c r="C84">
        <v>105</v>
      </c>
      <c r="D84" t="s">
        <v>864</v>
      </c>
      <c r="E84" t="s">
        <v>679</v>
      </c>
      <c r="F84" t="s">
        <v>687</v>
      </c>
      <c r="G84" t="s">
        <v>681</v>
      </c>
      <c r="H84" t="s">
        <v>688</v>
      </c>
      <c r="I84" t="s">
        <v>683</v>
      </c>
      <c r="J84" t="s">
        <v>684</v>
      </c>
      <c r="K84" t="s">
        <v>745</v>
      </c>
    </row>
    <row r="85" spans="1:13">
      <c r="A85" t="str">
        <f t="shared" si="1"/>
        <v>PEDS-5.2</v>
      </c>
      <c r="B85" t="s">
        <v>911</v>
      </c>
      <c r="C85">
        <v>5.2</v>
      </c>
      <c r="D85" t="s">
        <v>864</v>
      </c>
      <c r="E85" t="s">
        <v>727</v>
      </c>
      <c r="F85" t="s">
        <v>733</v>
      </c>
      <c r="G85" t="s">
        <v>689</v>
      </c>
    </row>
    <row r="86" spans="1:13">
      <c r="A86" t="str">
        <f t="shared" si="1"/>
        <v>PEDS-5.3</v>
      </c>
      <c r="B86" t="s">
        <v>911</v>
      </c>
      <c r="C86">
        <v>5.3</v>
      </c>
      <c r="D86" t="s">
        <v>864</v>
      </c>
      <c r="E86" t="s">
        <v>727</v>
      </c>
      <c r="F86" t="s">
        <v>733</v>
      </c>
      <c r="G86" t="s">
        <v>690</v>
      </c>
    </row>
    <row r="87" spans="1:13">
      <c r="A87" t="str">
        <f t="shared" si="1"/>
        <v>PEDS-5.4</v>
      </c>
      <c r="B87" t="s">
        <v>911</v>
      </c>
      <c r="C87">
        <v>5.4</v>
      </c>
      <c r="D87" t="s">
        <v>864</v>
      </c>
      <c r="E87" t="s">
        <v>727</v>
      </c>
      <c r="F87" t="s">
        <v>733</v>
      </c>
      <c r="G87" t="s">
        <v>691</v>
      </c>
    </row>
    <row r="88" spans="1:13">
      <c r="A88" t="str">
        <f t="shared" si="1"/>
        <v>PEDS-5.5</v>
      </c>
      <c r="B88" t="s">
        <v>911</v>
      </c>
      <c r="C88">
        <v>5.5</v>
      </c>
      <c r="D88" t="s">
        <v>864</v>
      </c>
      <c r="E88" t="s">
        <v>727</v>
      </c>
      <c r="F88" t="s">
        <v>733</v>
      </c>
      <c r="G88" t="s">
        <v>692</v>
      </c>
    </row>
    <row r="89" spans="1:13">
      <c r="A89" t="str">
        <f t="shared" si="1"/>
        <v>Minn-Irvine-102</v>
      </c>
      <c r="B89" t="s">
        <v>927</v>
      </c>
      <c r="C89">
        <v>102</v>
      </c>
      <c r="D89" t="s">
        <v>864</v>
      </c>
      <c r="E89" t="s">
        <v>727</v>
      </c>
      <c r="F89" t="s">
        <v>693</v>
      </c>
      <c r="G89" t="s">
        <v>694</v>
      </c>
    </row>
    <row r="90" spans="1:13">
      <c r="A90" t="str">
        <f t="shared" si="1"/>
        <v>PEDS-4.2</v>
      </c>
      <c r="B90" t="s">
        <v>911</v>
      </c>
      <c r="C90">
        <v>4.2</v>
      </c>
      <c r="D90" t="s">
        <v>864</v>
      </c>
      <c r="E90" t="s">
        <v>727</v>
      </c>
      <c r="F90" t="s">
        <v>774</v>
      </c>
      <c r="G90" t="s">
        <v>695</v>
      </c>
    </row>
    <row r="91" spans="1:13">
      <c r="A91" t="str">
        <f t="shared" si="1"/>
        <v>PEDS-4.3</v>
      </c>
      <c r="B91" t="s">
        <v>911</v>
      </c>
      <c r="C91">
        <v>4.3</v>
      </c>
      <c r="D91" t="s">
        <v>864</v>
      </c>
      <c r="E91" t="s">
        <v>727</v>
      </c>
      <c r="F91" t="s">
        <v>774</v>
      </c>
      <c r="G91" t="s">
        <v>864</v>
      </c>
    </row>
    <row r="92" spans="1:13">
      <c r="A92" t="str">
        <f t="shared" si="1"/>
        <v>Minn-Irvine-99</v>
      </c>
      <c r="B92" t="s">
        <v>927</v>
      </c>
      <c r="C92">
        <v>99</v>
      </c>
      <c r="D92" t="s">
        <v>864</v>
      </c>
      <c r="F92" t="s">
        <v>696</v>
      </c>
      <c r="G92" t="s">
        <v>697</v>
      </c>
    </row>
    <row r="93" spans="1:13">
      <c r="A93" t="str">
        <f t="shared" si="1"/>
        <v>-</v>
      </c>
      <c r="H93" t="s">
        <v>698</v>
      </c>
    </row>
    <row r="94" spans="1:13">
      <c r="A94" t="str">
        <f t="shared" si="1"/>
        <v>PEDS-35</v>
      </c>
      <c r="B94" t="s">
        <v>911</v>
      </c>
      <c r="C94">
        <v>35</v>
      </c>
      <c r="D94" t="s">
        <v>699</v>
      </c>
      <c r="F94" t="s">
        <v>700</v>
      </c>
      <c r="G94" t="s">
        <v>701</v>
      </c>
      <c r="H94" t="s">
        <v>702</v>
      </c>
      <c r="I94" t="s">
        <v>703</v>
      </c>
      <c r="J94" t="s">
        <v>704</v>
      </c>
      <c r="K94" t="s">
        <v>705</v>
      </c>
      <c r="L94" t="s">
        <v>706</v>
      </c>
    </row>
    <row r="95" spans="1:13">
      <c r="A95" t="str">
        <f t="shared" si="1"/>
        <v>PEDS-25</v>
      </c>
      <c r="B95" t="s">
        <v>911</v>
      </c>
      <c r="C95">
        <v>25</v>
      </c>
      <c r="D95" t="s">
        <v>707</v>
      </c>
      <c r="F95" t="s">
        <v>708</v>
      </c>
      <c r="G95" t="s">
        <v>590</v>
      </c>
      <c r="H95" t="s">
        <v>591</v>
      </c>
      <c r="I95" t="s">
        <v>592</v>
      </c>
      <c r="J95" t="s">
        <v>593</v>
      </c>
      <c r="K95" t="s">
        <v>594</v>
      </c>
      <c r="L95" t="s">
        <v>595</v>
      </c>
      <c r="M95" t="s">
        <v>596</v>
      </c>
    </row>
    <row r="96" spans="1:13">
      <c r="A96" t="str">
        <f t="shared" si="1"/>
        <v>Minn-Irvine-142</v>
      </c>
      <c r="B96" t="s">
        <v>927</v>
      </c>
      <c r="C96">
        <v>142</v>
      </c>
      <c r="D96" t="s">
        <v>597</v>
      </c>
      <c r="F96" t="s">
        <v>598</v>
      </c>
      <c r="G96" t="s">
        <v>599</v>
      </c>
      <c r="H96" t="s">
        <v>600</v>
      </c>
      <c r="I96" t="s">
        <v>793</v>
      </c>
      <c r="J96" t="s">
        <v>601</v>
      </c>
      <c r="K96" t="s">
        <v>936</v>
      </c>
    </row>
    <row r="97" spans="1:12">
      <c r="A97" t="str">
        <f t="shared" si="1"/>
        <v>Minn-Irvine-159</v>
      </c>
      <c r="B97" t="s">
        <v>927</v>
      </c>
      <c r="C97">
        <v>159</v>
      </c>
      <c r="F97" t="s">
        <v>602</v>
      </c>
      <c r="G97" t="s">
        <v>791</v>
      </c>
      <c r="H97" t="s">
        <v>603</v>
      </c>
      <c r="I97" t="s">
        <v>793</v>
      </c>
      <c r="J97" t="s">
        <v>794</v>
      </c>
      <c r="K97" t="s">
        <v>936</v>
      </c>
    </row>
    <row r="98" spans="1:12">
      <c r="A98" t="str">
        <f t="shared" si="1"/>
        <v>Minn-Irvine-96</v>
      </c>
      <c r="B98" t="s">
        <v>927</v>
      </c>
      <c r="C98">
        <v>96</v>
      </c>
      <c r="D98" t="s">
        <v>773</v>
      </c>
      <c r="F98" t="s">
        <v>604</v>
      </c>
      <c r="G98" t="s">
        <v>605</v>
      </c>
      <c r="H98" t="s">
        <v>606</v>
      </c>
      <c r="I98" t="s">
        <v>607</v>
      </c>
      <c r="J98" t="s">
        <v>608</v>
      </c>
      <c r="K98" t="s">
        <v>609</v>
      </c>
      <c r="L98" t="s">
        <v>610</v>
      </c>
    </row>
    <row r="99" spans="1:12">
      <c r="A99" t="str">
        <f t="shared" si="1"/>
        <v>Minn-Irvine-92</v>
      </c>
      <c r="B99" t="s">
        <v>927</v>
      </c>
      <c r="C99">
        <v>92</v>
      </c>
      <c r="D99" t="s">
        <v>773</v>
      </c>
      <c r="F99" t="s">
        <v>611</v>
      </c>
      <c r="G99" t="s">
        <v>605</v>
      </c>
      <c r="H99" t="s">
        <v>736</v>
      </c>
      <c r="I99" t="s">
        <v>607</v>
      </c>
      <c r="J99" t="s">
        <v>608</v>
      </c>
      <c r="K99" t="s">
        <v>609</v>
      </c>
      <c r="L99" t="s">
        <v>610</v>
      </c>
    </row>
    <row r="100" spans="1:12">
      <c r="A100" t="str">
        <f t="shared" si="1"/>
        <v>Minn-Irvine-94</v>
      </c>
      <c r="B100" t="s">
        <v>927</v>
      </c>
      <c r="C100">
        <v>94</v>
      </c>
      <c r="D100" t="s">
        <v>773</v>
      </c>
      <c r="F100" t="s">
        <v>612</v>
      </c>
      <c r="G100" t="s">
        <v>605</v>
      </c>
      <c r="H100" t="s">
        <v>613</v>
      </c>
      <c r="I100" t="s">
        <v>607</v>
      </c>
      <c r="J100" t="s">
        <v>608</v>
      </c>
      <c r="K100" t="s">
        <v>609</v>
      </c>
      <c r="L100" t="s">
        <v>610</v>
      </c>
    </row>
    <row r="101" spans="1:12">
      <c r="A101" t="str">
        <f t="shared" si="1"/>
        <v>Minn-Irvine-98</v>
      </c>
      <c r="B101" t="s">
        <v>927</v>
      </c>
      <c r="C101">
        <v>98</v>
      </c>
      <c r="D101" t="s">
        <v>773</v>
      </c>
      <c r="F101" t="s">
        <v>614</v>
      </c>
      <c r="G101" t="s">
        <v>605</v>
      </c>
      <c r="H101" t="s">
        <v>615</v>
      </c>
      <c r="I101" t="s">
        <v>607</v>
      </c>
      <c r="J101" t="s">
        <v>608</v>
      </c>
      <c r="K101" t="s">
        <v>609</v>
      </c>
      <c r="L101" t="s">
        <v>610</v>
      </c>
    </row>
    <row r="102" spans="1:12">
      <c r="A102" t="str">
        <f t="shared" si="1"/>
        <v>Minn-Irvine-93</v>
      </c>
      <c r="B102" t="s">
        <v>927</v>
      </c>
      <c r="C102">
        <v>93</v>
      </c>
      <c r="D102" t="s">
        <v>773</v>
      </c>
      <c r="F102" t="s">
        <v>616</v>
      </c>
      <c r="G102" t="s">
        <v>605</v>
      </c>
      <c r="H102" t="s">
        <v>617</v>
      </c>
      <c r="I102" t="s">
        <v>607</v>
      </c>
      <c r="J102" t="s">
        <v>608</v>
      </c>
      <c r="K102" t="s">
        <v>609</v>
      </c>
      <c r="L102" t="s">
        <v>610</v>
      </c>
    </row>
    <row r="103" spans="1:12">
      <c r="A103" t="str">
        <f t="shared" si="1"/>
        <v>Minn-Irvine-95</v>
      </c>
      <c r="B103" t="s">
        <v>927</v>
      </c>
      <c r="C103">
        <v>95</v>
      </c>
      <c r="D103" t="s">
        <v>773</v>
      </c>
      <c r="F103" t="s">
        <v>618</v>
      </c>
      <c r="G103" t="s">
        <v>605</v>
      </c>
      <c r="H103" t="s">
        <v>619</v>
      </c>
      <c r="I103" t="s">
        <v>607</v>
      </c>
      <c r="J103" t="s">
        <v>608</v>
      </c>
      <c r="K103" t="s">
        <v>609</v>
      </c>
      <c r="L103" t="s">
        <v>610</v>
      </c>
    </row>
    <row r="104" spans="1:12">
      <c r="A104" t="str">
        <f t="shared" si="1"/>
        <v>Minn-Irvine-97</v>
      </c>
      <c r="B104" t="s">
        <v>927</v>
      </c>
      <c r="C104">
        <v>97</v>
      </c>
      <c r="D104" t="s">
        <v>773</v>
      </c>
      <c r="F104" t="s">
        <v>620</v>
      </c>
      <c r="G104" t="s">
        <v>605</v>
      </c>
      <c r="H104" t="s">
        <v>621</v>
      </c>
      <c r="I104" t="s">
        <v>607</v>
      </c>
      <c r="J104" t="s">
        <v>608</v>
      </c>
      <c r="K104" t="s">
        <v>609</v>
      </c>
      <c r="L104" t="s">
        <v>610</v>
      </c>
    </row>
    <row r="105" spans="1:12">
      <c r="A105" t="str">
        <f t="shared" si="1"/>
        <v>Minn-Irvine-178</v>
      </c>
      <c r="B105" t="s">
        <v>927</v>
      </c>
      <c r="C105">
        <v>178</v>
      </c>
      <c r="D105" t="s">
        <v>773</v>
      </c>
      <c r="F105" t="s">
        <v>622</v>
      </c>
      <c r="H105" t="s">
        <v>623</v>
      </c>
      <c r="I105" t="s">
        <v>624</v>
      </c>
      <c r="J105" t="s">
        <v>625</v>
      </c>
      <c r="K105" t="s">
        <v>626</v>
      </c>
    </row>
    <row r="106" spans="1:12">
      <c r="A106" t="str">
        <f t="shared" si="1"/>
        <v>-</v>
      </c>
      <c r="H106" t="s">
        <v>627</v>
      </c>
    </row>
    <row r="107" spans="1:12">
      <c r="A107" t="str">
        <f t="shared" si="1"/>
        <v>PEDS-1.4</v>
      </c>
      <c r="B107" t="s">
        <v>911</v>
      </c>
      <c r="C107">
        <v>1.4</v>
      </c>
      <c r="D107" t="s">
        <v>628</v>
      </c>
      <c r="E107" t="s">
        <v>629</v>
      </c>
      <c r="F107" t="s">
        <v>630</v>
      </c>
      <c r="G107" t="s">
        <v>631</v>
      </c>
    </row>
    <row r="108" spans="1:12">
      <c r="A108" t="str">
        <f t="shared" si="1"/>
        <v>PEDS-1.5</v>
      </c>
      <c r="B108" t="s">
        <v>911</v>
      </c>
      <c r="C108">
        <v>1.5</v>
      </c>
      <c r="D108" t="s">
        <v>628</v>
      </c>
      <c r="E108" t="s">
        <v>632</v>
      </c>
      <c r="F108" t="s">
        <v>630</v>
      </c>
      <c r="G108" t="s">
        <v>633</v>
      </c>
    </row>
    <row r="109" spans="1:12">
      <c r="A109" t="str">
        <f t="shared" si="1"/>
        <v>PEDS-1.8</v>
      </c>
      <c r="B109" t="s">
        <v>911</v>
      </c>
      <c r="C109">
        <v>1.8</v>
      </c>
      <c r="D109" t="s">
        <v>628</v>
      </c>
      <c r="E109" t="s">
        <v>634</v>
      </c>
      <c r="F109" t="s">
        <v>630</v>
      </c>
      <c r="G109" t="s">
        <v>635</v>
      </c>
    </row>
    <row r="110" spans="1:12">
      <c r="A110" t="str">
        <f t="shared" si="1"/>
        <v>Minn-Irvine-24</v>
      </c>
      <c r="B110" t="s">
        <v>927</v>
      </c>
      <c r="C110">
        <v>24</v>
      </c>
      <c r="D110" t="s">
        <v>628</v>
      </c>
      <c r="E110" t="s">
        <v>636</v>
      </c>
      <c r="F110" t="s">
        <v>637</v>
      </c>
      <c r="G110" t="s">
        <v>638</v>
      </c>
      <c r="H110" t="s">
        <v>639</v>
      </c>
      <c r="I110" t="s">
        <v>840</v>
      </c>
      <c r="J110" t="s">
        <v>841</v>
      </c>
    </row>
    <row r="111" spans="1:12">
      <c r="A111" t="str">
        <f t="shared" si="1"/>
        <v>Minn-Irvine-25</v>
      </c>
      <c r="B111" t="s">
        <v>927</v>
      </c>
      <c r="C111">
        <v>25</v>
      </c>
      <c r="D111" t="s">
        <v>628</v>
      </c>
      <c r="E111" t="s">
        <v>636</v>
      </c>
      <c r="F111" t="s">
        <v>637</v>
      </c>
      <c r="G111" t="s">
        <v>640</v>
      </c>
      <c r="H111" t="s">
        <v>641</v>
      </c>
      <c r="I111" t="s">
        <v>840</v>
      </c>
      <c r="J111" t="s">
        <v>841</v>
      </c>
    </row>
    <row r="112" spans="1:12">
      <c r="A112" t="str">
        <f t="shared" si="1"/>
        <v>Minn-Irvine-26</v>
      </c>
      <c r="B112" t="s">
        <v>927</v>
      </c>
      <c r="C112">
        <v>26</v>
      </c>
      <c r="D112" t="s">
        <v>628</v>
      </c>
      <c r="E112" t="s">
        <v>636</v>
      </c>
      <c r="F112" t="s">
        <v>637</v>
      </c>
      <c r="G112" t="s">
        <v>642</v>
      </c>
      <c r="H112" t="s">
        <v>643</v>
      </c>
      <c r="I112" t="s">
        <v>840</v>
      </c>
      <c r="J112" t="s">
        <v>841</v>
      </c>
    </row>
    <row r="113" spans="1:12">
      <c r="A113" t="str">
        <f t="shared" si="1"/>
        <v>PEDS-1.3</v>
      </c>
      <c r="B113" t="s">
        <v>911</v>
      </c>
      <c r="C113">
        <v>1.3</v>
      </c>
      <c r="D113" t="s">
        <v>628</v>
      </c>
      <c r="E113" t="s">
        <v>636</v>
      </c>
      <c r="F113" t="s">
        <v>630</v>
      </c>
      <c r="G113" t="s">
        <v>644</v>
      </c>
      <c r="H113" t="s">
        <v>645</v>
      </c>
      <c r="I113" t="s">
        <v>840</v>
      </c>
      <c r="J113" t="s">
        <v>841</v>
      </c>
    </row>
    <row r="114" spans="1:12">
      <c r="A114" t="str">
        <f t="shared" si="1"/>
        <v>Minn-Irvine-28</v>
      </c>
      <c r="B114" t="s">
        <v>927</v>
      </c>
      <c r="C114">
        <v>28</v>
      </c>
      <c r="D114" t="s">
        <v>628</v>
      </c>
      <c r="E114" t="s">
        <v>636</v>
      </c>
      <c r="F114" t="s">
        <v>637</v>
      </c>
      <c r="G114" t="s">
        <v>535</v>
      </c>
      <c r="H114" t="s">
        <v>536</v>
      </c>
      <c r="I114" t="s">
        <v>840</v>
      </c>
      <c r="J114" t="s">
        <v>841</v>
      </c>
    </row>
    <row r="115" spans="1:12">
      <c r="A115" t="str">
        <f t="shared" si="1"/>
        <v>Minn-Irvine-29</v>
      </c>
      <c r="B115" t="s">
        <v>927</v>
      </c>
      <c r="C115">
        <v>29</v>
      </c>
      <c r="D115" t="s">
        <v>628</v>
      </c>
      <c r="E115" t="s">
        <v>537</v>
      </c>
      <c r="F115" t="s">
        <v>637</v>
      </c>
      <c r="G115" t="s">
        <v>538</v>
      </c>
      <c r="H115" t="s">
        <v>539</v>
      </c>
      <c r="I115" t="s">
        <v>840</v>
      </c>
      <c r="J115" t="s">
        <v>841</v>
      </c>
    </row>
    <row r="116" spans="1:12">
      <c r="A116" t="str">
        <f t="shared" si="1"/>
        <v>Minn-Irvine-30</v>
      </c>
      <c r="B116" t="s">
        <v>927</v>
      </c>
      <c r="C116">
        <v>30</v>
      </c>
      <c r="D116" t="s">
        <v>628</v>
      </c>
      <c r="E116" t="s">
        <v>537</v>
      </c>
      <c r="F116" t="s">
        <v>637</v>
      </c>
      <c r="G116" t="s">
        <v>540</v>
      </c>
      <c r="H116" t="s">
        <v>541</v>
      </c>
      <c r="I116" t="s">
        <v>840</v>
      </c>
      <c r="J116" t="s">
        <v>841</v>
      </c>
    </row>
    <row r="117" spans="1:12">
      <c r="A117" t="str">
        <f t="shared" si="1"/>
        <v>Minn-Irvine-31</v>
      </c>
      <c r="B117" t="s">
        <v>927</v>
      </c>
      <c r="C117">
        <v>31</v>
      </c>
      <c r="D117" t="s">
        <v>628</v>
      </c>
      <c r="E117" t="s">
        <v>537</v>
      </c>
      <c r="F117" t="s">
        <v>637</v>
      </c>
      <c r="G117" t="s">
        <v>542</v>
      </c>
      <c r="H117" t="s">
        <v>543</v>
      </c>
      <c r="I117" t="s">
        <v>840</v>
      </c>
      <c r="J117" t="s">
        <v>841</v>
      </c>
    </row>
    <row r="118" spans="1:12">
      <c r="A118" t="str">
        <f t="shared" si="1"/>
        <v>Minn-Irvine-32</v>
      </c>
      <c r="B118" t="s">
        <v>927</v>
      </c>
      <c r="C118">
        <v>32</v>
      </c>
      <c r="D118" t="s">
        <v>628</v>
      </c>
      <c r="E118" t="s">
        <v>537</v>
      </c>
      <c r="F118" t="s">
        <v>637</v>
      </c>
      <c r="G118" t="s">
        <v>544</v>
      </c>
      <c r="H118" t="s">
        <v>545</v>
      </c>
      <c r="I118" t="s">
        <v>840</v>
      </c>
      <c r="J118" t="s">
        <v>841</v>
      </c>
    </row>
    <row r="119" spans="1:12">
      <c r="A119" t="str">
        <f t="shared" si="1"/>
        <v>Minn-Irvine-33</v>
      </c>
      <c r="B119" t="s">
        <v>927</v>
      </c>
      <c r="C119">
        <v>33</v>
      </c>
      <c r="D119" t="s">
        <v>628</v>
      </c>
      <c r="E119" t="s">
        <v>546</v>
      </c>
      <c r="F119" t="s">
        <v>637</v>
      </c>
      <c r="G119" t="s">
        <v>547</v>
      </c>
      <c r="H119" t="s">
        <v>548</v>
      </c>
      <c r="I119" t="s">
        <v>840</v>
      </c>
      <c r="J119" t="s">
        <v>841</v>
      </c>
    </row>
    <row r="120" spans="1:12">
      <c r="A120" t="str">
        <f t="shared" si="1"/>
        <v>-</v>
      </c>
      <c r="H120" t="s">
        <v>549</v>
      </c>
      <c r="I120" t="s">
        <v>840</v>
      </c>
      <c r="J120" t="s">
        <v>841</v>
      </c>
    </row>
    <row r="121" spans="1:12">
      <c r="A121" t="str">
        <f t="shared" si="1"/>
        <v>-</v>
      </c>
      <c r="H121" t="s">
        <v>550</v>
      </c>
      <c r="I121" t="s">
        <v>840</v>
      </c>
      <c r="J121" t="s">
        <v>841</v>
      </c>
    </row>
    <row r="122" spans="1:12">
      <c r="A122" t="str">
        <f t="shared" si="1"/>
        <v>-</v>
      </c>
      <c r="H122" t="s">
        <v>551</v>
      </c>
      <c r="I122" t="s">
        <v>840</v>
      </c>
      <c r="J122" t="s">
        <v>841</v>
      </c>
    </row>
    <row r="123" spans="1:12">
      <c r="A123" t="str">
        <f t="shared" si="1"/>
        <v>-</v>
      </c>
      <c r="H123" t="s">
        <v>552</v>
      </c>
      <c r="I123" t="s">
        <v>840</v>
      </c>
      <c r="J123" t="s">
        <v>841</v>
      </c>
    </row>
    <row r="124" spans="1:12">
      <c r="A124" t="str">
        <f t="shared" si="1"/>
        <v>Minn-Irvine-34</v>
      </c>
      <c r="B124" t="s">
        <v>927</v>
      </c>
      <c r="C124">
        <v>34</v>
      </c>
      <c r="D124" t="s">
        <v>628</v>
      </c>
      <c r="E124" t="s">
        <v>546</v>
      </c>
      <c r="F124" t="s">
        <v>637</v>
      </c>
      <c r="G124" t="s">
        <v>553</v>
      </c>
      <c r="H124" t="s">
        <v>554</v>
      </c>
      <c r="I124" t="s">
        <v>840</v>
      </c>
      <c r="J124" t="s">
        <v>841</v>
      </c>
    </row>
    <row r="125" spans="1:12">
      <c r="A125" t="str">
        <f t="shared" si="1"/>
        <v>Minn-Irvine-73</v>
      </c>
      <c r="B125" t="s">
        <v>927</v>
      </c>
      <c r="C125">
        <v>73</v>
      </c>
      <c r="D125" t="s">
        <v>773</v>
      </c>
      <c r="F125" t="s">
        <v>671</v>
      </c>
      <c r="G125" t="s">
        <v>555</v>
      </c>
      <c r="H125" t="s">
        <v>556</v>
      </c>
      <c r="I125" t="s">
        <v>840</v>
      </c>
      <c r="J125" t="s">
        <v>841</v>
      </c>
      <c r="K125" t="s">
        <v>557</v>
      </c>
      <c r="L125" t="s">
        <v>558</v>
      </c>
    </row>
    <row r="126" spans="1:12">
      <c r="A126" t="str">
        <f t="shared" si="1"/>
        <v>Minn-Irvine-35</v>
      </c>
      <c r="B126" t="s">
        <v>927</v>
      </c>
      <c r="C126">
        <v>35</v>
      </c>
      <c r="D126" t="s">
        <v>628</v>
      </c>
      <c r="E126" t="s">
        <v>559</v>
      </c>
      <c r="F126" t="s">
        <v>637</v>
      </c>
      <c r="G126" t="s">
        <v>560</v>
      </c>
      <c r="H126" t="s">
        <v>561</v>
      </c>
      <c r="I126" t="s">
        <v>840</v>
      </c>
      <c r="J126" t="s">
        <v>841</v>
      </c>
    </row>
    <row r="127" spans="1:12">
      <c r="A127" t="str">
        <f t="shared" si="1"/>
        <v>Minn-Irvine-36</v>
      </c>
      <c r="B127" t="s">
        <v>927</v>
      </c>
      <c r="C127">
        <v>36</v>
      </c>
      <c r="D127" t="s">
        <v>628</v>
      </c>
      <c r="E127" t="s">
        <v>632</v>
      </c>
      <c r="F127" t="s">
        <v>637</v>
      </c>
      <c r="G127" t="s">
        <v>562</v>
      </c>
      <c r="H127" t="s">
        <v>563</v>
      </c>
      <c r="I127" t="s">
        <v>840</v>
      </c>
      <c r="J127" t="s">
        <v>841</v>
      </c>
    </row>
    <row r="128" spans="1:12">
      <c r="A128" t="str">
        <f t="shared" si="1"/>
        <v>Minn-Irvine-37</v>
      </c>
      <c r="B128" t="s">
        <v>927</v>
      </c>
      <c r="C128">
        <v>37</v>
      </c>
      <c r="D128" t="s">
        <v>628</v>
      </c>
      <c r="E128" t="s">
        <v>634</v>
      </c>
      <c r="F128" t="s">
        <v>637</v>
      </c>
      <c r="G128" t="s">
        <v>564</v>
      </c>
      <c r="H128" t="s">
        <v>565</v>
      </c>
      <c r="I128" t="s">
        <v>840</v>
      </c>
      <c r="J128" t="s">
        <v>841</v>
      </c>
    </row>
    <row r="129" spans="1:10">
      <c r="A129" t="str">
        <f t="shared" si="1"/>
        <v>Minn-Irvine-38</v>
      </c>
      <c r="B129" t="s">
        <v>927</v>
      </c>
      <c r="C129">
        <v>38</v>
      </c>
      <c r="D129" t="s">
        <v>628</v>
      </c>
      <c r="E129" t="s">
        <v>537</v>
      </c>
      <c r="F129" t="s">
        <v>637</v>
      </c>
      <c r="G129" t="s">
        <v>566</v>
      </c>
      <c r="H129" t="s">
        <v>567</v>
      </c>
      <c r="I129" t="s">
        <v>840</v>
      </c>
      <c r="J129" t="s">
        <v>841</v>
      </c>
    </row>
    <row r="130" spans="1:10">
      <c r="A130" t="str">
        <f t="shared" si="1"/>
        <v>Minn-Irvine-39</v>
      </c>
      <c r="B130" t="s">
        <v>927</v>
      </c>
      <c r="C130">
        <v>39</v>
      </c>
      <c r="D130" t="s">
        <v>628</v>
      </c>
      <c r="E130" t="s">
        <v>537</v>
      </c>
      <c r="F130" t="s">
        <v>637</v>
      </c>
      <c r="G130" t="s">
        <v>568</v>
      </c>
      <c r="H130" t="s">
        <v>569</v>
      </c>
      <c r="I130" t="s">
        <v>840</v>
      </c>
      <c r="J130" t="s">
        <v>841</v>
      </c>
    </row>
    <row r="131" spans="1:10">
      <c r="A131" t="str">
        <f t="shared" ref="A131:A194" si="2">CONCATENATE(B131,"-",C131)</f>
        <v>Minn-Irvine-40</v>
      </c>
      <c r="B131" t="s">
        <v>927</v>
      </c>
      <c r="C131">
        <v>40</v>
      </c>
      <c r="D131" t="s">
        <v>628</v>
      </c>
      <c r="E131" t="s">
        <v>537</v>
      </c>
      <c r="F131" t="s">
        <v>637</v>
      </c>
      <c r="G131" t="s">
        <v>570</v>
      </c>
      <c r="H131" t="s">
        <v>571</v>
      </c>
      <c r="I131" t="s">
        <v>840</v>
      </c>
      <c r="J131" t="s">
        <v>841</v>
      </c>
    </row>
    <row r="132" spans="1:10">
      <c r="A132" t="str">
        <f t="shared" si="2"/>
        <v>Minn-Irvine-41</v>
      </c>
      <c r="B132" t="s">
        <v>927</v>
      </c>
      <c r="C132">
        <v>41</v>
      </c>
      <c r="D132" t="s">
        <v>628</v>
      </c>
      <c r="E132" t="s">
        <v>537</v>
      </c>
      <c r="F132" t="s">
        <v>637</v>
      </c>
      <c r="G132" t="s">
        <v>572</v>
      </c>
      <c r="H132" t="s">
        <v>573</v>
      </c>
      <c r="I132" t="s">
        <v>840</v>
      </c>
      <c r="J132" t="s">
        <v>841</v>
      </c>
    </row>
    <row r="133" spans="1:10">
      <c r="A133" t="str">
        <f t="shared" si="2"/>
        <v>Minn-Irvine-42</v>
      </c>
      <c r="B133" t="s">
        <v>927</v>
      </c>
      <c r="C133">
        <v>42</v>
      </c>
      <c r="D133" t="s">
        <v>628</v>
      </c>
      <c r="E133" t="s">
        <v>537</v>
      </c>
      <c r="F133" t="s">
        <v>637</v>
      </c>
      <c r="G133" t="s">
        <v>574</v>
      </c>
      <c r="H133" t="s">
        <v>575</v>
      </c>
      <c r="I133" t="s">
        <v>840</v>
      </c>
      <c r="J133" t="s">
        <v>841</v>
      </c>
    </row>
    <row r="134" spans="1:10">
      <c r="A134" t="str">
        <f t="shared" si="2"/>
        <v>Minn-Irvine-43</v>
      </c>
      <c r="B134" t="s">
        <v>927</v>
      </c>
      <c r="C134">
        <v>43</v>
      </c>
      <c r="D134" t="s">
        <v>628</v>
      </c>
      <c r="E134" t="s">
        <v>537</v>
      </c>
      <c r="F134" t="s">
        <v>637</v>
      </c>
      <c r="G134" t="s">
        <v>576</v>
      </c>
      <c r="H134" t="s">
        <v>577</v>
      </c>
      <c r="I134" t="s">
        <v>840</v>
      </c>
      <c r="J134" t="s">
        <v>841</v>
      </c>
    </row>
    <row r="135" spans="1:10">
      <c r="A135" t="str">
        <f t="shared" si="2"/>
        <v>Minn-Irvine-44</v>
      </c>
      <c r="B135" t="s">
        <v>927</v>
      </c>
      <c r="C135">
        <v>44</v>
      </c>
      <c r="D135" t="s">
        <v>628</v>
      </c>
      <c r="E135" t="s">
        <v>537</v>
      </c>
      <c r="F135" t="s">
        <v>637</v>
      </c>
      <c r="G135" t="s">
        <v>578</v>
      </c>
      <c r="H135" t="s">
        <v>579</v>
      </c>
      <c r="I135" t="s">
        <v>840</v>
      </c>
      <c r="J135" t="s">
        <v>841</v>
      </c>
    </row>
    <row r="136" spans="1:10">
      <c r="A136" t="str">
        <f t="shared" si="2"/>
        <v>Minn-Irvine-45</v>
      </c>
      <c r="B136" t="s">
        <v>927</v>
      </c>
      <c r="C136">
        <v>45</v>
      </c>
      <c r="D136" t="s">
        <v>628</v>
      </c>
      <c r="E136" t="s">
        <v>632</v>
      </c>
      <c r="F136" t="s">
        <v>637</v>
      </c>
      <c r="G136" t="s">
        <v>580</v>
      </c>
      <c r="H136" t="s">
        <v>581</v>
      </c>
      <c r="I136" t="s">
        <v>840</v>
      </c>
      <c r="J136" t="s">
        <v>841</v>
      </c>
    </row>
    <row r="137" spans="1:10">
      <c r="A137" t="str">
        <f t="shared" si="2"/>
        <v>Minn-Irvine-46</v>
      </c>
      <c r="B137" t="s">
        <v>927</v>
      </c>
      <c r="C137">
        <v>46</v>
      </c>
      <c r="D137" t="s">
        <v>628</v>
      </c>
      <c r="E137" t="s">
        <v>629</v>
      </c>
      <c r="F137" t="s">
        <v>637</v>
      </c>
      <c r="G137" t="s">
        <v>582</v>
      </c>
      <c r="H137" t="s">
        <v>583</v>
      </c>
      <c r="I137" t="s">
        <v>840</v>
      </c>
      <c r="J137" t="s">
        <v>841</v>
      </c>
    </row>
    <row r="138" spans="1:10">
      <c r="A138" t="str">
        <f t="shared" si="2"/>
        <v>Minn-Irvine-47</v>
      </c>
      <c r="B138" t="s">
        <v>927</v>
      </c>
      <c r="C138">
        <v>47</v>
      </c>
      <c r="D138" t="s">
        <v>628</v>
      </c>
      <c r="E138" t="s">
        <v>559</v>
      </c>
      <c r="F138" t="s">
        <v>637</v>
      </c>
      <c r="G138" t="s">
        <v>584</v>
      </c>
      <c r="H138" t="s">
        <v>585</v>
      </c>
      <c r="I138" t="s">
        <v>840</v>
      </c>
      <c r="J138" t="s">
        <v>841</v>
      </c>
    </row>
    <row r="139" spans="1:10">
      <c r="A139" t="str">
        <f t="shared" si="2"/>
        <v>Minn-Irvine-48</v>
      </c>
      <c r="B139" t="s">
        <v>927</v>
      </c>
      <c r="C139">
        <v>48</v>
      </c>
      <c r="D139" t="s">
        <v>628</v>
      </c>
      <c r="E139" t="s">
        <v>632</v>
      </c>
      <c r="F139" t="s">
        <v>637</v>
      </c>
      <c r="G139" t="s">
        <v>586</v>
      </c>
      <c r="H139" t="s">
        <v>587</v>
      </c>
      <c r="I139" t="s">
        <v>840</v>
      </c>
      <c r="J139" t="s">
        <v>841</v>
      </c>
    </row>
    <row r="140" spans="1:10">
      <c r="A140" t="str">
        <f t="shared" si="2"/>
        <v>Minn-Irvine-49</v>
      </c>
      <c r="B140" t="s">
        <v>927</v>
      </c>
      <c r="C140">
        <v>49</v>
      </c>
      <c r="D140" t="s">
        <v>628</v>
      </c>
      <c r="E140" t="s">
        <v>632</v>
      </c>
      <c r="F140" t="s">
        <v>637</v>
      </c>
      <c r="G140" t="s">
        <v>588</v>
      </c>
      <c r="H140" t="s">
        <v>589</v>
      </c>
      <c r="I140" t="s">
        <v>840</v>
      </c>
      <c r="J140" t="s">
        <v>841</v>
      </c>
    </row>
    <row r="141" spans="1:10">
      <c r="A141" t="str">
        <f t="shared" si="2"/>
        <v>Minn-Irvine-50</v>
      </c>
      <c r="B141" t="s">
        <v>927</v>
      </c>
      <c r="C141">
        <v>50</v>
      </c>
      <c r="D141" t="s">
        <v>628</v>
      </c>
      <c r="F141" t="s">
        <v>637</v>
      </c>
      <c r="G141" t="s">
        <v>483</v>
      </c>
      <c r="H141" t="s">
        <v>484</v>
      </c>
      <c r="I141" t="s">
        <v>840</v>
      </c>
      <c r="J141" t="s">
        <v>841</v>
      </c>
    </row>
    <row r="142" spans="1:10">
      <c r="A142" t="str">
        <f t="shared" si="2"/>
        <v>Minn-Irvine-51</v>
      </c>
      <c r="B142" t="s">
        <v>927</v>
      </c>
      <c r="C142">
        <v>51</v>
      </c>
      <c r="D142" t="s">
        <v>628</v>
      </c>
      <c r="E142" t="s">
        <v>629</v>
      </c>
      <c r="F142" t="s">
        <v>637</v>
      </c>
      <c r="G142" t="s">
        <v>485</v>
      </c>
      <c r="H142" t="s">
        <v>486</v>
      </c>
      <c r="I142" t="s">
        <v>840</v>
      </c>
      <c r="J142" t="s">
        <v>841</v>
      </c>
    </row>
    <row r="143" spans="1:10">
      <c r="A143" t="str">
        <f t="shared" si="2"/>
        <v>Minn-Irvine-52</v>
      </c>
      <c r="B143" t="s">
        <v>927</v>
      </c>
      <c r="C143">
        <v>52</v>
      </c>
      <c r="D143" t="s">
        <v>628</v>
      </c>
      <c r="E143" t="s">
        <v>559</v>
      </c>
      <c r="F143" t="s">
        <v>637</v>
      </c>
      <c r="G143" t="s">
        <v>487</v>
      </c>
      <c r="H143" t="s">
        <v>488</v>
      </c>
      <c r="I143" t="s">
        <v>840</v>
      </c>
      <c r="J143" t="s">
        <v>841</v>
      </c>
    </row>
    <row r="144" spans="1:10">
      <c r="A144" t="str">
        <f t="shared" si="2"/>
        <v>Minn-Irvine-53</v>
      </c>
      <c r="B144" t="s">
        <v>927</v>
      </c>
      <c r="C144">
        <v>53</v>
      </c>
      <c r="D144" t="s">
        <v>628</v>
      </c>
      <c r="E144" t="s">
        <v>629</v>
      </c>
      <c r="F144" t="s">
        <v>637</v>
      </c>
      <c r="G144" t="s">
        <v>489</v>
      </c>
      <c r="H144" t="s">
        <v>490</v>
      </c>
      <c r="I144" t="s">
        <v>840</v>
      </c>
      <c r="J144" t="s">
        <v>841</v>
      </c>
    </row>
    <row r="145" spans="1:12">
      <c r="A145" t="str">
        <f t="shared" si="2"/>
        <v>PEDS-1.6</v>
      </c>
      <c r="B145" t="s">
        <v>911</v>
      </c>
      <c r="C145">
        <v>1.6</v>
      </c>
      <c r="D145" t="s">
        <v>628</v>
      </c>
      <c r="E145" t="s">
        <v>491</v>
      </c>
      <c r="F145" t="s">
        <v>630</v>
      </c>
      <c r="G145" t="s">
        <v>491</v>
      </c>
      <c r="H145" t="s">
        <v>492</v>
      </c>
      <c r="I145" t="s">
        <v>840</v>
      </c>
      <c r="J145" t="s">
        <v>841</v>
      </c>
    </row>
    <row r="146" spans="1:12">
      <c r="A146" t="str">
        <f t="shared" si="2"/>
        <v>Minn-Irvine-54</v>
      </c>
      <c r="B146" t="s">
        <v>927</v>
      </c>
      <c r="C146">
        <v>54</v>
      </c>
      <c r="D146" t="s">
        <v>628</v>
      </c>
      <c r="E146" t="s">
        <v>491</v>
      </c>
      <c r="F146" t="s">
        <v>637</v>
      </c>
      <c r="G146" t="s">
        <v>493</v>
      </c>
      <c r="H146" t="s">
        <v>494</v>
      </c>
      <c r="I146" t="s">
        <v>840</v>
      </c>
      <c r="J146" t="s">
        <v>841</v>
      </c>
    </row>
    <row r="147" spans="1:12">
      <c r="A147" t="str">
        <f t="shared" si="2"/>
        <v>Minn-Irvine-55</v>
      </c>
      <c r="B147" t="s">
        <v>927</v>
      </c>
      <c r="C147">
        <v>55</v>
      </c>
      <c r="D147" t="s">
        <v>628</v>
      </c>
      <c r="E147" t="s">
        <v>491</v>
      </c>
      <c r="F147" t="s">
        <v>637</v>
      </c>
      <c r="G147" t="s">
        <v>495</v>
      </c>
      <c r="H147" t="s">
        <v>496</v>
      </c>
      <c r="I147" t="s">
        <v>840</v>
      </c>
      <c r="J147" t="s">
        <v>841</v>
      </c>
    </row>
    <row r="148" spans="1:12">
      <c r="A148" t="str">
        <f t="shared" si="2"/>
        <v>Minn-Irvine-56</v>
      </c>
      <c r="B148" t="s">
        <v>927</v>
      </c>
      <c r="C148">
        <v>56</v>
      </c>
      <c r="D148" t="s">
        <v>628</v>
      </c>
      <c r="E148" t="s">
        <v>491</v>
      </c>
      <c r="F148" t="s">
        <v>637</v>
      </c>
      <c r="G148" t="s">
        <v>497</v>
      </c>
      <c r="H148" t="s">
        <v>498</v>
      </c>
      <c r="I148" t="s">
        <v>840</v>
      </c>
      <c r="J148" t="s">
        <v>841</v>
      </c>
    </row>
    <row r="149" spans="1:12">
      <c r="A149" t="str">
        <f t="shared" si="2"/>
        <v>Minn-Irvine-57</v>
      </c>
      <c r="B149" t="s">
        <v>927</v>
      </c>
      <c r="C149">
        <v>57</v>
      </c>
      <c r="D149" t="s">
        <v>660</v>
      </c>
      <c r="F149" t="s">
        <v>637</v>
      </c>
      <c r="G149" t="s">
        <v>499</v>
      </c>
      <c r="H149" t="s">
        <v>500</v>
      </c>
      <c r="I149" t="s">
        <v>840</v>
      </c>
      <c r="J149" t="s">
        <v>841</v>
      </c>
    </row>
    <row r="150" spans="1:12">
      <c r="A150" t="str">
        <f t="shared" si="2"/>
        <v>Minn-Irvine-59</v>
      </c>
      <c r="B150" t="s">
        <v>927</v>
      </c>
      <c r="C150">
        <v>59</v>
      </c>
      <c r="D150" t="s">
        <v>628</v>
      </c>
      <c r="E150" t="s">
        <v>501</v>
      </c>
      <c r="F150" t="s">
        <v>637</v>
      </c>
      <c r="G150" t="s">
        <v>502</v>
      </c>
      <c r="H150" t="s">
        <v>503</v>
      </c>
      <c r="I150" t="s">
        <v>840</v>
      </c>
      <c r="J150" t="s">
        <v>841</v>
      </c>
    </row>
    <row r="151" spans="1:12">
      <c r="A151" t="str">
        <f t="shared" si="2"/>
        <v>PEDS-1.7</v>
      </c>
      <c r="B151" t="s">
        <v>911</v>
      </c>
      <c r="C151">
        <v>1.7</v>
      </c>
      <c r="D151" t="s">
        <v>628</v>
      </c>
      <c r="E151" t="s">
        <v>504</v>
      </c>
      <c r="F151" t="s">
        <v>630</v>
      </c>
      <c r="G151" t="s">
        <v>505</v>
      </c>
      <c r="H151" t="s">
        <v>506</v>
      </c>
      <c r="I151" t="s">
        <v>840</v>
      </c>
      <c r="J151" t="s">
        <v>841</v>
      </c>
    </row>
    <row r="152" spans="1:12">
      <c r="A152" t="str">
        <f t="shared" si="2"/>
        <v>Minn-Irvine-60</v>
      </c>
      <c r="B152" t="s">
        <v>927</v>
      </c>
      <c r="C152">
        <v>60</v>
      </c>
      <c r="D152" t="s">
        <v>660</v>
      </c>
      <c r="F152" t="s">
        <v>637</v>
      </c>
      <c r="G152" t="s">
        <v>507</v>
      </c>
      <c r="H152" t="s">
        <v>508</v>
      </c>
      <c r="I152" t="s">
        <v>840</v>
      </c>
      <c r="J152" t="s">
        <v>841</v>
      </c>
    </row>
    <row r="153" spans="1:12">
      <c r="A153" t="str">
        <f t="shared" si="2"/>
        <v>Minn-Irvine-62</v>
      </c>
      <c r="B153" t="s">
        <v>927</v>
      </c>
      <c r="C153">
        <v>62</v>
      </c>
      <c r="D153" t="s">
        <v>628</v>
      </c>
      <c r="E153" t="s">
        <v>509</v>
      </c>
      <c r="F153" t="s">
        <v>510</v>
      </c>
      <c r="G153" t="s">
        <v>511</v>
      </c>
      <c r="H153" t="s">
        <v>512</v>
      </c>
      <c r="I153" t="s">
        <v>793</v>
      </c>
      <c r="J153" t="s">
        <v>794</v>
      </c>
      <c r="K153" t="s">
        <v>936</v>
      </c>
      <c r="L153" t="s">
        <v>513</v>
      </c>
    </row>
    <row r="154" spans="1:12">
      <c r="A154" t="str">
        <f t="shared" si="2"/>
        <v>Minn-Irvine-63</v>
      </c>
      <c r="B154" t="s">
        <v>927</v>
      </c>
      <c r="C154">
        <v>63</v>
      </c>
      <c r="D154" t="s">
        <v>514</v>
      </c>
      <c r="F154" t="s">
        <v>515</v>
      </c>
      <c r="G154" t="s">
        <v>516</v>
      </c>
      <c r="H154" t="s">
        <v>517</v>
      </c>
      <c r="I154" t="s">
        <v>840</v>
      </c>
      <c r="J154" t="s">
        <v>841</v>
      </c>
    </row>
    <row r="155" spans="1:12">
      <c r="A155" t="str">
        <f t="shared" si="2"/>
        <v>Minn-Irvine-64</v>
      </c>
      <c r="B155" t="s">
        <v>927</v>
      </c>
      <c r="C155">
        <v>64</v>
      </c>
      <c r="D155" t="s">
        <v>514</v>
      </c>
      <c r="F155" t="s">
        <v>515</v>
      </c>
      <c r="G155" t="s">
        <v>518</v>
      </c>
      <c r="H155" t="s">
        <v>519</v>
      </c>
      <c r="I155" t="s">
        <v>840</v>
      </c>
      <c r="J155" t="s">
        <v>841</v>
      </c>
    </row>
    <row r="156" spans="1:12">
      <c r="A156" t="str">
        <f t="shared" si="2"/>
        <v>Minn-Irvine-65</v>
      </c>
      <c r="B156" t="s">
        <v>927</v>
      </c>
      <c r="C156">
        <v>65</v>
      </c>
      <c r="D156" t="s">
        <v>514</v>
      </c>
      <c r="F156" t="s">
        <v>515</v>
      </c>
      <c r="G156" t="s">
        <v>520</v>
      </c>
      <c r="H156" t="s">
        <v>521</v>
      </c>
      <c r="I156" t="s">
        <v>840</v>
      </c>
      <c r="J156" t="s">
        <v>841</v>
      </c>
    </row>
    <row r="157" spans="1:12">
      <c r="A157" t="str">
        <f t="shared" si="2"/>
        <v>Minn-Irvine-66</v>
      </c>
      <c r="B157" t="s">
        <v>927</v>
      </c>
      <c r="C157">
        <v>66</v>
      </c>
      <c r="D157" t="s">
        <v>514</v>
      </c>
      <c r="F157" t="s">
        <v>515</v>
      </c>
      <c r="G157" t="s">
        <v>522</v>
      </c>
      <c r="H157" t="s">
        <v>523</v>
      </c>
      <c r="I157" t="s">
        <v>840</v>
      </c>
      <c r="J157" t="s">
        <v>841</v>
      </c>
    </row>
    <row r="158" spans="1:12">
      <c r="A158" t="str">
        <f t="shared" si="2"/>
        <v>Minn-Irvine-74</v>
      </c>
      <c r="B158" t="s">
        <v>927</v>
      </c>
      <c r="C158">
        <v>74</v>
      </c>
      <c r="D158" t="s">
        <v>628</v>
      </c>
      <c r="E158" t="s">
        <v>632</v>
      </c>
      <c r="F158" t="s">
        <v>524</v>
      </c>
      <c r="G158" t="s">
        <v>791</v>
      </c>
      <c r="H158" t="s">
        <v>525</v>
      </c>
      <c r="I158" t="s">
        <v>793</v>
      </c>
      <c r="J158" t="s">
        <v>794</v>
      </c>
      <c r="K158" t="s">
        <v>936</v>
      </c>
    </row>
    <row r="159" spans="1:12">
      <c r="A159" t="str">
        <f t="shared" si="2"/>
        <v>Minn-Irvine-75</v>
      </c>
      <c r="B159" t="s">
        <v>927</v>
      </c>
      <c r="C159">
        <v>75</v>
      </c>
      <c r="D159" t="s">
        <v>628</v>
      </c>
      <c r="E159" t="s">
        <v>632</v>
      </c>
      <c r="F159" t="s">
        <v>526</v>
      </c>
      <c r="G159" t="s">
        <v>791</v>
      </c>
      <c r="H159" t="s">
        <v>527</v>
      </c>
      <c r="I159" t="s">
        <v>793</v>
      </c>
      <c r="J159" t="s">
        <v>794</v>
      </c>
      <c r="K159" t="s">
        <v>936</v>
      </c>
    </row>
    <row r="160" spans="1:12">
      <c r="A160" t="str">
        <f t="shared" si="2"/>
        <v>Minn-Irvine-76</v>
      </c>
      <c r="B160" t="s">
        <v>927</v>
      </c>
      <c r="C160">
        <v>76</v>
      </c>
      <c r="D160" t="s">
        <v>628</v>
      </c>
      <c r="E160" t="s">
        <v>632</v>
      </c>
      <c r="F160" t="s">
        <v>528</v>
      </c>
      <c r="G160" t="s">
        <v>529</v>
      </c>
      <c r="H160" t="s">
        <v>530</v>
      </c>
      <c r="I160" t="s">
        <v>793</v>
      </c>
      <c r="J160" t="s">
        <v>794</v>
      </c>
      <c r="K160" t="s">
        <v>936</v>
      </c>
    </row>
    <row r="161" spans="1:11">
      <c r="A161" t="str">
        <f t="shared" si="2"/>
        <v>Minn-Irvine-77</v>
      </c>
      <c r="B161" t="s">
        <v>927</v>
      </c>
      <c r="C161">
        <v>77</v>
      </c>
      <c r="D161" t="s">
        <v>628</v>
      </c>
      <c r="E161" t="s">
        <v>632</v>
      </c>
      <c r="F161" t="s">
        <v>531</v>
      </c>
      <c r="G161" t="s">
        <v>791</v>
      </c>
      <c r="H161" t="s">
        <v>532</v>
      </c>
      <c r="I161" t="s">
        <v>793</v>
      </c>
      <c r="J161" t="s">
        <v>794</v>
      </c>
      <c r="K161" t="s">
        <v>936</v>
      </c>
    </row>
    <row r="162" spans="1:11">
      <c r="A162" t="str">
        <f t="shared" si="2"/>
        <v>Minn-Irvine-78</v>
      </c>
      <c r="B162" t="s">
        <v>927</v>
      </c>
      <c r="C162">
        <v>78</v>
      </c>
      <c r="D162" t="s">
        <v>628</v>
      </c>
      <c r="E162" t="s">
        <v>632</v>
      </c>
      <c r="F162" t="s">
        <v>533</v>
      </c>
      <c r="G162" t="s">
        <v>791</v>
      </c>
      <c r="H162" t="s">
        <v>534</v>
      </c>
      <c r="I162" t="s">
        <v>793</v>
      </c>
      <c r="J162" t="s">
        <v>794</v>
      </c>
      <c r="K162" t="s">
        <v>936</v>
      </c>
    </row>
    <row r="163" spans="1:11">
      <c r="A163" t="str">
        <f t="shared" si="2"/>
        <v>Minn-Irvine-79</v>
      </c>
      <c r="B163" t="s">
        <v>927</v>
      </c>
      <c r="C163">
        <v>79</v>
      </c>
      <c r="D163" t="s">
        <v>628</v>
      </c>
      <c r="E163" t="s">
        <v>632</v>
      </c>
      <c r="F163" t="s">
        <v>423</v>
      </c>
      <c r="G163" t="s">
        <v>791</v>
      </c>
      <c r="H163" t="s">
        <v>424</v>
      </c>
      <c r="I163" t="s">
        <v>793</v>
      </c>
      <c r="J163" t="s">
        <v>794</v>
      </c>
      <c r="K163" t="s">
        <v>936</v>
      </c>
    </row>
    <row r="164" spans="1:11">
      <c r="A164" t="str">
        <f t="shared" si="2"/>
        <v>Minn-Irvine-80</v>
      </c>
      <c r="B164" t="s">
        <v>927</v>
      </c>
      <c r="C164">
        <v>80</v>
      </c>
      <c r="D164" t="s">
        <v>628</v>
      </c>
      <c r="E164" t="s">
        <v>632</v>
      </c>
      <c r="F164" t="s">
        <v>425</v>
      </c>
      <c r="G164" t="s">
        <v>791</v>
      </c>
      <c r="H164" t="s">
        <v>426</v>
      </c>
      <c r="I164" t="s">
        <v>793</v>
      </c>
      <c r="J164" t="s">
        <v>794</v>
      </c>
      <c r="K164" t="s">
        <v>936</v>
      </c>
    </row>
    <row r="165" spans="1:11">
      <c r="A165" t="str">
        <f t="shared" si="2"/>
        <v>Minn-Irvine-81</v>
      </c>
      <c r="B165" t="s">
        <v>927</v>
      </c>
      <c r="C165">
        <v>81</v>
      </c>
      <c r="D165" t="s">
        <v>628</v>
      </c>
      <c r="E165" t="s">
        <v>632</v>
      </c>
      <c r="F165" t="s">
        <v>427</v>
      </c>
      <c r="G165" t="s">
        <v>791</v>
      </c>
      <c r="H165" t="s">
        <v>428</v>
      </c>
      <c r="I165" t="s">
        <v>793</v>
      </c>
      <c r="J165" t="s">
        <v>794</v>
      </c>
      <c r="K165" t="s">
        <v>936</v>
      </c>
    </row>
    <row r="166" spans="1:11">
      <c r="A166" t="str">
        <f t="shared" si="2"/>
        <v>Minn-Irvine-82</v>
      </c>
      <c r="B166" t="s">
        <v>927</v>
      </c>
      <c r="C166">
        <v>82</v>
      </c>
      <c r="D166" t="s">
        <v>628</v>
      </c>
      <c r="E166" t="s">
        <v>632</v>
      </c>
      <c r="F166" t="s">
        <v>429</v>
      </c>
      <c r="G166" t="s">
        <v>791</v>
      </c>
      <c r="H166" t="s">
        <v>430</v>
      </c>
      <c r="I166" t="s">
        <v>793</v>
      </c>
      <c r="J166" t="s">
        <v>794</v>
      </c>
      <c r="K166" t="s">
        <v>936</v>
      </c>
    </row>
    <row r="167" spans="1:11">
      <c r="A167" t="str">
        <f t="shared" si="2"/>
        <v>Minn-Irvine-83</v>
      </c>
      <c r="B167" t="s">
        <v>927</v>
      </c>
      <c r="C167">
        <v>83</v>
      </c>
      <c r="D167" t="s">
        <v>628</v>
      </c>
      <c r="E167" t="s">
        <v>632</v>
      </c>
      <c r="F167" t="s">
        <v>431</v>
      </c>
      <c r="G167" t="s">
        <v>893</v>
      </c>
      <c r="H167" t="s">
        <v>432</v>
      </c>
      <c r="I167" t="s">
        <v>840</v>
      </c>
      <c r="J167" t="s">
        <v>841</v>
      </c>
    </row>
    <row r="168" spans="1:11">
      <c r="A168" t="str">
        <f t="shared" si="2"/>
        <v>Minn-Irvine-84</v>
      </c>
      <c r="B168" t="s">
        <v>927</v>
      </c>
      <c r="C168">
        <v>84</v>
      </c>
      <c r="D168" t="s">
        <v>660</v>
      </c>
      <c r="F168" t="s">
        <v>433</v>
      </c>
      <c r="G168" t="s">
        <v>893</v>
      </c>
      <c r="H168" t="s">
        <v>434</v>
      </c>
      <c r="I168" t="s">
        <v>840</v>
      </c>
      <c r="J168" t="s">
        <v>841</v>
      </c>
    </row>
    <row r="169" spans="1:11">
      <c r="A169" t="str">
        <f t="shared" si="2"/>
        <v>Minn-Irvine-85</v>
      </c>
      <c r="B169" t="s">
        <v>927</v>
      </c>
      <c r="C169">
        <v>85</v>
      </c>
      <c r="D169" t="s">
        <v>660</v>
      </c>
      <c r="E169" t="s">
        <v>435</v>
      </c>
      <c r="F169" t="s">
        <v>436</v>
      </c>
      <c r="G169" t="s">
        <v>893</v>
      </c>
      <c r="H169" t="s">
        <v>437</v>
      </c>
      <c r="I169" t="s">
        <v>840</v>
      </c>
      <c r="J169" t="s">
        <v>841</v>
      </c>
    </row>
    <row r="170" spans="1:11">
      <c r="A170" t="str">
        <f t="shared" si="2"/>
        <v>Minn-Irvine-86</v>
      </c>
      <c r="B170" t="s">
        <v>927</v>
      </c>
      <c r="C170">
        <v>86</v>
      </c>
      <c r="D170" t="s">
        <v>660</v>
      </c>
      <c r="E170" t="s">
        <v>435</v>
      </c>
      <c r="F170" t="s">
        <v>438</v>
      </c>
      <c r="G170" t="s">
        <v>893</v>
      </c>
      <c r="H170" t="s">
        <v>439</v>
      </c>
      <c r="I170" t="s">
        <v>840</v>
      </c>
      <c r="J170" t="s">
        <v>841</v>
      </c>
    </row>
    <row r="171" spans="1:11">
      <c r="A171" t="str">
        <f t="shared" si="2"/>
        <v>Minn-Irvine-87</v>
      </c>
      <c r="B171" t="s">
        <v>927</v>
      </c>
      <c r="C171">
        <v>87</v>
      </c>
      <c r="D171" t="s">
        <v>660</v>
      </c>
      <c r="E171" t="s">
        <v>435</v>
      </c>
      <c r="F171" t="s">
        <v>440</v>
      </c>
      <c r="G171" t="s">
        <v>893</v>
      </c>
      <c r="H171" t="s">
        <v>441</v>
      </c>
      <c r="I171" t="s">
        <v>840</v>
      </c>
      <c r="J171" t="s">
        <v>841</v>
      </c>
    </row>
    <row r="172" spans="1:11">
      <c r="A172" t="str">
        <f t="shared" si="2"/>
        <v>Minn-Irvine-88</v>
      </c>
      <c r="B172" t="s">
        <v>927</v>
      </c>
      <c r="C172">
        <v>88</v>
      </c>
      <c r="D172" t="s">
        <v>660</v>
      </c>
      <c r="F172" t="s">
        <v>442</v>
      </c>
      <c r="G172" t="s">
        <v>893</v>
      </c>
      <c r="H172" t="s">
        <v>443</v>
      </c>
      <c r="I172" t="s">
        <v>840</v>
      </c>
      <c r="J172" t="s">
        <v>841</v>
      </c>
    </row>
    <row r="173" spans="1:11">
      <c r="A173" t="str">
        <f t="shared" si="2"/>
        <v>Minn-Irvine-89</v>
      </c>
      <c r="B173" t="s">
        <v>927</v>
      </c>
      <c r="C173">
        <v>89</v>
      </c>
      <c r="D173" t="s">
        <v>660</v>
      </c>
      <c r="E173" t="s">
        <v>435</v>
      </c>
      <c r="F173" t="s">
        <v>444</v>
      </c>
      <c r="G173" t="s">
        <v>893</v>
      </c>
      <c r="H173" t="s">
        <v>445</v>
      </c>
      <c r="I173" t="s">
        <v>840</v>
      </c>
      <c r="J173" t="s">
        <v>841</v>
      </c>
    </row>
    <row r="174" spans="1:11">
      <c r="A174" t="str">
        <f t="shared" si="2"/>
        <v>Minn-Irvine-90</v>
      </c>
      <c r="B174" t="s">
        <v>927</v>
      </c>
      <c r="C174">
        <v>90</v>
      </c>
      <c r="D174" t="s">
        <v>660</v>
      </c>
      <c r="F174" t="s">
        <v>446</v>
      </c>
      <c r="G174" t="s">
        <v>893</v>
      </c>
      <c r="H174" t="s">
        <v>447</v>
      </c>
      <c r="I174" t="s">
        <v>840</v>
      </c>
      <c r="J174" t="s">
        <v>841</v>
      </c>
    </row>
    <row r="175" spans="1:11">
      <c r="A175" t="str">
        <f t="shared" si="2"/>
        <v>Minn-Irvine-91</v>
      </c>
      <c r="B175" t="s">
        <v>927</v>
      </c>
      <c r="C175">
        <v>91</v>
      </c>
      <c r="D175" t="s">
        <v>660</v>
      </c>
      <c r="F175" t="s">
        <v>448</v>
      </c>
      <c r="G175" t="s">
        <v>893</v>
      </c>
      <c r="H175" t="s">
        <v>449</v>
      </c>
      <c r="I175" t="s">
        <v>840</v>
      </c>
      <c r="J175" t="s">
        <v>841</v>
      </c>
    </row>
    <row r="176" spans="1:11">
      <c r="A176" t="str">
        <f t="shared" si="2"/>
        <v>-</v>
      </c>
      <c r="H176" t="s">
        <v>450</v>
      </c>
    </row>
    <row r="177" spans="1:20">
      <c r="A177" t="str">
        <f t="shared" si="2"/>
        <v>MIUDQ-22</v>
      </c>
      <c r="B177" t="s">
        <v>451</v>
      </c>
      <c r="C177">
        <v>22</v>
      </c>
      <c r="D177" t="s">
        <v>514</v>
      </c>
      <c r="F177" t="s">
        <v>452</v>
      </c>
      <c r="G177" t="s">
        <v>453</v>
      </c>
      <c r="H177" t="s">
        <v>454</v>
      </c>
      <c r="I177" t="s">
        <v>936</v>
      </c>
      <c r="J177">
        <v>1</v>
      </c>
      <c r="K177">
        <v>2</v>
      </c>
      <c r="L177">
        <v>3</v>
      </c>
      <c r="M177">
        <v>4</v>
      </c>
      <c r="N177">
        <v>5</v>
      </c>
      <c r="O177">
        <v>6</v>
      </c>
      <c r="P177">
        <v>7</v>
      </c>
      <c r="Q177">
        <v>8</v>
      </c>
      <c r="R177">
        <v>9</v>
      </c>
      <c r="S177" t="s">
        <v>750</v>
      </c>
    </row>
    <row r="178" spans="1:20">
      <c r="A178" t="str">
        <f t="shared" si="2"/>
        <v>Minn-Irvine-127</v>
      </c>
      <c r="B178" t="s">
        <v>927</v>
      </c>
      <c r="C178">
        <v>127</v>
      </c>
      <c r="D178" t="s">
        <v>514</v>
      </c>
      <c r="E178" t="s">
        <v>455</v>
      </c>
      <c r="F178" t="s">
        <v>456</v>
      </c>
      <c r="G178" t="s">
        <v>457</v>
      </c>
      <c r="H178" t="s">
        <v>458</v>
      </c>
      <c r="I178" t="s">
        <v>459</v>
      </c>
      <c r="J178" t="s">
        <v>460</v>
      </c>
      <c r="K178" t="s">
        <v>461</v>
      </c>
      <c r="L178" t="s">
        <v>462</v>
      </c>
      <c r="M178" t="s">
        <v>945</v>
      </c>
    </row>
    <row r="179" spans="1:20">
      <c r="A179" t="str">
        <f t="shared" si="2"/>
        <v>Minn-Irvine-131</v>
      </c>
      <c r="B179" t="s">
        <v>927</v>
      </c>
      <c r="C179">
        <v>131</v>
      </c>
      <c r="D179" t="s">
        <v>514</v>
      </c>
      <c r="F179" t="s">
        <v>463</v>
      </c>
      <c r="G179" t="s">
        <v>511</v>
      </c>
      <c r="H179" t="s">
        <v>464</v>
      </c>
      <c r="I179" t="s">
        <v>793</v>
      </c>
      <c r="J179" t="s">
        <v>794</v>
      </c>
      <c r="K179" t="s">
        <v>936</v>
      </c>
      <c r="L179" t="s">
        <v>945</v>
      </c>
    </row>
    <row r="180" spans="1:20">
      <c r="A180" t="str">
        <f t="shared" si="2"/>
        <v>Minn-Irvine-130</v>
      </c>
      <c r="B180" t="s">
        <v>927</v>
      </c>
      <c r="C180">
        <v>130</v>
      </c>
      <c r="D180" t="s">
        <v>514</v>
      </c>
      <c r="F180" t="s">
        <v>465</v>
      </c>
      <c r="G180" t="s">
        <v>511</v>
      </c>
      <c r="H180" t="s">
        <v>466</v>
      </c>
      <c r="I180" t="s">
        <v>793</v>
      </c>
      <c r="J180" t="s">
        <v>794</v>
      </c>
      <c r="K180" t="s">
        <v>936</v>
      </c>
      <c r="L180" t="s">
        <v>945</v>
      </c>
    </row>
    <row r="181" spans="1:20">
      <c r="A181" t="str">
        <f t="shared" si="2"/>
        <v>Minn-Irvine-133</v>
      </c>
      <c r="B181" t="s">
        <v>927</v>
      </c>
      <c r="C181">
        <v>133</v>
      </c>
      <c r="D181" t="s">
        <v>514</v>
      </c>
      <c r="F181" t="s">
        <v>467</v>
      </c>
      <c r="G181" t="s">
        <v>511</v>
      </c>
      <c r="H181" t="s">
        <v>468</v>
      </c>
      <c r="I181" t="s">
        <v>793</v>
      </c>
      <c r="J181" t="s">
        <v>794</v>
      </c>
      <c r="K181" t="s">
        <v>936</v>
      </c>
      <c r="L181" t="s">
        <v>945</v>
      </c>
    </row>
    <row r="182" spans="1:20">
      <c r="A182" t="str">
        <f t="shared" si="2"/>
        <v>Minn-Irvine-134</v>
      </c>
      <c r="B182" t="s">
        <v>927</v>
      </c>
      <c r="C182">
        <v>134</v>
      </c>
      <c r="D182" t="s">
        <v>514</v>
      </c>
      <c r="F182" t="s">
        <v>469</v>
      </c>
      <c r="G182" t="s">
        <v>470</v>
      </c>
      <c r="H182" t="s">
        <v>471</v>
      </c>
      <c r="I182" t="s">
        <v>472</v>
      </c>
      <c r="J182" t="s">
        <v>473</v>
      </c>
      <c r="K182" t="s">
        <v>474</v>
      </c>
    </row>
    <row r="183" spans="1:20">
      <c r="A183" t="str">
        <f t="shared" si="2"/>
        <v>MIUDQ-3</v>
      </c>
      <c r="B183" t="s">
        <v>451</v>
      </c>
      <c r="C183">
        <v>3</v>
      </c>
      <c r="D183" t="s">
        <v>475</v>
      </c>
      <c r="E183" t="s">
        <v>476</v>
      </c>
      <c r="F183" t="s">
        <v>477</v>
      </c>
      <c r="G183" t="s">
        <v>478</v>
      </c>
      <c r="H183" t="s">
        <v>479</v>
      </c>
      <c r="I183" t="s">
        <v>480</v>
      </c>
    </row>
    <row r="184" spans="1:20">
      <c r="A184" t="str">
        <f t="shared" si="2"/>
        <v>MIUDQ-23</v>
      </c>
      <c r="B184" t="s">
        <v>451</v>
      </c>
      <c r="C184">
        <v>23</v>
      </c>
      <c r="D184" t="s">
        <v>475</v>
      </c>
      <c r="F184" t="s">
        <v>452</v>
      </c>
      <c r="G184" t="s">
        <v>481</v>
      </c>
      <c r="H184" t="s">
        <v>482</v>
      </c>
      <c r="I184" t="s">
        <v>945</v>
      </c>
      <c r="J184">
        <v>1</v>
      </c>
      <c r="K184">
        <v>2</v>
      </c>
      <c r="L184">
        <v>3</v>
      </c>
      <c r="M184">
        <v>4</v>
      </c>
      <c r="N184">
        <v>5</v>
      </c>
      <c r="O184">
        <v>6</v>
      </c>
      <c r="P184">
        <v>7</v>
      </c>
      <c r="Q184">
        <v>8</v>
      </c>
      <c r="R184">
        <v>9</v>
      </c>
      <c r="S184" t="s">
        <v>750</v>
      </c>
    </row>
    <row r="185" spans="1:20">
      <c r="A185" t="str">
        <f t="shared" si="2"/>
        <v>MIUDQ-24</v>
      </c>
      <c r="B185" t="s">
        <v>451</v>
      </c>
      <c r="C185">
        <v>24</v>
      </c>
      <c r="D185" t="s">
        <v>475</v>
      </c>
      <c r="F185" t="s">
        <v>452</v>
      </c>
      <c r="G185" t="s">
        <v>379</v>
      </c>
      <c r="H185" t="s">
        <v>380</v>
      </c>
      <c r="I185" t="s">
        <v>945</v>
      </c>
      <c r="J185">
        <v>1</v>
      </c>
      <c r="K185">
        <v>2</v>
      </c>
      <c r="L185">
        <v>3</v>
      </c>
      <c r="M185">
        <v>4</v>
      </c>
      <c r="N185">
        <v>5</v>
      </c>
      <c r="O185">
        <v>6</v>
      </c>
      <c r="P185">
        <v>7</v>
      </c>
      <c r="Q185">
        <v>8</v>
      </c>
      <c r="R185">
        <v>9</v>
      </c>
      <c r="S185" t="s">
        <v>750</v>
      </c>
    </row>
    <row r="186" spans="1:20">
      <c r="A186" t="str">
        <f t="shared" si="2"/>
        <v>MIUDQ-5</v>
      </c>
      <c r="B186" t="s">
        <v>451</v>
      </c>
      <c r="C186">
        <v>5</v>
      </c>
      <c r="D186" t="s">
        <v>475</v>
      </c>
      <c r="F186" t="s">
        <v>477</v>
      </c>
      <c r="G186" t="s">
        <v>381</v>
      </c>
      <c r="H186" t="s">
        <v>382</v>
      </c>
      <c r="I186" t="s">
        <v>945</v>
      </c>
      <c r="J186" t="s">
        <v>936</v>
      </c>
      <c r="K186">
        <v>1</v>
      </c>
      <c r="L186">
        <v>2</v>
      </c>
      <c r="M186">
        <v>3</v>
      </c>
      <c r="N186">
        <v>4</v>
      </c>
      <c r="O186">
        <v>5</v>
      </c>
      <c r="P186">
        <v>6</v>
      </c>
      <c r="Q186">
        <v>7</v>
      </c>
      <c r="R186">
        <v>8</v>
      </c>
      <c r="S186">
        <v>9</v>
      </c>
      <c r="T186" t="s">
        <v>750</v>
      </c>
    </row>
    <row r="187" spans="1:20">
      <c r="A187" t="str">
        <f t="shared" si="2"/>
        <v>Minn-Irvine-129</v>
      </c>
      <c r="B187" t="s">
        <v>927</v>
      </c>
      <c r="C187">
        <v>129</v>
      </c>
      <c r="D187" t="s">
        <v>816</v>
      </c>
      <c r="E187" t="s">
        <v>383</v>
      </c>
      <c r="F187" t="s">
        <v>384</v>
      </c>
      <c r="G187" t="s">
        <v>893</v>
      </c>
      <c r="H187" t="s">
        <v>385</v>
      </c>
      <c r="I187" t="s">
        <v>840</v>
      </c>
      <c r="J187" t="s">
        <v>841</v>
      </c>
    </row>
    <row r="188" spans="1:20">
      <c r="A188" t="str">
        <f t="shared" si="2"/>
        <v>PEDS-29</v>
      </c>
      <c r="B188" t="s">
        <v>911</v>
      </c>
      <c r="C188">
        <v>29</v>
      </c>
      <c r="D188" t="s">
        <v>816</v>
      </c>
      <c r="E188" t="s">
        <v>383</v>
      </c>
      <c r="F188" t="s">
        <v>386</v>
      </c>
      <c r="G188" t="s">
        <v>387</v>
      </c>
      <c r="H188" t="s">
        <v>388</v>
      </c>
      <c r="I188" t="s">
        <v>389</v>
      </c>
      <c r="J188" t="s">
        <v>390</v>
      </c>
      <c r="K188" t="s">
        <v>391</v>
      </c>
    </row>
    <row r="189" spans="1:20">
      <c r="A189" t="str">
        <f t="shared" si="2"/>
        <v>MIUDQ-10</v>
      </c>
      <c r="B189" t="s">
        <v>451</v>
      </c>
      <c r="C189">
        <v>10</v>
      </c>
      <c r="D189" t="s">
        <v>816</v>
      </c>
      <c r="E189" t="s">
        <v>383</v>
      </c>
      <c r="F189" t="s">
        <v>383</v>
      </c>
      <c r="G189" t="s">
        <v>392</v>
      </c>
      <c r="H189" t="s">
        <v>393</v>
      </c>
      <c r="I189" t="s">
        <v>480</v>
      </c>
    </row>
    <row r="190" spans="1:20">
      <c r="A190" t="str">
        <f t="shared" si="2"/>
        <v>PEDS-33</v>
      </c>
      <c r="B190" t="s">
        <v>911</v>
      </c>
      <c r="C190">
        <v>33</v>
      </c>
      <c r="D190" t="s">
        <v>816</v>
      </c>
      <c r="E190" t="s">
        <v>383</v>
      </c>
      <c r="F190" t="s">
        <v>394</v>
      </c>
      <c r="G190" t="s">
        <v>395</v>
      </c>
      <c r="H190" t="s">
        <v>396</v>
      </c>
      <c r="I190" t="s">
        <v>397</v>
      </c>
      <c r="J190" t="s">
        <v>398</v>
      </c>
      <c r="K190" t="s">
        <v>399</v>
      </c>
      <c r="L190" t="s">
        <v>400</v>
      </c>
    </row>
    <row r="191" spans="1:20">
      <c r="A191" t="str">
        <f t="shared" si="2"/>
        <v>MIUDQ-9</v>
      </c>
      <c r="B191" t="s">
        <v>451</v>
      </c>
      <c r="C191">
        <v>9</v>
      </c>
      <c r="D191" t="s">
        <v>816</v>
      </c>
      <c r="E191" t="s">
        <v>401</v>
      </c>
      <c r="F191" t="s">
        <v>383</v>
      </c>
      <c r="G191" t="s">
        <v>402</v>
      </c>
      <c r="H191" t="s">
        <v>403</v>
      </c>
      <c r="I191" t="s">
        <v>936</v>
      </c>
      <c r="J191">
        <v>1</v>
      </c>
      <c r="K191">
        <v>2</v>
      </c>
      <c r="L191">
        <v>3</v>
      </c>
    </row>
    <row r="192" spans="1:20">
      <c r="A192" t="str">
        <f t="shared" si="2"/>
        <v>MIUDQ-12</v>
      </c>
      <c r="B192" t="s">
        <v>451</v>
      </c>
      <c r="C192">
        <v>12</v>
      </c>
      <c r="D192" t="s">
        <v>816</v>
      </c>
      <c r="E192" t="s">
        <v>401</v>
      </c>
      <c r="F192" t="s">
        <v>383</v>
      </c>
      <c r="G192" t="s">
        <v>404</v>
      </c>
      <c r="H192" t="s">
        <v>405</v>
      </c>
      <c r="I192" t="s">
        <v>480</v>
      </c>
    </row>
    <row r="193" spans="1:19">
      <c r="A193" t="str">
        <f t="shared" si="2"/>
        <v>Minn-Irvine-22</v>
      </c>
      <c r="B193" t="s">
        <v>927</v>
      </c>
      <c r="C193">
        <v>22</v>
      </c>
      <c r="D193" t="s">
        <v>816</v>
      </c>
      <c r="E193" t="s">
        <v>401</v>
      </c>
      <c r="F193" t="s">
        <v>406</v>
      </c>
      <c r="G193" t="s">
        <v>407</v>
      </c>
      <c r="H193" t="s">
        <v>408</v>
      </c>
      <c r="I193" t="s">
        <v>840</v>
      </c>
      <c r="J193" t="s">
        <v>841</v>
      </c>
    </row>
    <row r="194" spans="1:19">
      <c r="A194" t="str">
        <f t="shared" si="2"/>
        <v>Minn-Irvine-132</v>
      </c>
      <c r="B194" t="s">
        <v>927</v>
      </c>
      <c r="C194">
        <v>132</v>
      </c>
      <c r="D194" t="s">
        <v>816</v>
      </c>
      <c r="E194" t="s">
        <v>409</v>
      </c>
      <c r="F194" t="s">
        <v>410</v>
      </c>
      <c r="G194" t="s">
        <v>511</v>
      </c>
      <c r="H194" t="s">
        <v>411</v>
      </c>
      <c r="I194" t="s">
        <v>793</v>
      </c>
      <c r="J194" t="s">
        <v>794</v>
      </c>
      <c r="K194" t="s">
        <v>936</v>
      </c>
    </row>
    <row r="195" spans="1:19">
      <c r="A195" t="str">
        <f t="shared" ref="A195:A233" si="3">CONCATENATE(B195,"-",C195)</f>
        <v>MIUDQ-19</v>
      </c>
      <c r="B195" t="s">
        <v>451</v>
      </c>
      <c r="C195">
        <v>19</v>
      </c>
      <c r="D195" t="s">
        <v>816</v>
      </c>
      <c r="E195" t="s">
        <v>409</v>
      </c>
      <c r="F195" t="s">
        <v>409</v>
      </c>
      <c r="G195" t="s">
        <v>412</v>
      </c>
      <c r="H195" t="s">
        <v>413</v>
      </c>
      <c r="I195" t="s">
        <v>480</v>
      </c>
      <c r="J195" t="s">
        <v>400</v>
      </c>
    </row>
    <row r="196" spans="1:19">
      <c r="A196" t="str">
        <f t="shared" si="3"/>
        <v>PEDS-32</v>
      </c>
      <c r="B196" t="s">
        <v>911</v>
      </c>
      <c r="C196">
        <v>32</v>
      </c>
      <c r="D196" t="s">
        <v>816</v>
      </c>
      <c r="F196" t="s">
        <v>414</v>
      </c>
      <c r="G196" t="s">
        <v>415</v>
      </c>
      <c r="H196" t="s">
        <v>416</v>
      </c>
      <c r="I196" t="s">
        <v>417</v>
      </c>
      <c r="J196" t="s">
        <v>944</v>
      </c>
      <c r="K196" t="s">
        <v>418</v>
      </c>
    </row>
    <row r="197" spans="1:19">
      <c r="A197" t="str">
        <f t="shared" si="3"/>
        <v>MIUDQ-1</v>
      </c>
      <c r="B197" t="s">
        <v>451</v>
      </c>
      <c r="C197">
        <v>1</v>
      </c>
      <c r="D197" t="s">
        <v>816</v>
      </c>
      <c r="F197" t="s">
        <v>477</v>
      </c>
      <c r="G197" t="s">
        <v>419</v>
      </c>
    </row>
    <row r="198" spans="1:19">
      <c r="A198" t="str">
        <f t="shared" si="3"/>
        <v>MIUDQ-4</v>
      </c>
      <c r="B198" t="s">
        <v>451</v>
      </c>
      <c r="C198">
        <v>4</v>
      </c>
      <c r="D198" t="s">
        <v>816</v>
      </c>
      <c r="F198" t="s">
        <v>477</v>
      </c>
      <c r="G198" t="s">
        <v>420</v>
      </c>
      <c r="H198" t="s">
        <v>421</v>
      </c>
      <c r="I198" t="s">
        <v>936</v>
      </c>
      <c r="J198">
        <v>1</v>
      </c>
      <c r="K198">
        <v>2</v>
      </c>
      <c r="L198">
        <v>3</v>
      </c>
    </row>
    <row r="199" spans="1:19">
      <c r="A199" t="str">
        <f t="shared" si="3"/>
        <v>MIUDQ-21</v>
      </c>
      <c r="B199" t="s">
        <v>451</v>
      </c>
      <c r="C199">
        <v>21</v>
      </c>
      <c r="D199" t="s">
        <v>422</v>
      </c>
      <c r="F199" t="s">
        <v>409</v>
      </c>
      <c r="G199" t="s">
        <v>325</v>
      </c>
      <c r="H199" t="s">
        <v>326</v>
      </c>
      <c r="I199" t="s">
        <v>480</v>
      </c>
    </row>
    <row r="200" spans="1:19">
      <c r="A200" t="str">
        <f t="shared" si="3"/>
        <v>Minn-Irvine-156</v>
      </c>
      <c r="B200" t="s">
        <v>927</v>
      </c>
      <c r="C200">
        <v>156</v>
      </c>
      <c r="D200" t="s">
        <v>475</v>
      </c>
      <c r="E200" t="s">
        <v>327</v>
      </c>
      <c r="F200" t="s">
        <v>328</v>
      </c>
      <c r="G200" t="s">
        <v>329</v>
      </c>
      <c r="H200" t="s">
        <v>330</v>
      </c>
      <c r="I200" t="s">
        <v>331</v>
      </c>
      <c r="J200" t="s">
        <v>332</v>
      </c>
      <c r="K200" t="s">
        <v>333</v>
      </c>
    </row>
    <row r="201" spans="1:19">
      <c r="A201" t="str">
        <f t="shared" si="3"/>
        <v>Minn-Irvine-17</v>
      </c>
      <c r="B201" t="s">
        <v>927</v>
      </c>
      <c r="C201">
        <v>17</v>
      </c>
      <c r="D201" t="s">
        <v>475</v>
      </c>
      <c r="E201" t="s">
        <v>334</v>
      </c>
      <c r="F201" t="s">
        <v>335</v>
      </c>
      <c r="G201" t="s">
        <v>336</v>
      </c>
      <c r="H201" t="s">
        <v>337</v>
      </c>
      <c r="I201" t="s">
        <v>335</v>
      </c>
      <c r="J201" t="s">
        <v>338</v>
      </c>
      <c r="K201" t="s">
        <v>723</v>
      </c>
      <c r="L201" t="s">
        <v>724</v>
      </c>
    </row>
    <row r="202" spans="1:19">
      <c r="A202" t="str">
        <f t="shared" si="3"/>
        <v>MIUDQ-26</v>
      </c>
      <c r="B202" t="s">
        <v>451</v>
      </c>
      <c r="C202">
        <v>26</v>
      </c>
      <c r="D202" t="s">
        <v>475</v>
      </c>
      <c r="E202" t="s">
        <v>334</v>
      </c>
      <c r="F202" t="s">
        <v>452</v>
      </c>
      <c r="G202" t="s">
        <v>339</v>
      </c>
      <c r="H202" t="s">
        <v>340</v>
      </c>
      <c r="I202" t="s">
        <v>936</v>
      </c>
      <c r="J202">
        <v>1</v>
      </c>
      <c r="K202">
        <v>2</v>
      </c>
      <c r="L202">
        <v>3</v>
      </c>
      <c r="M202">
        <v>4</v>
      </c>
      <c r="N202">
        <v>5</v>
      </c>
      <c r="O202">
        <v>6</v>
      </c>
      <c r="P202">
        <v>7</v>
      </c>
      <c r="Q202">
        <v>8</v>
      </c>
      <c r="R202">
        <v>9</v>
      </c>
      <c r="S202" t="s">
        <v>750</v>
      </c>
    </row>
    <row r="203" spans="1:19">
      <c r="A203" t="str">
        <f t="shared" si="3"/>
        <v>Minn-Irvine-119</v>
      </c>
      <c r="B203" t="s">
        <v>927</v>
      </c>
      <c r="C203">
        <v>119</v>
      </c>
      <c r="D203" t="s">
        <v>341</v>
      </c>
      <c r="E203" t="s">
        <v>342</v>
      </c>
      <c r="F203" t="s">
        <v>343</v>
      </c>
      <c r="G203" t="s">
        <v>791</v>
      </c>
      <c r="H203" t="s">
        <v>344</v>
      </c>
      <c r="I203" t="s">
        <v>793</v>
      </c>
      <c r="J203" t="s">
        <v>794</v>
      </c>
      <c r="K203" t="s">
        <v>936</v>
      </c>
    </row>
    <row r="204" spans="1:19">
      <c r="A204" t="str">
        <f t="shared" si="3"/>
        <v>Minn-Irvine-120</v>
      </c>
      <c r="B204" t="s">
        <v>927</v>
      </c>
      <c r="C204">
        <v>120</v>
      </c>
      <c r="D204" t="s">
        <v>341</v>
      </c>
      <c r="E204" t="s">
        <v>345</v>
      </c>
      <c r="F204" t="s">
        <v>346</v>
      </c>
      <c r="G204" t="s">
        <v>791</v>
      </c>
      <c r="H204" t="s">
        <v>347</v>
      </c>
      <c r="I204" t="s">
        <v>793</v>
      </c>
      <c r="J204" t="s">
        <v>794</v>
      </c>
      <c r="K204" t="s">
        <v>936</v>
      </c>
    </row>
    <row r="205" spans="1:19">
      <c r="A205" t="str">
        <f t="shared" si="3"/>
        <v>MIUDQ-18</v>
      </c>
      <c r="B205" t="s">
        <v>451</v>
      </c>
      <c r="C205">
        <v>18</v>
      </c>
      <c r="D205" t="s">
        <v>341</v>
      </c>
      <c r="E205" t="s">
        <v>345</v>
      </c>
      <c r="F205" t="s">
        <v>348</v>
      </c>
      <c r="G205" t="s">
        <v>349</v>
      </c>
      <c r="H205" t="s">
        <v>350</v>
      </c>
      <c r="I205" t="s">
        <v>936</v>
      </c>
      <c r="J205">
        <v>1</v>
      </c>
      <c r="K205">
        <v>2</v>
      </c>
      <c r="L205">
        <v>3</v>
      </c>
      <c r="M205">
        <v>4</v>
      </c>
      <c r="N205">
        <v>5</v>
      </c>
      <c r="O205">
        <v>6</v>
      </c>
      <c r="P205">
        <v>7</v>
      </c>
      <c r="Q205">
        <v>8</v>
      </c>
      <c r="R205">
        <v>9</v>
      </c>
      <c r="S205" t="s">
        <v>750</v>
      </c>
    </row>
    <row r="206" spans="1:19">
      <c r="A206" t="str">
        <f t="shared" si="3"/>
        <v>Minn-Irvine-157</v>
      </c>
      <c r="B206" t="s">
        <v>927</v>
      </c>
      <c r="C206">
        <v>157</v>
      </c>
      <c r="D206" t="s">
        <v>341</v>
      </c>
      <c r="E206" t="s">
        <v>351</v>
      </c>
      <c r="F206" t="s">
        <v>352</v>
      </c>
      <c r="G206" t="s">
        <v>791</v>
      </c>
      <c r="H206" t="s">
        <v>353</v>
      </c>
      <c r="I206" t="s">
        <v>793</v>
      </c>
      <c r="J206" t="s">
        <v>794</v>
      </c>
      <c r="K206" t="s">
        <v>936</v>
      </c>
    </row>
    <row r="207" spans="1:19">
      <c r="A207" t="str">
        <f t="shared" si="3"/>
        <v>PEDS-26.1</v>
      </c>
      <c r="B207" t="s">
        <v>911</v>
      </c>
      <c r="C207">
        <v>26.1</v>
      </c>
      <c r="D207" t="s">
        <v>341</v>
      </c>
      <c r="F207" t="s">
        <v>354</v>
      </c>
      <c r="G207" t="s">
        <v>355</v>
      </c>
      <c r="H207" t="s">
        <v>356</v>
      </c>
      <c r="I207" t="s">
        <v>840</v>
      </c>
      <c r="J207" t="s">
        <v>841</v>
      </c>
    </row>
    <row r="208" spans="1:19">
      <c r="A208" t="str">
        <f t="shared" si="3"/>
        <v>PEDS-26.3</v>
      </c>
      <c r="B208" t="s">
        <v>911</v>
      </c>
      <c r="C208">
        <v>26.3</v>
      </c>
      <c r="D208" t="s">
        <v>341</v>
      </c>
      <c r="F208" t="s">
        <v>354</v>
      </c>
      <c r="G208" t="s">
        <v>357</v>
      </c>
      <c r="H208" t="s">
        <v>358</v>
      </c>
      <c r="I208" t="s">
        <v>840</v>
      </c>
      <c r="J208" t="s">
        <v>841</v>
      </c>
    </row>
    <row r="209" spans="1:19">
      <c r="A209" t="str">
        <f t="shared" si="3"/>
        <v>Minn-Irvine-122</v>
      </c>
      <c r="B209" t="s">
        <v>927</v>
      </c>
      <c r="C209">
        <v>122</v>
      </c>
      <c r="D209" t="s">
        <v>341</v>
      </c>
      <c r="F209" t="s">
        <v>359</v>
      </c>
      <c r="G209" t="s">
        <v>791</v>
      </c>
      <c r="H209" t="s">
        <v>360</v>
      </c>
      <c r="I209" t="s">
        <v>793</v>
      </c>
      <c r="J209" t="s">
        <v>794</v>
      </c>
      <c r="K209" t="s">
        <v>936</v>
      </c>
    </row>
    <row r="210" spans="1:19">
      <c r="A210" t="str">
        <f t="shared" si="3"/>
        <v>Minn-Irvine-124</v>
      </c>
      <c r="B210" t="s">
        <v>927</v>
      </c>
      <c r="C210">
        <v>124</v>
      </c>
      <c r="D210" t="s">
        <v>341</v>
      </c>
      <c r="F210" t="s">
        <v>361</v>
      </c>
      <c r="G210" t="s">
        <v>893</v>
      </c>
      <c r="H210" t="s">
        <v>362</v>
      </c>
      <c r="I210" t="s">
        <v>840</v>
      </c>
      <c r="J210" t="s">
        <v>841</v>
      </c>
    </row>
    <row r="211" spans="1:19">
      <c r="A211" t="str">
        <f t="shared" si="3"/>
        <v>PEDS-27</v>
      </c>
      <c r="B211" t="s">
        <v>911</v>
      </c>
      <c r="C211">
        <v>27</v>
      </c>
      <c r="D211" t="s">
        <v>341</v>
      </c>
      <c r="F211" t="s">
        <v>363</v>
      </c>
      <c r="G211" t="s">
        <v>893</v>
      </c>
      <c r="H211" t="s">
        <v>364</v>
      </c>
      <c r="I211" t="s">
        <v>840</v>
      </c>
      <c r="J211" t="s">
        <v>841</v>
      </c>
    </row>
    <row r="212" spans="1:19">
      <c r="A212" t="str">
        <f t="shared" si="3"/>
        <v>MIUDQ-27</v>
      </c>
      <c r="B212" t="s">
        <v>451</v>
      </c>
      <c r="C212">
        <v>27</v>
      </c>
      <c r="D212" t="s">
        <v>422</v>
      </c>
      <c r="F212" t="s">
        <v>452</v>
      </c>
      <c r="G212" t="s">
        <v>365</v>
      </c>
      <c r="H212" t="s">
        <v>366</v>
      </c>
      <c r="I212" t="s">
        <v>936</v>
      </c>
      <c r="J212">
        <v>1</v>
      </c>
      <c r="K212">
        <v>2</v>
      </c>
      <c r="L212">
        <v>3</v>
      </c>
      <c r="M212">
        <v>4</v>
      </c>
      <c r="N212">
        <v>5</v>
      </c>
      <c r="O212">
        <v>6</v>
      </c>
      <c r="P212">
        <v>7</v>
      </c>
      <c r="Q212">
        <v>8</v>
      </c>
      <c r="R212">
        <v>9</v>
      </c>
      <c r="S212" t="s">
        <v>750</v>
      </c>
    </row>
    <row r="213" spans="1:19">
      <c r="A213" t="str">
        <f t="shared" si="3"/>
        <v>MIUDQ-2</v>
      </c>
      <c r="B213" t="s">
        <v>451</v>
      </c>
      <c r="C213">
        <v>2</v>
      </c>
      <c r="D213" t="s">
        <v>660</v>
      </c>
      <c r="F213" t="s">
        <v>477</v>
      </c>
      <c r="G213" t="s">
        <v>367</v>
      </c>
    </row>
    <row r="214" spans="1:19">
      <c r="A214" t="str">
        <f t="shared" si="3"/>
        <v>MIUDQ-17</v>
      </c>
      <c r="B214" t="s">
        <v>451</v>
      </c>
      <c r="C214">
        <v>17</v>
      </c>
      <c r="D214" t="s">
        <v>660</v>
      </c>
      <c r="F214" t="s">
        <v>348</v>
      </c>
      <c r="G214" t="s">
        <v>368</v>
      </c>
      <c r="H214" t="s">
        <v>369</v>
      </c>
      <c r="I214" t="s">
        <v>936</v>
      </c>
      <c r="J214">
        <v>1</v>
      </c>
      <c r="K214">
        <v>2</v>
      </c>
      <c r="L214">
        <v>3</v>
      </c>
      <c r="M214">
        <v>4</v>
      </c>
      <c r="N214">
        <v>5</v>
      </c>
      <c r="O214">
        <v>6</v>
      </c>
      <c r="P214">
        <v>7</v>
      </c>
      <c r="Q214">
        <v>8</v>
      </c>
      <c r="R214">
        <v>9</v>
      </c>
      <c r="S214" t="s">
        <v>750</v>
      </c>
    </row>
    <row r="215" spans="1:19">
      <c r="A215" t="str">
        <f t="shared" si="3"/>
        <v>PEDS-2</v>
      </c>
      <c r="B215" t="s">
        <v>911</v>
      </c>
      <c r="C215">
        <v>2</v>
      </c>
      <c r="D215" t="s">
        <v>660</v>
      </c>
      <c r="E215" t="s">
        <v>370</v>
      </c>
      <c r="F215" t="s">
        <v>371</v>
      </c>
      <c r="G215" t="s">
        <v>372</v>
      </c>
      <c r="H215" t="s">
        <v>373</v>
      </c>
      <c r="I215" t="s">
        <v>374</v>
      </c>
      <c r="J215" t="s">
        <v>375</v>
      </c>
      <c r="K215" t="s">
        <v>376</v>
      </c>
    </row>
    <row r="216" spans="1:19">
      <c r="A216" t="str">
        <f t="shared" si="3"/>
        <v>PEDS-28</v>
      </c>
      <c r="B216" t="s">
        <v>911</v>
      </c>
      <c r="C216">
        <v>28</v>
      </c>
      <c r="D216" t="s">
        <v>660</v>
      </c>
      <c r="E216" t="s">
        <v>661</v>
      </c>
      <c r="F216" t="s">
        <v>377</v>
      </c>
      <c r="G216" t="s">
        <v>378</v>
      </c>
      <c r="H216" t="s">
        <v>267</v>
      </c>
      <c r="I216" t="s">
        <v>268</v>
      </c>
      <c r="J216" t="s">
        <v>944</v>
      </c>
      <c r="K216" t="s">
        <v>269</v>
      </c>
    </row>
    <row r="217" spans="1:19">
      <c r="A217" t="str">
        <f t="shared" si="3"/>
        <v>Minn-Irvine-163</v>
      </c>
      <c r="B217" t="s">
        <v>927</v>
      </c>
      <c r="C217">
        <v>163</v>
      </c>
      <c r="D217" t="s">
        <v>475</v>
      </c>
      <c r="E217" t="s">
        <v>334</v>
      </c>
      <c r="F217" t="s">
        <v>270</v>
      </c>
      <c r="G217" t="s">
        <v>271</v>
      </c>
    </row>
    <row r="218" spans="1:19">
      <c r="A218" t="str">
        <f t="shared" si="3"/>
        <v>Minn-Irvine-158</v>
      </c>
      <c r="B218" t="s">
        <v>927</v>
      </c>
      <c r="C218">
        <v>158</v>
      </c>
      <c r="D218" t="s">
        <v>475</v>
      </c>
      <c r="E218" t="s">
        <v>334</v>
      </c>
      <c r="F218" t="s">
        <v>272</v>
      </c>
      <c r="G218" t="s">
        <v>893</v>
      </c>
    </row>
    <row r="219" spans="1:19">
      <c r="A219" t="str">
        <f t="shared" si="3"/>
        <v>NYC HVS-1</v>
      </c>
      <c r="B219" t="s">
        <v>273</v>
      </c>
      <c r="C219">
        <v>1</v>
      </c>
      <c r="D219" t="s">
        <v>274</v>
      </c>
      <c r="F219" t="s">
        <v>275</v>
      </c>
      <c r="G219" t="s">
        <v>276</v>
      </c>
      <c r="H219" t="s">
        <v>277</v>
      </c>
      <c r="I219" t="s">
        <v>840</v>
      </c>
      <c r="J219" t="s">
        <v>841</v>
      </c>
      <c r="K219" t="s">
        <v>820</v>
      </c>
    </row>
    <row r="220" spans="1:19">
      <c r="A220" t="str">
        <f t="shared" si="3"/>
        <v>NYC HVS-2</v>
      </c>
      <c r="B220" t="s">
        <v>273</v>
      </c>
      <c r="C220">
        <v>2</v>
      </c>
      <c r="D220" t="s">
        <v>274</v>
      </c>
      <c r="F220" t="s">
        <v>278</v>
      </c>
      <c r="G220" t="s">
        <v>893</v>
      </c>
      <c r="H220" t="s">
        <v>279</v>
      </c>
      <c r="I220" t="s">
        <v>840</v>
      </c>
      <c r="J220" t="s">
        <v>841</v>
      </c>
      <c r="K220" t="s">
        <v>820</v>
      </c>
    </row>
    <row r="221" spans="1:19">
      <c r="A221" t="str">
        <f t="shared" si="3"/>
        <v>Minn-Irvine-128</v>
      </c>
      <c r="B221" t="s">
        <v>927</v>
      </c>
      <c r="C221">
        <v>128</v>
      </c>
      <c r="D221" t="s">
        <v>274</v>
      </c>
      <c r="F221" t="s">
        <v>280</v>
      </c>
      <c r="G221" t="s">
        <v>511</v>
      </c>
      <c r="H221" t="s">
        <v>281</v>
      </c>
      <c r="I221" t="s">
        <v>793</v>
      </c>
      <c r="J221" t="s">
        <v>794</v>
      </c>
      <c r="K221" t="s">
        <v>936</v>
      </c>
      <c r="L221" t="s">
        <v>945</v>
      </c>
    </row>
    <row r="222" spans="1:19">
      <c r="A222" t="str">
        <f t="shared" si="3"/>
        <v>PHDCN-1</v>
      </c>
      <c r="B222" t="s">
        <v>282</v>
      </c>
      <c r="C222">
        <v>1</v>
      </c>
      <c r="D222" t="s">
        <v>274</v>
      </c>
      <c r="F222" t="s">
        <v>283</v>
      </c>
      <c r="G222" t="s">
        <v>893</v>
      </c>
      <c r="H222" t="s">
        <v>244</v>
      </c>
      <c r="I222" t="s">
        <v>840</v>
      </c>
      <c r="J222" t="s">
        <v>841</v>
      </c>
    </row>
    <row r="223" spans="1:19">
      <c r="A223" t="str">
        <f t="shared" si="3"/>
        <v>Minn-Irvine-161</v>
      </c>
      <c r="B223" t="s">
        <v>927</v>
      </c>
      <c r="C223">
        <v>161</v>
      </c>
      <c r="D223" t="s">
        <v>274</v>
      </c>
      <c r="F223" t="s">
        <v>284</v>
      </c>
      <c r="G223" t="s">
        <v>893</v>
      </c>
      <c r="H223" t="s">
        <v>285</v>
      </c>
      <c r="I223" t="s">
        <v>840</v>
      </c>
      <c r="J223" t="s">
        <v>841</v>
      </c>
    </row>
    <row r="224" spans="1:19">
      <c r="A224" t="str">
        <f t="shared" si="3"/>
        <v>Minn-Irvine-141</v>
      </c>
      <c r="B224" t="s">
        <v>927</v>
      </c>
      <c r="C224">
        <v>141</v>
      </c>
      <c r="D224" t="s">
        <v>274</v>
      </c>
      <c r="F224" t="s">
        <v>286</v>
      </c>
      <c r="G224" t="s">
        <v>599</v>
      </c>
      <c r="H224" t="s">
        <v>287</v>
      </c>
      <c r="I224" t="s">
        <v>793</v>
      </c>
      <c r="J224" t="s">
        <v>794</v>
      </c>
      <c r="K224" t="s">
        <v>936</v>
      </c>
    </row>
    <row r="225" spans="1:12">
      <c r="A225" t="str">
        <f t="shared" si="3"/>
        <v>Minn-Irvine-139</v>
      </c>
      <c r="B225" t="s">
        <v>927</v>
      </c>
      <c r="C225">
        <v>139</v>
      </c>
      <c r="D225" t="s">
        <v>274</v>
      </c>
      <c r="F225" t="s">
        <v>288</v>
      </c>
      <c r="G225" t="s">
        <v>289</v>
      </c>
      <c r="H225" t="s">
        <v>290</v>
      </c>
      <c r="I225" t="s">
        <v>793</v>
      </c>
      <c r="J225" t="s">
        <v>601</v>
      </c>
      <c r="K225" t="s">
        <v>936</v>
      </c>
    </row>
    <row r="226" spans="1:12">
      <c r="A226" t="str">
        <f t="shared" si="3"/>
        <v>PHDCN-2</v>
      </c>
      <c r="B226" t="s">
        <v>282</v>
      </c>
      <c r="C226">
        <v>2</v>
      </c>
      <c r="D226" t="s">
        <v>274</v>
      </c>
      <c r="F226" t="s">
        <v>291</v>
      </c>
      <c r="G226" t="s">
        <v>893</v>
      </c>
      <c r="H226" t="s">
        <v>292</v>
      </c>
      <c r="I226" t="s">
        <v>840</v>
      </c>
      <c r="J226" t="s">
        <v>841</v>
      </c>
    </row>
    <row r="227" spans="1:12">
      <c r="A227" t="str">
        <f t="shared" si="3"/>
        <v>Minn-Irvine-140</v>
      </c>
      <c r="B227" t="s">
        <v>927</v>
      </c>
      <c r="C227">
        <v>140</v>
      </c>
      <c r="D227" t="s">
        <v>274</v>
      </c>
      <c r="F227" t="s">
        <v>293</v>
      </c>
      <c r="G227" t="s">
        <v>289</v>
      </c>
      <c r="H227" t="s">
        <v>294</v>
      </c>
      <c r="I227" t="s">
        <v>793</v>
      </c>
      <c r="J227" t="s">
        <v>601</v>
      </c>
      <c r="K227" t="s">
        <v>936</v>
      </c>
    </row>
    <row r="228" spans="1:12">
      <c r="A228" t="str">
        <f t="shared" si="3"/>
        <v>PHDCN-3</v>
      </c>
      <c r="B228" t="s">
        <v>282</v>
      </c>
      <c r="C228">
        <v>3</v>
      </c>
      <c r="D228" t="s">
        <v>274</v>
      </c>
      <c r="F228" t="s">
        <v>295</v>
      </c>
      <c r="G228" t="s">
        <v>893</v>
      </c>
      <c r="H228" t="s">
        <v>296</v>
      </c>
      <c r="I228" t="s">
        <v>840</v>
      </c>
      <c r="J228" t="s">
        <v>841</v>
      </c>
    </row>
    <row r="229" spans="1:12">
      <c r="A229" t="str">
        <f t="shared" si="3"/>
        <v>Minn-Irvine-138</v>
      </c>
      <c r="B229" t="s">
        <v>927</v>
      </c>
      <c r="C229">
        <v>138</v>
      </c>
      <c r="D229" t="s">
        <v>274</v>
      </c>
      <c r="F229" t="s">
        <v>297</v>
      </c>
      <c r="G229" t="s">
        <v>298</v>
      </c>
      <c r="H229" t="s">
        <v>299</v>
      </c>
      <c r="I229" t="s">
        <v>300</v>
      </c>
      <c r="J229" t="s">
        <v>301</v>
      </c>
      <c r="K229" t="s">
        <v>302</v>
      </c>
      <c r="L229" t="s">
        <v>400</v>
      </c>
    </row>
    <row r="230" spans="1:12">
      <c r="A230" t="str">
        <f t="shared" si="3"/>
        <v>PEDS-31</v>
      </c>
      <c r="B230" t="s">
        <v>911</v>
      </c>
      <c r="C230">
        <v>31</v>
      </c>
      <c r="D230" t="s">
        <v>274</v>
      </c>
      <c r="F230" t="s">
        <v>303</v>
      </c>
      <c r="G230" t="s">
        <v>304</v>
      </c>
      <c r="H230" t="s">
        <v>305</v>
      </c>
      <c r="I230" t="s">
        <v>306</v>
      </c>
      <c r="J230" t="s">
        <v>307</v>
      </c>
      <c r="K230" t="s">
        <v>308</v>
      </c>
    </row>
    <row r="231" spans="1:12">
      <c r="A231" t="str">
        <f t="shared" si="3"/>
        <v>PHDCN-</v>
      </c>
      <c r="B231" t="s">
        <v>282</v>
      </c>
      <c r="D231" t="s">
        <v>274</v>
      </c>
      <c r="F231" t="s">
        <v>309</v>
      </c>
      <c r="G231" t="s">
        <v>893</v>
      </c>
      <c r="H231" t="s">
        <v>310</v>
      </c>
    </row>
    <row r="232" spans="1:12">
      <c r="A232" t="str">
        <f t="shared" si="3"/>
        <v>PHDCN-</v>
      </c>
      <c r="B232" t="s">
        <v>282</v>
      </c>
      <c r="D232" t="s">
        <v>274</v>
      </c>
      <c r="F232" t="s">
        <v>311</v>
      </c>
      <c r="G232" t="s">
        <v>893</v>
      </c>
      <c r="H232" t="s">
        <v>310</v>
      </c>
    </row>
    <row r="233" spans="1:12">
      <c r="A233" t="str">
        <f t="shared" si="3"/>
        <v>PHDCN-</v>
      </c>
      <c r="B233" t="s">
        <v>282</v>
      </c>
      <c r="D233" t="s">
        <v>274</v>
      </c>
      <c r="F233" t="s">
        <v>312</v>
      </c>
      <c r="G233" t="s">
        <v>893</v>
      </c>
      <c r="H233" t="s">
        <v>310</v>
      </c>
    </row>
  </sheetData>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V244"/>
  <sheetViews>
    <sheetView workbookViewId="0">
      <selection activeCell="M197" sqref="M197"/>
    </sheetView>
  </sheetViews>
  <sheetFormatPr baseColWidth="10" defaultRowHeight="13"/>
  <cols>
    <col min="2" max="16" width="10.85546875" customWidth="1"/>
    <col min="17" max="17" width="13.7109375" bestFit="1" customWidth="1"/>
    <col min="18" max="18" width="29" bestFit="1" customWidth="1"/>
    <col min="19" max="19" width="4" bestFit="1" customWidth="1"/>
    <col min="20" max="20" width="8.85546875" bestFit="1" customWidth="1"/>
    <col min="21" max="22" width="4" bestFit="1" customWidth="1"/>
  </cols>
  <sheetData>
    <row r="1" spans="1:17">
      <c r="B1" t="s">
        <v>314</v>
      </c>
      <c r="C1" t="s">
        <v>315</v>
      </c>
      <c r="D1" t="s">
        <v>316</v>
      </c>
      <c r="E1" t="s">
        <v>317</v>
      </c>
      <c r="F1" t="s">
        <v>318</v>
      </c>
      <c r="G1" t="s">
        <v>319</v>
      </c>
      <c r="H1" t="s">
        <v>320</v>
      </c>
      <c r="I1" t="s">
        <v>321</v>
      </c>
    </row>
    <row r="2" spans="1:17">
      <c r="J2" t="s">
        <v>322</v>
      </c>
    </row>
    <row r="3" spans="1:17">
      <c r="A3" t="str">
        <f>CONCATENATE(B3,"-",C3)</f>
        <v>Meta-1</v>
      </c>
      <c r="B3" t="s">
        <v>322</v>
      </c>
      <c r="C3">
        <v>1</v>
      </c>
      <c r="D3" t="s">
        <v>323</v>
      </c>
      <c r="F3" t="s">
        <v>324</v>
      </c>
      <c r="I3" t="s">
        <v>252</v>
      </c>
      <c r="J3" t="s">
        <v>253</v>
      </c>
      <c r="K3" t="s">
        <v>480</v>
      </c>
    </row>
    <row r="4" spans="1:17">
      <c r="A4" t="str">
        <f>CONCATENATE(B4,"-",C4)</f>
        <v>Meta-2</v>
      </c>
      <c r="B4" t="s">
        <v>322</v>
      </c>
      <c r="C4">
        <v>2</v>
      </c>
      <c r="D4" t="s">
        <v>323</v>
      </c>
      <c r="E4" t="s">
        <v>840</v>
      </c>
      <c r="F4" t="s">
        <v>254</v>
      </c>
      <c r="I4" t="s">
        <v>255</v>
      </c>
      <c r="J4" t="s">
        <v>256</v>
      </c>
      <c r="K4" t="s">
        <v>480</v>
      </c>
    </row>
    <row r="5" spans="1:17">
      <c r="A5" t="str">
        <f t="shared" ref="A5:A68" si="0">CONCATENATE(B5,"-",C5)</f>
        <v>Meta-3</v>
      </c>
      <c r="B5" t="s">
        <v>322</v>
      </c>
      <c r="C5">
        <v>3</v>
      </c>
      <c r="D5" t="s">
        <v>257</v>
      </c>
      <c r="F5" t="s">
        <v>258</v>
      </c>
      <c r="G5" t="s">
        <v>259</v>
      </c>
      <c r="I5" t="s">
        <v>260</v>
      </c>
      <c r="J5" t="s">
        <v>261</v>
      </c>
      <c r="K5">
        <v>0</v>
      </c>
      <c r="L5">
        <v>1</v>
      </c>
      <c r="M5">
        <v>2</v>
      </c>
      <c r="N5">
        <v>3</v>
      </c>
      <c r="O5">
        <v>4</v>
      </c>
    </row>
    <row r="6" spans="1:17">
      <c r="A6" t="str">
        <f t="shared" si="0"/>
        <v>Meta-4</v>
      </c>
      <c r="B6" t="s">
        <v>322</v>
      </c>
      <c r="C6">
        <v>4</v>
      </c>
      <c r="D6" t="s">
        <v>257</v>
      </c>
      <c r="F6" t="s">
        <v>262</v>
      </c>
      <c r="G6" t="s">
        <v>259</v>
      </c>
      <c r="I6" t="s">
        <v>263</v>
      </c>
      <c r="J6" t="s">
        <v>264</v>
      </c>
      <c r="K6">
        <v>0</v>
      </c>
      <c r="L6">
        <v>1</v>
      </c>
      <c r="M6">
        <v>2</v>
      </c>
      <c r="N6">
        <v>3</v>
      </c>
      <c r="O6">
        <v>4</v>
      </c>
    </row>
    <row r="7" spans="1:17">
      <c r="A7" t="str">
        <f t="shared" si="0"/>
        <v>Meta-5</v>
      </c>
      <c r="B7" t="s">
        <v>322</v>
      </c>
      <c r="C7">
        <v>5</v>
      </c>
      <c r="D7" t="s">
        <v>257</v>
      </c>
      <c r="F7" t="s">
        <v>265</v>
      </c>
      <c r="G7" t="s">
        <v>266</v>
      </c>
      <c r="I7" t="s">
        <v>236</v>
      </c>
      <c r="J7" t="s">
        <v>237</v>
      </c>
      <c r="K7" t="s">
        <v>238</v>
      </c>
      <c r="L7" t="s">
        <v>239</v>
      </c>
      <c r="M7" t="s">
        <v>240</v>
      </c>
      <c r="N7" t="s">
        <v>241</v>
      </c>
    </row>
    <row r="8" spans="1:17">
      <c r="A8" t="str">
        <f t="shared" si="0"/>
        <v>Meta-6</v>
      </c>
      <c r="B8" t="s">
        <v>322</v>
      </c>
      <c r="C8">
        <v>6</v>
      </c>
      <c r="D8" t="s">
        <v>257</v>
      </c>
      <c r="F8" t="s">
        <v>242</v>
      </c>
      <c r="G8" t="s">
        <v>243</v>
      </c>
      <c r="I8" t="s">
        <v>225</v>
      </c>
      <c r="J8" t="s">
        <v>226</v>
      </c>
      <c r="K8" t="s">
        <v>227</v>
      </c>
      <c r="L8" t="s">
        <v>228</v>
      </c>
      <c r="M8" t="s">
        <v>954</v>
      </c>
    </row>
    <row r="9" spans="1:17">
      <c r="A9" t="str">
        <f t="shared" si="0"/>
        <v>Meta-7</v>
      </c>
      <c r="B9" t="s">
        <v>322</v>
      </c>
      <c r="C9">
        <v>7</v>
      </c>
      <c r="D9" t="s">
        <v>229</v>
      </c>
      <c r="F9" t="s">
        <v>230</v>
      </c>
      <c r="G9" t="s">
        <v>231</v>
      </c>
      <c r="I9" t="s">
        <v>232</v>
      </c>
      <c r="J9" t="s">
        <v>233</v>
      </c>
      <c r="K9" t="s">
        <v>234</v>
      </c>
      <c r="L9" t="s">
        <v>235</v>
      </c>
      <c r="M9" t="s">
        <v>954</v>
      </c>
    </row>
    <row r="10" spans="1:17">
      <c r="A10" t="str">
        <f t="shared" si="0"/>
        <v>-</v>
      </c>
      <c r="J10" t="s">
        <v>204</v>
      </c>
    </row>
    <row r="11" spans="1:17">
      <c r="A11" t="str">
        <f t="shared" si="0"/>
        <v>PEDS-3</v>
      </c>
      <c r="B11" t="s">
        <v>911</v>
      </c>
      <c r="C11">
        <v>3</v>
      </c>
      <c r="D11" t="s">
        <v>912</v>
      </c>
      <c r="F11" t="s">
        <v>914</v>
      </c>
      <c r="G11" t="s">
        <v>918</v>
      </c>
      <c r="I11" t="s">
        <v>245</v>
      </c>
      <c r="J11" t="s">
        <v>919</v>
      </c>
      <c r="K11" t="s">
        <v>920</v>
      </c>
      <c r="L11" t="s">
        <v>921</v>
      </c>
      <c r="M11" t="s">
        <v>922</v>
      </c>
      <c r="N11" t="s">
        <v>923</v>
      </c>
      <c r="O11" t="s">
        <v>924</v>
      </c>
      <c r="P11" t="s">
        <v>925</v>
      </c>
      <c r="Q11" t="s">
        <v>926</v>
      </c>
    </row>
    <row r="12" spans="1:17">
      <c r="A12" t="str">
        <f t="shared" si="0"/>
        <v>Minn-Irvine-9</v>
      </c>
      <c r="B12" t="s">
        <v>927</v>
      </c>
      <c r="C12">
        <v>9</v>
      </c>
      <c r="D12" t="s">
        <v>928</v>
      </c>
      <c r="F12" t="s">
        <v>929</v>
      </c>
      <c r="G12" t="s">
        <v>930</v>
      </c>
      <c r="I12" t="s">
        <v>246</v>
      </c>
      <c r="J12" t="s">
        <v>931</v>
      </c>
      <c r="K12" t="s">
        <v>932</v>
      </c>
      <c r="L12" t="s">
        <v>933</v>
      </c>
      <c r="M12" t="s">
        <v>934</v>
      </c>
      <c r="N12" t="s">
        <v>935</v>
      </c>
      <c r="O12" t="s">
        <v>936</v>
      </c>
    </row>
    <row r="13" spans="1:17">
      <c r="A13" t="str">
        <f t="shared" si="0"/>
        <v>Minn-Irvine-10</v>
      </c>
      <c r="B13" t="s">
        <v>927</v>
      </c>
      <c r="C13">
        <v>10</v>
      </c>
      <c r="D13" t="s">
        <v>928</v>
      </c>
      <c r="F13" t="s">
        <v>929</v>
      </c>
      <c r="G13" t="s">
        <v>937</v>
      </c>
    </row>
    <row r="14" spans="1:17">
      <c r="A14" t="str">
        <f t="shared" si="0"/>
        <v>Minn-Irvine-11</v>
      </c>
      <c r="B14" t="s">
        <v>927</v>
      </c>
      <c r="C14">
        <v>11</v>
      </c>
      <c r="D14" t="s">
        <v>928</v>
      </c>
      <c r="F14" t="s">
        <v>929</v>
      </c>
      <c r="G14" t="s">
        <v>938</v>
      </c>
    </row>
    <row r="15" spans="1:17">
      <c r="A15" t="str">
        <f t="shared" si="0"/>
        <v>Minn-Irvine-2</v>
      </c>
      <c r="B15" t="s">
        <v>927</v>
      </c>
      <c r="C15">
        <v>2</v>
      </c>
      <c r="D15" t="s">
        <v>939</v>
      </c>
      <c r="F15" t="s">
        <v>940</v>
      </c>
      <c r="G15" t="s">
        <v>941</v>
      </c>
      <c r="I15" t="s">
        <v>247</v>
      </c>
      <c r="J15" t="s">
        <v>942</v>
      </c>
      <c r="K15" t="s">
        <v>943</v>
      </c>
      <c r="L15" t="s">
        <v>944</v>
      </c>
      <c r="M15" t="s">
        <v>936</v>
      </c>
      <c r="N15" t="s">
        <v>945</v>
      </c>
    </row>
    <row r="16" spans="1:17">
      <c r="A16" t="str">
        <f t="shared" si="0"/>
        <v>Minn-Irvine-4</v>
      </c>
      <c r="B16" t="s">
        <v>927</v>
      </c>
      <c r="C16">
        <v>4</v>
      </c>
      <c r="D16" t="s">
        <v>939</v>
      </c>
      <c r="F16" t="s">
        <v>946</v>
      </c>
      <c r="G16" t="s">
        <v>947</v>
      </c>
      <c r="H16" t="s">
        <v>248</v>
      </c>
      <c r="I16" t="s">
        <v>249</v>
      </c>
      <c r="J16" t="s">
        <v>948</v>
      </c>
      <c r="K16" t="s">
        <v>949</v>
      </c>
      <c r="L16" t="s">
        <v>950</v>
      </c>
      <c r="M16" t="s">
        <v>951</v>
      </c>
      <c r="N16" t="s">
        <v>952</v>
      </c>
      <c r="O16" t="s">
        <v>953</v>
      </c>
      <c r="P16" t="s">
        <v>954</v>
      </c>
      <c r="Q16" t="s">
        <v>955</v>
      </c>
    </row>
    <row r="17" spans="1:16">
      <c r="A17" t="str">
        <f t="shared" si="0"/>
        <v>PEDS-22</v>
      </c>
      <c r="B17" t="s">
        <v>911</v>
      </c>
      <c r="C17">
        <v>22</v>
      </c>
      <c r="D17" t="s">
        <v>939</v>
      </c>
      <c r="F17" t="s">
        <v>946</v>
      </c>
      <c r="G17" t="s">
        <v>956</v>
      </c>
      <c r="I17" t="s">
        <v>250</v>
      </c>
    </row>
    <row r="18" spans="1:16">
      <c r="A18" t="str">
        <f t="shared" si="0"/>
        <v>Minn-Irvine-6</v>
      </c>
      <c r="B18" t="s">
        <v>927</v>
      </c>
      <c r="C18">
        <v>6</v>
      </c>
      <c r="D18" t="s">
        <v>939</v>
      </c>
      <c r="F18" t="s">
        <v>946</v>
      </c>
      <c r="G18" t="s">
        <v>957</v>
      </c>
    </row>
    <row r="19" spans="1:16">
      <c r="A19" t="str">
        <f t="shared" si="0"/>
        <v>Minn-Irvine-7</v>
      </c>
      <c r="B19" t="s">
        <v>927</v>
      </c>
      <c r="C19">
        <v>7</v>
      </c>
      <c r="D19" t="s">
        <v>939</v>
      </c>
      <c r="F19" t="s">
        <v>946</v>
      </c>
      <c r="G19" t="s">
        <v>958</v>
      </c>
      <c r="P19">
        <v>2</v>
      </c>
    </row>
    <row r="20" spans="1:16">
      <c r="A20" t="str">
        <f t="shared" si="0"/>
        <v>Minn-Irvine-3</v>
      </c>
      <c r="B20" t="s">
        <v>927</v>
      </c>
      <c r="C20">
        <v>3</v>
      </c>
      <c r="D20" t="s">
        <v>939</v>
      </c>
      <c r="F20" t="s">
        <v>946</v>
      </c>
      <c r="G20" t="s">
        <v>959</v>
      </c>
    </row>
    <row r="21" spans="1:16">
      <c r="A21" t="str">
        <f t="shared" si="0"/>
        <v>Minn-Irvine-5</v>
      </c>
      <c r="B21" t="s">
        <v>927</v>
      </c>
      <c r="C21">
        <v>5</v>
      </c>
      <c r="D21" t="s">
        <v>939</v>
      </c>
      <c r="F21" t="s">
        <v>946</v>
      </c>
      <c r="G21" t="s">
        <v>832</v>
      </c>
    </row>
    <row r="22" spans="1:16">
      <c r="A22" t="str">
        <f t="shared" si="0"/>
        <v>Minn-Irvine-148</v>
      </c>
      <c r="B22" t="s">
        <v>927</v>
      </c>
      <c r="C22">
        <v>148</v>
      </c>
      <c r="D22" t="s">
        <v>928</v>
      </c>
      <c r="F22" t="s">
        <v>833</v>
      </c>
      <c r="G22" t="s">
        <v>834</v>
      </c>
      <c r="I22" t="s">
        <v>251</v>
      </c>
    </row>
    <row r="23" spans="1:16">
      <c r="A23" t="str">
        <f t="shared" si="0"/>
        <v>Minn-Irvine-149</v>
      </c>
      <c r="B23" t="s">
        <v>927</v>
      </c>
      <c r="C23">
        <v>149</v>
      </c>
      <c r="D23" t="s">
        <v>928</v>
      </c>
      <c r="F23" t="s">
        <v>833</v>
      </c>
      <c r="G23" t="s">
        <v>835</v>
      </c>
      <c r="I23" t="s">
        <v>215</v>
      </c>
    </row>
    <row r="24" spans="1:16">
      <c r="A24" t="str">
        <f t="shared" si="0"/>
        <v>Minn-Irvine-150</v>
      </c>
      <c r="B24" t="s">
        <v>927</v>
      </c>
      <c r="C24">
        <v>150</v>
      </c>
      <c r="D24" t="s">
        <v>928</v>
      </c>
      <c r="F24" t="s">
        <v>833</v>
      </c>
      <c r="G24" t="s">
        <v>836</v>
      </c>
      <c r="I24" t="s">
        <v>216</v>
      </c>
    </row>
    <row r="25" spans="1:16">
      <c r="A25" t="str">
        <f t="shared" si="0"/>
        <v>PEDS-23.4</v>
      </c>
      <c r="B25" t="s">
        <v>911</v>
      </c>
      <c r="C25">
        <v>23.4</v>
      </c>
      <c r="D25" t="s">
        <v>939</v>
      </c>
      <c r="F25" t="s">
        <v>837</v>
      </c>
      <c r="G25" t="s">
        <v>838</v>
      </c>
      <c r="I25" t="s">
        <v>217</v>
      </c>
      <c r="J25" t="s">
        <v>209</v>
      </c>
      <c r="K25" t="s">
        <v>840</v>
      </c>
      <c r="L25" t="s">
        <v>841</v>
      </c>
    </row>
    <row r="26" spans="1:16">
      <c r="A26" t="str">
        <f t="shared" si="0"/>
        <v>PEDS-21.5</v>
      </c>
      <c r="B26" t="s">
        <v>911</v>
      </c>
      <c r="C26">
        <v>21.5</v>
      </c>
      <c r="D26" t="s">
        <v>912</v>
      </c>
      <c r="F26" t="s">
        <v>843</v>
      </c>
      <c r="G26" t="s">
        <v>844</v>
      </c>
      <c r="I26" t="s">
        <v>210</v>
      </c>
      <c r="J26" t="s">
        <v>845</v>
      </c>
      <c r="K26" t="s">
        <v>840</v>
      </c>
      <c r="L26" t="s">
        <v>841</v>
      </c>
    </row>
    <row r="27" spans="1:16">
      <c r="A27" t="str">
        <f t="shared" si="0"/>
        <v>PEDS-23.7</v>
      </c>
      <c r="B27" t="s">
        <v>911</v>
      </c>
      <c r="C27">
        <v>23.7</v>
      </c>
      <c r="D27" t="s">
        <v>939</v>
      </c>
      <c r="F27" t="s">
        <v>837</v>
      </c>
      <c r="G27" t="s">
        <v>846</v>
      </c>
      <c r="I27" t="s">
        <v>211</v>
      </c>
      <c r="J27" t="s">
        <v>847</v>
      </c>
      <c r="K27" t="s">
        <v>840</v>
      </c>
      <c r="L27" t="s">
        <v>841</v>
      </c>
    </row>
    <row r="28" spans="1:16">
      <c r="A28" t="str">
        <f t="shared" si="0"/>
        <v>PEDS-23.3</v>
      </c>
      <c r="B28" t="s">
        <v>911</v>
      </c>
      <c r="C28">
        <v>23.3</v>
      </c>
      <c r="D28" t="s">
        <v>939</v>
      </c>
      <c r="F28" t="s">
        <v>837</v>
      </c>
      <c r="G28" t="s">
        <v>848</v>
      </c>
      <c r="I28" t="s">
        <v>212</v>
      </c>
      <c r="J28" t="s">
        <v>213</v>
      </c>
      <c r="K28" t="s">
        <v>840</v>
      </c>
      <c r="L28" t="s">
        <v>841</v>
      </c>
    </row>
    <row r="29" spans="1:16">
      <c r="A29" t="str">
        <f t="shared" si="0"/>
        <v>PEDS-23.5</v>
      </c>
      <c r="B29" t="s">
        <v>911</v>
      </c>
      <c r="C29">
        <v>23.5</v>
      </c>
      <c r="D29" t="s">
        <v>939</v>
      </c>
      <c r="F29" t="s">
        <v>837</v>
      </c>
      <c r="G29" t="s">
        <v>850</v>
      </c>
      <c r="I29" t="s">
        <v>214</v>
      </c>
      <c r="J29" t="s">
        <v>851</v>
      </c>
      <c r="K29" t="s">
        <v>840</v>
      </c>
      <c r="L29" t="s">
        <v>841</v>
      </c>
    </row>
    <row r="30" spans="1:16">
      <c r="A30" t="str">
        <f t="shared" si="0"/>
        <v>PEDS-23.6</v>
      </c>
      <c r="B30" t="s">
        <v>911</v>
      </c>
      <c r="C30">
        <v>23.6</v>
      </c>
      <c r="D30" t="s">
        <v>939</v>
      </c>
      <c r="F30" t="s">
        <v>837</v>
      </c>
      <c r="G30" t="s">
        <v>852</v>
      </c>
      <c r="I30" t="s">
        <v>218</v>
      </c>
      <c r="J30" t="s">
        <v>853</v>
      </c>
      <c r="K30" t="s">
        <v>840</v>
      </c>
      <c r="L30" t="s">
        <v>841</v>
      </c>
    </row>
    <row r="31" spans="1:16">
      <c r="A31" t="str">
        <f t="shared" si="0"/>
        <v>PEDS-23.2</v>
      </c>
      <c r="B31" t="s">
        <v>911</v>
      </c>
      <c r="C31">
        <v>23.2</v>
      </c>
      <c r="D31" t="s">
        <v>939</v>
      </c>
      <c r="F31" t="s">
        <v>837</v>
      </c>
      <c r="G31" t="s">
        <v>854</v>
      </c>
      <c r="I31" t="s">
        <v>219</v>
      </c>
      <c r="J31" t="s">
        <v>855</v>
      </c>
      <c r="K31" t="s">
        <v>840</v>
      </c>
      <c r="L31" t="s">
        <v>841</v>
      </c>
    </row>
    <row r="32" spans="1:16">
      <c r="A32" t="str">
        <f t="shared" si="0"/>
        <v>PEDS-23.8</v>
      </c>
      <c r="B32" t="s">
        <v>911</v>
      </c>
      <c r="C32">
        <v>23.8</v>
      </c>
      <c r="D32" t="s">
        <v>939</v>
      </c>
      <c r="F32" t="s">
        <v>837</v>
      </c>
      <c r="G32" t="s">
        <v>856</v>
      </c>
      <c r="J32" t="s">
        <v>857</v>
      </c>
      <c r="K32" t="s">
        <v>840</v>
      </c>
      <c r="L32" t="s">
        <v>841</v>
      </c>
    </row>
    <row r="33" spans="1:20">
      <c r="A33" t="str">
        <f t="shared" si="0"/>
        <v>PEDS-23.1</v>
      </c>
      <c r="B33" t="s">
        <v>911</v>
      </c>
      <c r="C33">
        <v>23.1</v>
      </c>
      <c r="D33" t="s">
        <v>939</v>
      </c>
      <c r="F33" t="s">
        <v>837</v>
      </c>
      <c r="G33" t="s">
        <v>1008</v>
      </c>
      <c r="I33" t="s">
        <v>220</v>
      </c>
      <c r="J33" t="s">
        <v>1009</v>
      </c>
      <c r="K33" t="s">
        <v>840</v>
      </c>
      <c r="L33" t="s">
        <v>841</v>
      </c>
    </row>
    <row r="34" spans="1:20">
      <c r="A34" t="str">
        <f t="shared" si="0"/>
        <v>Minn-Irvine-12</v>
      </c>
      <c r="B34" t="s">
        <v>927</v>
      </c>
      <c r="C34">
        <v>12</v>
      </c>
      <c r="D34" t="s">
        <v>939</v>
      </c>
      <c r="F34" t="s">
        <v>929</v>
      </c>
      <c r="G34" t="s">
        <v>1010</v>
      </c>
      <c r="J34" t="s">
        <v>862</v>
      </c>
      <c r="K34" t="s">
        <v>840</v>
      </c>
      <c r="L34" t="s">
        <v>841</v>
      </c>
    </row>
    <row r="35" spans="1:20">
      <c r="A35" t="str">
        <f t="shared" si="0"/>
        <v>Minn-Irvine-13</v>
      </c>
      <c r="B35" t="s">
        <v>927</v>
      </c>
      <c r="C35">
        <v>13</v>
      </c>
      <c r="D35" t="s">
        <v>939</v>
      </c>
      <c r="F35" t="s">
        <v>929</v>
      </c>
      <c r="G35" t="s">
        <v>863</v>
      </c>
    </row>
    <row r="36" spans="1:20">
      <c r="A36" t="str">
        <f t="shared" si="0"/>
        <v>Minn-Irvine-8</v>
      </c>
      <c r="B36" t="s">
        <v>927</v>
      </c>
      <c r="C36">
        <v>8</v>
      </c>
      <c r="D36" t="s">
        <v>864</v>
      </c>
      <c r="F36" t="s">
        <v>866</v>
      </c>
      <c r="G36" t="s">
        <v>941</v>
      </c>
      <c r="I36" t="s">
        <v>221</v>
      </c>
      <c r="J36" t="s">
        <v>222</v>
      </c>
      <c r="K36" t="s">
        <v>943</v>
      </c>
      <c r="L36" t="s">
        <v>944</v>
      </c>
      <c r="M36" t="s">
        <v>936</v>
      </c>
      <c r="N36" t="s">
        <v>945</v>
      </c>
    </row>
    <row r="37" spans="1:20">
      <c r="A37" t="str">
        <f t="shared" si="0"/>
        <v>Minn-Irvine-146</v>
      </c>
      <c r="B37" t="s">
        <v>927</v>
      </c>
      <c r="C37">
        <v>146</v>
      </c>
      <c r="D37" t="s">
        <v>928</v>
      </c>
      <c r="F37" t="s">
        <v>833</v>
      </c>
      <c r="G37" t="s">
        <v>868</v>
      </c>
      <c r="I37" t="s">
        <v>223</v>
      </c>
      <c r="J37" t="s">
        <v>869</v>
      </c>
      <c r="K37" t="s">
        <v>840</v>
      </c>
      <c r="L37" t="s">
        <v>841</v>
      </c>
    </row>
    <row r="38" spans="1:20">
      <c r="A38" t="str">
        <f t="shared" si="0"/>
        <v>Minn-Irvine-147</v>
      </c>
      <c r="B38" t="s">
        <v>927</v>
      </c>
      <c r="C38">
        <v>147</v>
      </c>
      <c r="D38" t="s">
        <v>928</v>
      </c>
      <c r="F38" t="s">
        <v>833</v>
      </c>
      <c r="G38" t="s">
        <v>870</v>
      </c>
      <c r="J38" t="s">
        <v>871</v>
      </c>
      <c r="K38" t="s">
        <v>840</v>
      </c>
      <c r="L38" t="s">
        <v>841</v>
      </c>
    </row>
    <row r="39" spans="1:20">
      <c r="A39" t="str">
        <f t="shared" si="0"/>
        <v>-</v>
      </c>
      <c r="J39" t="s">
        <v>872</v>
      </c>
    </row>
    <row r="40" spans="1:20">
      <c r="A40" t="str">
        <f t="shared" si="0"/>
        <v>Minn-Irvine-19</v>
      </c>
      <c r="B40" t="s">
        <v>927</v>
      </c>
      <c r="C40">
        <v>19</v>
      </c>
      <c r="D40" t="s">
        <v>912</v>
      </c>
      <c r="F40" t="s">
        <v>882</v>
      </c>
      <c r="G40" t="s">
        <v>883</v>
      </c>
      <c r="I40" t="s">
        <v>224</v>
      </c>
      <c r="J40" t="s">
        <v>884</v>
      </c>
      <c r="K40" t="s">
        <v>885</v>
      </c>
      <c r="L40" t="s">
        <v>886</v>
      </c>
    </row>
    <row r="41" spans="1:20">
      <c r="A41" t="str">
        <f t="shared" si="0"/>
        <v>Minn-Irvine-21</v>
      </c>
      <c r="B41" t="s">
        <v>927</v>
      </c>
      <c r="C41">
        <v>21</v>
      </c>
      <c r="D41" t="s">
        <v>912</v>
      </c>
      <c r="F41" t="s">
        <v>888</v>
      </c>
      <c r="G41" t="s">
        <v>889</v>
      </c>
      <c r="I41" t="s">
        <v>200</v>
      </c>
      <c r="J41" t="s">
        <v>201</v>
      </c>
      <c r="K41" t="s">
        <v>891</v>
      </c>
      <c r="L41">
        <v>5</v>
      </c>
      <c r="M41">
        <v>4</v>
      </c>
      <c r="N41">
        <v>3</v>
      </c>
      <c r="O41">
        <v>2</v>
      </c>
      <c r="P41">
        <v>1</v>
      </c>
      <c r="Q41" t="s">
        <v>945</v>
      </c>
    </row>
    <row r="42" spans="1:20">
      <c r="A42" t="str">
        <f t="shared" si="0"/>
        <v>Minn-Irvine-152</v>
      </c>
      <c r="B42" t="s">
        <v>927</v>
      </c>
      <c r="C42">
        <v>152</v>
      </c>
      <c r="D42" t="s">
        <v>912</v>
      </c>
      <c r="F42" t="s">
        <v>892</v>
      </c>
      <c r="G42" t="s">
        <v>893</v>
      </c>
      <c r="I42" t="s">
        <v>202</v>
      </c>
      <c r="J42" t="s">
        <v>894</v>
      </c>
      <c r="K42" t="s">
        <v>840</v>
      </c>
      <c r="L42" t="s">
        <v>841</v>
      </c>
    </row>
    <row r="43" spans="1:20">
      <c r="A43" t="str">
        <f t="shared" si="0"/>
        <v>Minn-Irvine-144</v>
      </c>
      <c r="B43" t="s">
        <v>927</v>
      </c>
      <c r="C43">
        <v>144</v>
      </c>
      <c r="D43" t="s">
        <v>912</v>
      </c>
      <c r="F43" t="s">
        <v>895</v>
      </c>
      <c r="G43" t="s">
        <v>766</v>
      </c>
      <c r="I43" t="s">
        <v>203</v>
      </c>
      <c r="J43" t="s">
        <v>205</v>
      </c>
      <c r="K43" t="s">
        <v>768</v>
      </c>
      <c r="L43" t="s">
        <v>769</v>
      </c>
      <c r="M43" t="s">
        <v>770</v>
      </c>
      <c r="N43" t="s">
        <v>771</v>
      </c>
    </row>
    <row r="44" spans="1:20">
      <c r="A44" t="str">
        <f t="shared" si="0"/>
        <v>Minn-Irvine-20</v>
      </c>
      <c r="B44" t="s">
        <v>927</v>
      </c>
      <c r="C44">
        <v>20</v>
      </c>
      <c r="D44" t="s">
        <v>912</v>
      </c>
      <c r="F44" t="s">
        <v>772</v>
      </c>
      <c r="G44" t="s">
        <v>893</v>
      </c>
    </row>
    <row r="45" spans="1:20">
      <c r="A45" t="str">
        <f t="shared" si="0"/>
        <v>PEDS-4.4</v>
      </c>
      <c r="B45" t="s">
        <v>911</v>
      </c>
      <c r="C45">
        <v>4.4000000000000004</v>
      </c>
      <c r="D45" t="s">
        <v>912</v>
      </c>
      <c r="F45" t="s">
        <v>774</v>
      </c>
      <c r="G45" t="s">
        <v>775</v>
      </c>
      <c r="I45" t="s">
        <v>206</v>
      </c>
    </row>
    <row r="46" spans="1:20">
      <c r="A46" t="str">
        <f t="shared" si="0"/>
        <v>PEDS-14</v>
      </c>
      <c r="B46" t="s">
        <v>911</v>
      </c>
      <c r="C46">
        <v>14</v>
      </c>
      <c r="D46" t="s">
        <v>912</v>
      </c>
      <c r="F46" t="s">
        <v>776</v>
      </c>
      <c r="G46" t="s">
        <v>777</v>
      </c>
      <c r="I46" t="s">
        <v>207</v>
      </c>
      <c r="J46" t="s">
        <v>778</v>
      </c>
      <c r="K46" t="s">
        <v>779</v>
      </c>
      <c r="L46" t="s">
        <v>780</v>
      </c>
      <c r="M46" t="s">
        <v>781</v>
      </c>
      <c r="N46" t="s">
        <v>782</v>
      </c>
    </row>
    <row r="47" spans="1:20">
      <c r="A47" t="str">
        <f t="shared" si="0"/>
        <v>PEDS-16</v>
      </c>
      <c r="B47" t="s">
        <v>911</v>
      </c>
      <c r="C47">
        <v>16</v>
      </c>
      <c r="D47" t="s">
        <v>912</v>
      </c>
      <c r="F47" t="s">
        <v>784</v>
      </c>
      <c r="G47" t="s">
        <v>785</v>
      </c>
      <c r="I47" t="s">
        <v>208</v>
      </c>
      <c r="J47" t="s">
        <v>786</v>
      </c>
      <c r="K47">
        <v>15</v>
      </c>
      <c r="L47">
        <v>20</v>
      </c>
      <c r="M47">
        <v>25</v>
      </c>
      <c r="N47">
        <v>30</v>
      </c>
      <c r="O47">
        <v>35</v>
      </c>
      <c r="P47">
        <v>40</v>
      </c>
      <c r="Q47">
        <v>45</v>
      </c>
      <c r="R47">
        <v>50</v>
      </c>
      <c r="S47" t="s">
        <v>787</v>
      </c>
      <c r="T47" t="s">
        <v>788</v>
      </c>
    </row>
    <row r="48" spans="1:20">
      <c r="A48" t="str">
        <f t="shared" si="0"/>
        <v>Minn-Irvine-137</v>
      </c>
      <c r="B48" t="s">
        <v>927</v>
      </c>
      <c r="C48">
        <v>137</v>
      </c>
      <c r="D48" t="s">
        <v>789</v>
      </c>
      <c r="E48" t="s">
        <v>840</v>
      </c>
      <c r="F48" t="s">
        <v>790</v>
      </c>
      <c r="G48" t="s">
        <v>791</v>
      </c>
      <c r="I48" t="s">
        <v>191</v>
      </c>
      <c r="J48" t="s">
        <v>192</v>
      </c>
      <c r="K48" t="s">
        <v>793</v>
      </c>
      <c r="L48" t="s">
        <v>794</v>
      </c>
      <c r="M48" t="s">
        <v>936</v>
      </c>
    </row>
    <row r="49" spans="1:18">
      <c r="A49" t="str">
        <f t="shared" si="0"/>
        <v>Minn-Irvine-151</v>
      </c>
      <c r="B49" t="s">
        <v>927</v>
      </c>
      <c r="C49">
        <v>151</v>
      </c>
      <c r="D49" t="s">
        <v>928</v>
      </c>
      <c r="F49" t="s">
        <v>833</v>
      </c>
      <c r="G49" t="s">
        <v>915</v>
      </c>
      <c r="I49" t="s">
        <v>193</v>
      </c>
      <c r="J49" t="s">
        <v>916</v>
      </c>
      <c r="K49" t="s">
        <v>917</v>
      </c>
      <c r="L49" t="s">
        <v>798</v>
      </c>
      <c r="M49" t="s">
        <v>936</v>
      </c>
    </row>
    <row r="50" spans="1:18">
      <c r="A50" t="str">
        <f t="shared" si="0"/>
        <v>PEDS-17</v>
      </c>
      <c r="B50" t="s">
        <v>911</v>
      </c>
      <c r="C50">
        <v>17</v>
      </c>
      <c r="D50" t="s">
        <v>789</v>
      </c>
      <c r="E50" t="s">
        <v>840</v>
      </c>
      <c r="F50" t="s">
        <v>799</v>
      </c>
      <c r="G50" t="s">
        <v>800</v>
      </c>
      <c r="I50" t="s">
        <v>194</v>
      </c>
    </row>
    <row r="51" spans="1:18">
      <c r="A51" t="str">
        <f t="shared" si="0"/>
        <v>Minn-Irvine-135</v>
      </c>
      <c r="B51" t="s">
        <v>927</v>
      </c>
      <c r="C51">
        <v>135</v>
      </c>
      <c r="D51" t="s">
        <v>789</v>
      </c>
      <c r="F51" t="s">
        <v>801</v>
      </c>
      <c r="G51" t="s">
        <v>893</v>
      </c>
      <c r="I51" t="s">
        <v>195</v>
      </c>
      <c r="J51" t="s">
        <v>802</v>
      </c>
      <c r="K51" t="s">
        <v>840</v>
      </c>
      <c r="L51" t="s">
        <v>841</v>
      </c>
    </row>
    <row r="52" spans="1:18">
      <c r="A52" t="str">
        <f t="shared" si="0"/>
        <v>Minn-Irvine-136</v>
      </c>
      <c r="B52" t="s">
        <v>927</v>
      </c>
      <c r="C52">
        <v>136</v>
      </c>
      <c r="D52" t="s">
        <v>789</v>
      </c>
      <c r="F52" t="s">
        <v>803</v>
      </c>
      <c r="G52" t="s">
        <v>804</v>
      </c>
      <c r="H52" t="s">
        <v>196</v>
      </c>
      <c r="I52" t="s">
        <v>197</v>
      </c>
      <c r="J52" t="s">
        <v>805</v>
      </c>
      <c r="K52" t="s">
        <v>806</v>
      </c>
      <c r="L52" t="s">
        <v>807</v>
      </c>
      <c r="M52" t="s">
        <v>808</v>
      </c>
      <c r="N52" t="s">
        <v>809</v>
      </c>
    </row>
    <row r="53" spans="1:18">
      <c r="A53" t="str">
        <f t="shared" si="0"/>
        <v>PEDS-18</v>
      </c>
      <c r="B53" t="s">
        <v>911</v>
      </c>
      <c r="C53">
        <v>18</v>
      </c>
      <c r="D53" t="s">
        <v>789</v>
      </c>
      <c r="E53" t="s">
        <v>840</v>
      </c>
      <c r="F53" t="s">
        <v>810</v>
      </c>
      <c r="G53" t="s">
        <v>811</v>
      </c>
      <c r="I53" t="s">
        <v>198</v>
      </c>
      <c r="J53" t="s">
        <v>812</v>
      </c>
      <c r="K53" t="s">
        <v>813</v>
      </c>
      <c r="L53" t="s">
        <v>814</v>
      </c>
      <c r="M53" t="s">
        <v>815</v>
      </c>
      <c r="N53" t="s">
        <v>936</v>
      </c>
    </row>
    <row r="54" spans="1:18">
      <c r="A54" t="str">
        <f t="shared" si="0"/>
        <v>PEDS-19</v>
      </c>
      <c r="B54" t="s">
        <v>911</v>
      </c>
      <c r="C54">
        <v>19</v>
      </c>
      <c r="D54" t="s">
        <v>816</v>
      </c>
      <c r="E54" t="s">
        <v>840</v>
      </c>
      <c r="F54" t="s">
        <v>817</v>
      </c>
      <c r="G54" t="s">
        <v>818</v>
      </c>
      <c r="I54" t="s">
        <v>199</v>
      </c>
      <c r="J54" t="s">
        <v>819</v>
      </c>
      <c r="K54" t="s">
        <v>840</v>
      </c>
      <c r="L54" t="s">
        <v>841</v>
      </c>
      <c r="M54" t="s">
        <v>820</v>
      </c>
    </row>
    <row r="55" spans="1:18">
      <c r="A55" t="str">
        <f t="shared" si="0"/>
        <v>Minn-Irvine-110</v>
      </c>
      <c r="B55" t="s">
        <v>927</v>
      </c>
      <c r="C55">
        <v>110</v>
      </c>
      <c r="D55" t="s">
        <v>939</v>
      </c>
      <c r="F55" t="s">
        <v>821</v>
      </c>
      <c r="G55" t="s">
        <v>893</v>
      </c>
      <c r="I55" t="s">
        <v>179</v>
      </c>
      <c r="J55" t="s">
        <v>822</v>
      </c>
      <c r="K55" t="s">
        <v>949</v>
      </c>
      <c r="L55" t="s">
        <v>950</v>
      </c>
      <c r="M55" t="s">
        <v>951</v>
      </c>
      <c r="N55" t="s">
        <v>952</v>
      </c>
      <c r="O55" t="s">
        <v>953</v>
      </c>
      <c r="P55" t="s">
        <v>954</v>
      </c>
      <c r="Q55" t="s">
        <v>955</v>
      </c>
      <c r="R55" t="s">
        <v>823</v>
      </c>
    </row>
    <row r="56" spans="1:18">
      <c r="A56" t="str">
        <f t="shared" si="0"/>
        <v>Minn-Irvine-112</v>
      </c>
      <c r="B56" t="s">
        <v>927</v>
      </c>
      <c r="C56">
        <v>112</v>
      </c>
      <c r="D56" t="s">
        <v>939</v>
      </c>
      <c r="F56" t="s">
        <v>824</v>
      </c>
      <c r="G56" t="s">
        <v>947</v>
      </c>
    </row>
    <row r="57" spans="1:18">
      <c r="A57" t="str">
        <f t="shared" si="0"/>
        <v>Minn-Irvine-114</v>
      </c>
      <c r="B57" t="s">
        <v>927</v>
      </c>
      <c r="C57">
        <v>114</v>
      </c>
      <c r="D57" t="s">
        <v>939</v>
      </c>
      <c r="F57" t="s">
        <v>824</v>
      </c>
      <c r="G57" t="s">
        <v>957</v>
      </c>
    </row>
    <row r="58" spans="1:18">
      <c r="A58" t="str">
        <f t="shared" si="0"/>
        <v>Minn-Irvine-115</v>
      </c>
      <c r="B58" t="s">
        <v>927</v>
      </c>
      <c r="C58">
        <v>115</v>
      </c>
      <c r="D58" t="s">
        <v>939</v>
      </c>
      <c r="F58" t="s">
        <v>824</v>
      </c>
      <c r="G58" t="s">
        <v>958</v>
      </c>
    </row>
    <row r="59" spans="1:18">
      <c r="A59" t="str">
        <f t="shared" si="0"/>
        <v>Minn-Irvine-111</v>
      </c>
      <c r="B59" t="s">
        <v>927</v>
      </c>
      <c r="C59">
        <v>111</v>
      </c>
      <c r="D59" t="s">
        <v>939</v>
      </c>
      <c r="F59" t="s">
        <v>824</v>
      </c>
      <c r="G59" t="s">
        <v>959</v>
      </c>
    </row>
    <row r="60" spans="1:18">
      <c r="A60" t="str">
        <f t="shared" si="0"/>
        <v>Minn-Irvine-113</v>
      </c>
      <c r="B60" t="s">
        <v>927</v>
      </c>
      <c r="C60">
        <v>113</v>
      </c>
      <c r="D60" t="s">
        <v>939</v>
      </c>
      <c r="F60" t="s">
        <v>824</v>
      </c>
      <c r="G60" t="s">
        <v>832</v>
      </c>
    </row>
    <row r="61" spans="1:18">
      <c r="A61" t="str">
        <f t="shared" si="0"/>
        <v>-</v>
      </c>
      <c r="J61" t="s">
        <v>825</v>
      </c>
    </row>
    <row r="62" spans="1:18">
      <c r="A62" t="str">
        <f t="shared" si="0"/>
        <v>Minn-Irvine-108</v>
      </c>
      <c r="B62" t="s">
        <v>927</v>
      </c>
      <c r="C62">
        <v>108</v>
      </c>
      <c r="D62" t="s">
        <v>826</v>
      </c>
      <c r="F62" t="s">
        <v>180</v>
      </c>
      <c r="G62" t="s">
        <v>893</v>
      </c>
      <c r="I62" t="s">
        <v>181</v>
      </c>
      <c r="J62" t="s">
        <v>829</v>
      </c>
      <c r="K62" t="s">
        <v>830</v>
      </c>
      <c r="L62" t="s">
        <v>831</v>
      </c>
      <c r="M62" t="s">
        <v>709</v>
      </c>
      <c r="N62" t="s">
        <v>710</v>
      </c>
    </row>
    <row r="63" spans="1:18">
      <c r="A63" t="str">
        <f t="shared" si="0"/>
        <v>Minn-Irvine-109</v>
      </c>
      <c r="B63" t="s">
        <v>927</v>
      </c>
      <c r="C63">
        <v>109</v>
      </c>
      <c r="D63" t="s">
        <v>826</v>
      </c>
      <c r="F63" t="s">
        <v>711</v>
      </c>
      <c r="G63" t="s">
        <v>712</v>
      </c>
    </row>
    <row r="64" spans="1:18">
      <c r="A64" t="str">
        <f t="shared" si="0"/>
        <v>Minn-Irvine-123</v>
      </c>
      <c r="B64" t="s">
        <v>927</v>
      </c>
      <c r="C64">
        <v>123</v>
      </c>
      <c r="D64" t="s">
        <v>826</v>
      </c>
      <c r="E64" t="s">
        <v>840</v>
      </c>
      <c r="F64" t="s">
        <v>714</v>
      </c>
      <c r="G64" t="s">
        <v>791</v>
      </c>
      <c r="I64" t="s">
        <v>182</v>
      </c>
      <c r="J64" t="s">
        <v>715</v>
      </c>
      <c r="K64" t="s">
        <v>793</v>
      </c>
      <c r="L64" t="s">
        <v>794</v>
      </c>
      <c r="M64" t="s">
        <v>936</v>
      </c>
    </row>
    <row r="65" spans="1:21">
      <c r="A65" t="str">
        <f t="shared" si="0"/>
        <v>PEDS-24.3</v>
      </c>
      <c r="B65" t="s">
        <v>911</v>
      </c>
      <c r="C65">
        <v>24.3</v>
      </c>
      <c r="D65" t="s">
        <v>826</v>
      </c>
      <c r="F65" t="s">
        <v>716</v>
      </c>
      <c r="G65" t="s">
        <v>717</v>
      </c>
      <c r="I65" t="s">
        <v>183</v>
      </c>
    </row>
    <row r="66" spans="1:21">
      <c r="A66" t="str">
        <f t="shared" si="0"/>
        <v>PEDS-24.1</v>
      </c>
      <c r="B66" t="s">
        <v>911</v>
      </c>
      <c r="C66">
        <v>24.1</v>
      </c>
      <c r="D66" t="s">
        <v>826</v>
      </c>
      <c r="F66" t="s">
        <v>716</v>
      </c>
      <c r="G66" t="s">
        <v>719</v>
      </c>
      <c r="I66" t="s">
        <v>184</v>
      </c>
      <c r="J66" t="s">
        <v>185</v>
      </c>
      <c r="K66" t="s">
        <v>721</v>
      </c>
      <c r="L66" t="s">
        <v>722</v>
      </c>
      <c r="M66" t="s">
        <v>723</v>
      </c>
      <c r="N66" t="s">
        <v>724</v>
      </c>
    </row>
    <row r="67" spans="1:21">
      <c r="A67" t="str">
        <f t="shared" si="0"/>
        <v>PEDS-24.4</v>
      </c>
      <c r="B67" t="s">
        <v>911</v>
      </c>
      <c r="C67">
        <v>24.4</v>
      </c>
      <c r="D67" t="s">
        <v>826</v>
      </c>
      <c r="F67" t="s">
        <v>716</v>
      </c>
      <c r="G67" t="s">
        <v>725</v>
      </c>
    </row>
    <row r="68" spans="1:21">
      <c r="A68" t="str">
        <f t="shared" si="0"/>
        <v>-</v>
      </c>
      <c r="J68" t="s">
        <v>726</v>
      </c>
    </row>
    <row r="69" spans="1:21">
      <c r="A69" t="str">
        <f t="shared" ref="A69:A132" si="1">CONCATENATE(B69,"-",C69)</f>
        <v>PEDS-4.1</v>
      </c>
      <c r="B69" t="s">
        <v>911</v>
      </c>
      <c r="C69">
        <v>4.0999999999999996</v>
      </c>
      <c r="D69" t="s">
        <v>864</v>
      </c>
      <c r="E69" t="s">
        <v>840</v>
      </c>
      <c r="F69" t="s">
        <v>774</v>
      </c>
      <c r="G69" t="s">
        <v>728</v>
      </c>
      <c r="I69" t="s">
        <v>186</v>
      </c>
      <c r="J69" t="s">
        <v>187</v>
      </c>
      <c r="K69" t="s">
        <v>730</v>
      </c>
      <c r="L69" t="s">
        <v>731</v>
      </c>
      <c r="M69" t="s">
        <v>726</v>
      </c>
      <c r="N69" t="s">
        <v>732</v>
      </c>
      <c r="O69" t="s">
        <v>936</v>
      </c>
    </row>
    <row r="70" spans="1:21">
      <c r="A70" t="str">
        <f t="shared" si="1"/>
        <v>PEDS-5.1</v>
      </c>
      <c r="B70" t="s">
        <v>911</v>
      </c>
      <c r="C70">
        <v>5.0999999999999996</v>
      </c>
      <c r="D70" t="s">
        <v>864</v>
      </c>
      <c r="E70" t="s">
        <v>840</v>
      </c>
      <c r="F70" t="s">
        <v>733</v>
      </c>
      <c r="G70" t="s">
        <v>734</v>
      </c>
      <c r="H70" t="s">
        <v>188</v>
      </c>
      <c r="I70" t="s">
        <v>189</v>
      </c>
      <c r="J70" t="s">
        <v>735</v>
      </c>
      <c r="K70" t="s">
        <v>858</v>
      </c>
      <c r="L70" t="s">
        <v>859</v>
      </c>
      <c r="M70" t="s">
        <v>860</v>
      </c>
      <c r="N70" t="s">
        <v>861</v>
      </c>
      <c r="O70" t="s">
        <v>737</v>
      </c>
      <c r="P70" t="s">
        <v>738</v>
      </c>
    </row>
    <row r="71" spans="1:21">
      <c r="A71" t="str">
        <f t="shared" si="1"/>
        <v>PEDS-12</v>
      </c>
      <c r="B71" t="s">
        <v>911</v>
      </c>
      <c r="C71">
        <v>12</v>
      </c>
      <c r="D71" t="s">
        <v>864</v>
      </c>
      <c r="E71" t="s">
        <v>840</v>
      </c>
      <c r="F71" t="s">
        <v>740</v>
      </c>
      <c r="G71" t="s">
        <v>741</v>
      </c>
      <c r="H71" t="s">
        <v>188</v>
      </c>
      <c r="I71" t="s">
        <v>190</v>
      </c>
      <c r="J71" t="s">
        <v>742</v>
      </c>
      <c r="K71" t="s">
        <v>743</v>
      </c>
      <c r="L71" t="s">
        <v>744</v>
      </c>
      <c r="M71" t="s">
        <v>745</v>
      </c>
    </row>
    <row r="72" spans="1:21">
      <c r="A72" t="str">
        <f t="shared" si="1"/>
        <v>PEDS-13</v>
      </c>
      <c r="B72" t="s">
        <v>911</v>
      </c>
      <c r="C72">
        <v>13</v>
      </c>
      <c r="D72" t="s">
        <v>864</v>
      </c>
      <c r="E72" t="s">
        <v>840</v>
      </c>
      <c r="F72" t="s">
        <v>747</v>
      </c>
      <c r="G72" t="s">
        <v>748</v>
      </c>
      <c r="H72" t="s">
        <v>188</v>
      </c>
      <c r="I72" t="s">
        <v>177</v>
      </c>
      <c r="J72" t="s">
        <v>178</v>
      </c>
      <c r="K72" t="s">
        <v>936</v>
      </c>
      <c r="L72">
        <v>1</v>
      </c>
      <c r="M72">
        <v>2</v>
      </c>
      <c r="N72">
        <v>3</v>
      </c>
      <c r="O72">
        <v>4</v>
      </c>
      <c r="P72">
        <v>5</v>
      </c>
      <c r="Q72">
        <v>6</v>
      </c>
      <c r="R72">
        <v>7</v>
      </c>
      <c r="S72">
        <v>8</v>
      </c>
      <c r="T72">
        <v>9</v>
      </c>
      <c r="U72" t="s">
        <v>750</v>
      </c>
    </row>
    <row r="73" spans="1:21">
      <c r="A73" t="str">
        <f t="shared" si="1"/>
        <v>PEDS-6</v>
      </c>
      <c r="B73" t="s">
        <v>911</v>
      </c>
      <c r="C73">
        <v>6</v>
      </c>
      <c r="D73" t="s">
        <v>864</v>
      </c>
      <c r="E73" t="s">
        <v>840</v>
      </c>
      <c r="F73" t="s">
        <v>759</v>
      </c>
      <c r="G73" t="s">
        <v>760</v>
      </c>
      <c r="H73" t="s">
        <v>188</v>
      </c>
      <c r="I73" t="s">
        <v>172</v>
      </c>
      <c r="J73" t="s">
        <v>761</v>
      </c>
      <c r="K73" t="s">
        <v>781</v>
      </c>
      <c r="L73" t="s">
        <v>780</v>
      </c>
      <c r="M73" t="s">
        <v>779</v>
      </c>
      <c r="N73" t="s">
        <v>782</v>
      </c>
      <c r="O73" t="s">
        <v>762</v>
      </c>
    </row>
    <row r="74" spans="1:21">
      <c r="A74" t="str">
        <f t="shared" si="1"/>
        <v>Minn-Irvine-101</v>
      </c>
      <c r="B74" t="s">
        <v>927</v>
      </c>
      <c r="C74">
        <v>101</v>
      </c>
      <c r="D74" t="s">
        <v>864</v>
      </c>
      <c r="E74" t="s">
        <v>840</v>
      </c>
      <c r="F74" t="s">
        <v>763</v>
      </c>
      <c r="G74" t="s">
        <v>764</v>
      </c>
    </row>
    <row r="75" spans="1:21">
      <c r="A75" t="str">
        <f t="shared" si="1"/>
        <v>PEDS-10</v>
      </c>
      <c r="B75" t="s">
        <v>911</v>
      </c>
      <c r="C75">
        <v>10</v>
      </c>
      <c r="D75" t="s">
        <v>864</v>
      </c>
      <c r="E75" t="s">
        <v>840</v>
      </c>
      <c r="F75" t="s">
        <v>765</v>
      </c>
      <c r="G75" t="s">
        <v>646</v>
      </c>
      <c r="H75" t="s">
        <v>188</v>
      </c>
      <c r="I75" t="s">
        <v>173</v>
      </c>
      <c r="J75" t="s">
        <v>647</v>
      </c>
      <c r="K75" t="s">
        <v>648</v>
      </c>
      <c r="L75" t="s">
        <v>649</v>
      </c>
      <c r="M75" t="s">
        <v>650</v>
      </c>
      <c r="N75" t="s">
        <v>945</v>
      </c>
    </row>
    <row r="76" spans="1:21">
      <c r="A76" t="str">
        <f t="shared" si="1"/>
        <v>PEDS-9</v>
      </c>
      <c r="B76" t="s">
        <v>911</v>
      </c>
      <c r="C76">
        <v>9</v>
      </c>
      <c r="D76" t="s">
        <v>864</v>
      </c>
      <c r="E76" t="s">
        <v>840</v>
      </c>
      <c r="F76" t="s">
        <v>651</v>
      </c>
      <c r="G76" t="s">
        <v>652</v>
      </c>
      <c r="H76" t="s">
        <v>188</v>
      </c>
      <c r="I76" t="s">
        <v>174</v>
      </c>
      <c r="J76" t="s">
        <v>653</v>
      </c>
      <c r="K76" t="s">
        <v>654</v>
      </c>
      <c r="L76" t="s">
        <v>655</v>
      </c>
      <c r="M76" t="s">
        <v>945</v>
      </c>
    </row>
    <row r="77" spans="1:21">
      <c r="A77" t="str">
        <f t="shared" si="1"/>
        <v>PEDS-8.1</v>
      </c>
      <c r="B77" t="s">
        <v>911</v>
      </c>
      <c r="C77">
        <v>8.1</v>
      </c>
      <c r="D77" t="s">
        <v>864</v>
      </c>
      <c r="E77" t="s">
        <v>840</v>
      </c>
      <c r="F77" t="s">
        <v>656</v>
      </c>
      <c r="G77" t="s">
        <v>657</v>
      </c>
      <c r="H77" t="s">
        <v>188</v>
      </c>
      <c r="I77" t="s">
        <v>175</v>
      </c>
      <c r="J77" t="s">
        <v>658</v>
      </c>
      <c r="K77" t="s">
        <v>840</v>
      </c>
      <c r="L77" t="s">
        <v>841</v>
      </c>
      <c r="M77" t="s">
        <v>659</v>
      </c>
    </row>
    <row r="78" spans="1:21">
      <c r="A78" t="str">
        <f t="shared" si="1"/>
        <v>PEDS-8.2</v>
      </c>
      <c r="B78" t="s">
        <v>911</v>
      </c>
      <c r="C78">
        <v>8.1999999999999993</v>
      </c>
      <c r="D78" t="s">
        <v>660</v>
      </c>
      <c r="E78" t="s">
        <v>840</v>
      </c>
      <c r="F78" t="s">
        <v>656</v>
      </c>
      <c r="G78" t="s">
        <v>661</v>
      </c>
      <c r="H78" t="s">
        <v>188</v>
      </c>
      <c r="I78" t="s">
        <v>176</v>
      </c>
      <c r="J78" t="s">
        <v>662</v>
      </c>
      <c r="K78" t="s">
        <v>840</v>
      </c>
      <c r="L78" t="s">
        <v>841</v>
      </c>
      <c r="M78" t="s">
        <v>659</v>
      </c>
    </row>
    <row r="79" spans="1:21">
      <c r="A79" t="str">
        <f t="shared" si="1"/>
        <v>PEDS-8.3</v>
      </c>
      <c r="B79" t="s">
        <v>911</v>
      </c>
      <c r="C79">
        <v>8.3000000000000007</v>
      </c>
      <c r="D79" t="s">
        <v>660</v>
      </c>
      <c r="E79" t="s">
        <v>840</v>
      </c>
      <c r="F79" t="s">
        <v>656</v>
      </c>
      <c r="G79" t="s">
        <v>663</v>
      </c>
      <c r="H79" t="s">
        <v>188</v>
      </c>
      <c r="I79" t="s">
        <v>155</v>
      </c>
      <c r="J79" t="s">
        <v>664</v>
      </c>
      <c r="K79" t="s">
        <v>840</v>
      </c>
      <c r="L79" t="s">
        <v>841</v>
      </c>
      <c r="M79" t="s">
        <v>659</v>
      </c>
    </row>
    <row r="80" spans="1:21">
      <c r="A80" t="str">
        <f t="shared" si="1"/>
        <v>PEDS-8.4</v>
      </c>
      <c r="B80" t="s">
        <v>911</v>
      </c>
      <c r="C80">
        <v>8.4</v>
      </c>
      <c r="D80" t="s">
        <v>660</v>
      </c>
      <c r="E80" t="s">
        <v>840</v>
      </c>
      <c r="F80" t="s">
        <v>656</v>
      </c>
      <c r="G80" t="s">
        <v>665</v>
      </c>
      <c r="H80" t="s">
        <v>188</v>
      </c>
      <c r="I80" t="s">
        <v>158</v>
      </c>
      <c r="J80" t="s">
        <v>159</v>
      </c>
      <c r="K80" t="s">
        <v>840</v>
      </c>
      <c r="L80" t="s">
        <v>841</v>
      </c>
      <c r="M80" t="s">
        <v>659</v>
      </c>
    </row>
    <row r="81" spans="1:13">
      <c r="A81" t="str">
        <f t="shared" si="1"/>
        <v>PEDS-8.5</v>
      </c>
      <c r="B81" t="s">
        <v>911</v>
      </c>
      <c r="C81">
        <v>8.5</v>
      </c>
      <c r="D81" t="s">
        <v>864</v>
      </c>
      <c r="E81" t="s">
        <v>840</v>
      </c>
      <c r="F81" t="s">
        <v>656</v>
      </c>
      <c r="G81" t="s">
        <v>667</v>
      </c>
      <c r="H81" t="s">
        <v>188</v>
      </c>
      <c r="I81" t="s">
        <v>160</v>
      </c>
      <c r="J81" t="s">
        <v>668</v>
      </c>
      <c r="K81" t="s">
        <v>840</v>
      </c>
      <c r="L81" t="s">
        <v>841</v>
      </c>
      <c r="M81" t="s">
        <v>659</v>
      </c>
    </row>
    <row r="82" spans="1:13">
      <c r="A82" t="str">
        <f t="shared" si="1"/>
        <v>PEDS-8.6</v>
      </c>
      <c r="B82" t="s">
        <v>911</v>
      </c>
      <c r="C82">
        <v>8.6</v>
      </c>
      <c r="D82" t="s">
        <v>864</v>
      </c>
      <c r="E82" t="s">
        <v>840</v>
      </c>
      <c r="F82" t="s">
        <v>656</v>
      </c>
      <c r="G82" t="s">
        <v>669</v>
      </c>
    </row>
    <row r="83" spans="1:13">
      <c r="A83" t="str">
        <f t="shared" si="1"/>
        <v>PEDS-7.1</v>
      </c>
      <c r="B83" t="s">
        <v>911</v>
      </c>
      <c r="C83">
        <v>7.1</v>
      </c>
      <c r="D83" t="s">
        <v>864</v>
      </c>
      <c r="E83" t="s">
        <v>840</v>
      </c>
      <c r="F83" t="s">
        <v>670</v>
      </c>
      <c r="G83" t="s">
        <v>795</v>
      </c>
      <c r="H83" t="s">
        <v>188</v>
      </c>
      <c r="I83" t="s">
        <v>161</v>
      </c>
      <c r="J83" t="s">
        <v>796</v>
      </c>
      <c r="K83" t="s">
        <v>840</v>
      </c>
      <c r="L83" t="s">
        <v>841</v>
      </c>
      <c r="M83" t="s">
        <v>659</v>
      </c>
    </row>
    <row r="84" spans="1:13">
      <c r="A84" t="str">
        <f t="shared" si="1"/>
        <v>PEDS-7.2</v>
      </c>
      <c r="B84" t="s">
        <v>911</v>
      </c>
      <c r="C84">
        <v>7.2</v>
      </c>
      <c r="D84" t="s">
        <v>864</v>
      </c>
      <c r="E84" t="s">
        <v>840</v>
      </c>
      <c r="F84" t="s">
        <v>670</v>
      </c>
      <c r="G84" t="s">
        <v>797</v>
      </c>
      <c r="H84" t="s">
        <v>188</v>
      </c>
      <c r="I84" t="s">
        <v>162</v>
      </c>
      <c r="J84" t="s">
        <v>672</v>
      </c>
      <c r="K84" t="s">
        <v>840</v>
      </c>
      <c r="L84" t="s">
        <v>841</v>
      </c>
      <c r="M84" t="s">
        <v>659</v>
      </c>
    </row>
    <row r="85" spans="1:13">
      <c r="A85" t="str">
        <f t="shared" si="1"/>
        <v>PEDS-7.3</v>
      </c>
      <c r="B85" t="s">
        <v>911</v>
      </c>
      <c r="C85">
        <v>7.3</v>
      </c>
      <c r="D85" t="s">
        <v>864</v>
      </c>
      <c r="E85" t="s">
        <v>840</v>
      </c>
      <c r="F85" t="s">
        <v>670</v>
      </c>
      <c r="G85" t="s">
        <v>673</v>
      </c>
      <c r="H85" t="s">
        <v>188</v>
      </c>
      <c r="I85" t="s">
        <v>162</v>
      </c>
      <c r="J85" t="s">
        <v>674</v>
      </c>
      <c r="K85" t="s">
        <v>840</v>
      </c>
      <c r="L85" t="s">
        <v>841</v>
      </c>
      <c r="M85" t="s">
        <v>659</v>
      </c>
    </row>
    <row r="86" spans="1:13">
      <c r="A86" t="str">
        <f t="shared" si="1"/>
        <v>PEDS-7.4</v>
      </c>
      <c r="B86" t="s">
        <v>911</v>
      </c>
      <c r="C86">
        <v>7.4</v>
      </c>
      <c r="D86" t="s">
        <v>864</v>
      </c>
      <c r="E86" t="s">
        <v>840</v>
      </c>
      <c r="F86" t="s">
        <v>670</v>
      </c>
      <c r="G86" t="s">
        <v>675</v>
      </c>
      <c r="H86" t="s">
        <v>188</v>
      </c>
      <c r="I86" t="s">
        <v>162</v>
      </c>
      <c r="J86" t="s">
        <v>676</v>
      </c>
      <c r="K86" t="s">
        <v>840</v>
      </c>
      <c r="L86" t="s">
        <v>841</v>
      </c>
      <c r="M86" t="s">
        <v>659</v>
      </c>
    </row>
    <row r="87" spans="1:13">
      <c r="A87" t="str">
        <f t="shared" si="1"/>
        <v>PEDS-7.5</v>
      </c>
      <c r="B87" t="s">
        <v>911</v>
      </c>
      <c r="C87">
        <v>7.5</v>
      </c>
      <c r="D87" t="s">
        <v>864</v>
      </c>
      <c r="E87" t="s">
        <v>840</v>
      </c>
      <c r="F87" t="s">
        <v>670</v>
      </c>
      <c r="G87" t="s">
        <v>677</v>
      </c>
      <c r="H87" t="s">
        <v>188</v>
      </c>
      <c r="I87" t="s">
        <v>163</v>
      </c>
      <c r="J87" t="s">
        <v>678</v>
      </c>
      <c r="K87" t="s">
        <v>840</v>
      </c>
      <c r="L87" t="s">
        <v>841</v>
      </c>
      <c r="M87" t="s">
        <v>659</v>
      </c>
    </row>
    <row r="88" spans="1:13">
      <c r="A88" t="str">
        <f t="shared" si="1"/>
        <v>PEDS-7.6</v>
      </c>
      <c r="B88" t="s">
        <v>911</v>
      </c>
      <c r="C88">
        <v>7.6</v>
      </c>
      <c r="D88" t="s">
        <v>864</v>
      </c>
      <c r="F88" t="s">
        <v>670</v>
      </c>
      <c r="G88" t="s">
        <v>669</v>
      </c>
    </row>
    <row r="89" spans="1:13">
      <c r="A89" t="str">
        <f t="shared" si="1"/>
        <v>Minn-Irvine-103</v>
      </c>
      <c r="B89" t="s">
        <v>927</v>
      </c>
      <c r="C89">
        <v>103</v>
      </c>
      <c r="D89" t="s">
        <v>864</v>
      </c>
      <c r="E89" t="s">
        <v>840</v>
      </c>
      <c r="F89" t="s">
        <v>680</v>
      </c>
      <c r="G89" t="s">
        <v>681</v>
      </c>
      <c r="H89" t="s">
        <v>188</v>
      </c>
      <c r="I89" t="s">
        <v>164</v>
      </c>
      <c r="J89" t="s">
        <v>682</v>
      </c>
      <c r="K89" t="s">
        <v>683</v>
      </c>
      <c r="L89" t="s">
        <v>684</v>
      </c>
      <c r="M89" t="s">
        <v>745</v>
      </c>
    </row>
    <row r="90" spans="1:13">
      <c r="A90" t="str">
        <f t="shared" si="1"/>
        <v>Minn-Irvine-104</v>
      </c>
      <c r="B90" t="s">
        <v>927</v>
      </c>
      <c r="C90">
        <v>104</v>
      </c>
      <c r="D90" t="s">
        <v>864</v>
      </c>
      <c r="E90" t="s">
        <v>840</v>
      </c>
      <c r="F90" t="s">
        <v>685</v>
      </c>
      <c r="G90" t="s">
        <v>681</v>
      </c>
      <c r="H90" t="s">
        <v>188</v>
      </c>
      <c r="I90" t="s">
        <v>165</v>
      </c>
      <c r="J90" t="s">
        <v>686</v>
      </c>
      <c r="K90" t="s">
        <v>683</v>
      </c>
      <c r="L90" t="s">
        <v>684</v>
      </c>
      <c r="M90" t="s">
        <v>745</v>
      </c>
    </row>
    <row r="91" spans="1:13">
      <c r="A91" t="str">
        <f t="shared" si="1"/>
        <v>Minn-Irvine-105</v>
      </c>
      <c r="B91" t="s">
        <v>927</v>
      </c>
      <c r="C91">
        <v>105</v>
      </c>
      <c r="D91" t="s">
        <v>864</v>
      </c>
      <c r="E91" t="s">
        <v>840</v>
      </c>
      <c r="F91" t="s">
        <v>687</v>
      </c>
      <c r="G91" t="s">
        <v>681</v>
      </c>
      <c r="H91" t="s">
        <v>188</v>
      </c>
      <c r="J91" t="s">
        <v>688</v>
      </c>
      <c r="K91" t="s">
        <v>683</v>
      </c>
      <c r="L91" t="s">
        <v>684</v>
      </c>
      <c r="M91" t="s">
        <v>745</v>
      </c>
    </row>
    <row r="92" spans="1:13">
      <c r="A92" t="str">
        <f t="shared" si="1"/>
        <v>PEDS-5.2</v>
      </c>
      <c r="B92" t="s">
        <v>911</v>
      </c>
      <c r="C92">
        <v>5.2</v>
      </c>
      <c r="D92" t="s">
        <v>864</v>
      </c>
      <c r="F92" t="s">
        <v>733</v>
      </c>
      <c r="G92" t="s">
        <v>689</v>
      </c>
      <c r="I92" t="s">
        <v>166</v>
      </c>
    </row>
    <row r="93" spans="1:13">
      <c r="A93" t="str">
        <f t="shared" si="1"/>
        <v>PEDS-5.3</v>
      </c>
      <c r="B93" t="s">
        <v>911</v>
      </c>
      <c r="C93">
        <v>5.3</v>
      </c>
      <c r="D93" t="s">
        <v>864</v>
      </c>
      <c r="F93" t="s">
        <v>733</v>
      </c>
      <c r="G93" t="s">
        <v>690</v>
      </c>
      <c r="I93" t="s">
        <v>167</v>
      </c>
    </row>
    <row r="94" spans="1:13">
      <c r="A94" t="str">
        <f t="shared" si="1"/>
        <v>PEDS-5.4</v>
      </c>
      <c r="B94" t="s">
        <v>911</v>
      </c>
      <c r="C94">
        <v>5.4</v>
      </c>
      <c r="D94" t="s">
        <v>864</v>
      </c>
      <c r="F94" t="s">
        <v>733</v>
      </c>
      <c r="G94" t="s">
        <v>691</v>
      </c>
      <c r="I94" t="s">
        <v>168</v>
      </c>
    </row>
    <row r="95" spans="1:13">
      <c r="A95" t="str">
        <f t="shared" si="1"/>
        <v>PEDS-5.5</v>
      </c>
      <c r="B95" t="s">
        <v>911</v>
      </c>
      <c r="C95">
        <v>5.5</v>
      </c>
      <c r="D95" t="s">
        <v>864</v>
      </c>
      <c r="F95" t="s">
        <v>733</v>
      </c>
      <c r="G95" t="s">
        <v>692</v>
      </c>
      <c r="I95" t="s">
        <v>169</v>
      </c>
    </row>
    <row r="96" spans="1:13">
      <c r="A96" t="str">
        <f t="shared" si="1"/>
        <v>Minn-Irvine-102</v>
      </c>
      <c r="B96" t="s">
        <v>927</v>
      </c>
      <c r="C96">
        <v>102</v>
      </c>
      <c r="D96" t="s">
        <v>864</v>
      </c>
      <c r="F96" t="s">
        <v>693</v>
      </c>
      <c r="G96" t="s">
        <v>694</v>
      </c>
    </row>
    <row r="97" spans="1:15">
      <c r="A97" t="str">
        <f t="shared" si="1"/>
        <v>PEDS-4.2</v>
      </c>
      <c r="B97" t="s">
        <v>911</v>
      </c>
      <c r="C97">
        <v>4.2</v>
      </c>
      <c r="D97" t="s">
        <v>864</v>
      </c>
      <c r="F97" t="s">
        <v>774</v>
      </c>
      <c r="G97" t="s">
        <v>695</v>
      </c>
      <c r="I97" t="s">
        <v>170</v>
      </c>
    </row>
    <row r="98" spans="1:15">
      <c r="A98" t="str">
        <f t="shared" si="1"/>
        <v>PEDS-4.3</v>
      </c>
      <c r="B98" t="s">
        <v>911</v>
      </c>
      <c r="C98">
        <v>4.3</v>
      </c>
      <c r="D98" t="s">
        <v>864</v>
      </c>
      <c r="F98" t="s">
        <v>774</v>
      </c>
      <c r="G98" t="s">
        <v>864</v>
      </c>
      <c r="I98" t="s">
        <v>171</v>
      </c>
    </row>
    <row r="99" spans="1:15">
      <c r="A99" t="str">
        <f t="shared" si="1"/>
        <v>Minn-Irvine-99</v>
      </c>
      <c r="B99" t="s">
        <v>927</v>
      </c>
      <c r="C99">
        <v>99</v>
      </c>
      <c r="D99" t="s">
        <v>864</v>
      </c>
      <c r="F99" t="s">
        <v>696</v>
      </c>
      <c r="G99" t="s">
        <v>697</v>
      </c>
    </row>
    <row r="100" spans="1:15">
      <c r="A100" t="str">
        <f t="shared" si="1"/>
        <v>-</v>
      </c>
      <c r="J100" t="s">
        <v>698</v>
      </c>
    </row>
    <row r="101" spans="1:15">
      <c r="A101" t="str">
        <f t="shared" si="1"/>
        <v>PEDS-35</v>
      </c>
      <c r="B101" t="s">
        <v>911</v>
      </c>
      <c r="C101">
        <v>35</v>
      </c>
      <c r="D101" t="s">
        <v>699</v>
      </c>
      <c r="E101" t="s">
        <v>840</v>
      </c>
      <c r="F101" t="s">
        <v>700</v>
      </c>
      <c r="G101" t="s">
        <v>701</v>
      </c>
      <c r="I101" t="s">
        <v>130</v>
      </c>
      <c r="J101" t="s">
        <v>702</v>
      </c>
      <c r="K101" t="s">
        <v>703</v>
      </c>
      <c r="L101" t="s">
        <v>704</v>
      </c>
      <c r="M101" t="s">
        <v>705</v>
      </c>
      <c r="N101" t="s">
        <v>706</v>
      </c>
    </row>
    <row r="102" spans="1:15">
      <c r="A102" t="str">
        <f t="shared" si="1"/>
        <v>PEDS-25</v>
      </c>
      <c r="B102" t="s">
        <v>911</v>
      </c>
      <c r="C102">
        <v>25</v>
      </c>
      <c r="D102" t="s">
        <v>707</v>
      </c>
      <c r="E102" t="s">
        <v>840</v>
      </c>
      <c r="F102" t="s">
        <v>708</v>
      </c>
      <c r="G102" t="s">
        <v>590</v>
      </c>
      <c r="I102" t="s">
        <v>138</v>
      </c>
      <c r="J102" t="s">
        <v>591</v>
      </c>
      <c r="K102" t="s">
        <v>592</v>
      </c>
      <c r="L102" t="s">
        <v>593</v>
      </c>
      <c r="M102" t="s">
        <v>594</v>
      </c>
      <c r="N102" t="s">
        <v>595</v>
      </c>
      <c r="O102" t="s">
        <v>596</v>
      </c>
    </row>
    <row r="103" spans="1:15">
      <c r="A103" t="str">
        <f t="shared" si="1"/>
        <v>Minn-Irvine-142</v>
      </c>
      <c r="B103" t="s">
        <v>927</v>
      </c>
      <c r="C103">
        <v>142</v>
      </c>
      <c r="D103" t="s">
        <v>597</v>
      </c>
      <c r="F103" t="s">
        <v>598</v>
      </c>
      <c r="G103" t="s">
        <v>599</v>
      </c>
      <c r="I103" t="s">
        <v>139</v>
      </c>
      <c r="J103" t="s">
        <v>600</v>
      </c>
      <c r="K103" t="s">
        <v>793</v>
      </c>
      <c r="L103" t="s">
        <v>601</v>
      </c>
      <c r="M103" t="s">
        <v>936</v>
      </c>
    </row>
    <row r="104" spans="1:15">
      <c r="A104" t="str">
        <f t="shared" si="1"/>
        <v>Minn-Irvine-159</v>
      </c>
      <c r="B104" t="s">
        <v>927</v>
      </c>
      <c r="C104">
        <v>159</v>
      </c>
      <c r="F104" t="s">
        <v>602</v>
      </c>
      <c r="G104" t="s">
        <v>791</v>
      </c>
      <c r="I104" t="s">
        <v>140</v>
      </c>
      <c r="J104" t="s">
        <v>603</v>
      </c>
      <c r="K104" t="s">
        <v>793</v>
      </c>
      <c r="L104" t="s">
        <v>794</v>
      </c>
      <c r="M104" t="s">
        <v>936</v>
      </c>
    </row>
    <row r="105" spans="1:15">
      <c r="A105" t="str">
        <f t="shared" si="1"/>
        <v>Minn-Irvine-96</v>
      </c>
      <c r="B105" t="s">
        <v>927</v>
      </c>
      <c r="C105">
        <v>96</v>
      </c>
      <c r="D105" t="s">
        <v>773</v>
      </c>
      <c r="E105" t="s">
        <v>840</v>
      </c>
      <c r="F105" t="s">
        <v>604</v>
      </c>
      <c r="G105" t="s">
        <v>605</v>
      </c>
      <c r="I105" t="s">
        <v>141</v>
      </c>
      <c r="J105" t="s">
        <v>142</v>
      </c>
      <c r="K105" t="s">
        <v>607</v>
      </c>
      <c r="L105" t="s">
        <v>143</v>
      </c>
    </row>
    <row r="106" spans="1:15">
      <c r="A106" t="str">
        <f t="shared" si="1"/>
        <v>Minn-Irvine-96.1</v>
      </c>
      <c r="B106" t="s">
        <v>927</v>
      </c>
      <c r="C106">
        <v>96.1</v>
      </c>
      <c r="D106" t="s">
        <v>773</v>
      </c>
      <c r="E106" t="s">
        <v>840</v>
      </c>
      <c r="F106" t="s">
        <v>604</v>
      </c>
      <c r="H106" t="s">
        <v>144</v>
      </c>
      <c r="J106" t="s">
        <v>145</v>
      </c>
      <c r="K106" t="s">
        <v>608</v>
      </c>
      <c r="L106" t="s">
        <v>609</v>
      </c>
      <c r="M106" t="s">
        <v>610</v>
      </c>
      <c r="N106" t="s">
        <v>146</v>
      </c>
    </row>
    <row r="107" spans="1:15">
      <c r="A107" t="str">
        <f t="shared" si="1"/>
        <v>Minn-Irvine-92</v>
      </c>
      <c r="B107" t="s">
        <v>927</v>
      </c>
      <c r="C107">
        <v>92</v>
      </c>
      <c r="D107" t="s">
        <v>773</v>
      </c>
      <c r="E107" t="s">
        <v>840</v>
      </c>
      <c r="F107" t="s">
        <v>611</v>
      </c>
      <c r="G107" t="s">
        <v>605</v>
      </c>
      <c r="I107" t="s">
        <v>147</v>
      </c>
      <c r="J107" t="s">
        <v>148</v>
      </c>
      <c r="K107" t="s">
        <v>607</v>
      </c>
      <c r="L107" t="s">
        <v>143</v>
      </c>
    </row>
    <row r="108" spans="1:15">
      <c r="A108" t="str">
        <f t="shared" si="1"/>
        <v>Minn-Irvine-92.1</v>
      </c>
      <c r="B108" t="s">
        <v>927</v>
      </c>
      <c r="C108">
        <v>92.1</v>
      </c>
      <c r="D108" t="s">
        <v>773</v>
      </c>
      <c r="E108" t="s">
        <v>840</v>
      </c>
      <c r="F108" t="s">
        <v>611</v>
      </c>
      <c r="H108" t="s">
        <v>149</v>
      </c>
      <c r="J108" t="s">
        <v>150</v>
      </c>
      <c r="K108" t="s">
        <v>608</v>
      </c>
      <c r="L108" t="s">
        <v>609</v>
      </c>
      <c r="M108" t="s">
        <v>610</v>
      </c>
      <c r="N108" t="s">
        <v>146</v>
      </c>
    </row>
    <row r="109" spans="1:15">
      <c r="A109" t="str">
        <f t="shared" si="1"/>
        <v>Minn-Irvine-94</v>
      </c>
      <c r="B109" t="s">
        <v>927</v>
      </c>
      <c r="C109">
        <v>94</v>
      </c>
      <c r="D109" t="s">
        <v>773</v>
      </c>
      <c r="E109" t="s">
        <v>840</v>
      </c>
      <c r="F109" t="s">
        <v>612</v>
      </c>
      <c r="G109" t="s">
        <v>605</v>
      </c>
      <c r="I109" t="s">
        <v>151</v>
      </c>
      <c r="J109" t="s">
        <v>152</v>
      </c>
      <c r="K109" t="s">
        <v>607</v>
      </c>
      <c r="L109" t="s">
        <v>143</v>
      </c>
    </row>
    <row r="110" spans="1:15">
      <c r="A110" t="str">
        <f t="shared" si="1"/>
        <v>Minn-Irvine-94.1</v>
      </c>
      <c r="B110" t="s">
        <v>927</v>
      </c>
      <c r="C110">
        <v>94.1</v>
      </c>
      <c r="D110" t="s">
        <v>773</v>
      </c>
      <c r="E110" t="s">
        <v>840</v>
      </c>
      <c r="F110" t="s">
        <v>612</v>
      </c>
      <c r="H110" t="s">
        <v>153</v>
      </c>
      <c r="J110" t="s">
        <v>154</v>
      </c>
      <c r="K110" t="s">
        <v>608</v>
      </c>
      <c r="L110" t="s">
        <v>609</v>
      </c>
      <c r="M110" t="s">
        <v>610</v>
      </c>
      <c r="N110" t="s">
        <v>146</v>
      </c>
    </row>
    <row r="111" spans="1:15">
      <c r="A111" t="str">
        <f t="shared" si="1"/>
        <v>Minn-Irvine-98</v>
      </c>
      <c r="B111" t="s">
        <v>927</v>
      </c>
      <c r="C111">
        <v>98</v>
      </c>
      <c r="D111" t="s">
        <v>773</v>
      </c>
      <c r="E111" t="s">
        <v>840</v>
      </c>
      <c r="F111" t="s">
        <v>614</v>
      </c>
      <c r="G111" t="s">
        <v>605</v>
      </c>
      <c r="J111" t="s">
        <v>108</v>
      </c>
      <c r="K111" t="s">
        <v>607</v>
      </c>
      <c r="L111" t="s">
        <v>143</v>
      </c>
    </row>
    <row r="112" spans="1:15">
      <c r="A112" t="str">
        <f t="shared" si="1"/>
        <v>Minn-Irvine-98.1</v>
      </c>
      <c r="B112" t="s">
        <v>927</v>
      </c>
      <c r="C112">
        <v>98.1</v>
      </c>
      <c r="D112" t="s">
        <v>773</v>
      </c>
      <c r="E112" t="s">
        <v>840</v>
      </c>
      <c r="F112" t="s">
        <v>614</v>
      </c>
      <c r="H112" t="s">
        <v>109</v>
      </c>
      <c r="J112" t="s">
        <v>110</v>
      </c>
      <c r="K112" t="s">
        <v>608</v>
      </c>
      <c r="L112" t="s">
        <v>609</v>
      </c>
      <c r="M112" t="s">
        <v>610</v>
      </c>
      <c r="N112" t="s">
        <v>146</v>
      </c>
    </row>
    <row r="113" spans="1:14">
      <c r="A113" t="str">
        <f t="shared" si="1"/>
        <v>Minn-Irvine-93</v>
      </c>
      <c r="B113" t="s">
        <v>927</v>
      </c>
      <c r="C113">
        <v>93</v>
      </c>
      <c r="D113" t="s">
        <v>773</v>
      </c>
      <c r="E113" t="s">
        <v>840</v>
      </c>
      <c r="F113" t="s">
        <v>616</v>
      </c>
      <c r="G113" t="s">
        <v>605</v>
      </c>
      <c r="I113" t="s">
        <v>111</v>
      </c>
      <c r="J113" t="s">
        <v>112</v>
      </c>
      <c r="K113" t="s">
        <v>607</v>
      </c>
      <c r="L113" t="s">
        <v>143</v>
      </c>
    </row>
    <row r="114" spans="1:14">
      <c r="A114" t="str">
        <f t="shared" si="1"/>
        <v>Minn-Irvine-93.1</v>
      </c>
      <c r="B114" t="s">
        <v>927</v>
      </c>
      <c r="C114">
        <v>93.1</v>
      </c>
      <c r="D114" t="s">
        <v>773</v>
      </c>
      <c r="E114" t="s">
        <v>840</v>
      </c>
      <c r="F114" t="s">
        <v>616</v>
      </c>
      <c r="H114" t="s">
        <v>113</v>
      </c>
      <c r="J114" t="s">
        <v>114</v>
      </c>
      <c r="K114" t="s">
        <v>608</v>
      </c>
      <c r="L114" t="s">
        <v>609</v>
      </c>
      <c r="M114" t="s">
        <v>610</v>
      </c>
      <c r="N114" t="s">
        <v>146</v>
      </c>
    </row>
    <row r="115" spans="1:14">
      <c r="A115" t="str">
        <f t="shared" si="1"/>
        <v>Minn-Irvine-95</v>
      </c>
      <c r="B115" t="s">
        <v>927</v>
      </c>
      <c r="C115">
        <v>95</v>
      </c>
      <c r="D115" t="s">
        <v>773</v>
      </c>
      <c r="E115" t="s">
        <v>840</v>
      </c>
      <c r="F115" t="s">
        <v>618</v>
      </c>
      <c r="G115" t="s">
        <v>605</v>
      </c>
      <c r="I115" t="s">
        <v>115</v>
      </c>
      <c r="J115" t="s">
        <v>116</v>
      </c>
      <c r="K115" t="s">
        <v>607</v>
      </c>
      <c r="L115" t="s">
        <v>143</v>
      </c>
    </row>
    <row r="116" spans="1:14">
      <c r="A116" t="str">
        <f t="shared" si="1"/>
        <v>Minn-Irvine-95.1</v>
      </c>
      <c r="B116" t="s">
        <v>927</v>
      </c>
      <c r="C116">
        <v>95.1</v>
      </c>
      <c r="D116" t="s">
        <v>773</v>
      </c>
      <c r="E116" t="s">
        <v>840</v>
      </c>
      <c r="F116" t="s">
        <v>618</v>
      </c>
      <c r="H116" t="s">
        <v>117</v>
      </c>
      <c r="J116" t="s">
        <v>156</v>
      </c>
      <c r="K116" t="s">
        <v>608</v>
      </c>
      <c r="L116" t="s">
        <v>609</v>
      </c>
      <c r="M116" t="s">
        <v>610</v>
      </c>
      <c r="N116" t="s">
        <v>146</v>
      </c>
    </row>
    <row r="117" spans="1:14">
      <c r="A117" t="str">
        <f t="shared" si="1"/>
        <v>Minn-Irvine-97</v>
      </c>
      <c r="B117" t="s">
        <v>927</v>
      </c>
      <c r="C117">
        <v>97</v>
      </c>
      <c r="D117" t="s">
        <v>773</v>
      </c>
      <c r="E117" t="s">
        <v>840</v>
      </c>
      <c r="F117" t="s">
        <v>620</v>
      </c>
      <c r="G117" t="s">
        <v>605</v>
      </c>
      <c r="I117" t="s">
        <v>157</v>
      </c>
      <c r="J117" t="s">
        <v>121</v>
      </c>
      <c r="K117" t="s">
        <v>607</v>
      </c>
      <c r="L117" t="s">
        <v>143</v>
      </c>
    </row>
    <row r="118" spans="1:14">
      <c r="A118" t="str">
        <f t="shared" si="1"/>
        <v>Minn-Irvine-97.1</v>
      </c>
      <c r="B118" t="s">
        <v>927</v>
      </c>
      <c r="C118">
        <v>97.1</v>
      </c>
      <c r="D118" t="s">
        <v>773</v>
      </c>
      <c r="E118" t="s">
        <v>840</v>
      </c>
      <c r="F118" t="s">
        <v>620</v>
      </c>
      <c r="H118" t="s">
        <v>122</v>
      </c>
      <c r="J118" t="s">
        <v>123</v>
      </c>
      <c r="K118" t="s">
        <v>608</v>
      </c>
      <c r="L118" t="s">
        <v>609</v>
      </c>
      <c r="M118" t="s">
        <v>610</v>
      </c>
      <c r="N118" t="s">
        <v>146</v>
      </c>
    </row>
    <row r="119" spans="1:14">
      <c r="A119" t="str">
        <f t="shared" si="1"/>
        <v>Minn-Irvine-178</v>
      </c>
      <c r="B119" t="s">
        <v>927</v>
      </c>
      <c r="C119">
        <v>178</v>
      </c>
      <c r="D119" t="s">
        <v>773</v>
      </c>
      <c r="F119" t="s">
        <v>622</v>
      </c>
      <c r="I119" t="s">
        <v>124</v>
      </c>
      <c r="J119" t="s">
        <v>125</v>
      </c>
      <c r="K119" t="s">
        <v>624</v>
      </c>
      <c r="L119" t="s">
        <v>625</v>
      </c>
      <c r="M119" t="s">
        <v>626</v>
      </c>
    </row>
    <row r="120" spans="1:14">
      <c r="A120" t="str">
        <f t="shared" si="1"/>
        <v>-</v>
      </c>
      <c r="J120" t="s">
        <v>627</v>
      </c>
    </row>
    <row r="121" spans="1:14">
      <c r="A121" t="str">
        <f t="shared" si="1"/>
        <v>PEDS-1.4</v>
      </c>
      <c r="B121" t="s">
        <v>911</v>
      </c>
      <c r="C121">
        <v>1.4</v>
      </c>
      <c r="D121" t="s">
        <v>628</v>
      </c>
      <c r="E121" t="s">
        <v>840</v>
      </c>
      <c r="F121" t="s">
        <v>630</v>
      </c>
      <c r="G121" t="s">
        <v>631</v>
      </c>
      <c r="I121" t="s">
        <v>126</v>
      </c>
    </row>
    <row r="122" spans="1:14">
      <c r="A122" t="str">
        <f t="shared" si="1"/>
        <v>PEDS-1.5</v>
      </c>
      <c r="B122" t="s">
        <v>911</v>
      </c>
      <c r="C122">
        <v>1.5</v>
      </c>
      <c r="D122" t="s">
        <v>628</v>
      </c>
      <c r="E122" t="s">
        <v>840</v>
      </c>
      <c r="F122" t="s">
        <v>630</v>
      </c>
      <c r="G122" t="s">
        <v>633</v>
      </c>
      <c r="I122" t="s">
        <v>127</v>
      </c>
    </row>
    <row r="123" spans="1:14">
      <c r="A123" t="str">
        <f t="shared" si="1"/>
        <v>PEDS-1.8</v>
      </c>
      <c r="B123" t="s">
        <v>911</v>
      </c>
      <c r="C123">
        <v>1.8</v>
      </c>
      <c r="D123" t="s">
        <v>628</v>
      </c>
      <c r="E123" t="s">
        <v>840</v>
      </c>
      <c r="F123" t="s">
        <v>630</v>
      </c>
      <c r="G123" t="s">
        <v>635</v>
      </c>
      <c r="I123" t="s">
        <v>128</v>
      </c>
    </row>
    <row r="124" spans="1:14">
      <c r="A124" t="str">
        <f t="shared" si="1"/>
        <v>Minn-Irvine-24</v>
      </c>
      <c r="B124" t="s">
        <v>927</v>
      </c>
      <c r="C124">
        <v>24</v>
      </c>
      <c r="D124" t="s">
        <v>628</v>
      </c>
      <c r="E124" t="s">
        <v>840</v>
      </c>
      <c r="F124" t="s">
        <v>637</v>
      </c>
      <c r="G124" t="s">
        <v>638</v>
      </c>
      <c r="I124" t="s">
        <v>129</v>
      </c>
      <c r="J124" t="s">
        <v>639</v>
      </c>
      <c r="K124" t="s">
        <v>840</v>
      </c>
      <c r="L124" t="s">
        <v>841</v>
      </c>
    </row>
    <row r="125" spans="1:14">
      <c r="A125" t="str">
        <f t="shared" si="1"/>
        <v>Minn-Irvine-25</v>
      </c>
      <c r="B125" t="s">
        <v>927</v>
      </c>
      <c r="C125">
        <v>25</v>
      </c>
      <c r="D125" t="s">
        <v>628</v>
      </c>
      <c r="E125" t="s">
        <v>840</v>
      </c>
      <c r="F125" t="s">
        <v>637</v>
      </c>
      <c r="G125" t="s">
        <v>640</v>
      </c>
      <c r="I125" t="s">
        <v>96</v>
      </c>
      <c r="J125" t="s">
        <v>641</v>
      </c>
      <c r="K125" t="s">
        <v>840</v>
      </c>
      <c r="L125" t="s">
        <v>841</v>
      </c>
    </row>
    <row r="126" spans="1:14">
      <c r="A126" t="str">
        <f t="shared" si="1"/>
        <v>Minn-Irvine-26</v>
      </c>
      <c r="B126" t="s">
        <v>927</v>
      </c>
      <c r="C126">
        <v>26</v>
      </c>
      <c r="D126" t="s">
        <v>628</v>
      </c>
      <c r="E126" t="s">
        <v>840</v>
      </c>
      <c r="F126" t="s">
        <v>637</v>
      </c>
      <c r="G126" t="s">
        <v>642</v>
      </c>
      <c r="I126" t="s">
        <v>97</v>
      </c>
      <c r="J126" t="s">
        <v>643</v>
      </c>
      <c r="K126" t="s">
        <v>840</v>
      </c>
      <c r="L126" t="s">
        <v>841</v>
      </c>
    </row>
    <row r="127" spans="1:14">
      <c r="A127" t="str">
        <f t="shared" si="1"/>
        <v>PEDS-1.3</v>
      </c>
      <c r="B127" t="s">
        <v>911</v>
      </c>
      <c r="C127">
        <v>1.3</v>
      </c>
      <c r="D127" t="s">
        <v>628</v>
      </c>
      <c r="E127" t="s">
        <v>840</v>
      </c>
      <c r="F127" t="s">
        <v>630</v>
      </c>
      <c r="G127" t="s">
        <v>644</v>
      </c>
      <c r="I127" t="s">
        <v>98</v>
      </c>
      <c r="J127" t="s">
        <v>131</v>
      </c>
      <c r="K127" t="s">
        <v>840</v>
      </c>
      <c r="L127" t="s">
        <v>841</v>
      </c>
    </row>
    <row r="128" spans="1:14">
      <c r="A128" t="str">
        <f t="shared" si="1"/>
        <v>Minn-Irvine-28</v>
      </c>
      <c r="B128" t="s">
        <v>927</v>
      </c>
      <c r="C128">
        <v>28</v>
      </c>
      <c r="D128" t="s">
        <v>628</v>
      </c>
      <c r="E128" t="s">
        <v>840</v>
      </c>
      <c r="F128" t="s">
        <v>637</v>
      </c>
      <c r="G128" t="s">
        <v>535</v>
      </c>
      <c r="J128" t="s">
        <v>536</v>
      </c>
      <c r="K128" t="s">
        <v>840</v>
      </c>
      <c r="L128" t="s">
        <v>841</v>
      </c>
    </row>
    <row r="129" spans="1:14">
      <c r="A129" t="str">
        <f t="shared" si="1"/>
        <v>Streetview-1</v>
      </c>
      <c r="B129" t="s">
        <v>132</v>
      </c>
      <c r="C129">
        <v>1</v>
      </c>
      <c r="D129" t="s">
        <v>628</v>
      </c>
      <c r="E129" t="s">
        <v>840</v>
      </c>
      <c r="F129" t="s">
        <v>637</v>
      </c>
      <c r="G129" t="s">
        <v>133</v>
      </c>
      <c r="J129" t="s">
        <v>134</v>
      </c>
      <c r="K129" t="s">
        <v>840</v>
      </c>
      <c r="L129" t="s">
        <v>841</v>
      </c>
    </row>
    <row r="130" spans="1:14">
      <c r="A130" t="str">
        <f t="shared" si="1"/>
        <v>Minn-Irvine-29</v>
      </c>
      <c r="B130" t="s">
        <v>927</v>
      </c>
      <c r="C130">
        <v>29</v>
      </c>
      <c r="D130" t="s">
        <v>628</v>
      </c>
      <c r="E130" t="s">
        <v>840</v>
      </c>
      <c r="F130" t="s">
        <v>637</v>
      </c>
      <c r="G130" t="s">
        <v>135</v>
      </c>
      <c r="H130" t="s">
        <v>136</v>
      </c>
      <c r="J130" t="s">
        <v>137</v>
      </c>
      <c r="K130" t="s">
        <v>840</v>
      </c>
      <c r="L130" t="s">
        <v>841</v>
      </c>
    </row>
    <row r="131" spans="1:14">
      <c r="A131" t="str">
        <f t="shared" si="1"/>
        <v>Minn-Irvine-30</v>
      </c>
      <c r="B131" t="s">
        <v>927</v>
      </c>
      <c r="C131">
        <v>30</v>
      </c>
      <c r="D131" t="s">
        <v>628</v>
      </c>
      <c r="E131" t="s">
        <v>840</v>
      </c>
      <c r="F131" t="s">
        <v>637</v>
      </c>
      <c r="G131" t="s">
        <v>540</v>
      </c>
      <c r="H131" t="s">
        <v>136</v>
      </c>
      <c r="J131" t="s">
        <v>99</v>
      </c>
      <c r="K131" t="s">
        <v>840</v>
      </c>
      <c r="L131" t="s">
        <v>841</v>
      </c>
    </row>
    <row r="132" spans="1:14">
      <c r="A132" t="str">
        <f t="shared" si="1"/>
        <v>Minn-Irvine-31</v>
      </c>
      <c r="B132" t="s">
        <v>927</v>
      </c>
      <c r="C132">
        <v>31</v>
      </c>
      <c r="D132" t="s">
        <v>628</v>
      </c>
      <c r="E132" t="s">
        <v>840</v>
      </c>
      <c r="F132" t="s">
        <v>637</v>
      </c>
      <c r="G132" t="s">
        <v>542</v>
      </c>
      <c r="H132" t="s">
        <v>136</v>
      </c>
      <c r="J132" t="s">
        <v>543</v>
      </c>
      <c r="K132" t="s">
        <v>840</v>
      </c>
      <c r="L132" t="s">
        <v>841</v>
      </c>
    </row>
    <row r="133" spans="1:14">
      <c r="A133" t="str">
        <f t="shared" ref="A133:A196" si="2">CONCATENATE(B133,"-",C133)</f>
        <v>Minn-Irvine-32</v>
      </c>
      <c r="B133" t="s">
        <v>927</v>
      </c>
      <c r="C133">
        <v>32</v>
      </c>
      <c r="D133" t="s">
        <v>628</v>
      </c>
      <c r="E133" t="s">
        <v>840</v>
      </c>
      <c r="F133" t="s">
        <v>637</v>
      </c>
      <c r="G133" t="s">
        <v>544</v>
      </c>
      <c r="H133" t="s">
        <v>136</v>
      </c>
      <c r="J133" t="s">
        <v>100</v>
      </c>
      <c r="K133" t="s">
        <v>840</v>
      </c>
      <c r="L133" t="s">
        <v>841</v>
      </c>
    </row>
    <row r="134" spans="1:14">
      <c r="A134" t="str">
        <f t="shared" si="2"/>
        <v>Minn-Irvine-33</v>
      </c>
      <c r="B134" t="s">
        <v>927</v>
      </c>
      <c r="C134">
        <v>33</v>
      </c>
      <c r="D134" t="s">
        <v>628</v>
      </c>
      <c r="E134" t="s">
        <v>840</v>
      </c>
      <c r="F134" t="s">
        <v>637</v>
      </c>
      <c r="G134" t="s">
        <v>547</v>
      </c>
      <c r="H134" t="s">
        <v>136</v>
      </c>
      <c r="J134" t="s">
        <v>548</v>
      </c>
      <c r="K134" t="s">
        <v>840</v>
      </c>
      <c r="L134" t="s">
        <v>841</v>
      </c>
    </row>
    <row r="135" spans="1:14">
      <c r="A135" t="str">
        <f t="shared" si="2"/>
        <v>-</v>
      </c>
      <c r="H135" t="s">
        <v>136</v>
      </c>
      <c r="J135" t="s">
        <v>549</v>
      </c>
      <c r="K135" t="s">
        <v>840</v>
      </c>
      <c r="L135" t="s">
        <v>841</v>
      </c>
    </row>
    <row r="136" spans="1:14">
      <c r="A136" t="str">
        <f t="shared" si="2"/>
        <v>-</v>
      </c>
      <c r="H136" t="s">
        <v>136</v>
      </c>
      <c r="I136" t="s">
        <v>101</v>
      </c>
      <c r="J136" t="s">
        <v>550</v>
      </c>
      <c r="K136" t="s">
        <v>840</v>
      </c>
      <c r="L136" t="s">
        <v>841</v>
      </c>
    </row>
    <row r="137" spans="1:14">
      <c r="A137" t="str">
        <f t="shared" si="2"/>
        <v>-</v>
      </c>
      <c r="H137" t="s">
        <v>136</v>
      </c>
      <c r="J137" t="s">
        <v>551</v>
      </c>
      <c r="K137" t="s">
        <v>840</v>
      </c>
      <c r="L137" t="s">
        <v>841</v>
      </c>
    </row>
    <row r="138" spans="1:14">
      <c r="A138" t="str">
        <f t="shared" si="2"/>
        <v>-</v>
      </c>
      <c r="H138" t="s">
        <v>136</v>
      </c>
      <c r="J138" t="s">
        <v>552</v>
      </c>
      <c r="K138" t="s">
        <v>840</v>
      </c>
      <c r="L138" t="s">
        <v>841</v>
      </c>
    </row>
    <row r="139" spans="1:14">
      <c r="A139" t="str">
        <f t="shared" si="2"/>
        <v>Minn-Irvine-34</v>
      </c>
      <c r="B139" t="s">
        <v>927</v>
      </c>
      <c r="C139">
        <v>34</v>
      </c>
      <c r="D139" t="s">
        <v>628</v>
      </c>
      <c r="E139" t="s">
        <v>840</v>
      </c>
      <c r="F139" t="s">
        <v>637</v>
      </c>
      <c r="G139" t="s">
        <v>553</v>
      </c>
      <c r="H139" t="s">
        <v>136</v>
      </c>
      <c r="I139" t="s">
        <v>102</v>
      </c>
      <c r="J139" t="s">
        <v>554</v>
      </c>
      <c r="K139" t="s">
        <v>840</v>
      </c>
      <c r="L139" t="s">
        <v>841</v>
      </c>
    </row>
    <row r="140" spans="1:14">
      <c r="A140" t="str">
        <f t="shared" si="2"/>
        <v>Minn-Irvine-73</v>
      </c>
      <c r="B140" t="s">
        <v>927</v>
      </c>
      <c r="C140">
        <v>73</v>
      </c>
      <c r="D140" t="s">
        <v>773</v>
      </c>
      <c r="E140" t="s">
        <v>840</v>
      </c>
      <c r="F140" t="s">
        <v>671</v>
      </c>
      <c r="G140" t="s">
        <v>555</v>
      </c>
      <c r="H140" t="s">
        <v>103</v>
      </c>
      <c r="J140" t="s">
        <v>556</v>
      </c>
      <c r="K140" t="s">
        <v>840</v>
      </c>
      <c r="L140" t="s">
        <v>841</v>
      </c>
      <c r="M140" t="s">
        <v>557</v>
      </c>
      <c r="N140" t="s">
        <v>558</v>
      </c>
    </row>
    <row r="141" spans="1:14">
      <c r="A141" t="str">
        <f t="shared" si="2"/>
        <v>Minn-Irvine-35</v>
      </c>
      <c r="B141" t="s">
        <v>927</v>
      </c>
      <c r="C141">
        <v>35</v>
      </c>
      <c r="D141" t="s">
        <v>628</v>
      </c>
      <c r="E141" t="s">
        <v>840</v>
      </c>
      <c r="F141" t="s">
        <v>637</v>
      </c>
      <c r="G141" t="s">
        <v>560</v>
      </c>
      <c r="H141" t="s">
        <v>136</v>
      </c>
      <c r="J141" t="s">
        <v>561</v>
      </c>
      <c r="K141" t="s">
        <v>840</v>
      </c>
      <c r="L141" t="s">
        <v>841</v>
      </c>
    </row>
    <row r="142" spans="1:14">
      <c r="A142" t="str">
        <f t="shared" si="2"/>
        <v>Minn-Irvine-36</v>
      </c>
      <c r="B142" t="s">
        <v>927</v>
      </c>
      <c r="C142">
        <v>36</v>
      </c>
      <c r="D142" t="s">
        <v>628</v>
      </c>
      <c r="E142" t="s">
        <v>840</v>
      </c>
      <c r="F142" t="s">
        <v>637</v>
      </c>
      <c r="G142" t="s">
        <v>562</v>
      </c>
      <c r="H142" t="s">
        <v>136</v>
      </c>
      <c r="J142" t="s">
        <v>563</v>
      </c>
      <c r="K142" t="s">
        <v>840</v>
      </c>
      <c r="L142" t="s">
        <v>841</v>
      </c>
    </row>
    <row r="143" spans="1:14">
      <c r="A143" t="str">
        <f t="shared" si="2"/>
        <v>Minn-Irvine-37</v>
      </c>
      <c r="B143" t="s">
        <v>927</v>
      </c>
      <c r="C143">
        <v>37</v>
      </c>
      <c r="D143" t="s">
        <v>628</v>
      </c>
      <c r="E143" t="s">
        <v>840</v>
      </c>
      <c r="F143" t="s">
        <v>637</v>
      </c>
      <c r="G143" t="s">
        <v>564</v>
      </c>
      <c r="H143" t="s">
        <v>136</v>
      </c>
      <c r="J143" t="s">
        <v>565</v>
      </c>
      <c r="K143" t="s">
        <v>840</v>
      </c>
      <c r="L143" t="s">
        <v>841</v>
      </c>
    </row>
    <row r="144" spans="1:14">
      <c r="A144" t="str">
        <f t="shared" si="2"/>
        <v>Minn-Irvine-38</v>
      </c>
      <c r="B144" t="s">
        <v>927</v>
      </c>
      <c r="C144">
        <v>38</v>
      </c>
      <c r="D144" t="s">
        <v>628</v>
      </c>
      <c r="E144" t="s">
        <v>840</v>
      </c>
      <c r="F144" t="s">
        <v>637</v>
      </c>
      <c r="G144" t="s">
        <v>566</v>
      </c>
      <c r="H144" t="s">
        <v>136</v>
      </c>
      <c r="J144" t="s">
        <v>567</v>
      </c>
      <c r="K144" t="s">
        <v>840</v>
      </c>
      <c r="L144" t="s">
        <v>841</v>
      </c>
    </row>
    <row r="145" spans="1:12">
      <c r="A145" t="str">
        <f t="shared" si="2"/>
        <v>Minn-Irvine-39</v>
      </c>
      <c r="B145" t="s">
        <v>927</v>
      </c>
      <c r="C145">
        <v>39</v>
      </c>
      <c r="D145" t="s">
        <v>628</v>
      </c>
      <c r="E145" t="s">
        <v>840</v>
      </c>
      <c r="F145" t="s">
        <v>637</v>
      </c>
      <c r="G145" t="s">
        <v>568</v>
      </c>
      <c r="H145" t="s">
        <v>136</v>
      </c>
      <c r="J145" t="s">
        <v>569</v>
      </c>
      <c r="K145" t="s">
        <v>840</v>
      </c>
      <c r="L145" t="s">
        <v>841</v>
      </c>
    </row>
    <row r="146" spans="1:12">
      <c r="A146" t="str">
        <f t="shared" si="2"/>
        <v>Minn-Irvine-40</v>
      </c>
      <c r="B146" t="s">
        <v>927</v>
      </c>
      <c r="C146">
        <v>40</v>
      </c>
      <c r="D146" t="s">
        <v>628</v>
      </c>
      <c r="E146" t="s">
        <v>840</v>
      </c>
      <c r="F146" t="s">
        <v>637</v>
      </c>
      <c r="G146" t="s">
        <v>570</v>
      </c>
      <c r="H146" t="s">
        <v>136</v>
      </c>
      <c r="J146" t="s">
        <v>571</v>
      </c>
      <c r="K146" t="s">
        <v>840</v>
      </c>
      <c r="L146" t="s">
        <v>841</v>
      </c>
    </row>
    <row r="147" spans="1:12">
      <c r="A147" t="str">
        <f t="shared" si="2"/>
        <v>Minn-Irvine-41</v>
      </c>
      <c r="B147" t="s">
        <v>927</v>
      </c>
      <c r="C147">
        <v>41</v>
      </c>
      <c r="D147" t="s">
        <v>628</v>
      </c>
      <c r="E147" t="s">
        <v>840</v>
      </c>
      <c r="F147" t="s">
        <v>637</v>
      </c>
      <c r="G147" t="s">
        <v>572</v>
      </c>
      <c r="H147" t="s">
        <v>136</v>
      </c>
      <c r="J147" t="s">
        <v>104</v>
      </c>
      <c r="K147" t="s">
        <v>840</v>
      </c>
      <c r="L147" t="s">
        <v>841</v>
      </c>
    </row>
    <row r="148" spans="1:12">
      <c r="A148" t="str">
        <f t="shared" si="2"/>
        <v>Minn-Irvine-42</v>
      </c>
      <c r="B148" t="s">
        <v>927</v>
      </c>
      <c r="C148">
        <v>42</v>
      </c>
      <c r="D148" t="s">
        <v>628</v>
      </c>
      <c r="E148" t="s">
        <v>840</v>
      </c>
      <c r="F148" t="s">
        <v>637</v>
      </c>
      <c r="G148" t="s">
        <v>574</v>
      </c>
      <c r="H148" t="s">
        <v>136</v>
      </c>
      <c r="J148" t="s">
        <v>575</v>
      </c>
      <c r="K148" t="s">
        <v>840</v>
      </c>
      <c r="L148" t="s">
        <v>841</v>
      </c>
    </row>
    <row r="149" spans="1:12">
      <c r="A149" t="str">
        <f t="shared" si="2"/>
        <v>Minn-Irvine-43</v>
      </c>
      <c r="B149" t="s">
        <v>927</v>
      </c>
      <c r="C149">
        <v>43</v>
      </c>
      <c r="D149" t="s">
        <v>628</v>
      </c>
      <c r="E149" t="s">
        <v>840</v>
      </c>
      <c r="F149" t="s">
        <v>637</v>
      </c>
      <c r="G149" t="s">
        <v>576</v>
      </c>
      <c r="H149" t="s">
        <v>136</v>
      </c>
      <c r="J149" t="s">
        <v>577</v>
      </c>
      <c r="K149" t="s">
        <v>840</v>
      </c>
      <c r="L149" t="s">
        <v>841</v>
      </c>
    </row>
    <row r="150" spans="1:12">
      <c r="A150" t="str">
        <f t="shared" si="2"/>
        <v>Minn-Irvine-44</v>
      </c>
      <c r="B150" t="s">
        <v>927</v>
      </c>
      <c r="C150">
        <v>44</v>
      </c>
      <c r="D150" t="s">
        <v>628</v>
      </c>
      <c r="E150" t="s">
        <v>840</v>
      </c>
      <c r="F150" t="s">
        <v>637</v>
      </c>
      <c r="G150" t="s">
        <v>578</v>
      </c>
      <c r="H150" t="s">
        <v>136</v>
      </c>
      <c r="J150" t="s">
        <v>579</v>
      </c>
      <c r="K150" t="s">
        <v>840</v>
      </c>
      <c r="L150" t="s">
        <v>841</v>
      </c>
    </row>
    <row r="151" spans="1:12">
      <c r="A151" t="str">
        <f t="shared" si="2"/>
        <v>Minn-Irvine-45</v>
      </c>
      <c r="B151" t="s">
        <v>927</v>
      </c>
      <c r="C151">
        <v>45</v>
      </c>
      <c r="D151" t="s">
        <v>628</v>
      </c>
      <c r="E151" t="s">
        <v>840</v>
      </c>
      <c r="F151" t="s">
        <v>637</v>
      </c>
      <c r="G151" t="s">
        <v>580</v>
      </c>
      <c r="H151" t="s">
        <v>136</v>
      </c>
      <c r="J151" t="s">
        <v>581</v>
      </c>
      <c r="K151" t="s">
        <v>840</v>
      </c>
      <c r="L151" t="s">
        <v>841</v>
      </c>
    </row>
    <row r="152" spans="1:12">
      <c r="A152" t="str">
        <f t="shared" si="2"/>
        <v>Minn-Irvine-46</v>
      </c>
      <c r="B152" t="s">
        <v>927</v>
      </c>
      <c r="C152">
        <v>46</v>
      </c>
      <c r="D152" t="s">
        <v>628</v>
      </c>
      <c r="E152" t="s">
        <v>840</v>
      </c>
      <c r="F152" t="s">
        <v>637</v>
      </c>
      <c r="G152" t="s">
        <v>582</v>
      </c>
      <c r="H152" t="s">
        <v>136</v>
      </c>
      <c r="J152" t="s">
        <v>583</v>
      </c>
      <c r="K152" t="s">
        <v>840</v>
      </c>
      <c r="L152" t="s">
        <v>841</v>
      </c>
    </row>
    <row r="153" spans="1:12">
      <c r="A153" t="str">
        <f t="shared" si="2"/>
        <v>Minn-Irvine-47</v>
      </c>
      <c r="B153" t="s">
        <v>927</v>
      </c>
      <c r="C153">
        <v>47</v>
      </c>
      <c r="D153" t="s">
        <v>628</v>
      </c>
      <c r="E153" t="s">
        <v>840</v>
      </c>
      <c r="F153" t="s">
        <v>637</v>
      </c>
      <c r="G153" t="s">
        <v>584</v>
      </c>
      <c r="H153" t="s">
        <v>136</v>
      </c>
      <c r="J153" t="s">
        <v>585</v>
      </c>
      <c r="K153" t="s">
        <v>840</v>
      </c>
      <c r="L153" t="s">
        <v>841</v>
      </c>
    </row>
    <row r="154" spans="1:12">
      <c r="A154" t="str">
        <f t="shared" si="2"/>
        <v>Minn-Irvine-48</v>
      </c>
      <c r="B154" t="s">
        <v>927</v>
      </c>
      <c r="C154">
        <v>48</v>
      </c>
      <c r="D154" t="s">
        <v>628</v>
      </c>
      <c r="E154" t="s">
        <v>840</v>
      </c>
      <c r="F154" t="s">
        <v>637</v>
      </c>
      <c r="G154" t="s">
        <v>586</v>
      </c>
      <c r="H154" t="s">
        <v>136</v>
      </c>
      <c r="J154" t="s">
        <v>587</v>
      </c>
      <c r="K154" t="s">
        <v>840</v>
      </c>
      <c r="L154" t="s">
        <v>841</v>
      </c>
    </row>
    <row r="155" spans="1:12">
      <c r="A155" t="str">
        <f t="shared" si="2"/>
        <v>Minn-Irvine-49</v>
      </c>
      <c r="B155" t="s">
        <v>927</v>
      </c>
      <c r="C155">
        <v>49</v>
      </c>
      <c r="D155" t="s">
        <v>628</v>
      </c>
      <c r="E155" t="s">
        <v>840</v>
      </c>
      <c r="F155" t="s">
        <v>637</v>
      </c>
      <c r="G155" t="s">
        <v>588</v>
      </c>
      <c r="H155" t="s">
        <v>136</v>
      </c>
      <c r="J155" t="s">
        <v>589</v>
      </c>
      <c r="K155" t="s">
        <v>840</v>
      </c>
      <c r="L155" t="s">
        <v>841</v>
      </c>
    </row>
    <row r="156" spans="1:12">
      <c r="A156" t="str">
        <f t="shared" si="2"/>
        <v>Minn-Irvine-50</v>
      </c>
      <c r="B156" t="s">
        <v>927</v>
      </c>
      <c r="C156">
        <v>50</v>
      </c>
      <c r="D156" t="s">
        <v>628</v>
      </c>
      <c r="E156" t="s">
        <v>840</v>
      </c>
      <c r="F156" t="s">
        <v>637</v>
      </c>
      <c r="G156" t="s">
        <v>483</v>
      </c>
      <c r="H156" t="s">
        <v>136</v>
      </c>
      <c r="I156" t="s">
        <v>105</v>
      </c>
      <c r="J156" t="s">
        <v>106</v>
      </c>
      <c r="K156" t="s">
        <v>840</v>
      </c>
      <c r="L156" t="s">
        <v>841</v>
      </c>
    </row>
    <row r="157" spans="1:12">
      <c r="A157" t="str">
        <f t="shared" si="2"/>
        <v>Minn-Irvine-51</v>
      </c>
      <c r="B157" t="s">
        <v>927</v>
      </c>
      <c r="C157">
        <v>51</v>
      </c>
      <c r="D157" t="s">
        <v>628</v>
      </c>
      <c r="E157" t="s">
        <v>840</v>
      </c>
      <c r="F157" t="s">
        <v>637</v>
      </c>
      <c r="G157" t="s">
        <v>485</v>
      </c>
      <c r="H157" t="s">
        <v>136</v>
      </c>
      <c r="J157" t="s">
        <v>107</v>
      </c>
      <c r="K157" t="s">
        <v>840</v>
      </c>
      <c r="L157" t="s">
        <v>841</v>
      </c>
    </row>
    <row r="158" spans="1:12">
      <c r="A158" t="str">
        <f t="shared" si="2"/>
        <v>Minn-Irvine-53</v>
      </c>
      <c r="B158" t="s">
        <v>927</v>
      </c>
      <c r="C158">
        <v>53</v>
      </c>
      <c r="D158" t="s">
        <v>628</v>
      </c>
      <c r="E158" t="s">
        <v>840</v>
      </c>
      <c r="F158" t="s">
        <v>637</v>
      </c>
      <c r="G158" t="s">
        <v>489</v>
      </c>
      <c r="H158" t="s">
        <v>136</v>
      </c>
      <c r="J158" t="s">
        <v>490</v>
      </c>
      <c r="K158" t="s">
        <v>840</v>
      </c>
      <c r="L158" t="s">
        <v>841</v>
      </c>
    </row>
    <row r="159" spans="1:12">
      <c r="A159" t="str">
        <f t="shared" si="2"/>
        <v>PEDS-1.6</v>
      </c>
      <c r="B159" t="s">
        <v>911</v>
      </c>
      <c r="C159">
        <v>1.6</v>
      </c>
      <c r="D159" t="s">
        <v>628</v>
      </c>
      <c r="E159" t="s">
        <v>840</v>
      </c>
      <c r="F159" t="s">
        <v>630</v>
      </c>
      <c r="G159" t="s">
        <v>491</v>
      </c>
      <c r="H159" t="s">
        <v>136</v>
      </c>
      <c r="I159" t="s">
        <v>68</v>
      </c>
      <c r="J159" t="s">
        <v>492</v>
      </c>
      <c r="K159" t="s">
        <v>840</v>
      </c>
      <c r="L159" t="s">
        <v>841</v>
      </c>
    </row>
    <row r="160" spans="1:12">
      <c r="A160" t="str">
        <f t="shared" si="2"/>
        <v>Minn-Irvine-54</v>
      </c>
      <c r="B160" t="s">
        <v>927</v>
      </c>
      <c r="C160">
        <v>54</v>
      </c>
      <c r="D160" t="s">
        <v>628</v>
      </c>
      <c r="E160" t="s">
        <v>840</v>
      </c>
      <c r="F160" t="s">
        <v>637</v>
      </c>
      <c r="G160" t="s">
        <v>493</v>
      </c>
      <c r="H160" t="s">
        <v>69</v>
      </c>
      <c r="I160" t="s">
        <v>70</v>
      </c>
      <c r="J160" t="s">
        <v>118</v>
      </c>
      <c r="K160" t="s">
        <v>840</v>
      </c>
      <c r="L160" t="s">
        <v>841</v>
      </c>
    </row>
    <row r="161" spans="1:14">
      <c r="A161" t="str">
        <f t="shared" si="2"/>
        <v>Minn-Irvine-55</v>
      </c>
      <c r="B161" t="s">
        <v>927</v>
      </c>
      <c r="C161">
        <v>55</v>
      </c>
      <c r="D161" t="s">
        <v>628</v>
      </c>
      <c r="E161" t="s">
        <v>840</v>
      </c>
      <c r="F161" t="s">
        <v>637</v>
      </c>
      <c r="G161" t="s">
        <v>495</v>
      </c>
      <c r="H161" t="s">
        <v>69</v>
      </c>
      <c r="J161" t="s">
        <v>496</v>
      </c>
      <c r="K161" t="s">
        <v>840</v>
      </c>
      <c r="L161" t="s">
        <v>841</v>
      </c>
    </row>
    <row r="162" spans="1:14">
      <c r="A162" t="str">
        <f t="shared" si="2"/>
        <v>Minn-Irvine-56</v>
      </c>
      <c r="B162" t="s">
        <v>927</v>
      </c>
      <c r="C162">
        <v>56</v>
      </c>
      <c r="D162" t="s">
        <v>628</v>
      </c>
      <c r="E162" t="s">
        <v>840</v>
      </c>
      <c r="F162" t="s">
        <v>637</v>
      </c>
      <c r="G162" t="s">
        <v>497</v>
      </c>
      <c r="H162" t="s">
        <v>69</v>
      </c>
      <c r="I162" t="s">
        <v>119</v>
      </c>
      <c r="J162" t="s">
        <v>498</v>
      </c>
      <c r="K162" t="s">
        <v>840</v>
      </c>
      <c r="L162" t="s">
        <v>841</v>
      </c>
    </row>
    <row r="163" spans="1:14">
      <c r="A163" t="str">
        <f t="shared" si="2"/>
        <v>Minn-Irvine-57</v>
      </c>
      <c r="B163" t="s">
        <v>927</v>
      </c>
      <c r="C163">
        <v>57</v>
      </c>
      <c r="D163" t="s">
        <v>660</v>
      </c>
      <c r="E163" t="s">
        <v>840</v>
      </c>
      <c r="F163" t="s">
        <v>637</v>
      </c>
      <c r="G163" t="s">
        <v>499</v>
      </c>
      <c r="H163" t="s">
        <v>136</v>
      </c>
      <c r="J163" t="s">
        <v>500</v>
      </c>
      <c r="K163" t="s">
        <v>840</v>
      </c>
      <c r="L163" t="s">
        <v>841</v>
      </c>
    </row>
    <row r="164" spans="1:14">
      <c r="A164" t="str">
        <f t="shared" si="2"/>
        <v>Minn-Irvine-59</v>
      </c>
      <c r="B164" t="s">
        <v>927</v>
      </c>
      <c r="C164">
        <v>59</v>
      </c>
      <c r="D164" t="s">
        <v>628</v>
      </c>
      <c r="E164" t="s">
        <v>840</v>
      </c>
      <c r="F164" t="s">
        <v>637</v>
      </c>
      <c r="G164" t="s">
        <v>502</v>
      </c>
      <c r="H164" t="s">
        <v>136</v>
      </c>
      <c r="J164" t="s">
        <v>503</v>
      </c>
      <c r="K164" t="s">
        <v>840</v>
      </c>
      <c r="L164" t="s">
        <v>841</v>
      </c>
    </row>
    <row r="165" spans="1:14">
      <c r="A165" t="str">
        <f t="shared" si="2"/>
        <v>PEDS-1.7</v>
      </c>
      <c r="B165" t="s">
        <v>911</v>
      </c>
      <c r="C165">
        <v>1.7</v>
      </c>
      <c r="D165" t="s">
        <v>628</v>
      </c>
      <c r="E165" t="s">
        <v>840</v>
      </c>
      <c r="F165" t="s">
        <v>630</v>
      </c>
      <c r="G165" t="s">
        <v>505</v>
      </c>
      <c r="I165" t="s">
        <v>120</v>
      </c>
      <c r="J165" t="s">
        <v>506</v>
      </c>
      <c r="K165" t="s">
        <v>840</v>
      </c>
      <c r="L165" t="s">
        <v>841</v>
      </c>
    </row>
    <row r="166" spans="1:14">
      <c r="A166" t="str">
        <f t="shared" si="2"/>
        <v>Minn-Irvine-62</v>
      </c>
      <c r="B166" t="s">
        <v>927</v>
      </c>
      <c r="C166">
        <v>62</v>
      </c>
      <c r="D166" t="s">
        <v>628</v>
      </c>
      <c r="E166" t="s">
        <v>840</v>
      </c>
      <c r="F166" t="s">
        <v>510</v>
      </c>
      <c r="G166" t="s">
        <v>511</v>
      </c>
      <c r="H166" t="s">
        <v>136</v>
      </c>
      <c r="I166" t="s">
        <v>71</v>
      </c>
      <c r="J166" t="s">
        <v>512</v>
      </c>
      <c r="K166" t="s">
        <v>793</v>
      </c>
      <c r="L166" t="s">
        <v>794</v>
      </c>
      <c r="M166" t="s">
        <v>936</v>
      </c>
      <c r="N166" t="s">
        <v>513</v>
      </c>
    </row>
    <row r="167" spans="1:14">
      <c r="A167" t="str">
        <f t="shared" si="2"/>
        <v>Minn-Irvine-63</v>
      </c>
      <c r="B167" t="s">
        <v>927</v>
      </c>
      <c r="C167">
        <v>63</v>
      </c>
      <c r="D167" t="s">
        <v>514</v>
      </c>
      <c r="E167" t="s">
        <v>840</v>
      </c>
      <c r="F167" t="s">
        <v>515</v>
      </c>
      <c r="G167" t="s">
        <v>516</v>
      </c>
      <c r="H167" t="s">
        <v>136</v>
      </c>
      <c r="I167" t="s">
        <v>72</v>
      </c>
      <c r="J167" t="s">
        <v>517</v>
      </c>
      <c r="K167" t="s">
        <v>840</v>
      </c>
      <c r="L167" t="s">
        <v>841</v>
      </c>
    </row>
    <row r="168" spans="1:14">
      <c r="A168" t="str">
        <f t="shared" si="2"/>
        <v>Minn-Irvine-64</v>
      </c>
      <c r="B168" t="s">
        <v>927</v>
      </c>
      <c r="C168">
        <v>64</v>
      </c>
      <c r="D168" t="s">
        <v>514</v>
      </c>
      <c r="E168" t="s">
        <v>840</v>
      </c>
      <c r="F168" t="s">
        <v>515</v>
      </c>
      <c r="G168" t="s">
        <v>518</v>
      </c>
      <c r="H168" t="s">
        <v>136</v>
      </c>
      <c r="I168" t="s">
        <v>73</v>
      </c>
      <c r="J168" t="s">
        <v>519</v>
      </c>
      <c r="K168" t="s">
        <v>840</v>
      </c>
      <c r="L168" t="s">
        <v>841</v>
      </c>
    </row>
    <row r="169" spans="1:14">
      <c r="A169" t="str">
        <f t="shared" si="2"/>
        <v>Minn-Irvine-65</v>
      </c>
      <c r="B169" t="s">
        <v>927</v>
      </c>
      <c r="C169">
        <v>65</v>
      </c>
      <c r="D169" t="s">
        <v>514</v>
      </c>
      <c r="E169" t="s">
        <v>840</v>
      </c>
      <c r="F169" t="s">
        <v>515</v>
      </c>
      <c r="G169" t="s">
        <v>520</v>
      </c>
      <c r="H169" t="s">
        <v>136</v>
      </c>
      <c r="I169" t="s">
        <v>74</v>
      </c>
      <c r="J169" t="s">
        <v>75</v>
      </c>
      <c r="K169" t="s">
        <v>840</v>
      </c>
      <c r="L169" t="s">
        <v>841</v>
      </c>
    </row>
    <row r="170" spans="1:14">
      <c r="A170" t="str">
        <f t="shared" si="2"/>
        <v>Minn-Irvine-66</v>
      </c>
      <c r="B170" t="s">
        <v>927</v>
      </c>
      <c r="C170">
        <v>66</v>
      </c>
      <c r="D170" t="s">
        <v>514</v>
      </c>
      <c r="E170" t="s">
        <v>840</v>
      </c>
      <c r="F170" t="s">
        <v>515</v>
      </c>
      <c r="G170" t="s">
        <v>522</v>
      </c>
      <c r="H170" t="s">
        <v>136</v>
      </c>
      <c r="I170" t="s">
        <v>76</v>
      </c>
      <c r="J170" t="s">
        <v>77</v>
      </c>
      <c r="K170" t="s">
        <v>840</v>
      </c>
      <c r="L170" t="s">
        <v>841</v>
      </c>
    </row>
    <row r="171" spans="1:14">
      <c r="A171" t="str">
        <f t="shared" si="2"/>
        <v>Minn-Irvine-74</v>
      </c>
      <c r="B171" t="s">
        <v>927</v>
      </c>
      <c r="C171">
        <v>74</v>
      </c>
      <c r="D171" t="s">
        <v>628</v>
      </c>
      <c r="E171" t="s">
        <v>840</v>
      </c>
      <c r="F171" t="s">
        <v>524</v>
      </c>
      <c r="G171" t="s">
        <v>791</v>
      </c>
      <c r="H171" t="s">
        <v>136</v>
      </c>
      <c r="I171" t="s">
        <v>78</v>
      </c>
      <c r="J171" t="s">
        <v>525</v>
      </c>
      <c r="K171" t="s">
        <v>793</v>
      </c>
      <c r="L171" t="s">
        <v>794</v>
      </c>
      <c r="M171" t="s">
        <v>936</v>
      </c>
    </row>
    <row r="172" spans="1:14">
      <c r="A172" t="str">
        <f t="shared" si="2"/>
        <v>Minn-Irvine-75</v>
      </c>
      <c r="B172" t="s">
        <v>927</v>
      </c>
      <c r="C172">
        <v>75</v>
      </c>
      <c r="D172" t="s">
        <v>628</v>
      </c>
      <c r="E172" t="s">
        <v>840</v>
      </c>
      <c r="F172" t="s">
        <v>526</v>
      </c>
      <c r="G172" t="s">
        <v>791</v>
      </c>
      <c r="H172" t="s">
        <v>136</v>
      </c>
      <c r="I172" t="s">
        <v>79</v>
      </c>
      <c r="J172" t="s">
        <v>527</v>
      </c>
      <c r="K172" t="s">
        <v>793</v>
      </c>
      <c r="L172" t="s">
        <v>794</v>
      </c>
      <c r="M172" t="s">
        <v>936</v>
      </c>
    </row>
    <row r="173" spans="1:14">
      <c r="A173" t="str">
        <f t="shared" si="2"/>
        <v>Minn-Irvine-76</v>
      </c>
      <c r="B173" t="s">
        <v>927</v>
      </c>
      <c r="C173">
        <v>76</v>
      </c>
      <c r="D173" t="s">
        <v>628</v>
      </c>
      <c r="E173" t="s">
        <v>840</v>
      </c>
      <c r="F173" t="s">
        <v>528</v>
      </c>
      <c r="G173" t="s">
        <v>529</v>
      </c>
      <c r="H173" t="s">
        <v>136</v>
      </c>
      <c r="J173" t="s">
        <v>530</v>
      </c>
      <c r="K173" t="s">
        <v>793</v>
      </c>
      <c r="L173" t="s">
        <v>794</v>
      </c>
      <c r="M173" t="s">
        <v>936</v>
      </c>
    </row>
    <row r="174" spans="1:14">
      <c r="A174" t="str">
        <f t="shared" si="2"/>
        <v>Minn-Irvine-77</v>
      </c>
      <c r="B174" t="s">
        <v>927</v>
      </c>
      <c r="C174">
        <v>77</v>
      </c>
      <c r="D174" t="s">
        <v>628</v>
      </c>
      <c r="E174" t="s">
        <v>840</v>
      </c>
      <c r="F174" t="s">
        <v>531</v>
      </c>
      <c r="G174" t="s">
        <v>791</v>
      </c>
      <c r="H174" t="s">
        <v>136</v>
      </c>
      <c r="I174" t="s">
        <v>80</v>
      </c>
      <c r="J174" t="s">
        <v>532</v>
      </c>
      <c r="K174" t="s">
        <v>793</v>
      </c>
      <c r="L174" t="s">
        <v>794</v>
      </c>
      <c r="M174" t="s">
        <v>936</v>
      </c>
    </row>
    <row r="175" spans="1:14">
      <c r="A175" t="str">
        <f t="shared" si="2"/>
        <v>Minn-Irvine-78</v>
      </c>
      <c r="B175" t="s">
        <v>927</v>
      </c>
      <c r="C175">
        <v>78</v>
      </c>
      <c r="D175" t="s">
        <v>628</v>
      </c>
      <c r="E175" t="s">
        <v>840</v>
      </c>
      <c r="F175" t="s">
        <v>533</v>
      </c>
      <c r="G175" t="s">
        <v>791</v>
      </c>
      <c r="H175" t="s">
        <v>136</v>
      </c>
      <c r="I175" t="s">
        <v>81</v>
      </c>
      <c r="J175" t="s">
        <v>534</v>
      </c>
      <c r="K175" t="s">
        <v>793</v>
      </c>
      <c r="L175" t="s">
        <v>794</v>
      </c>
      <c r="M175" t="s">
        <v>936</v>
      </c>
    </row>
    <row r="176" spans="1:14">
      <c r="A176" t="str">
        <f t="shared" si="2"/>
        <v>Minn-Irvine-79</v>
      </c>
      <c r="B176" t="s">
        <v>927</v>
      </c>
      <c r="C176">
        <v>79</v>
      </c>
      <c r="D176" t="s">
        <v>628</v>
      </c>
      <c r="E176" t="s">
        <v>840</v>
      </c>
      <c r="F176" t="s">
        <v>423</v>
      </c>
      <c r="G176" t="s">
        <v>791</v>
      </c>
      <c r="H176" t="s">
        <v>136</v>
      </c>
      <c r="I176" t="s">
        <v>82</v>
      </c>
      <c r="J176" t="s">
        <v>83</v>
      </c>
      <c r="K176" t="s">
        <v>793</v>
      </c>
      <c r="L176" t="s">
        <v>794</v>
      </c>
      <c r="M176" t="s">
        <v>936</v>
      </c>
    </row>
    <row r="177" spans="1:21">
      <c r="A177" t="str">
        <f t="shared" si="2"/>
        <v>Minn-Irvine-80</v>
      </c>
      <c r="B177" t="s">
        <v>927</v>
      </c>
      <c r="C177">
        <v>80</v>
      </c>
      <c r="D177" t="s">
        <v>628</v>
      </c>
      <c r="E177" t="s">
        <v>840</v>
      </c>
      <c r="F177" t="s">
        <v>425</v>
      </c>
      <c r="G177" t="s">
        <v>791</v>
      </c>
      <c r="H177" t="s">
        <v>136</v>
      </c>
      <c r="I177" t="s">
        <v>84</v>
      </c>
      <c r="J177" t="s">
        <v>426</v>
      </c>
      <c r="K177" t="s">
        <v>793</v>
      </c>
      <c r="L177" t="s">
        <v>794</v>
      </c>
      <c r="M177" t="s">
        <v>936</v>
      </c>
    </row>
    <row r="178" spans="1:21">
      <c r="A178" t="str">
        <f t="shared" si="2"/>
        <v>Minn-Irvine-81</v>
      </c>
      <c r="B178" t="s">
        <v>927</v>
      </c>
      <c r="C178">
        <v>81</v>
      </c>
      <c r="D178" t="s">
        <v>628</v>
      </c>
      <c r="E178" t="s">
        <v>840</v>
      </c>
      <c r="F178" t="s">
        <v>427</v>
      </c>
      <c r="G178" t="s">
        <v>791</v>
      </c>
      <c r="H178" t="s">
        <v>136</v>
      </c>
      <c r="I178" t="s">
        <v>85</v>
      </c>
      <c r="J178" t="s">
        <v>86</v>
      </c>
      <c r="K178" t="s">
        <v>793</v>
      </c>
      <c r="L178" t="s">
        <v>794</v>
      </c>
      <c r="M178" t="s">
        <v>936</v>
      </c>
    </row>
    <row r="179" spans="1:21">
      <c r="A179" t="str">
        <f t="shared" si="2"/>
        <v>Minn-Irvine-82</v>
      </c>
      <c r="B179" t="s">
        <v>927</v>
      </c>
      <c r="C179">
        <v>82</v>
      </c>
      <c r="D179" t="s">
        <v>628</v>
      </c>
      <c r="E179" t="s">
        <v>840</v>
      </c>
      <c r="F179" t="s">
        <v>429</v>
      </c>
      <c r="G179" t="s">
        <v>791</v>
      </c>
      <c r="H179" t="s">
        <v>136</v>
      </c>
      <c r="J179" t="s">
        <v>430</v>
      </c>
      <c r="K179" t="s">
        <v>793</v>
      </c>
      <c r="L179" t="s">
        <v>794</v>
      </c>
      <c r="M179" t="s">
        <v>936</v>
      </c>
    </row>
    <row r="180" spans="1:21">
      <c r="A180" t="str">
        <f t="shared" si="2"/>
        <v>Minn-Irvine-84</v>
      </c>
      <c r="B180" t="s">
        <v>927</v>
      </c>
      <c r="C180">
        <v>84</v>
      </c>
      <c r="D180" t="s">
        <v>660</v>
      </c>
      <c r="E180" t="s">
        <v>840</v>
      </c>
      <c r="F180" t="s">
        <v>433</v>
      </c>
      <c r="G180" t="s">
        <v>893</v>
      </c>
      <c r="I180" t="s">
        <v>87</v>
      </c>
      <c r="J180" t="s">
        <v>88</v>
      </c>
      <c r="K180" t="s">
        <v>840</v>
      </c>
      <c r="L180" t="s">
        <v>841</v>
      </c>
    </row>
    <row r="181" spans="1:21">
      <c r="A181" t="str">
        <f t="shared" si="2"/>
        <v>Minn-Irvine-85</v>
      </c>
      <c r="B181" t="s">
        <v>927</v>
      </c>
      <c r="C181">
        <v>85</v>
      </c>
      <c r="D181" t="s">
        <v>660</v>
      </c>
      <c r="E181" t="s">
        <v>840</v>
      </c>
      <c r="F181" t="s">
        <v>436</v>
      </c>
      <c r="G181" t="s">
        <v>893</v>
      </c>
      <c r="I181" t="s">
        <v>89</v>
      </c>
      <c r="J181" t="s">
        <v>437</v>
      </c>
      <c r="K181" t="s">
        <v>840</v>
      </c>
      <c r="L181" t="s">
        <v>841</v>
      </c>
    </row>
    <row r="182" spans="1:21">
      <c r="A182" t="str">
        <f t="shared" si="2"/>
        <v>Minn-Irvine-86</v>
      </c>
      <c r="B182" t="s">
        <v>927</v>
      </c>
      <c r="C182">
        <v>86</v>
      </c>
      <c r="D182" t="s">
        <v>660</v>
      </c>
      <c r="E182" t="s">
        <v>840</v>
      </c>
      <c r="F182" t="s">
        <v>438</v>
      </c>
      <c r="G182" t="s">
        <v>893</v>
      </c>
      <c r="I182" t="s">
        <v>90</v>
      </c>
      <c r="J182" t="s">
        <v>439</v>
      </c>
      <c r="K182" t="s">
        <v>840</v>
      </c>
      <c r="L182" t="s">
        <v>841</v>
      </c>
    </row>
    <row r="183" spans="1:21">
      <c r="A183" t="str">
        <f t="shared" si="2"/>
        <v>Minn-Irvine-87</v>
      </c>
      <c r="B183" t="s">
        <v>927</v>
      </c>
      <c r="C183">
        <v>87</v>
      </c>
      <c r="D183" t="s">
        <v>660</v>
      </c>
      <c r="E183" t="s">
        <v>840</v>
      </c>
      <c r="F183" t="s">
        <v>440</v>
      </c>
      <c r="G183" t="s">
        <v>893</v>
      </c>
      <c r="I183" t="s">
        <v>91</v>
      </c>
      <c r="J183" t="s">
        <v>441</v>
      </c>
      <c r="K183" t="s">
        <v>840</v>
      </c>
      <c r="L183" t="s">
        <v>841</v>
      </c>
    </row>
    <row r="184" spans="1:21">
      <c r="A184" t="str">
        <f t="shared" si="2"/>
        <v>Minn-Irvine-88</v>
      </c>
      <c r="B184" t="s">
        <v>927</v>
      </c>
      <c r="C184">
        <v>88</v>
      </c>
      <c r="D184" t="s">
        <v>660</v>
      </c>
      <c r="E184" t="s">
        <v>840</v>
      </c>
      <c r="F184" t="s">
        <v>442</v>
      </c>
      <c r="G184" t="s">
        <v>893</v>
      </c>
      <c r="I184" t="s">
        <v>92</v>
      </c>
      <c r="J184" t="s">
        <v>443</v>
      </c>
      <c r="K184" t="s">
        <v>840</v>
      </c>
      <c r="L184" t="s">
        <v>841</v>
      </c>
    </row>
    <row r="185" spans="1:21">
      <c r="A185" t="str">
        <f t="shared" si="2"/>
        <v>Minn-Irvine-89</v>
      </c>
      <c r="B185" t="s">
        <v>927</v>
      </c>
      <c r="C185">
        <v>89</v>
      </c>
      <c r="D185" t="s">
        <v>660</v>
      </c>
      <c r="E185" t="s">
        <v>840</v>
      </c>
      <c r="F185" t="s">
        <v>444</v>
      </c>
      <c r="G185" t="s">
        <v>893</v>
      </c>
      <c r="I185" t="s">
        <v>93</v>
      </c>
      <c r="J185" t="s">
        <v>445</v>
      </c>
      <c r="K185" t="s">
        <v>840</v>
      </c>
      <c r="L185" t="s">
        <v>841</v>
      </c>
    </row>
    <row r="186" spans="1:21">
      <c r="A186" t="str">
        <f t="shared" si="2"/>
        <v>Minn-Irvine-90</v>
      </c>
      <c r="B186" t="s">
        <v>927</v>
      </c>
      <c r="C186">
        <v>90</v>
      </c>
      <c r="D186" t="s">
        <v>660</v>
      </c>
      <c r="E186" t="s">
        <v>840</v>
      </c>
      <c r="F186" t="s">
        <v>446</v>
      </c>
      <c r="G186" t="s">
        <v>893</v>
      </c>
      <c r="I186" t="s">
        <v>94</v>
      </c>
      <c r="J186" t="s">
        <v>447</v>
      </c>
      <c r="K186" t="s">
        <v>840</v>
      </c>
      <c r="L186" t="s">
        <v>841</v>
      </c>
    </row>
    <row r="187" spans="1:21">
      <c r="A187" t="str">
        <f t="shared" si="2"/>
        <v>Minn-Irvine-91</v>
      </c>
      <c r="B187" t="s">
        <v>927</v>
      </c>
      <c r="C187">
        <v>91</v>
      </c>
      <c r="D187" t="s">
        <v>660</v>
      </c>
      <c r="E187" t="s">
        <v>840</v>
      </c>
      <c r="F187" t="s">
        <v>448</v>
      </c>
      <c r="G187" t="s">
        <v>893</v>
      </c>
      <c r="I187" t="s">
        <v>95</v>
      </c>
      <c r="J187" t="s">
        <v>449</v>
      </c>
      <c r="K187" t="s">
        <v>840</v>
      </c>
      <c r="L187" t="s">
        <v>841</v>
      </c>
    </row>
    <row r="188" spans="1:21">
      <c r="A188" t="str">
        <f t="shared" si="2"/>
        <v>-</v>
      </c>
      <c r="J188" t="s">
        <v>450</v>
      </c>
    </row>
    <row r="189" spans="1:21">
      <c r="A189" t="str">
        <f t="shared" si="2"/>
        <v>MIUDQ-22</v>
      </c>
      <c r="B189" t="s">
        <v>451</v>
      </c>
      <c r="C189">
        <v>22</v>
      </c>
      <c r="D189" t="s">
        <v>514</v>
      </c>
      <c r="E189" t="s">
        <v>840</v>
      </c>
      <c r="F189" t="s">
        <v>452</v>
      </c>
      <c r="G189" t="s">
        <v>453</v>
      </c>
      <c r="I189" t="s">
        <v>60</v>
      </c>
      <c r="J189" t="s">
        <v>454</v>
      </c>
      <c r="K189" t="s">
        <v>936</v>
      </c>
      <c r="L189">
        <v>1</v>
      </c>
      <c r="M189">
        <v>2</v>
      </c>
      <c r="N189">
        <v>3</v>
      </c>
      <c r="O189">
        <v>4</v>
      </c>
      <c r="P189">
        <v>5</v>
      </c>
      <c r="Q189">
        <v>6</v>
      </c>
      <c r="R189">
        <v>7</v>
      </c>
      <c r="S189">
        <v>8</v>
      </c>
      <c r="T189">
        <v>9</v>
      </c>
      <c r="U189" t="s">
        <v>750</v>
      </c>
    </row>
    <row r="190" spans="1:21">
      <c r="A190" t="str">
        <f t="shared" si="2"/>
        <v>Minn-Irvine-127</v>
      </c>
      <c r="B190" t="s">
        <v>927</v>
      </c>
      <c r="C190">
        <v>127</v>
      </c>
      <c r="D190" t="s">
        <v>514</v>
      </c>
      <c r="E190" t="s">
        <v>840</v>
      </c>
      <c r="F190" t="s">
        <v>456</v>
      </c>
      <c r="G190" t="s">
        <v>457</v>
      </c>
      <c r="H190" t="s">
        <v>61</v>
      </c>
      <c r="I190" t="s">
        <v>62</v>
      </c>
      <c r="J190" t="s">
        <v>63</v>
      </c>
      <c r="K190" t="s">
        <v>64</v>
      </c>
      <c r="L190" t="s">
        <v>65</v>
      </c>
      <c r="M190" t="s">
        <v>461</v>
      </c>
      <c r="N190" t="s">
        <v>945</v>
      </c>
    </row>
    <row r="191" spans="1:21">
      <c r="A191" t="str">
        <f t="shared" si="2"/>
        <v>Minn-Irvine-131</v>
      </c>
      <c r="B191" t="s">
        <v>927</v>
      </c>
      <c r="C191">
        <v>131</v>
      </c>
      <c r="D191" t="s">
        <v>514</v>
      </c>
      <c r="E191" t="s">
        <v>840</v>
      </c>
      <c r="F191" t="s">
        <v>463</v>
      </c>
      <c r="G191" t="s">
        <v>511</v>
      </c>
      <c r="H191" t="s">
        <v>61</v>
      </c>
      <c r="I191" t="s">
        <v>66</v>
      </c>
      <c r="J191" t="s">
        <v>67</v>
      </c>
      <c r="K191" t="s">
        <v>793</v>
      </c>
      <c r="L191" t="s">
        <v>794</v>
      </c>
      <c r="M191" t="s">
        <v>936</v>
      </c>
      <c r="N191" t="s">
        <v>945</v>
      </c>
    </row>
    <row r="192" spans="1:21">
      <c r="A192" t="str">
        <f t="shared" si="2"/>
        <v>Minn-Irvine-130</v>
      </c>
      <c r="B192" t="s">
        <v>927</v>
      </c>
      <c r="C192">
        <v>130</v>
      </c>
      <c r="D192" t="s">
        <v>514</v>
      </c>
      <c r="E192" t="s">
        <v>840</v>
      </c>
      <c r="F192" t="s">
        <v>465</v>
      </c>
      <c r="G192" t="s">
        <v>511</v>
      </c>
      <c r="H192" t="s">
        <v>61</v>
      </c>
      <c r="I192" t="s">
        <v>51</v>
      </c>
      <c r="J192" t="s">
        <v>466</v>
      </c>
      <c r="K192" t="s">
        <v>793</v>
      </c>
      <c r="L192" t="s">
        <v>794</v>
      </c>
      <c r="M192" t="s">
        <v>936</v>
      </c>
      <c r="N192" t="s">
        <v>945</v>
      </c>
    </row>
    <row r="193" spans="1:22">
      <c r="A193" t="str">
        <f t="shared" si="2"/>
        <v>Minn-Irvine-133</v>
      </c>
      <c r="B193" t="s">
        <v>927</v>
      </c>
      <c r="C193">
        <v>133</v>
      </c>
      <c r="D193" t="s">
        <v>514</v>
      </c>
      <c r="E193" t="s">
        <v>840</v>
      </c>
      <c r="F193" t="s">
        <v>467</v>
      </c>
      <c r="G193" t="s">
        <v>511</v>
      </c>
      <c r="H193" t="s">
        <v>61</v>
      </c>
      <c r="I193" t="s">
        <v>52</v>
      </c>
      <c r="J193" t="s">
        <v>53</v>
      </c>
      <c r="K193" t="s">
        <v>793</v>
      </c>
      <c r="L193" t="s">
        <v>794</v>
      </c>
      <c r="M193" t="s">
        <v>936</v>
      </c>
      <c r="N193" t="s">
        <v>945</v>
      </c>
    </row>
    <row r="194" spans="1:22">
      <c r="A194" t="str">
        <f t="shared" si="2"/>
        <v>Minn-Irvine-134</v>
      </c>
      <c r="B194" t="s">
        <v>927</v>
      </c>
      <c r="C194">
        <v>134</v>
      </c>
      <c r="D194" t="s">
        <v>514</v>
      </c>
      <c r="E194" t="s">
        <v>840</v>
      </c>
      <c r="F194" t="s">
        <v>469</v>
      </c>
      <c r="G194" t="s">
        <v>470</v>
      </c>
      <c r="H194" t="s">
        <v>54</v>
      </c>
      <c r="I194" t="s">
        <v>55</v>
      </c>
      <c r="J194" t="s">
        <v>471</v>
      </c>
      <c r="K194" t="s">
        <v>472</v>
      </c>
      <c r="L194" t="s">
        <v>473</v>
      </c>
      <c r="M194" t="s">
        <v>474</v>
      </c>
    </row>
    <row r="195" spans="1:22">
      <c r="A195" t="str">
        <f t="shared" si="2"/>
        <v>MIUDQ-3</v>
      </c>
      <c r="B195" t="s">
        <v>451</v>
      </c>
      <c r="C195">
        <v>3</v>
      </c>
      <c r="D195" t="s">
        <v>475</v>
      </c>
      <c r="E195" t="s">
        <v>840</v>
      </c>
      <c r="F195" t="s">
        <v>477</v>
      </c>
      <c r="G195" t="s">
        <v>478</v>
      </c>
      <c r="H195" t="s">
        <v>61</v>
      </c>
      <c r="I195" t="s">
        <v>56</v>
      </c>
      <c r="J195" t="s">
        <v>479</v>
      </c>
      <c r="K195" t="s">
        <v>480</v>
      </c>
    </row>
    <row r="196" spans="1:22">
      <c r="A196" t="str">
        <f t="shared" si="2"/>
        <v>MIUDQ-23</v>
      </c>
      <c r="B196" t="s">
        <v>451</v>
      </c>
      <c r="C196">
        <v>23</v>
      </c>
      <c r="D196" t="s">
        <v>475</v>
      </c>
      <c r="E196" t="s">
        <v>840</v>
      </c>
      <c r="F196" t="s">
        <v>452</v>
      </c>
      <c r="G196" t="s">
        <v>481</v>
      </c>
      <c r="H196" t="s">
        <v>61</v>
      </c>
      <c r="I196" t="s">
        <v>57</v>
      </c>
      <c r="J196" t="s">
        <v>482</v>
      </c>
      <c r="K196" t="s">
        <v>945</v>
      </c>
      <c r="L196">
        <v>1</v>
      </c>
      <c r="M196">
        <v>2</v>
      </c>
      <c r="N196">
        <v>3</v>
      </c>
      <c r="O196">
        <v>4</v>
      </c>
      <c r="P196">
        <v>5</v>
      </c>
      <c r="Q196">
        <v>6</v>
      </c>
      <c r="R196">
        <v>7</v>
      </c>
      <c r="S196">
        <v>8</v>
      </c>
      <c r="T196">
        <v>9</v>
      </c>
      <c r="U196" t="s">
        <v>750</v>
      </c>
    </row>
    <row r="197" spans="1:22">
      <c r="A197" t="str">
        <f t="shared" ref="A197:A244" si="3">CONCATENATE(B197,"-",C197)</f>
        <v>MIUDQ-24</v>
      </c>
      <c r="B197" t="s">
        <v>451</v>
      </c>
      <c r="C197">
        <v>24</v>
      </c>
      <c r="D197" t="s">
        <v>475</v>
      </c>
      <c r="E197" t="s">
        <v>840</v>
      </c>
      <c r="F197" t="s">
        <v>452</v>
      </c>
      <c r="G197" t="s">
        <v>379</v>
      </c>
      <c r="H197" t="s">
        <v>61</v>
      </c>
      <c r="I197" t="s">
        <v>58</v>
      </c>
      <c r="J197" t="s">
        <v>380</v>
      </c>
      <c r="K197" t="s">
        <v>945</v>
      </c>
      <c r="L197">
        <v>1</v>
      </c>
      <c r="M197">
        <v>2</v>
      </c>
      <c r="N197">
        <v>3</v>
      </c>
      <c r="O197">
        <v>4</v>
      </c>
      <c r="P197">
        <v>5</v>
      </c>
      <c r="Q197">
        <v>6</v>
      </c>
      <c r="R197">
        <v>7</v>
      </c>
      <c r="S197">
        <v>8</v>
      </c>
      <c r="T197">
        <v>9</v>
      </c>
      <c r="U197" t="s">
        <v>750</v>
      </c>
    </row>
    <row r="198" spans="1:22">
      <c r="A198" t="str">
        <f t="shared" si="3"/>
        <v>MIUDQ-5</v>
      </c>
      <c r="B198" t="s">
        <v>451</v>
      </c>
      <c r="C198">
        <v>5</v>
      </c>
      <c r="D198" t="s">
        <v>475</v>
      </c>
      <c r="E198" t="s">
        <v>840</v>
      </c>
      <c r="F198" t="s">
        <v>477</v>
      </c>
      <c r="G198" t="s">
        <v>381</v>
      </c>
      <c r="H198" t="s">
        <v>61</v>
      </c>
      <c r="I198" t="s">
        <v>59</v>
      </c>
      <c r="J198" t="s">
        <v>49</v>
      </c>
      <c r="K198" t="s">
        <v>945</v>
      </c>
      <c r="L198" t="s">
        <v>936</v>
      </c>
      <c r="M198">
        <v>1</v>
      </c>
      <c r="N198">
        <v>2</v>
      </c>
      <c r="O198">
        <v>3</v>
      </c>
      <c r="P198">
        <v>4</v>
      </c>
      <c r="Q198">
        <v>5</v>
      </c>
      <c r="R198">
        <v>6</v>
      </c>
      <c r="S198">
        <v>7</v>
      </c>
      <c r="T198">
        <v>8</v>
      </c>
      <c r="U198">
        <v>9</v>
      </c>
      <c r="V198" t="s">
        <v>750</v>
      </c>
    </row>
    <row r="199" spans="1:22">
      <c r="A199" t="str">
        <f t="shared" si="3"/>
        <v>Minn-Irvine-129</v>
      </c>
      <c r="B199" t="s">
        <v>927</v>
      </c>
      <c r="C199">
        <v>129</v>
      </c>
      <c r="D199" t="s">
        <v>816</v>
      </c>
      <c r="F199" t="s">
        <v>384</v>
      </c>
      <c r="G199" t="s">
        <v>893</v>
      </c>
      <c r="H199" t="s">
        <v>61</v>
      </c>
      <c r="I199" t="s">
        <v>50</v>
      </c>
      <c r="J199" t="s">
        <v>385</v>
      </c>
      <c r="K199" t="s">
        <v>840</v>
      </c>
      <c r="L199" t="s">
        <v>841</v>
      </c>
    </row>
    <row r="200" spans="1:22">
      <c r="A200" t="str">
        <f t="shared" si="3"/>
        <v>PEDS-29</v>
      </c>
      <c r="B200" t="s">
        <v>911</v>
      </c>
      <c r="C200">
        <v>29</v>
      </c>
      <c r="D200" t="s">
        <v>816</v>
      </c>
      <c r="F200" t="s">
        <v>386</v>
      </c>
      <c r="G200" t="s">
        <v>387</v>
      </c>
      <c r="I200" t="s">
        <v>43</v>
      </c>
      <c r="J200" t="s">
        <v>44</v>
      </c>
      <c r="K200" t="s">
        <v>389</v>
      </c>
      <c r="L200" t="s">
        <v>390</v>
      </c>
      <c r="M200" t="s">
        <v>391</v>
      </c>
    </row>
    <row r="201" spans="1:22">
      <c r="A201" t="str">
        <f t="shared" si="3"/>
        <v>MIUDQ-10</v>
      </c>
      <c r="B201" t="s">
        <v>451</v>
      </c>
      <c r="C201">
        <v>10</v>
      </c>
      <c r="D201" t="s">
        <v>816</v>
      </c>
      <c r="F201" t="s">
        <v>383</v>
      </c>
      <c r="G201" t="s">
        <v>392</v>
      </c>
      <c r="H201" t="s">
        <v>61</v>
      </c>
      <c r="I201" t="s">
        <v>45</v>
      </c>
      <c r="J201" t="s">
        <v>393</v>
      </c>
      <c r="K201" t="s">
        <v>480</v>
      </c>
    </row>
    <row r="202" spans="1:22">
      <c r="A202" t="str">
        <f t="shared" si="3"/>
        <v>PEDS-33</v>
      </c>
      <c r="B202" t="s">
        <v>911</v>
      </c>
      <c r="C202">
        <v>33</v>
      </c>
      <c r="D202" t="s">
        <v>816</v>
      </c>
      <c r="E202" t="s">
        <v>840</v>
      </c>
      <c r="F202" t="s">
        <v>394</v>
      </c>
      <c r="G202" t="s">
        <v>395</v>
      </c>
      <c r="H202" t="s">
        <v>61</v>
      </c>
      <c r="I202" t="s">
        <v>46</v>
      </c>
      <c r="J202" t="s">
        <v>47</v>
      </c>
      <c r="K202" t="s">
        <v>397</v>
      </c>
      <c r="L202" t="s">
        <v>398</v>
      </c>
      <c r="M202" t="s">
        <v>399</v>
      </c>
      <c r="N202" t="s">
        <v>400</v>
      </c>
    </row>
    <row r="203" spans="1:22">
      <c r="A203" t="str">
        <f t="shared" si="3"/>
        <v>MIUDQ-9</v>
      </c>
      <c r="B203" t="s">
        <v>451</v>
      </c>
      <c r="C203">
        <v>9</v>
      </c>
      <c r="D203" t="s">
        <v>816</v>
      </c>
      <c r="F203" t="s">
        <v>383</v>
      </c>
      <c r="G203" t="s">
        <v>402</v>
      </c>
      <c r="I203" t="s">
        <v>48</v>
      </c>
      <c r="J203" t="s">
        <v>34</v>
      </c>
      <c r="K203" t="s">
        <v>936</v>
      </c>
      <c r="L203">
        <v>1</v>
      </c>
      <c r="M203">
        <v>2</v>
      </c>
      <c r="N203">
        <v>3</v>
      </c>
    </row>
    <row r="204" spans="1:22">
      <c r="A204" t="str">
        <f t="shared" si="3"/>
        <v>MIUDQ-12</v>
      </c>
      <c r="B204" t="s">
        <v>451</v>
      </c>
      <c r="C204">
        <v>12</v>
      </c>
      <c r="D204" t="s">
        <v>816</v>
      </c>
      <c r="F204" t="s">
        <v>383</v>
      </c>
      <c r="G204" t="s">
        <v>404</v>
      </c>
      <c r="I204" t="s">
        <v>35</v>
      </c>
      <c r="J204" t="s">
        <v>36</v>
      </c>
      <c r="K204" t="s">
        <v>480</v>
      </c>
    </row>
    <row r="205" spans="1:22">
      <c r="A205" t="str">
        <f t="shared" si="3"/>
        <v>Minn-Irvine-22</v>
      </c>
      <c r="B205" t="s">
        <v>927</v>
      </c>
      <c r="C205">
        <v>22</v>
      </c>
      <c r="D205" t="s">
        <v>816</v>
      </c>
      <c r="F205" t="s">
        <v>406</v>
      </c>
      <c r="G205" t="s">
        <v>407</v>
      </c>
      <c r="I205" t="s">
        <v>37</v>
      </c>
      <c r="J205" t="s">
        <v>38</v>
      </c>
      <c r="K205" t="s">
        <v>840</v>
      </c>
      <c r="L205" t="s">
        <v>841</v>
      </c>
    </row>
    <row r="206" spans="1:22">
      <c r="A206" t="str">
        <f t="shared" si="3"/>
        <v>Minn-Irvine-132</v>
      </c>
      <c r="B206" t="s">
        <v>927</v>
      </c>
      <c r="C206">
        <v>132</v>
      </c>
      <c r="D206" t="s">
        <v>816</v>
      </c>
      <c r="E206" t="s">
        <v>840</v>
      </c>
      <c r="F206" t="s">
        <v>410</v>
      </c>
      <c r="G206" t="s">
        <v>511</v>
      </c>
      <c r="H206" t="s">
        <v>61</v>
      </c>
      <c r="I206" t="s">
        <v>39</v>
      </c>
      <c r="J206" t="s">
        <v>40</v>
      </c>
      <c r="K206" t="s">
        <v>793</v>
      </c>
      <c r="L206" t="s">
        <v>794</v>
      </c>
      <c r="M206" t="s">
        <v>936</v>
      </c>
    </row>
    <row r="207" spans="1:22">
      <c r="A207" t="str">
        <f t="shared" si="3"/>
        <v>MIUDQ-19</v>
      </c>
      <c r="B207" t="s">
        <v>451</v>
      </c>
      <c r="C207">
        <v>19</v>
      </c>
      <c r="D207" t="s">
        <v>816</v>
      </c>
      <c r="E207" t="s">
        <v>840</v>
      </c>
      <c r="F207" t="s">
        <v>409</v>
      </c>
      <c r="G207" t="s">
        <v>412</v>
      </c>
      <c r="H207" t="s">
        <v>61</v>
      </c>
      <c r="I207" t="s">
        <v>41</v>
      </c>
      <c r="J207" t="s">
        <v>413</v>
      </c>
      <c r="K207" t="s">
        <v>480</v>
      </c>
      <c r="L207" t="s">
        <v>400</v>
      </c>
    </row>
    <row r="208" spans="1:22">
      <c r="A208" t="str">
        <f t="shared" si="3"/>
        <v>PEDS-32</v>
      </c>
      <c r="B208" t="s">
        <v>911</v>
      </c>
      <c r="C208">
        <v>32</v>
      </c>
      <c r="D208" t="s">
        <v>816</v>
      </c>
      <c r="E208" t="s">
        <v>840</v>
      </c>
      <c r="F208" t="s">
        <v>414</v>
      </c>
      <c r="G208" t="s">
        <v>415</v>
      </c>
      <c r="H208" t="s">
        <v>61</v>
      </c>
      <c r="I208" t="s">
        <v>42</v>
      </c>
      <c r="J208" t="s">
        <v>416</v>
      </c>
      <c r="K208" t="s">
        <v>417</v>
      </c>
      <c r="L208" t="s">
        <v>944</v>
      </c>
      <c r="M208" t="s">
        <v>418</v>
      </c>
    </row>
    <row r="209" spans="1:21">
      <c r="A209" t="str">
        <f t="shared" si="3"/>
        <v>MIUDQ-1</v>
      </c>
      <c r="B209" t="s">
        <v>451</v>
      </c>
      <c r="C209">
        <v>1</v>
      </c>
      <c r="D209" t="s">
        <v>816</v>
      </c>
      <c r="F209" t="s">
        <v>477</v>
      </c>
      <c r="G209" t="s">
        <v>419</v>
      </c>
      <c r="I209" t="s">
        <v>27</v>
      </c>
    </row>
    <row r="210" spans="1:21">
      <c r="A210" t="str">
        <f t="shared" si="3"/>
        <v>MIUDQ-4</v>
      </c>
      <c r="B210" t="s">
        <v>451</v>
      </c>
      <c r="C210">
        <v>4</v>
      </c>
      <c r="D210" t="s">
        <v>816</v>
      </c>
      <c r="E210" t="s">
        <v>840</v>
      </c>
      <c r="F210" t="s">
        <v>477</v>
      </c>
      <c r="G210" t="s">
        <v>420</v>
      </c>
      <c r="H210" t="s">
        <v>61</v>
      </c>
      <c r="I210" t="s">
        <v>1002</v>
      </c>
      <c r="J210" t="s">
        <v>421</v>
      </c>
      <c r="K210" t="s">
        <v>794</v>
      </c>
      <c r="L210" t="s">
        <v>944</v>
      </c>
      <c r="M210" t="s">
        <v>28</v>
      </c>
      <c r="N210" t="s">
        <v>943</v>
      </c>
      <c r="O210" t="s">
        <v>29</v>
      </c>
    </row>
    <row r="211" spans="1:21">
      <c r="A211" t="str">
        <f t="shared" si="3"/>
        <v>MIUDQ-21</v>
      </c>
      <c r="B211" t="s">
        <v>451</v>
      </c>
      <c r="C211">
        <v>21</v>
      </c>
      <c r="D211" t="s">
        <v>422</v>
      </c>
      <c r="E211" t="s">
        <v>840</v>
      </c>
      <c r="F211" t="s">
        <v>409</v>
      </c>
      <c r="G211" t="s">
        <v>325</v>
      </c>
      <c r="H211" t="s">
        <v>61</v>
      </c>
      <c r="I211" t="s">
        <v>30</v>
      </c>
      <c r="J211" t="s">
        <v>326</v>
      </c>
      <c r="K211" t="s">
        <v>480</v>
      </c>
    </row>
    <row r="212" spans="1:21">
      <c r="A212" t="str">
        <f t="shared" si="3"/>
        <v>Minn-Irvine-156</v>
      </c>
      <c r="B212" t="s">
        <v>927</v>
      </c>
      <c r="C212">
        <v>156</v>
      </c>
      <c r="D212" t="s">
        <v>475</v>
      </c>
      <c r="E212" t="s">
        <v>840</v>
      </c>
      <c r="F212" t="s">
        <v>328</v>
      </c>
      <c r="G212" t="s">
        <v>329</v>
      </c>
      <c r="H212" t="s">
        <v>61</v>
      </c>
      <c r="J212" t="s">
        <v>330</v>
      </c>
      <c r="K212" t="s">
        <v>331</v>
      </c>
      <c r="L212" t="s">
        <v>332</v>
      </c>
      <c r="M212" t="s">
        <v>333</v>
      </c>
    </row>
    <row r="213" spans="1:21">
      <c r="A213" t="str">
        <f t="shared" si="3"/>
        <v>Minn-Irvine-17</v>
      </c>
      <c r="B213" t="s">
        <v>927</v>
      </c>
      <c r="C213">
        <v>17</v>
      </c>
      <c r="D213" t="s">
        <v>475</v>
      </c>
      <c r="E213" t="s">
        <v>840</v>
      </c>
      <c r="F213" t="s">
        <v>335</v>
      </c>
      <c r="G213" t="s">
        <v>336</v>
      </c>
      <c r="I213" t="s">
        <v>31</v>
      </c>
      <c r="J213" t="s">
        <v>337</v>
      </c>
      <c r="K213" t="s">
        <v>335</v>
      </c>
      <c r="L213" t="s">
        <v>338</v>
      </c>
      <c r="M213" t="s">
        <v>723</v>
      </c>
      <c r="N213" t="s">
        <v>724</v>
      </c>
    </row>
    <row r="214" spans="1:21">
      <c r="A214" t="str">
        <f t="shared" si="3"/>
        <v>MIUDQ-26</v>
      </c>
      <c r="B214" t="s">
        <v>451</v>
      </c>
      <c r="C214">
        <v>26</v>
      </c>
      <c r="D214" t="s">
        <v>475</v>
      </c>
      <c r="E214" t="s">
        <v>840</v>
      </c>
      <c r="F214" t="s">
        <v>452</v>
      </c>
      <c r="G214" t="s">
        <v>339</v>
      </c>
      <c r="I214" t="s">
        <v>32</v>
      </c>
      <c r="J214" t="s">
        <v>340</v>
      </c>
      <c r="K214" t="s">
        <v>936</v>
      </c>
      <c r="L214">
        <v>1</v>
      </c>
      <c r="M214">
        <v>2</v>
      </c>
      <c r="N214">
        <v>3</v>
      </c>
      <c r="O214">
        <v>4</v>
      </c>
      <c r="P214">
        <v>5</v>
      </c>
      <c r="Q214">
        <v>6</v>
      </c>
      <c r="R214">
        <v>7</v>
      </c>
      <c r="S214">
        <v>8</v>
      </c>
      <c r="T214">
        <v>9</v>
      </c>
      <c r="U214" t="s">
        <v>750</v>
      </c>
    </row>
    <row r="215" spans="1:21">
      <c r="A215" t="str">
        <f t="shared" si="3"/>
        <v>Minn-Irvine-119</v>
      </c>
      <c r="B215" t="s">
        <v>927</v>
      </c>
      <c r="C215">
        <v>119</v>
      </c>
      <c r="D215" t="s">
        <v>341</v>
      </c>
      <c r="E215" t="s">
        <v>840</v>
      </c>
      <c r="F215" t="s">
        <v>343</v>
      </c>
      <c r="G215" t="s">
        <v>791</v>
      </c>
      <c r="I215" t="s">
        <v>33</v>
      </c>
      <c r="J215" t="s">
        <v>344</v>
      </c>
      <c r="K215" t="s">
        <v>793</v>
      </c>
      <c r="L215" t="s">
        <v>794</v>
      </c>
      <c r="M215" t="s">
        <v>936</v>
      </c>
    </row>
    <row r="216" spans="1:21">
      <c r="A216" t="str">
        <f t="shared" si="3"/>
        <v>Minn-Irvine-120</v>
      </c>
      <c r="B216" t="s">
        <v>927</v>
      </c>
      <c r="C216">
        <v>120</v>
      </c>
      <c r="D216" t="s">
        <v>341</v>
      </c>
      <c r="E216" t="s">
        <v>840</v>
      </c>
      <c r="F216" t="s">
        <v>346</v>
      </c>
      <c r="G216" t="s">
        <v>791</v>
      </c>
      <c r="I216" t="s">
        <v>17</v>
      </c>
      <c r="J216" t="s">
        <v>347</v>
      </c>
      <c r="K216" t="s">
        <v>793</v>
      </c>
      <c r="L216" t="s">
        <v>794</v>
      </c>
      <c r="M216" t="s">
        <v>936</v>
      </c>
    </row>
    <row r="217" spans="1:21">
      <c r="A217" t="str">
        <f t="shared" si="3"/>
        <v>MIUDQ-18</v>
      </c>
      <c r="B217" t="s">
        <v>451</v>
      </c>
      <c r="C217">
        <v>18</v>
      </c>
      <c r="D217" t="s">
        <v>341</v>
      </c>
      <c r="E217" t="s">
        <v>840</v>
      </c>
      <c r="F217" t="s">
        <v>348</v>
      </c>
      <c r="G217" t="s">
        <v>18</v>
      </c>
      <c r="I217" t="s">
        <v>19</v>
      </c>
      <c r="J217" t="s">
        <v>20</v>
      </c>
      <c r="K217" t="s">
        <v>936</v>
      </c>
      <c r="L217">
        <v>1</v>
      </c>
      <c r="M217">
        <v>2</v>
      </c>
      <c r="N217">
        <v>3</v>
      </c>
      <c r="O217">
        <v>4</v>
      </c>
      <c r="P217">
        <v>5</v>
      </c>
      <c r="Q217">
        <v>6</v>
      </c>
      <c r="R217">
        <v>7</v>
      </c>
      <c r="S217">
        <v>8</v>
      </c>
      <c r="T217">
        <v>9</v>
      </c>
      <c r="U217" t="s">
        <v>750</v>
      </c>
    </row>
    <row r="218" spans="1:21">
      <c r="A218" t="str">
        <f t="shared" si="3"/>
        <v>MIUDQ-18.1</v>
      </c>
      <c r="B218" t="s">
        <v>451</v>
      </c>
      <c r="C218">
        <v>18.100000000000001</v>
      </c>
      <c r="D218" t="s">
        <v>341</v>
      </c>
      <c r="E218" t="s">
        <v>840</v>
      </c>
      <c r="F218" t="s">
        <v>348</v>
      </c>
      <c r="G218" t="s">
        <v>21</v>
      </c>
      <c r="I218" t="s">
        <v>22</v>
      </c>
      <c r="J218" t="s">
        <v>23</v>
      </c>
      <c r="K218" t="s">
        <v>936</v>
      </c>
      <c r="L218">
        <v>1</v>
      </c>
      <c r="M218">
        <v>2</v>
      </c>
      <c r="N218">
        <v>3</v>
      </c>
      <c r="O218">
        <v>4</v>
      </c>
      <c r="P218">
        <v>5</v>
      </c>
      <c r="Q218">
        <v>6</v>
      </c>
      <c r="R218">
        <v>7</v>
      </c>
      <c r="S218">
        <v>8</v>
      </c>
      <c r="T218">
        <v>9</v>
      </c>
      <c r="U218" t="s">
        <v>750</v>
      </c>
    </row>
    <row r="219" spans="1:21">
      <c r="A219" t="str">
        <f t="shared" si="3"/>
        <v>Minn-Irvine-157</v>
      </c>
      <c r="B219" t="s">
        <v>927</v>
      </c>
      <c r="C219">
        <v>157</v>
      </c>
      <c r="D219" t="s">
        <v>341</v>
      </c>
      <c r="E219" t="s">
        <v>840</v>
      </c>
      <c r="F219" t="s">
        <v>352</v>
      </c>
      <c r="G219" t="s">
        <v>791</v>
      </c>
      <c r="I219" t="s">
        <v>1001</v>
      </c>
      <c r="J219" t="s">
        <v>353</v>
      </c>
      <c r="K219" t="s">
        <v>793</v>
      </c>
      <c r="L219" t="s">
        <v>794</v>
      </c>
      <c r="M219" t="s">
        <v>936</v>
      </c>
    </row>
    <row r="220" spans="1:21">
      <c r="A220" t="str">
        <f t="shared" si="3"/>
        <v>PEDS-26.1</v>
      </c>
      <c r="B220" t="s">
        <v>911</v>
      </c>
      <c r="C220">
        <v>26.1</v>
      </c>
      <c r="D220" t="s">
        <v>341</v>
      </c>
      <c r="E220" t="s">
        <v>840</v>
      </c>
      <c r="F220" t="s">
        <v>354</v>
      </c>
      <c r="G220" t="s">
        <v>355</v>
      </c>
      <c r="I220" t="s">
        <v>12</v>
      </c>
      <c r="J220" t="s">
        <v>356</v>
      </c>
      <c r="K220" t="s">
        <v>840</v>
      </c>
      <c r="L220" t="s">
        <v>841</v>
      </c>
    </row>
    <row r="221" spans="1:21">
      <c r="A221" t="str">
        <f t="shared" si="3"/>
        <v>PEDS-26.3</v>
      </c>
      <c r="B221" t="s">
        <v>911</v>
      </c>
      <c r="C221">
        <v>26.3</v>
      </c>
      <c r="D221" t="s">
        <v>341</v>
      </c>
      <c r="E221" t="s">
        <v>840</v>
      </c>
      <c r="F221" t="s">
        <v>354</v>
      </c>
      <c r="G221" t="s">
        <v>357</v>
      </c>
      <c r="J221" t="s">
        <v>358</v>
      </c>
      <c r="K221" t="s">
        <v>840</v>
      </c>
      <c r="L221" t="s">
        <v>841</v>
      </c>
    </row>
    <row r="222" spans="1:21">
      <c r="A222" t="str">
        <f t="shared" si="3"/>
        <v>Minn-Irvine-122</v>
      </c>
      <c r="B222" t="s">
        <v>927</v>
      </c>
      <c r="C222">
        <v>122</v>
      </c>
      <c r="D222" t="s">
        <v>341</v>
      </c>
      <c r="E222" t="s">
        <v>840</v>
      </c>
      <c r="F222" t="s">
        <v>359</v>
      </c>
      <c r="G222" t="s">
        <v>791</v>
      </c>
      <c r="J222" t="s">
        <v>360</v>
      </c>
      <c r="K222" t="s">
        <v>793</v>
      </c>
      <c r="L222" t="s">
        <v>794</v>
      </c>
      <c r="M222" t="s">
        <v>936</v>
      </c>
    </row>
    <row r="223" spans="1:21">
      <c r="A223" t="str">
        <f t="shared" si="3"/>
        <v>Minn-Irvine-124</v>
      </c>
      <c r="B223" t="s">
        <v>927</v>
      </c>
      <c r="C223">
        <v>124</v>
      </c>
      <c r="D223" t="s">
        <v>341</v>
      </c>
      <c r="E223" t="s">
        <v>840</v>
      </c>
      <c r="F223" t="s">
        <v>361</v>
      </c>
      <c r="G223" t="s">
        <v>893</v>
      </c>
      <c r="I223" t="s">
        <v>13</v>
      </c>
      <c r="J223" t="s">
        <v>362</v>
      </c>
      <c r="K223" t="s">
        <v>840</v>
      </c>
      <c r="L223" t="s">
        <v>841</v>
      </c>
    </row>
    <row r="224" spans="1:21">
      <c r="A224" t="str">
        <f t="shared" si="3"/>
        <v>PEDS-27</v>
      </c>
      <c r="B224" t="s">
        <v>911</v>
      </c>
      <c r="C224">
        <v>27</v>
      </c>
      <c r="D224" t="s">
        <v>341</v>
      </c>
      <c r="F224" t="s">
        <v>363</v>
      </c>
      <c r="G224" t="s">
        <v>893</v>
      </c>
      <c r="I224" t="s">
        <v>24</v>
      </c>
      <c r="J224" t="s">
        <v>25</v>
      </c>
      <c r="K224" t="s">
        <v>840</v>
      </c>
      <c r="L224" t="s">
        <v>841</v>
      </c>
    </row>
    <row r="225" spans="1:21">
      <c r="A225" t="str">
        <f t="shared" si="3"/>
        <v>MIUDQ-2</v>
      </c>
      <c r="B225" t="s">
        <v>451</v>
      </c>
      <c r="C225">
        <v>2</v>
      </c>
      <c r="D225" t="s">
        <v>660</v>
      </c>
      <c r="F225" t="s">
        <v>477</v>
      </c>
      <c r="G225" t="s">
        <v>367</v>
      </c>
      <c r="I225" t="s">
        <v>26</v>
      </c>
    </row>
    <row r="226" spans="1:21">
      <c r="A226" t="str">
        <f t="shared" si="3"/>
        <v>MIUDQ-17</v>
      </c>
      <c r="B226" t="s">
        <v>451</v>
      </c>
      <c r="C226">
        <v>17</v>
      </c>
      <c r="D226" t="s">
        <v>660</v>
      </c>
      <c r="E226" t="s">
        <v>840</v>
      </c>
      <c r="F226" t="s">
        <v>348</v>
      </c>
      <c r="G226" t="s">
        <v>368</v>
      </c>
      <c r="I226" t="s">
        <v>14</v>
      </c>
      <c r="J226" t="s">
        <v>15</v>
      </c>
      <c r="K226" t="s">
        <v>936</v>
      </c>
      <c r="L226">
        <v>1</v>
      </c>
      <c r="M226">
        <v>2</v>
      </c>
      <c r="N226">
        <v>3</v>
      </c>
      <c r="O226">
        <v>4</v>
      </c>
      <c r="P226">
        <v>5</v>
      </c>
      <c r="Q226">
        <v>6</v>
      </c>
      <c r="R226">
        <v>7</v>
      </c>
      <c r="S226">
        <v>8</v>
      </c>
      <c r="T226">
        <v>9</v>
      </c>
      <c r="U226" t="s">
        <v>750</v>
      </c>
    </row>
    <row r="227" spans="1:21">
      <c r="A227" t="str">
        <f t="shared" si="3"/>
        <v>PEDS-2</v>
      </c>
      <c r="B227" t="s">
        <v>911</v>
      </c>
      <c r="C227">
        <v>2</v>
      </c>
      <c r="D227" t="s">
        <v>660</v>
      </c>
      <c r="F227" t="s">
        <v>371</v>
      </c>
      <c r="G227" t="s">
        <v>372</v>
      </c>
      <c r="I227" t="s">
        <v>16</v>
      </c>
      <c r="J227" t="s">
        <v>6</v>
      </c>
      <c r="K227" t="s">
        <v>374</v>
      </c>
      <c r="L227" t="s">
        <v>375</v>
      </c>
      <c r="M227" t="s">
        <v>376</v>
      </c>
    </row>
    <row r="228" spans="1:21">
      <c r="A228" t="str">
        <f t="shared" si="3"/>
        <v>PEDS-28</v>
      </c>
      <c r="B228" t="s">
        <v>911</v>
      </c>
      <c r="C228">
        <v>28</v>
      </c>
      <c r="D228" t="s">
        <v>660</v>
      </c>
      <c r="E228" t="s">
        <v>840</v>
      </c>
      <c r="F228" t="s">
        <v>377</v>
      </c>
      <c r="G228" t="s">
        <v>378</v>
      </c>
      <c r="I228" t="s">
        <v>7</v>
      </c>
      <c r="J228" t="s">
        <v>8</v>
      </c>
      <c r="K228" t="s">
        <v>268</v>
      </c>
      <c r="L228" t="s">
        <v>944</v>
      </c>
      <c r="M228" t="s">
        <v>269</v>
      </c>
    </row>
    <row r="229" spans="1:21">
      <c r="A229" t="str">
        <f t="shared" si="3"/>
        <v>Minn-Irvine-163</v>
      </c>
      <c r="B229" t="s">
        <v>927</v>
      </c>
      <c r="C229">
        <v>163</v>
      </c>
      <c r="D229" t="s">
        <v>475</v>
      </c>
      <c r="F229" t="s">
        <v>270</v>
      </c>
      <c r="G229" t="s">
        <v>271</v>
      </c>
    </row>
    <row r="230" spans="1:21">
      <c r="A230" t="str">
        <f t="shared" si="3"/>
        <v>Minn-Irvine-158</v>
      </c>
      <c r="B230" t="s">
        <v>927</v>
      </c>
      <c r="C230">
        <v>158</v>
      </c>
      <c r="D230" t="s">
        <v>475</v>
      </c>
      <c r="F230" t="s">
        <v>272</v>
      </c>
      <c r="G230" t="s">
        <v>893</v>
      </c>
      <c r="I230" t="s">
        <v>9</v>
      </c>
    </row>
    <row r="231" spans="1:21">
      <c r="A231" t="str">
        <f t="shared" si="3"/>
        <v>NYC HVS-1</v>
      </c>
      <c r="B231" t="s">
        <v>273</v>
      </c>
      <c r="C231">
        <v>1</v>
      </c>
      <c r="D231" t="s">
        <v>274</v>
      </c>
      <c r="E231" t="s">
        <v>840</v>
      </c>
      <c r="F231" t="s">
        <v>275</v>
      </c>
      <c r="G231" t="s">
        <v>276</v>
      </c>
      <c r="H231" t="s">
        <v>61</v>
      </c>
      <c r="J231" t="s">
        <v>277</v>
      </c>
      <c r="K231" t="s">
        <v>840</v>
      </c>
      <c r="L231" t="s">
        <v>841</v>
      </c>
      <c r="M231" t="s">
        <v>820</v>
      </c>
    </row>
    <row r="232" spans="1:21">
      <c r="A232" t="str">
        <f t="shared" si="3"/>
        <v>NYC HVS-2</v>
      </c>
      <c r="B232" t="s">
        <v>273</v>
      </c>
      <c r="C232">
        <v>2</v>
      </c>
      <c r="D232" t="s">
        <v>274</v>
      </c>
      <c r="E232" t="s">
        <v>840</v>
      </c>
      <c r="F232" t="s">
        <v>278</v>
      </c>
      <c r="G232" t="s">
        <v>893</v>
      </c>
      <c r="H232" t="s">
        <v>61</v>
      </c>
      <c r="J232" t="s">
        <v>279</v>
      </c>
      <c r="K232" t="s">
        <v>840</v>
      </c>
      <c r="L232" t="s">
        <v>841</v>
      </c>
      <c r="M232" t="s">
        <v>820</v>
      </c>
    </row>
    <row r="233" spans="1:21">
      <c r="A233" t="str">
        <f t="shared" si="3"/>
        <v>Minn-Irvine-128</v>
      </c>
      <c r="B233" t="s">
        <v>927</v>
      </c>
      <c r="C233">
        <v>128</v>
      </c>
      <c r="D233" t="s">
        <v>274</v>
      </c>
      <c r="E233" t="s">
        <v>840</v>
      </c>
      <c r="F233" t="s">
        <v>280</v>
      </c>
      <c r="G233" t="s">
        <v>511</v>
      </c>
      <c r="H233" t="s">
        <v>61</v>
      </c>
      <c r="I233" t="s">
        <v>10</v>
      </c>
      <c r="J233" t="s">
        <v>281</v>
      </c>
      <c r="K233" t="s">
        <v>793</v>
      </c>
      <c r="L233" t="s">
        <v>794</v>
      </c>
      <c r="M233" t="s">
        <v>936</v>
      </c>
      <c r="N233" t="s">
        <v>945</v>
      </c>
    </row>
    <row r="234" spans="1:21">
      <c r="A234" t="str">
        <f t="shared" si="3"/>
        <v>PHDCN-1</v>
      </c>
      <c r="B234" t="s">
        <v>282</v>
      </c>
      <c r="C234">
        <v>1</v>
      </c>
      <c r="D234" t="s">
        <v>274</v>
      </c>
      <c r="E234" t="s">
        <v>840</v>
      </c>
      <c r="F234" t="s">
        <v>283</v>
      </c>
      <c r="G234" t="s">
        <v>893</v>
      </c>
      <c r="J234" t="s">
        <v>244</v>
      </c>
      <c r="K234" t="s">
        <v>840</v>
      </c>
      <c r="L234" t="s">
        <v>841</v>
      </c>
    </row>
    <row r="235" spans="1:21">
      <c r="A235" t="str">
        <f t="shared" si="3"/>
        <v>Minn-Irvine-141</v>
      </c>
      <c r="B235" t="s">
        <v>927</v>
      </c>
      <c r="C235">
        <v>141</v>
      </c>
      <c r="D235" t="s">
        <v>274</v>
      </c>
      <c r="E235" t="s">
        <v>840</v>
      </c>
      <c r="F235" t="s">
        <v>286</v>
      </c>
      <c r="G235" t="s">
        <v>599</v>
      </c>
      <c r="I235" t="s">
        <v>11</v>
      </c>
      <c r="J235" t="s">
        <v>287</v>
      </c>
      <c r="K235" t="s">
        <v>793</v>
      </c>
      <c r="L235" t="s">
        <v>794</v>
      </c>
      <c r="M235" t="s">
        <v>936</v>
      </c>
    </row>
    <row r="236" spans="1:21">
      <c r="A236" t="str">
        <f t="shared" si="3"/>
        <v>Minn-Irvine-139</v>
      </c>
      <c r="B236" t="s">
        <v>927</v>
      </c>
      <c r="C236">
        <v>139</v>
      </c>
      <c r="D236" t="s">
        <v>274</v>
      </c>
      <c r="E236" t="s">
        <v>840</v>
      </c>
      <c r="F236" t="s">
        <v>288</v>
      </c>
      <c r="G236" t="s">
        <v>289</v>
      </c>
      <c r="I236" t="s">
        <v>0</v>
      </c>
      <c r="J236" t="s">
        <v>290</v>
      </c>
      <c r="K236" t="s">
        <v>793</v>
      </c>
      <c r="L236" t="s">
        <v>601</v>
      </c>
      <c r="M236" t="s">
        <v>936</v>
      </c>
    </row>
    <row r="237" spans="1:21">
      <c r="A237" t="str">
        <f t="shared" si="3"/>
        <v>PHDCN-2</v>
      </c>
      <c r="B237" t="s">
        <v>282</v>
      </c>
      <c r="C237">
        <v>2</v>
      </c>
      <c r="D237" t="s">
        <v>274</v>
      </c>
      <c r="E237" t="s">
        <v>840</v>
      </c>
      <c r="F237" t="s">
        <v>291</v>
      </c>
      <c r="G237" t="s">
        <v>893</v>
      </c>
      <c r="J237" t="s">
        <v>292</v>
      </c>
      <c r="K237" t="s">
        <v>840</v>
      </c>
      <c r="L237" t="s">
        <v>841</v>
      </c>
    </row>
    <row r="238" spans="1:21">
      <c r="A238" t="str">
        <f t="shared" si="3"/>
        <v>Minn-Irvine-140</v>
      </c>
      <c r="B238" t="s">
        <v>927</v>
      </c>
      <c r="C238">
        <v>140</v>
      </c>
      <c r="D238" t="s">
        <v>274</v>
      </c>
      <c r="E238" t="s">
        <v>840</v>
      </c>
      <c r="F238" t="s">
        <v>293</v>
      </c>
      <c r="G238" t="s">
        <v>289</v>
      </c>
      <c r="I238" t="s">
        <v>1</v>
      </c>
      <c r="J238" t="s">
        <v>294</v>
      </c>
      <c r="K238" t="s">
        <v>793</v>
      </c>
      <c r="L238" t="s">
        <v>601</v>
      </c>
      <c r="M238" t="s">
        <v>936</v>
      </c>
    </row>
    <row r="239" spans="1:21">
      <c r="A239" t="str">
        <f t="shared" si="3"/>
        <v>PHDCN-3</v>
      </c>
      <c r="B239" t="s">
        <v>282</v>
      </c>
      <c r="C239">
        <v>3</v>
      </c>
      <c r="D239" t="s">
        <v>274</v>
      </c>
      <c r="E239" t="s">
        <v>840</v>
      </c>
      <c r="F239" t="s">
        <v>295</v>
      </c>
      <c r="G239" t="s">
        <v>893</v>
      </c>
      <c r="J239" t="s">
        <v>296</v>
      </c>
      <c r="K239" t="s">
        <v>840</v>
      </c>
      <c r="L239" t="s">
        <v>841</v>
      </c>
    </row>
    <row r="240" spans="1:21">
      <c r="A240" t="str">
        <f t="shared" si="3"/>
        <v>Minn-Irvine-138</v>
      </c>
      <c r="B240" t="s">
        <v>927</v>
      </c>
      <c r="C240">
        <v>138</v>
      </c>
      <c r="D240" t="s">
        <v>274</v>
      </c>
      <c r="E240" t="s">
        <v>840</v>
      </c>
      <c r="F240" t="s">
        <v>297</v>
      </c>
      <c r="G240" t="s">
        <v>298</v>
      </c>
      <c r="H240" t="s">
        <v>61</v>
      </c>
      <c r="I240" t="s">
        <v>2</v>
      </c>
      <c r="J240" t="s">
        <v>299</v>
      </c>
      <c r="K240" t="s">
        <v>779</v>
      </c>
      <c r="L240" t="s">
        <v>780</v>
      </c>
      <c r="M240" t="s">
        <v>781</v>
      </c>
    </row>
    <row r="241" spans="1:13">
      <c r="A241" t="str">
        <f t="shared" si="3"/>
        <v>PEDS-31</v>
      </c>
      <c r="B241" t="s">
        <v>911</v>
      </c>
      <c r="C241">
        <v>31</v>
      </c>
      <c r="D241" t="s">
        <v>274</v>
      </c>
      <c r="E241" t="s">
        <v>840</v>
      </c>
      <c r="F241" t="s">
        <v>303</v>
      </c>
      <c r="G241" t="s">
        <v>304</v>
      </c>
      <c r="I241" t="s">
        <v>3</v>
      </c>
      <c r="J241" t="s">
        <v>4</v>
      </c>
      <c r="K241" t="s">
        <v>779</v>
      </c>
      <c r="L241" t="s">
        <v>780</v>
      </c>
      <c r="M241" t="s">
        <v>781</v>
      </c>
    </row>
    <row r="242" spans="1:13">
      <c r="A242" t="str">
        <f t="shared" si="3"/>
        <v>PHDCN-</v>
      </c>
      <c r="B242" t="s">
        <v>282</v>
      </c>
      <c r="D242" t="s">
        <v>274</v>
      </c>
      <c r="F242" t="s">
        <v>309</v>
      </c>
      <c r="G242" t="s">
        <v>893</v>
      </c>
      <c r="J242" t="s">
        <v>310</v>
      </c>
    </row>
    <row r="243" spans="1:13">
      <c r="A243" t="str">
        <f t="shared" si="3"/>
        <v>PHDCN-</v>
      </c>
      <c r="B243" t="s">
        <v>282</v>
      </c>
      <c r="D243" t="s">
        <v>274</v>
      </c>
      <c r="F243" t="s">
        <v>311</v>
      </c>
      <c r="G243" t="s">
        <v>893</v>
      </c>
      <c r="J243" t="s">
        <v>310</v>
      </c>
    </row>
    <row r="244" spans="1:13">
      <c r="A244" t="str">
        <f t="shared" si="3"/>
        <v>PHDCN-</v>
      </c>
      <c r="B244" t="s">
        <v>282</v>
      </c>
      <c r="D244" t="s">
        <v>274</v>
      </c>
      <c r="F244" t="s">
        <v>312</v>
      </c>
      <c r="G244" t="s">
        <v>893</v>
      </c>
      <c r="J244" t="s">
        <v>310</v>
      </c>
    </row>
  </sheetData>
  <sheetCalcPr fullCalcOnLoad="1"/>
  <phoneticPr fontId="2"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O203"/>
  <sheetViews>
    <sheetView tabSelected="1" topLeftCell="A208" workbookViewId="0">
      <selection activeCell="I250" sqref="I250"/>
    </sheetView>
  </sheetViews>
  <sheetFormatPr baseColWidth="10" defaultRowHeight="13"/>
  <cols>
    <col min="3" max="3" width="37" customWidth="1"/>
    <col min="4" max="4" width="35.5703125" customWidth="1"/>
  </cols>
  <sheetData>
    <row r="1" spans="1:11">
      <c r="A1" t="s">
        <v>5</v>
      </c>
      <c r="B1" t="s">
        <v>1149</v>
      </c>
      <c r="C1" t="s">
        <v>1003</v>
      </c>
      <c r="D1" t="s">
        <v>1004</v>
      </c>
      <c r="E1" t="s">
        <v>1005</v>
      </c>
      <c r="F1" t="s">
        <v>1006</v>
      </c>
      <c r="G1" t="s">
        <v>1121</v>
      </c>
      <c r="H1" t="s">
        <v>1160</v>
      </c>
      <c r="I1" t="s">
        <v>1161</v>
      </c>
      <c r="J1" t="s">
        <v>1159</v>
      </c>
      <c r="K1" t="s">
        <v>1162</v>
      </c>
    </row>
    <row r="2" spans="1:11">
      <c r="A2" t="str">
        <f>VLOOKUP('Final items'!$A37,'Final items'!$A$1:$Z$300,1,FALSE)</f>
        <v>Minn-Irvine-146</v>
      </c>
      <c r="B2" t="str">
        <f t="shared" ref="B2:B33" si="0">SUBSTITUTE(A2,"-",".")</f>
        <v>Minn.Irvine.146</v>
      </c>
      <c r="C2" t="str">
        <f>VLOOKUP('Final items'!$A37,'Kathy''s original list'!$A$1:$Z$300,8,FALSE)</f>
        <v>Is there a speed bump/speed hump/raised crosswalk/dips that is intended to slow down traffic?</v>
      </c>
      <c r="D2" t="str">
        <f>VLOOKUP('Final items'!$A37,'Final items'!$A$1:$Z$300,10,FALSE)</f>
        <v>Is there a speed bump/speed hump/raised crosswalk/dips that is intended to slow down traffic?</v>
      </c>
      <c r="E2" t="str">
        <f t="shared" ref="E2:E33" si="1">IF(AND(C2=D2,NOT(C2=0)),"Yes","No")</f>
        <v>Yes</v>
      </c>
      <c r="F2" t="str">
        <f>VLOOKUP('Final items'!$A37,'Final items'!$A$1:$Z$300,9,FALSE)</f>
        <v xml:space="preserve">&lt;p&gt;&lt;img src="[speed_hump.png]"/&gt;&lt;/p&gt; </v>
      </c>
      <c r="G2" t="str">
        <f>IF(VLOOKUP(A2,'Final items'!$A$1:$Z$300,11,FALSE)="Write in %", "Count", "Category")</f>
        <v>Category</v>
      </c>
      <c r="H2">
        <f>VLOOKUP(B2,kappas!$A$1:$C$300,2,FALSE)</f>
        <v>-3.2608695652175203E-2</v>
      </c>
      <c r="I2">
        <f>VLOOKUP(B2,kappas!$A$1:$C$300,3,FALSE)</f>
        <v>0.93684210526315803</v>
      </c>
      <c r="J2" t="str">
        <f>VLOOKUP(B2,'initial kappas'!$A$1:$C$300,2,FALSE)</f>
        <v>NA</v>
      </c>
      <c r="K2">
        <f>VLOOKUP(B2,'initial kappas'!$A$1:$C$300,3,FALSE)</f>
        <v>1</v>
      </c>
    </row>
    <row r="3" spans="1:11">
      <c r="A3" t="str">
        <f>VLOOKUP('Final items'!$A217,'Final items'!$A$1:$Z$300,1,FALSE)</f>
        <v>MIUDQ-18</v>
      </c>
      <c r="B3" t="str">
        <f t="shared" si="0"/>
        <v>MIUDQ.18</v>
      </c>
      <c r="C3" t="str">
        <f>VLOOKUP('Final items'!$A217,'Kathy''s original list'!$A$1:$Z$300,8,FALSE)</f>
        <v>How many pieces of street furniture or other street items are there?</v>
      </c>
      <c r="D3" t="str">
        <f>VLOOKUP('Final items'!$A217,'Final items'!$A$1:$Z$300,10,FALSE)</f>
        <v>How many pieces of street furniture are there? (bus stop benches count -- see help for more specifics)</v>
      </c>
      <c r="E3" t="str">
        <f t="shared" si="1"/>
        <v>No</v>
      </c>
      <c r="F3" t="str">
        <f>VLOOKUP('Final items'!$A217,'Final items'!$A$1:$Z$300,9,FALSE)</f>
        <v>&lt;p&gt;Furniture intended for people.  Benches, chairs, tables, etc.  However, do not count tables and chairs for outdoor dining.&lt;/p&gt;</v>
      </c>
      <c r="G3" t="str">
        <f>IF(VLOOKUP(A3,'Final items'!$A$1:$Z$300,11,FALSE)="Write in %", "Count", "Category")</f>
        <v>Category</v>
      </c>
      <c r="H3">
        <f>VLOOKUP(B3,kappas!$A$1:$C$300,2,FALSE)</f>
        <v>-2.68479776847983E-2</v>
      </c>
      <c r="I3">
        <f>VLOOKUP(B3,kappas!$A$1:$C$300,3,FALSE)</f>
        <v>0.83684210526315805</v>
      </c>
      <c r="J3">
        <f>VLOOKUP(B3,'initial kappas'!$A$1:$C$300,2,FALSE)</f>
        <v>-4.7619047619046201E-2</v>
      </c>
      <c r="K3">
        <f>VLOOKUP(B3,'initial kappas'!$A$1:$C$300,3,FALSE)</f>
        <v>0.90909090909090895</v>
      </c>
    </row>
    <row r="4" spans="1:11">
      <c r="A4" t="str">
        <f>VLOOKUP('Final items'!$A25,'Final items'!$A$1:$Z$300,1,FALSE)</f>
        <v>PEDS-23.4</v>
      </c>
      <c r="B4" t="str">
        <f t="shared" si="0"/>
        <v>PEDS.23.4</v>
      </c>
      <c r="C4" t="str">
        <f>VLOOKUP('Final items'!$A25,'Kathy''s original list'!$A$1:$Z$300,8,FALSE)</f>
        <v>Is there a curb extension?</v>
      </c>
      <c r="D4" t="str">
        <f>VLOOKUP('Final items'!$A25,'Final items'!$A$1:$Z$300,10,FALSE)</f>
        <v>Is there a curb extension? (Note: a curb extension should extend significantly into the parking lane or fill it completely.)</v>
      </c>
      <c r="E4" t="str">
        <f t="shared" si="1"/>
        <v>No</v>
      </c>
      <c r="F4" t="str">
        <f>VLOOKUP('Final items'!$A25,'Final items'!$A$1:$Z$300,9,FALSE)</f>
        <v>&lt;p&gt;&lt;img src="[median_island_and_curb_extension.png]"/&gt;&lt;/p&gt;</v>
      </c>
      <c r="G4" t="str">
        <f>IF(VLOOKUP(A4,'Final items'!$A$1:$Z$300,11,FALSE)="Write in %", "Count", "Category")</f>
        <v>Category</v>
      </c>
      <c r="H4">
        <f>VLOOKUP(B4,kappas!$A$1:$C$300,2,FALSE)</f>
        <v>-2.1505376344086599E-2</v>
      </c>
      <c r="I4">
        <f>VLOOKUP(B4,kappas!$A$1:$C$300,3,FALSE)</f>
        <v>0.95789473684210502</v>
      </c>
      <c r="J4" t="str">
        <f>VLOOKUP(B4,'initial kappas'!$A$1:$C$300,2,FALSE)</f>
        <v>NA</v>
      </c>
      <c r="K4">
        <f>VLOOKUP(B4,'initial kappas'!$A$1:$C$300,3,FALSE)</f>
        <v>1</v>
      </c>
    </row>
    <row r="5" spans="1:11">
      <c r="A5" t="str">
        <f>VLOOKUP('Final items'!$A38,'Final items'!$A$1:$Z$300,1,FALSE)</f>
        <v>Minn-Irvine-147</v>
      </c>
      <c r="B5" t="str">
        <f t="shared" si="0"/>
        <v>Minn.Irvine.147</v>
      </c>
      <c r="C5" t="str">
        <f>VLOOKUP('Final items'!$A38,'Kathy''s original list'!$A$1:$Z$300,8,FALSE)</f>
        <v>Are there rumble strips or bumps that are intended to slow down traffic?</v>
      </c>
      <c r="D5" t="str">
        <f>VLOOKUP('Final items'!$A38,'Final items'!$A$1:$Z$300,10,FALSE)</f>
        <v>Are there rumble strips or bumps that are intended to slow down traffic?</v>
      </c>
      <c r="E5" t="str">
        <f t="shared" si="1"/>
        <v>Yes</v>
      </c>
      <c r="F5">
        <f>VLOOKUP('Final items'!$A38,'Final items'!$A$1:$Z$300,9,FALSE)</f>
        <v>0</v>
      </c>
      <c r="G5" t="str">
        <f>IF(VLOOKUP(A5,'Final items'!$A$1:$Z$300,11,FALSE)="Write in %", "Count", "Category")</f>
        <v>Category</v>
      </c>
      <c r="H5">
        <f>VLOOKUP(B5,kappas!$A$1:$C$300,2,FALSE)</f>
        <v>-2.1505376344086599E-2</v>
      </c>
      <c r="I5">
        <f>VLOOKUP(B5,kappas!$A$1:$C$300,3,FALSE)</f>
        <v>0.95789473684210502</v>
      </c>
      <c r="J5" t="str">
        <f>VLOOKUP(B5,'initial kappas'!$A$1:$C$300,2,FALSE)</f>
        <v>NA</v>
      </c>
      <c r="K5">
        <f>VLOOKUP(B5,'initial kappas'!$A$1:$C$300,3,FALSE)</f>
        <v>1</v>
      </c>
    </row>
    <row r="6" spans="1:11">
      <c r="A6" t="str">
        <f>VLOOKUP('Final items'!$A105,'Final items'!$A$1:$Z$300,1,FALSE)</f>
        <v>Minn-Irvine-96</v>
      </c>
      <c r="B6" t="str">
        <f t="shared" si="0"/>
        <v>Minn.Irvine.96</v>
      </c>
      <c r="C6" t="str">
        <f>VLOOKUP('Final items'!$A105,'Kathy''s original list'!$A$1:$Z$300,8,FALSE)</f>
        <v>Is a drainage ditch present and is it a barrier to walking?</v>
      </c>
      <c r="D6" t="str">
        <f>VLOOKUP('Final items'!$A105,'Final items'!$A$1:$Z$300,10,FALSE)</f>
        <v>Is a drainage ditch present?</v>
      </c>
      <c r="E6" t="str">
        <f t="shared" si="1"/>
        <v>No</v>
      </c>
      <c r="F6" t="str">
        <f>VLOOKUP('Final items'!$A105,'Final items'!$A$1:$Z$300,9,FALSE)</f>
        <v>&lt;p&gt;&lt;img src="[drainage_ditch.png]"&gt;&lt;/p&gt;</v>
      </c>
      <c r="G6" t="str">
        <f>IF(VLOOKUP(A6,'Final items'!$A$1:$Z$300,11,FALSE)="Write in %", "Count", "Category")</f>
        <v>Category</v>
      </c>
      <c r="H6">
        <f>VLOOKUP(B6,kappas!$A$1:$C$300,2,FALSE)</f>
        <v>-2.1505376344086599E-2</v>
      </c>
      <c r="I6">
        <f>VLOOKUP(B6,kappas!$A$1:$C$300,3,FALSE)</f>
        <v>0.95789473684210502</v>
      </c>
      <c r="J6" t="str">
        <f>VLOOKUP(B6,'initial kappas'!$A$1:$C$300,2,FALSE)</f>
        <v>NA</v>
      </c>
      <c r="K6">
        <f>VLOOKUP(B6,'initial kappas'!$A$1:$C$300,3,FALSE)</f>
        <v>1</v>
      </c>
    </row>
    <row r="7" spans="1:11">
      <c r="A7" t="str">
        <f>VLOOKUP('Final items'!$A109,'Final items'!$A$1:$Z$300,1,FALSE)</f>
        <v>Minn-Irvine-94</v>
      </c>
      <c r="B7" t="str">
        <f t="shared" si="0"/>
        <v>Minn.Irvine.94</v>
      </c>
      <c r="C7" t="str">
        <f>VLOOKUP('Final items'!$A109,'Kathy''s original list'!$A$1:$Z$300,8,FALSE)</f>
        <v>Is an impassable land use (e.g. gated community, major industrial complex) present and is it a barrier to walking?</v>
      </c>
      <c r="D7" t="str">
        <f>VLOOKUP('Final items'!$A109,'Final items'!$A$1:$Z$300,10,FALSE)</f>
        <v>Is an impassable land use (e.g. gated community, major industrial complex) present?</v>
      </c>
      <c r="E7" t="str">
        <f t="shared" si="1"/>
        <v>No</v>
      </c>
      <c r="F7" t="str">
        <f>VLOOKUP('Final items'!$A109,'Final items'!$A$1:$Z$300,9,FALSE)</f>
        <v>&lt;p&gt;&lt;img src="[impassable_land_use.png]"&gt;&lt;/p&gt;</v>
      </c>
      <c r="G7" t="str">
        <f>IF(VLOOKUP(A7,'Final items'!$A$1:$Z$300,11,FALSE)="Write in %", "Count", "Category")</f>
        <v>Category</v>
      </c>
      <c r="H7">
        <f>VLOOKUP(B7,kappas!$A$1:$C$300,2,FALSE)</f>
        <v>-2.1505376344086599E-2</v>
      </c>
      <c r="I7">
        <f>VLOOKUP(B7,kappas!$A$1:$C$300,3,FALSE)</f>
        <v>0.95789473684210502</v>
      </c>
      <c r="J7" t="str">
        <f>VLOOKUP(B7,'initial kappas'!$A$1:$C$300,2,FALSE)</f>
        <v>NA</v>
      </c>
      <c r="K7">
        <f>VLOOKUP(B7,'initial kappas'!$A$1:$C$300,3,FALSE)</f>
        <v>1</v>
      </c>
    </row>
    <row r="8" spans="1:11">
      <c r="A8" t="str">
        <f>VLOOKUP('Final items'!$A106,'Final items'!$A$1:$Z$300,1,FALSE)</f>
        <v>Minn-Irvine-96.1</v>
      </c>
      <c r="B8" t="str">
        <f t="shared" si="0"/>
        <v>Minn.Irvine.96.1</v>
      </c>
      <c r="C8" t="e">
        <f>VLOOKUP('Final items'!$A106,'Kathy''s original list'!$A$1:$Z$300,8,FALSE)</f>
        <v>#N/A</v>
      </c>
      <c r="D8" t="str">
        <f>VLOOKUP('Final items'!$A106,'Final items'!$A$1:$Z$300,10,FALSE)</f>
        <v>Can the drainage ditch be overcome</v>
      </c>
      <c r="E8" t="e">
        <f t="shared" si="1"/>
        <v>#N/A</v>
      </c>
      <c r="F8">
        <f>VLOOKUP('Final items'!$A106,'Final items'!$A$1:$Z$300,9,FALSE)</f>
        <v>0</v>
      </c>
      <c r="G8" t="str">
        <f>IF(VLOOKUP(A8,'Final items'!$A$1:$Z$300,11,FALSE)="Write in %", "Count", "Category")</f>
        <v>Category</v>
      </c>
      <c r="H8">
        <f>VLOOKUP(B8,kappas!$A$1:$C$300,2,FALSE)</f>
        <v>-1.6042780748662801E-2</v>
      </c>
      <c r="I8">
        <f>VLOOKUP(B8,kappas!$A$1:$C$300,3,FALSE)</f>
        <v>0.95789473684210502</v>
      </c>
      <c r="J8" t="str">
        <f>VLOOKUP(B8,'initial kappas'!$A$1:$C$300,2,FALSE)</f>
        <v>NA</v>
      </c>
      <c r="K8">
        <f>VLOOKUP(B8,'initial kappas'!$A$1:$C$300,3,FALSE)</f>
        <v>1</v>
      </c>
    </row>
    <row r="9" spans="1:11">
      <c r="A9" t="str">
        <f>VLOOKUP('Final items'!$A110,'Final items'!$A$1:$Z$300,1,FALSE)</f>
        <v>Minn-Irvine-94.1</v>
      </c>
      <c r="B9" t="str">
        <f t="shared" si="0"/>
        <v>Minn.Irvine.94.1</v>
      </c>
      <c r="C9" t="e">
        <f>VLOOKUP('Final items'!$A110,'Kathy''s original list'!$A$1:$Z$300,8,FALSE)</f>
        <v>#N/A</v>
      </c>
      <c r="D9" t="str">
        <f>VLOOKUP('Final items'!$A110,'Final items'!$A$1:$Z$300,10,FALSE)</f>
        <v>Is the impassable land use a barrier to walking?</v>
      </c>
      <c r="E9" t="e">
        <f t="shared" si="1"/>
        <v>#N/A</v>
      </c>
      <c r="F9">
        <f>VLOOKUP('Final items'!$A110,'Final items'!$A$1:$Z$300,9,FALSE)</f>
        <v>0</v>
      </c>
      <c r="G9" t="str">
        <f>IF(VLOOKUP(A9,'Final items'!$A$1:$Z$300,11,FALSE)="Write in %", "Count", "Category")</f>
        <v>Category</v>
      </c>
      <c r="H9">
        <f>VLOOKUP(B9,kappas!$A$1:$C$300,2,FALSE)</f>
        <v>-1.6042780748662801E-2</v>
      </c>
      <c r="I9">
        <f>VLOOKUP(B9,kappas!$A$1:$C$300,3,FALSE)</f>
        <v>0.95789473684210502</v>
      </c>
      <c r="J9" t="str">
        <f>VLOOKUP(B9,'initial kappas'!$A$1:$C$300,2,FALSE)</f>
        <v>NA</v>
      </c>
      <c r="K9">
        <f>VLOOKUP(B9,'initial kappas'!$A$1:$C$300,3,FALSE)</f>
        <v>1</v>
      </c>
    </row>
    <row r="10" spans="1:11">
      <c r="A10" t="str">
        <f>VLOOKUP('Final items'!$A30,'Final items'!$A$1:$Z$300,1,FALSE)</f>
        <v>PEDS-23.6</v>
      </c>
      <c r="B10" t="str">
        <f t="shared" si="0"/>
        <v>PEDS.23.6</v>
      </c>
      <c r="C10" t="str">
        <f>VLOOKUP('Final items'!$A30,'Kathy''s original list'!$A$1:$Z$300,8,FALSE)</f>
        <v>Is there a pedestrian crossing warning sign?</v>
      </c>
      <c r="D10" t="str">
        <f>VLOOKUP('Final items'!$A30,'Final items'!$A$1:$Z$300,10,FALSE)</f>
        <v>Is there a pedestrian crossing warning sign?</v>
      </c>
      <c r="E10" t="str">
        <f t="shared" si="1"/>
        <v>Yes</v>
      </c>
      <c r="F10" t="str">
        <f>VLOOKUP('Final items'!$A30,'Final items'!$A$1:$Z$300,9,FALSE)</f>
        <v>&lt;p&gt;Street sign without flashing light. Children at play signs can also be included here. Yield signs for cars do not count&lt;img src="[crossing_street_sign.png]"/&gt;&lt;/p&gt;</v>
      </c>
      <c r="G10" t="str">
        <f>IF(VLOOKUP(A10,'Final items'!$A$1:$Z$300,11,FALSE)="Write in %", "Count", "Category")</f>
        <v>Category</v>
      </c>
      <c r="H10">
        <f>VLOOKUP(B10,kappas!$A$1:$C$300,2,FALSE)</f>
        <v>-1.0638297872342E-2</v>
      </c>
      <c r="I10">
        <f>VLOOKUP(B10,kappas!$A$1:$C$300,3,FALSE)</f>
        <v>0.97894736842105301</v>
      </c>
      <c r="J10" t="str">
        <f>VLOOKUP(B10,'initial kappas'!$A$1:$C$300,2,FALSE)</f>
        <v>NA</v>
      </c>
      <c r="K10">
        <f>VLOOKUP(B10,'initial kappas'!$A$1:$C$300,3,FALSE)</f>
        <v>1</v>
      </c>
    </row>
    <row r="11" spans="1:11">
      <c r="A11" t="str">
        <f>VLOOKUP('Final items'!$A43,'Final items'!$A$1:$Z$300,1,FALSE)</f>
        <v>Minn-Irvine-144</v>
      </c>
      <c r="B11" t="str">
        <f t="shared" si="0"/>
        <v>Minn.Irvine.144</v>
      </c>
      <c r="C11" t="str">
        <f>VLOOKUP('Final items'!$A43,'Kathy''s original list'!$A$1:$Z$300,8,FALSE)</f>
        <v>Is there a freeway overpass/underpass connected to this segment?</v>
      </c>
      <c r="D11" t="str">
        <f>VLOOKUP('Final items'!$A43,'Final items'!$A$1:$Z$300,10,FALSE)</f>
        <v>Is there a freeway overpass/underpass connected to this segment?  (That is, is any part of the segment under an overpass, adjacent to a freeway or an overpass itself?)</v>
      </c>
      <c r="E11" t="str">
        <f t="shared" si="1"/>
        <v>No</v>
      </c>
      <c r="F11" t="str">
        <f>VLOOKUP('Final items'!$A43,'Final items'!$A$1:$Z$300,9,FALSE)</f>
        <v xml:space="preserve">&lt;table&gt;&lt;tr&gt;&lt;th&gt;Under an overpass&lt;/th&gt;&lt;th&gt;Next to a freeway&lt;/th&gt;&lt;th&gt;IS a freeway overpass&lt;/th&gt;&lt;/tr&gt;&lt;tr&gt;&lt;td&gt;&lt;img src="[under_freeway.png]"/&gt;&lt;/td&gt;&lt;td&gt;&lt;img src="[next_to_freeway.png]"/&gt;&lt;/td&gt;&lt;td&gt;&lt;img src="[is_freeway_overpass.png]"/&gt;&lt;/td&gt;&lt;/tr&gt;&lt;/table&gt; </v>
      </c>
      <c r="G11" t="str">
        <f>IF(VLOOKUP(A11,'Final items'!$A$1:$Z$300,11,FALSE)="Write in %", "Count", "Category")</f>
        <v>Category</v>
      </c>
      <c r="H11">
        <f>VLOOKUP(B11,kappas!$A$1:$C$300,2,FALSE)</f>
        <v>-1.0638297872342E-2</v>
      </c>
      <c r="I11">
        <f>VLOOKUP(B11,kappas!$A$1:$C$300,3,FALSE)</f>
        <v>0.97894736842105301</v>
      </c>
      <c r="J11">
        <f>VLOOKUP(B11,'initial kappas'!$A$1:$C$300,2,FALSE)</f>
        <v>0.62711864406779705</v>
      </c>
      <c r="K11">
        <f>VLOOKUP(B11,'initial kappas'!$A$1:$C$300,3,FALSE)</f>
        <v>0.90909090909090895</v>
      </c>
    </row>
    <row r="12" spans="1:11">
      <c r="A12" t="str">
        <f>VLOOKUP('Final items'!$A101,'Final items'!$A$1:$Z$300,1,FALSE)</f>
        <v>PEDS-35</v>
      </c>
      <c r="B12" t="str">
        <f t="shared" si="0"/>
        <v>PEDS.35</v>
      </c>
      <c r="C12" t="str">
        <f>VLOOKUP('Final items'!$A101,'Kathy''s original list'!$A$1:$Z$300,8,FALSE)</f>
        <v>Is there a bus stop and if so what kind?</v>
      </c>
      <c r="D12" t="str">
        <f>VLOOKUP('Final items'!$A101,'Final items'!$A$1:$Z$300,10,FALSE)</f>
        <v>Is there a bus stop and if so what kind?</v>
      </c>
      <c r="E12" t="str">
        <f t="shared" si="1"/>
        <v>Yes</v>
      </c>
      <c r="F12" t="str">
        <f>VLOOKUP('Final items'!$A101,'Final items'!$A$1:$Z$300,9,FALSE)</f>
        <v>&lt;p&gt;&lt;img src="[busstop_shelter.png]"/&gt;, &lt;img src="[busstop_with_bench.png]"/&gt;, &lt;img src="[busstop_with_sign.png]"/&gt;&lt;/p&gt;</v>
      </c>
      <c r="G12" t="str">
        <f>IF(VLOOKUP(A12,'Final items'!$A$1:$Z$300,11,FALSE)="Write in %", "Count", "Category")</f>
        <v>Category</v>
      </c>
      <c r="H12">
        <f>VLOOKUP(B12,kappas!$A$1:$C$300,2,FALSE)</f>
        <v>-1.0638297872342E-2</v>
      </c>
      <c r="I12">
        <f>VLOOKUP(B12,kappas!$A$1:$C$300,3,FALSE)</f>
        <v>0.97894736842105301</v>
      </c>
      <c r="J12">
        <f>VLOOKUP(B12,'initial kappas'!$A$1:$C$300,2,FALSE)</f>
        <v>1</v>
      </c>
      <c r="K12">
        <f>VLOOKUP(B12,'initial kappas'!$A$1:$C$300,3,FALSE)</f>
        <v>1</v>
      </c>
    </row>
    <row r="13" spans="1:11">
      <c r="A13" t="str">
        <f>VLOOKUP('Final items'!$A111,'Final items'!$A$1:$Z$300,1,FALSE)</f>
        <v>Minn-Irvine-98</v>
      </c>
      <c r="B13" t="str">
        <f t="shared" si="0"/>
        <v>Minn.Irvine.98</v>
      </c>
      <c r="C13" t="str">
        <f>VLOOKUP('Final items'!$A111,'Kathy''s original list'!$A$1:$Z$300,8,FALSE)</f>
        <v>Is any other barrier to walking present?</v>
      </c>
      <c r="D13" t="str">
        <f>VLOOKUP('Final items'!$A111,'Final items'!$A$1:$Z$300,10,FALSE)</f>
        <v>Is any other barrier to walking present? (Note: a barrier is something that significantly hinders walking, not just something annoying to pedestrians)</v>
      </c>
      <c r="E13" t="str">
        <f t="shared" si="1"/>
        <v>No</v>
      </c>
      <c r="F13">
        <f>VLOOKUP('Final items'!$A111,'Final items'!$A$1:$Z$300,9,FALSE)</f>
        <v>0</v>
      </c>
      <c r="G13" t="str">
        <f>IF(VLOOKUP(A13,'Final items'!$A$1:$Z$300,11,FALSE)="Write in %", "Count", "Category")</f>
        <v>Category</v>
      </c>
      <c r="H13">
        <f>VLOOKUP(B13,kappas!$A$1:$C$300,2,FALSE)</f>
        <v>-1.0638297872342E-2</v>
      </c>
      <c r="I13">
        <f>VLOOKUP(B13,kappas!$A$1:$C$300,3,FALSE)</f>
        <v>0.97894736842105301</v>
      </c>
      <c r="J13">
        <f>VLOOKUP(B13,'initial kappas'!$A$1:$C$300,2,FALSE)</f>
        <v>-4.7619047619046201E-2</v>
      </c>
      <c r="K13">
        <f>VLOOKUP(B13,'initial kappas'!$A$1:$C$300,3,FALSE)</f>
        <v>0.90909090909090895</v>
      </c>
    </row>
    <row r="14" spans="1:11">
      <c r="A14" t="str">
        <f>VLOOKUP('Final items'!$A112,'Final items'!$A$1:$Z$300,1,FALSE)</f>
        <v>Minn-Irvine-98.1</v>
      </c>
      <c r="B14" t="str">
        <f t="shared" si="0"/>
        <v>Minn.Irvine.98.1</v>
      </c>
      <c r="C14" t="e">
        <f>VLOOKUP('Final items'!$A112,'Kathy''s original list'!$A$1:$Z$300,8,FALSE)</f>
        <v>#N/A</v>
      </c>
      <c r="D14" t="str">
        <f>VLOOKUP('Final items'!$A112,'Final items'!$A$1:$Z$300,10,FALSE)</f>
        <v>Can that barrier be overcome?</v>
      </c>
      <c r="E14" t="e">
        <f t="shared" si="1"/>
        <v>#N/A</v>
      </c>
      <c r="F14">
        <f>VLOOKUP('Final items'!$A112,'Final items'!$A$1:$Z$300,9,FALSE)</f>
        <v>0</v>
      </c>
      <c r="G14" t="str">
        <f>IF(VLOOKUP(A14,'Final items'!$A$1:$Z$300,11,FALSE)="Write in %", "Count", "Category")</f>
        <v>Category</v>
      </c>
      <c r="H14">
        <f>VLOOKUP(B14,kappas!$A$1:$C$300,2,FALSE)</f>
        <v>-1.0638297872342E-2</v>
      </c>
      <c r="I14">
        <f>VLOOKUP(B14,kappas!$A$1:$C$300,3,FALSE)</f>
        <v>0.97894736842105301</v>
      </c>
      <c r="J14">
        <f>VLOOKUP(B14,'initial kappas'!$A$1:$C$300,2,FALSE)</f>
        <v>-4.7619047619046201E-2</v>
      </c>
      <c r="K14">
        <f>VLOOKUP(B14,'initial kappas'!$A$1:$C$300,3,FALSE)</f>
        <v>0.90909090909090895</v>
      </c>
    </row>
    <row r="15" spans="1:11">
      <c r="A15" t="str">
        <f>VLOOKUP('Final items'!$A115,'Final items'!$A$1:$Z$300,1,FALSE)</f>
        <v>Minn-Irvine-95</v>
      </c>
      <c r="B15" t="str">
        <f t="shared" si="0"/>
        <v>Minn.Irvine.95</v>
      </c>
      <c r="C15" t="str">
        <f>VLOOKUP('Final items'!$A115,'Kathy''s original list'!$A$1:$Z$300,8,FALSE)</f>
        <v>Is a river present and is it a barrier to walking?</v>
      </c>
      <c r="D15" t="str">
        <f>VLOOKUP('Final items'!$A115,'Final items'!$A$1:$Z$300,10,FALSE)</f>
        <v>Is a river present?</v>
      </c>
      <c r="E15" t="str">
        <f t="shared" si="1"/>
        <v>No</v>
      </c>
      <c r="F15" t="str">
        <f>VLOOKUP('Final items'!$A115,'Final items'!$A$1:$Z$300,9,FALSE)</f>
        <v>&lt;p&gt;&lt;img src="[river.png]"&gt;&lt;/p&gt;</v>
      </c>
      <c r="G15" t="str">
        <f>IF(VLOOKUP(A15,'Final items'!$A$1:$Z$300,11,FALSE)="Write in %", "Count", "Category")</f>
        <v>Category</v>
      </c>
      <c r="H15">
        <f>VLOOKUP(B15,kappas!$A$1:$C$300,2,FALSE)</f>
        <v>-1.0638297872342E-2</v>
      </c>
      <c r="I15">
        <f>VLOOKUP(B15,kappas!$A$1:$C$300,3,FALSE)</f>
        <v>0.97894736842105301</v>
      </c>
      <c r="J15" t="str">
        <f>VLOOKUP(B15,'initial kappas'!$A$1:$C$300,2,FALSE)</f>
        <v>NA</v>
      </c>
      <c r="K15">
        <f>VLOOKUP(B15,'initial kappas'!$A$1:$C$300,3,FALSE)</f>
        <v>1</v>
      </c>
    </row>
    <row r="16" spans="1:11">
      <c r="A16" t="str">
        <f>VLOOKUP('Final items'!$A116,'Final items'!$A$1:$Z$300,1,FALSE)</f>
        <v>Minn-Irvine-95.1</v>
      </c>
      <c r="B16" t="str">
        <f t="shared" si="0"/>
        <v>Minn.Irvine.95.1</v>
      </c>
      <c r="C16" t="e">
        <f>VLOOKUP('Final items'!$A116,'Kathy''s original list'!$A$1:$Z$300,8,FALSE)</f>
        <v>#N/A</v>
      </c>
      <c r="D16" t="str">
        <f>VLOOKUP('Final items'!$A116,'Final items'!$A$1:$Z$300,10,FALSE)</f>
        <v>Is that river a barrier to walking?</v>
      </c>
      <c r="E16" t="e">
        <f t="shared" si="1"/>
        <v>#N/A</v>
      </c>
      <c r="F16">
        <f>VLOOKUP('Final items'!$A116,'Final items'!$A$1:$Z$300,9,FALSE)</f>
        <v>0</v>
      </c>
      <c r="G16" t="str">
        <f>IF(VLOOKUP(A16,'Final items'!$A$1:$Z$300,11,FALSE)="Write in %", "Count", "Category")</f>
        <v>Category</v>
      </c>
      <c r="H16">
        <f>VLOOKUP(B16,kappas!$A$1:$C$300,2,FALSE)</f>
        <v>-1.0638297872342E-2</v>
      </c>
      <c r="I16">
        <f>VLOOKUP(B16,kappas!$A$1:$C$300,3,FALSE)</f>
        <v>0.97894736842105301</v>
      </c>
      <c r="J16" t="str">
        <f>VLOOKUP(B16,'initial kappas'!$A$1:$C$300,2,FALSE)</f>
        <v>NA</v>
      </c>
      <c r="K16">
        <f>VLOOKUP(B16,'initial kappas'!$A$1:$C$300,3,FALSE)</f>
        <v>1</v>
      </c>
    </row>
    <row r="17" spans="1:11">
      <c r="A17" t="str">
        <f>VLOOKUP('Final items'!$A180,'Final items'!$A$1:$Z$300,1,FALSE)</f>
        <v>Minn-Irvine-84</v>
      </c>
      <c r="B17" t="str">
        <f t="shared" si="0"/>
        <v>Minn.Irvine.84</v>
      </c>
      <c r="C17" t="str">
        <f>VLOOKUP('Final items'!$A180,'Kathy''s original list'!$A$1:$Z$300,8,FALSE)</f>
        <v>Is there an open field or golf course?</v>
      </c>
      <c r="D17" t="str">
        <f>VLOOKUP('Final items'!$A180,'Final items'!$A$1:$Z$300,10,FALSE)</f>
        <v>Is there an open field or golf course? (cropland does not count)</v>
      </c>
      <c r="E17" t="str">
        <f t="shared" si="1"/>
        <v>No</v>
      </c>
      <c r="F17" t="str">
        <f>VLOOKUP('Final items'!$A180,'Final items'!$A$1:$Z$300,9,FALSE)</f>
        <v>&lt;p&gt;&lt;img src="[open_field.png]"&gt;&lt;/p&gt;</v>
      </c>
      <c r="G17" t="str">
        <f>IF(VLOOKUP(A17,'Final items'!$A$1:$Z$300,11,FALSE)="Write in %", "Count", "Category")</f>
        <v>Category</v>
      </c>
      <c r="H17">
        <f>VLOOKUP(B17,kappas!$A$1:$C$300,2,FALSE)</f>
        <v>-1.0638297872342E-2</v>
      </c>
      <c r="I17">
        <f>VLOOKUP(B17,kappas!$A$1:$C$300,3,FALSE)</f>
        <v>0.97894736842105301</v>
      </c>
      <c r="J17">
        <f>VLOOKUP(B17,'initial kappas'!$A$1:$C$300,2,FALSE)</f>
        <v>-9.99999999999997E-2</v>
      </c>
      <c r="K17">
        <f>VLOOKUP(B17,'initial kappas'!$A$1:$C$300,3,FALSE)</f>
        <v>0.81818181818181801</v>
      </c>
    </row>
    <row r="18" spans="1:11">
      <c r="A18" t="str">
        <f>VLOOKUP('Final items'!$A181,'Final items'!$A$1:$Z$300,1,FALSE)</f>
        <v>Minn-Irvine-85</v>
      </c>
      <c r="B18" t="str">
        <f t="shared" si="0"/>
        <v>Minn.Irvine.85</v>
      </c>
      <c r="C18" t="str">
        <f>VLOOKUP('Final items'!$A181,'Kathy''s original list'!$A$1:$Z$300,8,FALSE)</f>
        <v>Is there a lake or pond?</v>
      </c>
      <c r="D18" t="str">
        <f>VLOOKUP('Final items'!$A181,'Final items'!$A$1:$Z$300,10,FALSE)</f>
        <v>Is there a lake or pond?</v>
      </c>
      <c r="E18" t="str">
        <f t="shared" si="1"/>
        <v>Yes</v>
      </c>
      <c r="F18" t="str">
        <f>VLOOKUP('Final items'!$A181,'Final items'!$A$1:$Z$300,9,FALSE)</f>
        <v>&lt;p&gt;&lt;img src="[lake.png]"&gt;&lt;/p&gt;</v>
      </c>
      <c r="G18" t="str">
        <f>IF(VLOOKUP(A18,'Final items'!$A$1:$Z$300,11,FALSE)="Write in %", "Count", "Category")</f>
        <v>Category</v>
      </c>
      <c r="H18">
        <f>VLOOKUP(B18,kappas!$A$1:$C$300,2,FALSE)</f>
        <v>-1.0638297872342E-2</v>
      </c>
      <c r="I18">
        <f>VLOOKUP(B18,kappas!$A$1:$C$300,3,FALSE)</f>
        <v>0.97894736842105301</v>
      </c>
      <c r="J18">
        <f>VLOOKUP(B18,'initial kappas'!$A$1:$C$300,2,FALSE)</f>
        <v>0.61403508771929904</v>
      </c>
      <c r="K18">
        <f>VLOOKUP(B18,'initial kappas'!$A$1:$C$300,3,FALSE)</f>
        <v>0.90909090909090895</v>
      </c>
    </row>
    <row r="19" spans="1:11">
      <c r="A19" t="str">
        <f>VLOOKUP('Final items'!$A183,'Final items'!$A$1:$Z$300,1,FALSE)</f>
        <v>Minn-Irvine-87</v>
      </c>
      <c r="B19" t="str">
        <f t="shared" si="0"/>
        <v>Minn.Irvine.87</v>
      </c>
      <c r="C19" t="str">
        <f>VLOOKUP('Final items'!$A183,'Kathy''s original list'!$A$1:$Z$300,8,FALSE)</f>
        <v>Is there a stream, river, or canal?</v>
      </c>
      <c r="D19" t="str">
        <f>VLOOKUP('Final items'!$A183,'Final items'!$A$1:$Z$300,10,FALSE)</f>
        <v>Is there a stream, river, or canal?</v>
      </c>
      <c r="E19" t="str">
        <f t="shared" si="1"/>
        <v>Yes</v>
      </c>
      <c r="F19" t="str">
        <f>VLOOKUP('Final items'!$A183,'Final items'!$A$1:$Z$300,9,FALSE)</f>
        <v>&lt;p&gt;&lt;img src="[stream.png]"&gt;&lt;/p&gt;</v>
      </c>
      <c r="G19" t="str">
        <f>IF(VLOOKUP(A19,'Final items'!$A$1:$Z$300,11,FALSE)="Write in %", "Count", "Category")</f>
        <v>Category</v>
      </c>
      <c r="H19">
        <f>VLOOKUP(B19,kappas!$A$1:$C$300,2,FALSE)</f>
        <v>-1.0638297872342E-2</v>
      </c>
      <c r="I19">
        <f>VLOOKUP(B19,kappas!$A$1:$C$300,3,FALSE)</f>
        <v>0.97894736842105301</v>
      </c>
      <c r="J19" t="str">
        <f>VLOOKUP(B19,'initial kappas'!$A$1:$C$300,2,FALSE)</f>
        <v>NA</v>
      </c>
      <c r="K19">
        <f>VLOOKUP(B19,'initial kappas'!$A$1:$C$300,3,FALSE)</f>
        <v>1</v>
      </c>
    </row>
    <row r="20" spans="1:11">
      <c r="A20" t="str">
        <f>VLOOKUP('Final items'!$A205,'Final items'!$A$1:$Z$300,1,FALSE)</f>
        <v>Minn-Irvine-22</v>
      </c>
      <c r="B20" t="str">
        <f t="shared" si="0"/>
        <v>Minn.Irvine.22</v>
      </c>
      <c r="C20" t="str">
        <f>VLOOKUP('Final items'!$A205,'Kathy''s original list'!$A$1:$Z$300,8,FALSE)</f>
        <v>Is there a significant open view of an object not on the block?</v>
      </c>
      <c r="D20" t="str">
        <f>VLOOKUP('Final items'!$A205,'Final items'!$A$1:$Z$300,10,FALSE)</f>
        <v>Is there a significant open view of an object not on the block?  (e.g. mountains, ocean, landmark buildings, etc.)</v>
      </c>
      <c r="E20" t="str">
        <f t="shared" si="1"/>
        <v>No</v>
      </c>
      <c r="F20" t="str">
        <f>VLOOKUP('Final items'!$A205,'Final items'!$A$1:$Z$300,9,FALSE)</f>
        <v>&lt;table&gt;&lt;tr&gt;&lt;th&gt;Significant open view&lt;/th&gt;&lt;th&gt;No significant open view&lt;/th&gt;&lt;/tr&gt;&lt;tr&gt;&lt;td&gt;&lt;img src="[significant_open_view.png]"&gt;&lt;/td&gt;&lt;td&gt;&lt;img src="[no_significant_open_view.png]"&gt;&lt;/td&gt;&lt;/tr&gt;&lt;/table&gt;</v>
      </c>
      <c r="G20" t="str">
        <f>IF(VLOOKUP(A20,'Final items'!$A$1:$Z$300,11,FALSE)="Write in %", "Count", "Category")</f>
        <v>Category</v>
      </c>
      <c r="H20">
        <f>VLOOKUP(B20,kappas!$A$1:$C$300,2,FALSE)</f>
        <v>-1.0638297872342E-2</v>
      </c>
      <c r="I20">
        <f>VLOOKUP(B20,kappas!$A$1:$C$300,3,FALSE)</f>
        <v>0.97894736842105301</v>
      </c>
      <c r="J20" t="str">
        <f>VLOOKUP(B20,'initial kappas'!$A$1:$C$300,2,FALSE)</f>
        <v>NA</v>
      </c>
      <c r="K20">
        <f>VLOOKUP(B20,'initial kappas'!$A$1:$C$300,3,FALSE)</f>
        <v>1</v>
      </c>
    </row>
    <row r="21" spans="1:11">
      <c r="A21" t="str">
        <f>VLOOKUP('Final items'!$A221,'Final items'!$A$1:$Z$300,1,FALSE)</f>
        <v>PEDS-26.3</v>
      </c>
      <c r="B21" t="str">
        <f t="shared" si="0"/>
        <v>PEDS.26.3</v>
      </c>
      <c r="C21" t="str">
        <f>VLOOKUP('Final items'!$A221,'Kathy''s original list'!$A$1:$Z$300,8,FALSE)</f>
        <v>Do you see a water fountain?</v>
      </c>
      <c r="D21" t="str">
        <f>VLOOKUP('Final items'!$A221,'Final items'!$A$1:$Z$300,10,FALSE)</f>
        <v>Do you see a water fountain?</v>
      </c>
      <c r="E21" t="str">
        <f t="shared" si="1"/>
        <v>Yes</v>
      </c>
      <c r="F21">
        <f>VLOOKUP('Final items'!$A221,'Final items'!$A$1:$Z$300,9,FALSE)</f>
        <v>0</v>
      </c>
      <c r="G21" t="str">
        <f>IF(VLOOKUP(A21,'Final items'!$A$1:$Z$300,11,FALSE)="Write in %", "Count", "Category")</f>
        <v>Category</v>
      </c>
      <c r="H21">
        <f>VLOOKUP(B21,kappas!$A$1:$C$300,2,FALSE)</f>
        <v>-1.0638297872342E-2</v>
      </c>
      <c r="I21">
        <f>VLOOKUP(B21,kappas!$A$1:$C$300,3,FALSE)</f>
        <v>0.97894736842105301</v>
      </c>
      <c r="J21" t="str">
        <f>VLOOKUP(B21,'initial kappas'!$A$1:$C$300,2,FALSE)</f>
        <v>NA</v>
      </c>
      <c r="K21">
        <f>VLOOKUP(B21,'initial kappas'!$A$1:$C$300,3,FALSE)</f>
        <v>1</v>
      </c>
    </row>
    <row r="22" spans="1:11">
      <c r="A22" t="str">
        <f>VLOOKUP('Final items'!$A218,'Final items'!$A$1:$Z$300,1,FALSE)</f>
        <v>MIUDQ-18.1</v>
      </c>
      <c r="B22" t="str">
        <f t="shared" si="0"/>
        <v>MIUDQ.18.1</v>
      </c>
      <c r="C22" t="e">
        <f>VLOOKUP('Final items'!$A218,'Kathy''s original list'!$A$1:$Z$300,8,FALSE)</f>
        <v>#N/A</v>
      </c>
      <c r="D22" t="str">
        <f>VLOOKUP('Final items'!$A218,'Final items'!$A$1:$Z$300,10,FALSE)</f>
        <v>How many other street items are there? (street items are objects for people -- see help for more specifics)</v>
      </c>
      <c r="E22" t="e">
        <f t="shared" si="1"/>
        <v>#N/A</v>
      </c>
      <c r="F22" t="str">
        <f>VLOOKUP('Final items'!$A218,'Final items'!$A$1:$Z$300,9,FALSE)</f>
        <v>&lt;p&gt;Other objects intended for humans. Lamps posts, newspaper and mail boxes, bus station furniture, information booths, ATMs, small potted plants, umbrellas, trash cans, flags, railings, balloons(1 per bunch), merchandise stands, or pedestrian-scale street lights. However, if chairs are not associated with outdoor tables, count each chair or stack of chairs. Where there are both stacked tables and chairs, count each table only.&lt;/p&gt;</v>
      </c>
      <c r="G22" t="str">
        <f>IF(VLOOKUP(A22,'Final items'!$A$1:$Z$300,11,FALSE)="Write in %", "Count", "Category")</f>
        <v>Category</v>
      </c>
      <c r="H22">
        <f>VLOOKUP(B22,kappas!$A$1:$C$300,2,FALSE)</f>
        <v>-8.6872586872587896E-3</v>
      </c>
      <c r="I22">
        <f>VLOOKUP(B22,kappas!$A$1:$C$300,3,FALSE)</f>
        <v>0.53684210526315801</v>
      </c>
      <c r="J22" t="e">
        <f>VLOOKUP(B22,'initial kappas'!$A$1:$C$300,2,FALSE)</f>
        <v>#N/A</v>
      </c>
      <c r="K22" t="e">
        <f>VLOOKUP(B22,'initial kappas'!$A$1:$C$300,3,FALSE)</f>
        <v>#N/A</v>
      </c>
    </row>
    <row r="23" spans="1:11">
      <c r="A23" t="str">
        <f>VLOOKUP('Final items'!$A216,'Final items'!$A$1:$Z$300,1,FALSE)</f>
        <v>Minn-Irvine-120</v>
      </c>
      <c r="B23" t="str">
        <f t="shared" si="0"/>
        <v>Minn.Irvine.120</v>
      </c>
      <c r="C23" t="str">
        <f>VLOOKUP('Final items'!$A216,'Kathy''s original list'!$A$1:$Z$300,8,FALSE)</f>
        <v>How many benches (not a bus stop), chairs and/or ledges for sitting?</v>
      </c>
      <c r="D23" t="str">
        <f>VLOOKUP('Final items'!$A216,'Final items'!$A$1:$Z$300,10,FALSE)</f>
        <v>How many benches (not a bus stop), chairs and/or ledges for sitting?</v>
      </c>
      <c r="E23" t="str">
        <f t="shared" si="1"/>
        <v>Yes</v>
      </c>
      <c r="F23" t="str">
        <f>VLOOKUP('Final items'!$A216,'Final items'!$A$1:$Z$300,9,FALSE)</f>
        <v>&lt;p&gt;&lt;img src="[benches.png]"/&gt;&lt;/p&gt;&lt;p&gt;The scale here refers to the amount of sitting space, not the number of discrete objects, so one long ledge along a streetside could count as a lot.&lt;/p&gt;</v>
      </c>
      <c r="G23" t="str">
        <f>IF(VLOOKUP(A23,'Final items'!$A$1:$Z$300,11,FALSE)="Write in %", "Count", "Category")</f>
        <v>Category</v>
      </c>
      <c r="H23">
        <f>VLOOKUP(B23,kappas!$A$1:$C$300,2,FALSE)</f>
        <v>6.05726872246567E-3</v>
      </c>
      <c r="I23">
        <f>VLOOKUP(B23,kappas!$A$1:$C$300,3,FALSE)</f>
        <v>0.9</v>
      </c>
      <c r="J23" t="str">
        <f>VLOOKUP(B23,'initial kappas'!$A$1:$C$300,2,FALSE)</f>
        <v>NA</v>
      </c>
      <c r="K23">
        <f>VLOOKUP(B23,'initial kappas'!$A$1:$C$300,3,FALSE)</f>
        <v>1</v>
      </c>
    </row>
    <row r="24" spans="1:11">
      <c r="A24" t="str">
        <f>VLOOKUP('Final items'!$A6,'Final items'!$A$1:$Z$300,1,FALSE)</f>
        <v>Meta-4</v>
      </c>
      <c r="B24" t="str">
        <f t="shared" si="0"/>
        <v>Meta.4</v>
      </c>
      <c r="C24" t="e">
        <f>VLOOKUP('Final items'!$A6,'Kathy''s original list'!$A$1:$Z$300,8,FALSE)</f>
        <v>#N/A</v>
      </c>
      <c r="D24" t="str">
        <f>VLOOKUP('Final items'!$A6,'Final items'!$A$1:$Z$300,10,FALSE)</f>
        <v>At what zoom level does pixelation begin at the start of the segment?</v>
      </c>
      <c r="E24" t="e">
        <f t="shared" si="1"/>
        <v>#N/A</v>
      </c>
      <c r="F24" t="str">
        <f>VLOOKUP('Final items'!$A6,'Final items'!$A$1:$Z$300,9,FALSE)</f>
        <v>&lt;p&gt;There is a zoom control in the upper left corner of the streetview window -- the + button zooms in and the - button zooms out.  After how many clicks does the view become pixelated? (example below).  Note: test this by moving to the center of the segment, turning to the streetside being rated, and checking the imagery near the middle of the view.&lt;/p&gt;&lt;hr/&gt;&lt;p&gt;At default zoom (zoom level 0), we see the image below, which shows no pixelation&lt;/p&gt;&lt;div&gt;&lt;img src="[no_pixilation.png]"/&gt;&lt;/div&gt;&lt;p&gt;At zoom level 1, we see the image below, which still shows no pixeliation&lt;/p&gt;&lt;div&gt;&lt;img src="[no_pixilation_2.png]"/&gt;&lt;/div&gt;&lt;p&gt;At zoom level 2, we see the image below, which has some bleeding but still is not badly pixelated&lt;/p&gt;&lt;div&gt;&lt;img src="[no_pixilation_3.png]"/&gt;&lt;/div&gt;&lt;p&gt;But at zoom level 3, the edges of lines are no longer crisp.  We'd consider this image pixelated at zoom level 3.&lt;/p&gt;&lt;div&gt;&lt;img src="[pixilation.png]"/&gt;&lt;/div&gt;&lt;/p&gt;</v>
      </c>
      <c r="G24" t="str">
        <f>IF(VLOOKUP(A24,'Final items'!$A$1:$Z$300,11,FALSE)="Write in %", "Count", "Category")</f>
        <v>Category</v>
      </c>
      <c r="H24">
        <f>VLOOKUP(B24,kappas!$A$1:$C$300,2,FALSE)</f>
        <v>1.6272189349112402E-2</v>
      </c>
      <c r="I24">
        <f>VLOOKUP(B24,kappas!$A$1:$C$300,3,FALSE)</f>
        <v>0.336842105263158</v>
      </c>
      <c r="J24">
        <f>VLOOKUP(B24,'initial kappas'!$A$1:$C$300,2,FALSE)</f>
        <v>-0.36723163841807899</v>
      </c>
      <c r="K24">
        <f>VLOOKUP(B24,'initial kappas'!$A$1:$C$300,3,FALSE)</f>
        <v>0</v>
      </c>
    </row>
    <row r="25" spans="1:11">
      <c r="A25" t="str">
        <f>VLOOKUP('Final items'!$A235,'Final items'!$A$1:$Z$300,1,FALSE)</f>
        <v>Minn-Irvine-141</v>
      </c>
      <c r="B25" t="str">
        <f t="shared" si="0"/>
        <v>Minn.Irvine.141</v>
      </c>
      <c r="C25" t="str">
        <f>VLOOKUP('Final items'!$A235,'Kathy''s original list'!$A$1:$Z$300,8,FALSE)</f>
        <v>Are there dumpsters visible?</v>
      </c>
      <c r="D25" t="str">
        <f>VLOOKUP('Final items'!$A235,'Final items'!$A$1:$Z$300,10,FALSE)</f>
        <v>Are there dumpsters visible?</v>
      </c>
      <c r="E25" t="str">
        <f t="shared" si="1"/>
        <v>Yes</v>
      </c>
      <c r="F25" t="str">
        <f>VLOOKUP('Final items'!$A235,'Final items'!$A$1:$Z$300,9,FALSE)</f>
        <v xml:space="preserve">&lt;p&gt;Choose "some or a lot" rather than "few" if there are at least 3 dumpsters visible.&lt;/p&gt;&lt;table&gt;&lt;tr&gt;&lt;th&gt;None&lt;/th&gt;&lt;th&gt;Little&lt;/th&gt;&lt;th&gt;Some or a lot&lt;/th&gt;&lt;/tr&gt;&lt;tr&gt;&lt;td&gt;&lt;img src="[no_dumpsters.png]"/&gt;&lt;/td&gt;&lt;td&gt;&lt;img src="[little_dumpsters.png]"/&gt;&lt;/td&gt;&lt;td&gt;&lt;img src="[some_dumpsters.png]"/&gt;&lt;/td&gt;&lt;/tr&gt;&lt;/table&gt; </v>
      </c>
      <c r="G25" t="str">
        <f>IF(VLOOKUP(A25,'Final items'!$A$1:$Z$300,11,FALSE)="Write in %", "Count", "Category")</f>
        <v>Category</v>
      </c>
      <c r="H25">
        <f>VLOOKUP(B25,kappas!$A$1:$C$300,2,FALSE)</f>
        <v>2.9291553133515301E-2</v>
      </c>
      <c r="I25">
        <f>VLOOKUP(B25,kappas!$A$1:$C$300,3,FALSE)</f>
        <v>0.92105263157894701</v>
      </c>
      <c r="J25" t="str">
        <f>VLOOKUP(B25,'initial kappas'!$A$1:$C$300,2,FALSE)</f>
        <v>NA</v>
      </c>
      <c r="K25">
        <f>VLOOKUP(B25,'initial kappas'!$A$1:$C$300,3,FALSE)</f>
        <v>1</v>
      </c>
    </row>
    <row r="26" spans="1:11">
      <c r="A26" t="str">
        <f>VLOOKUP('Final items'!$A140,'Final items'!$A$1:$Z$300,1,FALSE)</f>
        <v>Minn-Irvine-73</v>
      </c>
      <c r="B26" t="str">
        <f t="shared" si="0"/>
        <v>Minn.Irvine.73</v>
      </c>
      <c r="C26" t="str">
        <f>VLOOKUP('Final items'!$A140,'Kathy''s original list'!$A$1:$Z$300,8,FALSE)</f>
        <v>Is it possible for the general public to use the public space?</v>
      </c>
      <c r="D26" t="str">
        <f>VLOOKUP('Final items'!$A140,'Final items'!$A$1:$Z$300,10,FALSE)</f>
        <v>Is it possible for the general public to use the public space?</v>
      </c>
      <c r="E26" t="str">
        <f t="shared" si="1"/>
        <v>Yes</v>
      </c>
      <c r="F26">
        <f>VLOOKUP('Final items'!$A140,'Final items'!$A$1:$Z$300,9,FALSE)</f>
        <v>0</v>
      </c>
      <c r="G26" t="str">
        <f>IF(VLOOKUP(A26,'Final items'!$A$1:$Z$300,11,FALSE)="Write in %", "Count", "Category")</f>
        <v>Category</v>
      </c>
      <c r="H26">
        <f>VLOOKUP(B26,kappas!$A$1:$C$300,2,FALSE)</f>
        <v>6.02517985611494E-2</v>
      </c>
      <c r="I26">
        <f>VLOOKUP(B26,kappas!$A$1:$C$300,3,FALSE)</f>
        <v>0.942105263157895</v>
      </c>
      <c r="J26">
        <f>VLOOKUP(B26,'initial kappas'!$A$1:$C$300,2,FALSE)</f>
        <v>-9.99999999999997E-2</v>
      </c>
      <c r="K26">
        <f>VLOOKUP(B26,'initial kappas'!$A$1:$C$300,3,FALSE)</f>
        <v>0.81818181818181801</v>
      </c>
    </row>
    <row r="27" spans="1:11">
      <c r="A27" t="str">
        <f>VLOOKUP('Final items'!$A117,'Final items'!$A$1:$Z$300,1,FALSE)</f>
        <v>Minn-Irvine-97</v>
      </c>
      <c r="B27" t="str">
        <f t="shared" si="0"/>
        <v>Minn.Irvine.97</v>
      </c>
      <c r="C27" t="str">
        <f>VLOOKUP('Final items'!$A117,'Kathy''s original list'!$A$1:$Z$300,8,FALSE)</f>
        <v>Is a road with 6+ lanes present and is it a barrier to walking?</v>
      </c>
      <c r="D27" t="str">
        <f>VLOOKUP('Final items'!$A117,'Final items'!$A$1:$Z$300,10,FALSE)</f>
        <v>Is a road with 6+ lanes present?  (This includes both the street being rated and cross-streets at the start and end of the street being rated)</v>
      </c>
      <c r="E27" t="str">
        <f t="shared" si="1"/>
        <v>No</v>
      </c>
      <c r="F27" t="str">
        <f>VLOOKUP('Final items'!$A117,'Final items'!$A$1:$Z$300,9,FALSE)</f>
        <v>&lt;p&gt;&lt;img src="[8_lanes.png]"&gt;&lt;/p&gt;</v>
      </c>
      <c r="G27" t="str">
        <f>IF(VLOOKUP(A27,'Final items'!$A$1:$Z$300,11,FALSE)="Write in %", "Count", "Category")</f>
        <v>Category</v>
      </c>
      <c r="H27">
        <f>VLOOKUP(B27,kappas!$A$1:$C$300,2,FALSE)</f>
        <v>8.6538461538460898E-2</v>
      </c>
      <c r="I27">
        <f>VLOOKUP(B27,kappas!$A$1:$C$300,3,FALSE)</f>
        <v>0.92631578947368398</v>
      </c>
      <c r="J27" t="str">
        <f>VLOOKUP(B27,'initial kappas'!$A$1:$C$300,2,FALSE)</f>
        <v>NA</v>
      </c>
      <c r="K27">
        <f>VLOOKUP(B27,'initial kappas'!$A$1:$C$300,3,FALSE)</f>
        <v>1</v>
      </c>
    </row>
    <row r="28" spans="1:11">
      <c r="A28" t="str">
        <f>VLOOKUP('Final items'!$A118,'Final items'!$A$1:$Z$300,1,FALSE)</f>
        <v>Minn-Irvine-97.1</v>
      </c>
      <c r="B28" t="str">
        <f t="shared" si="0"/>
        <v>Minn.Irvine.97.1</v>
      </c>
      <c r="C28" t="e">
        <f>VLOOKUP('Final items'!$A118,'Kathy''s original list'!$A$1:$Z$300,8,FALSE)</f>
        <v>#N/A</v>
      </c>
      <c r="D28" t="str">
        <f>VLOOKUP('Final items'!$A118,'Final items'!$A$1:$Z$300,10,FALSE)</f>
        <v>Is that road a barrier to walking?</v>
      </c>
      <c r="E28" t="e">
        <f t="shared" si="1"/>
        <v>#N/A</v>
      </c>
      <c r="F28">
        <f>VLOOKUP('Final items'!$A118,'Final items'!$A$1:$Z$300,9,FALSE)</f>
        <v>0</v>
      </c>
      <c r="G28" t="str">
        <f>IF(VLOOKUP(A28,'Final items'!$A$1:$Z$300,11,FALSE)="Write in %", "Count", "Category")</f>
        <v>Category</v>
      </c>
      <c r="H28">
        <f>VLOOKUP(B28,kappas!$A$1:$C$300,2,FALSE)</f>
        <v>9.8915989159891596E-2</v>
      </c>
      <c r="I28">
        <f>VLOOKUP(B28,kappas!$A$1:$C$300,3,FALSE)</f>
        <v>0.92631578947368398</v>
      </c>
      <c r="J28" t="str">
        <f>VLOOKUP(B28,'initial kappas'!$A$1:$C$300,2,FALSE)</f>
        <v>NA</v>
      </c>
      <c r="K28">
        <f>VLOOKUP(B28,'initial kappas'!$A$1:$C$300,3,FALSE)</f>
        <v>1</v>
      </c>
    </row>
    <row r="29" spans="1:11">
      <c r="A29" t="str">
        <f>VLOOKUP('Final items'!$A200,'Final items'!$A$1:$Z$300,1,FALSE)</f>
        <v>PEDS-29</v>
      </c>
      <c r="B29" t="str">
        <f t="shared" si="0"/>
        <v>PEDS.29</v>
      </c>
      <c r="C29" t="str">
        <f>VLOOKUP('Final items'!$A200,'Kathy''s original list'!$A$1:$Z$300,8,FALSE)</f>
        <v>What is the degree of enclosure?</v>
      </c>
      <c r="D29" t="str">
        <f>VLOOKUP('Final items'!$A200,'Final items'!$A$1:$Z$300,10,FALSE)</f>
        <v>What is the maximum degree of enclosure on the segment?  (See help for a detailed definition of enclosure)</v>
      </c>
      <c r="E29" t="str">
        <f t="shared" si="1"/>
        <v>No</v>
      </c>
      <c r="F29" t="str">
        <f>VLOOKUP('Final items'!$A200,'Final items'!$A$1:$Z$300,9,FALSE)</f>
        <v>&lt;p&gt;This question regards the distance a pedestrian can see from the segment and how that affects the street's feel.  Little or no enclosure: the view from the sidewalk is open in both directions for more than 15 feet for most of the segment. It is wide-open, unconstrained space. Some: the view is partially enclosed, but there are still some wide-open spaces. Highly enclosed: the buildings lining the street are within 10 feet of the sidewalk and there is a cross-sectional design ratio of approximately one(height) to two(width), or less, where the width is the width from the street's center to the street wall. Note: Take into account both the buildings and natural features (trees, bushes etc.)&lt;/p&gt;&lt;p&gt;&lt;table&gt;&lt;tr&gt;&lt;th&gt;No Enclosure&lt;/th&gt;&lt;/tr&gt;&lt;tr&gt;&lt;td&gt;&lt;img src='[no_enclosure.png]'/&gt;&lt;/td&gt;&lt;/tr&gt;&lt;tr&gt;&lt;th&gt;Some Enclosure&lt;/th&gt;&lt;/tr&gt;&lt;tr&gt;&lt;td&gt;&lt;img src='[some_enclosure.png]'/&gt;&lt;/td&gt;&lt;/tr&gt;&lt;tr&gt;&lt;th&gt;Highly enclosed&lt;/th&gt;&lt;/tr&gt;&lt;td&gt;&lt;img src='[high_enclosure.png]'/&gt;&lt;/td&gt;&lt;/tr&gt;&lt;/table&gt;&lt;p&gt;Alternately, consider the schmatic view of enclosure:&lt;/p&gt;&lt;p&gt;&lt;img src='[enclosure.png]'&gt;&lt;/p&gt;</v>
      </c>
      <c r="G29" t="str">
        <f>IF(VLOOKUP(A29,'Final items'!$A$1:$Z$300,11,FALSE)="Write in %", "Count", "Category")</f>
        <v>Category</v>
      </c>
      <c r="H29">
        <f>VLOOKUP(B29,kappas!$A$1:$C$300,2,FALSE)</f>
        <v>0.127485675766768</v>
      </c>
      <c r="I29">
        <f>VLOOKUP(B29,kappas!$A$1:$C$300,3,FALSE)</f>
        <v>0.42631578947368398</v>
      </c>
      <c r="J29">
        <f>VLOOKUP(B29,'initial kappas'!$A$1:$C$300,2,FALSE)</f>
        <v>0.29032258064516098</v>
      </c>
      <c r="K29">
        <f>VLOOKUP(B29,'initial kappas'!$A$1:$C$300,3,FALSE)</f>
        <v>0.54545454545454497</v>
      </c>
    </row>
    <row r="30" spans="1:11">
      <c r="A30" t="str">
        <f>VLOOKUP('Final items'!$A203,'Final items'!$A$1:$Z$300,1,FALSE)</f>
        <v>MIUDQ-9</v>
      </c>
      <c r="B30" t="str">
        <f t="shared" si="0"/>
        <v>MIUDQ.9</v>
      </c>
      <c r="C30" t="str">
        <f>VLOOKUP('Final items'!$A203,'Kathy''s original list'!$A$1:$Z$300,8,FALSE)</f>
        <v>How many long sight lines can you see - front, left, and right?</v>
      </c>
      <c r="D30" t="str">
        <f>VLOOKUP('Final items'!$A203,'Final items'!$A$1:$Z$300,10,FALSE)</f>
        <v>How many long sight lines can you see - front, left, and right? (Note that these sight lines can appear anywhere along the block -- see help for more info)</v>
      </c>
      <c r="E30" t="str">
        <f t="shared" si="1"/>
        <v>No</v>
      </c>
      <c r="F30" t="str">
        <f>VLOOKUP('Final items'!$A203,'Final items'!$A$1:$Z$300,9,FALSE)</f>
        <v>&lt;p&gt;long sight lines (count-0: min, 3: max) : the ability to see at least 1000ft or about 3 city blocks into the distance at any point during your observation through the block. Do not count views down cross streets on ends of blocks. &lt;/p&gt;</v>
      </c>
      <c r="G30" t="str">
        <f>IF(VLOOKUP(A30,'Final items'!$A$1:$Z$300,11,FALSE)="Write in %", "Count", "Category")</f>
        <v>Category</v>
      </c>
      <c r="H30">
        <f>VLOOKUP(B30,kappas!$A$1:$C$300,2,FALSE)</f>
        <v>0.196859903381642</v>
      </c>
      <c r="I30">
        <f>VLOOKUP(B30,kappas!$A$1:$C$300,3,FALSE)</f>
        <v>0.52105263157894699</v>
      </c>
      <c r="J30">
        <f>VLOOKUP(B30,'initial kappas'!$A$1:$C$300,2,FALSE)</f>
        <v>0.72327044025157206</v>
      </c>
      <c r="K30">
        <f>VLOOKUP(B30,'initial kappas'!$A$1:$C$300,3,FALSE)</f>
        <v>0.81818181818181801</v>
      </c>
    </row>
    <row r="31" spans="1:11">
      <c r="A31" t="str">
        <f>VLOOKUP('Final items'!$A212,'Final items'!$A$1:$Z$300,1,FALSE)</f>
        <v>Minn-Irvine-156</v>
      </c>
      <c r="B31" t="str">
        <f t="shared" si="0"/>
        <v>Minn.Irvine.156</v>
      </c>
      <c r="C31" t="str">
        <f>VLOOKUP('Final items'!$A212,'Kathy''s original list'!$A$1:$Z$300,8,FALSE)</f>
        <v>How interesting is the architecture?</v>
      </c>
      <c r="D31" t="str">
        <f>VLOOKUP('Final items'!$A212,'Final items'!$A$1:$Z$300,10,FALSE)</f>
        <v>How interesting is the architecture?</v>
      </c>
      <c r="E31" t="str">
        <f t="shared" si="1"/>
        <v>Yes</v>
      </c>
      <c r="F31">
        <f>VLOOKUP('Final items'!$A212,'Final items'!$A$1:$Z$300,9,FALSE)</f>
        <v>0</v>
      </c>
      <c r="G31" t="str">
        <f>IF(VLOOKUP(A31,'Final items'!$A$1:$Z$300,11,FALSE)="Write in %", "Count", "Category")</f>
        <v>Category</v>
      </c>
      <c r="H31">
        <f>VLOOKUP(B31,kappas!$A$1:$C$300,2,FALSE)</f>
        <v>0.19803024973619399</v>
      </c>
      <c r="I31">
        <f>VLOOKUP(B31,kappas!$A$1:$C$300,3,FALSE)</f>
        <v>0.49473684210526298</v>
      </c>
      <c r="J31">
        <f>VLOOKUP(B31,'initial kappas'!$A$1:$C$300,2,FALSE)</f>
        <v>-3.3557046979865703E-2</v>
      </c>
      <c r="K31">
        <f>VLOOKUP(B31,'initial kappas'!$A$1:$C$300,3,FALSE)</f>
        <v>0.36363636363636398</v>
      </c>
    </row>
    <row r="32" spans="1:11">
      <c r="A32" t="str">
        <f>VLOOKUP('Final items'!$A28,'Final items'!$A$1:$Z$300,1,FALSE)</f>
        <v>PEDS-23.3</v>
      </c>
      <c r="B32" t="str">
        <f t="shared" si="0"/>
        <v>PEDS.23.3</v>
      </c>
      <c r="C32" t="str">
        <f>VLOOKUP('Final items'!$A28,'Kathy''s original list'!$A$1:$Z$300,8,FALSE)</f>
        <v>Is there a median/traffic island?</v>
      </c>
      <c r="D32" t="str">
        <f>VLOOKUP('Final items'!$A28,'Final items'!$A$1:$Z$300,10,FALSE)</f>
        <v>Is there a median/traffic island large enough for a pedestrian to stand on?</v>
      </c>
      <c r="E32" t="str">
        <f t="shared" si="1"/>
        <v>No</v>
      </c>
      <c r="F32" t="str">
        <f>VLOOKUP('Final items'!$A28,'Final items'!$A$1:$Z$300,9,FALSE)</f>
        <v>&lt;p&gt;Note that a traffic island on the cross-street at either end of the segment counts, since it's in the middle of the intersection by definition.&lt;/p&gt;&lt;p&gt;&lt;img src="[median_traffic.png]"/&gt;&lt;/p&gt;</v>
      </c>
      <c r="G32" t="str">
        <f>IF(VLOOKUP(A32,'Final items'!$A$1:$Z$300,11,FALSE)="Write in %", "Count", "Category")</f>
        <v>Category</v>
      </c>
      <c r="H32">
        <f>VLOOKUP(B32,kappas!$A$1:$C$300,2,FALSE)</f>
        <v>0.21703296703296501</v>
      </c>
      <c r="I32">
        <f>VLOOKUP(B32,kappas!$A$1:$C$300,3,FALSE)</f>
        <v>0.93684210526315803</v>
      </c>
      <c r="J32">
        <f>VLOOKUP(B32,'initial kappas'!$A$1:$C$300,2,FALSE)</f>
        <v>0.38888888888888901</v>
      </c>
      <c r="K32">
        <f>VLOOKUP(B32,'initial kappas'!$A$1:$C$300,3,FALSE)</f>
        <v>0.81818181818181801</v>
      </c>
    </row>
    <row r="33" spans="1:11">
      <c r="A33" t="str">
        <f>VLOOKUP('Final items'!$A197,'Final items'!$A$1:$Z$300,1,FALSE)</f>
        <v>MIUDQ-24</v>
      </c>
      <c r="B33" t="str">
        <f t="shared" si="0"/>
        <v>MIUDQ.24</v>
      </c>
      <c r="C33" t="str">
        <f>VLOOKUP('Final items'!$A197,'Kathy''s original list'!$A$1:$Z$300,8,FALSE)</f>
        <v>How many accent colors on buildings do you see?</v>
      </c>
      <c r="D33" t="str">
        <f>VLOOKUP('Final items'!$A197,'Final items'!$A$1:$Z$300,10,FALSE)</f>
        <v>How many accent colors on buildings do you see?</v>
      </c>
      <c r="E33" t="str">
        <f t="shared" si="1"/>
        <v>Yes</v>
      </c>
      <c r="F33" t="str">
        <f>VLOOKUP('Final items'!$A197,'Final items'!$A$1:$Z$300,9,FALSE)</f>
        <v>&lt;p&gt;Count the number of distinct basic colors represented on buildings.  Select colors from this list: red, orange, yellow, green, blue, purple, brown, black, white and gray.  Accent colors are the colors used for building trims and roofs, street objects, awnings, signs, etc.&lt;/p&gt;</v>
      </c>
      <c r="G33" t="str">
        <f>IF(VLOOKUP(A33,'Final items'!$A$1:$Z$300,11,FALSE)="Write in %", "Count", "Category")</f>
        <v>Category</v>
      </c>
      <c r="H33">
        <f>VLOOKUP(B33,kappas!$A$1:$C$300,2,FALSE)</f>
        <v>0.22298203271654601</v>
      </c>
      <c r="I33">
        <f>VLOOKUP(B33,kappas!$A$1:$C$300,3,FALSE)</f>
        <v>0.35789473684210499</v>
      </c>
      <c r="J33">
        <f>VLOOKUP(B33,'initial kappas'!$A$1:$C$300,2,FALSE)</f>
        <v>-9.3922651933701598E-2</v>
      </c>
      <c r="K33">
        <f>VLOOKUP(B33,'initial kappas'!$A$1:$C$300,3,FALSE)</f>
        <v>0.18181818181818199</v>
      </c>
    </row>
    <row r="34" spans="1:11">
      <c r="A34" t="str">
        <f>VLOOKUP('Final items'!$A55,'Final items'!$A$1:$Z$300,1,FALSE)</f>
        <v>Minn-Irvine-110</v>
      </c>
      <c r="B34" t="str">
        <f t="shared" ref="B34:B65" si="2">SUBSTITUTE(A34,"-",".")</f>
        <v>Minn.Irvine.110</v>
      </c>
      <c r="C34" t="str">
        <f>VLOOKUP('Final items'!$A55,'Kathy''s original list'!$A$1:$Z$300,8,FALSE)</f>
        <v>How is the road marked at mid-block crosswalks, if any?</v>
      </c>
      <c r="D34" t="str">
        <f>VLOOKUP('Final items'!$A55,'Final items'!$A$1:$Z$300,10,FALSE)</f>
        <v>How is the road marked at mid-block crosswalks, if any?</v>
      </c>
      <c r="E34" t="str">
        <f t="shared" ref="E34:E65" si="3">IF(AND(C34=D34,NOT(C34=0)),"Yes","No")</f>
        <v>Yes</v>
      </c>
      <c r="F34" t="str">
        <f>VLOOKUP('Final items'!$A55,'Final items'!$A$1:$Z$300,9,FALSE)</f>
        <v>&lt;p&gt;A mid-block crossing using different road materials to mark the crossing:&lt;/p&gt;&lt;p&gt;&lt;img src="[mid_block_crossing.png]"&gt;&lt;/p&gt;&lt;p&gt;Crosswalk types:&lt;/p&gt;&lt;p&gt;&lt;img src="[crosswalk_types.png]"&gt;&lt;/p&gt;</v>
      </c>
      <c r="G34" t="str">
        <f>IF(VLOOKUP(A34,'Final items'!$A$1:$Z$300,11,FALSE)="Write in %", "Count", "Category")</f>
        <v>Category</v>
      </c>
      <c r="H34">
        <f>VLOOKUP(B34,kappas!$A$1:$C$300,2,FALSE)</f>
        <v>0.227642276422763</v>
      </c>
      <c r="I34">
        <f>VLOOKUP(B34,kappas!$A$1:$C$300,3,FALSE)</f>
        <v>0.93684210526315803</v>
      </c>
      <c r="J34" t="str">
        <f>VLOOKUP(B34,'initial kappas'!$A$1:$C$300,2,FALSE)</f>
        <v>NA</v>
      </c>
      <c r="K34">
        <f>VLOOKUP(B34,'initial kappas'!$A$1:$C$300,3,FALSE)</f>
        <v>1</v>
      </c>
    </row>
    <row r="35" spans="1:11">
      <c r="A35" t="str">
        <f>VLOOKUP('Final items'!$A238,'Final items'!$A$1:$Z$300,1,FALSE)</f>
        <v>Minn-Irvine-140</v>
      </c>
      <c r="B35" t="str">
        <f t="shared" si="2"/>
        <v>Minn.Irvine.140</v>
      </c>
      <c r="C35" t="str">
        <f>VLOOKUP('Final items'!$A238,'Kathy''s original list'!$A$1:$Z$300,8,FALSE)</f>
        <v>How much litter is apparent?</v>
      </c>
      <c r="D35" t="str">
        <f>VLOOKUP('Final items'!$A238,'Final items'!$A$1:$Z$300,10,FALSE)</f>
        <v>How much litter is apparent?</v>
      </c>
      <c r="E35" t="str">
        <f t="shared" si="3"/>
        <v>Yes</v>
      </c>
      <c r="F35" t="str">
        <f>VLOOKUP('Final items'!$A238,'Final items'!$A$1:$Z$300,9,FALSE)</f>
        <v xml:space="preserve">&lt;p&gt;Choose "few" rather than "some or a lot" of the litter does not appear to be concentrated.  A few empty cups or scraps of paper should be "little", where a pile or cluster of trash is "some or a lot." &lt;/p&gt;&lt;table&gt;&lt;tr&gt;&lt;th&gt;None&lt;/th&gt;&lt;th&gt;Little&lt;/th&gt;&lt;th&gt;Some or a Lot&lt;/th&gt;&lt;/tr&gt;&lt;tr&gt;&lt;td&gt;&lt;img src="[no_litter.png]"/&gt;&lt;/td&gt;&lt;td&gt;&lt;img src="[little_litter.png]"/&gt;&lt;/td&gt;&lt;td&gt;&lt;img src="[some_litter.png]"/&gt;&lt;/td&gt;&lt;/tr&gt;&lt;/table&gt; </v>
      </c>
      <c r="G35" t="str">
        <f>IF(VLOOKUP(A35,'Final items'!$A$1:$Z$300,11,FALSE)="Write in %", "Count", "Category")</f>
        <v>Category</v>
      </c>
      <c r="H35">
        <f>VLOOKUP(B35,kappas!$A$1:$C$300,2,FALSE)</f>
        <v>0.28110986547085198</v>
      </c>
      <c r="I35">
        <f>VLOOKUP(B35,kappas!$A$1:$C$300,3,FALSE)</f>
        <v>0.71578947368421098</v>
      </c>
      <c r="J35">
        <f>VLOOKUP(B35,'initial kappas'!$A$1:$C$300,2,FALSE)</f>
        <v>0.62711864406779705</v>
      </c>
      <c r="K35">
        <f>VLOOKUP(B35,'initial kappas'!$A$1:$C$300,3,FALSE)</f>
        <v>0.90909090909090895</v>
      </c>
    </row>
    <row r="36" spans="1:11">
      <c r="A36" t="str">
        <f>VLOOKUP('Final items'!$A127,'Final items'!$A$1:$Z$300,1,FALSE)</f>
        <v>PEDS-1.3</v>
      </c>
      <c r="B36" t="str">
        <f t="shared" si="2"/>
        <v>PEDS.1.3</v>
      </c>
      <c r="C36" t="str">
        <f>VLOOKUP('Final items'!$A127,'Kathy''s original list'!$A$1:$Z$300,8,FALSE)</f>
        <v>Are there any mobile homes?</v>
      </c>
      <c r="D36" t="str">
        <f>VLOOKUP('Final items'!$A127,'Final items'!$A$1:$Z$300,10,FALSE)</f>
        <v>Are there any mobile homes? (Do not count RVs that don't appear to be used as permanent residences)</v>
      </c>
      <c r="E36" t="str">
        <f t="shared" si="3"/>
        <v>No</v>
      </c>
      <c r="F36" t="str">
        <f>VLOOKUP('Final items'!$A127,'Final items'!$A$1:$Z$300,9,FALSE)</f>
        <v>&lt;p&gt;Note that an RV that does not appear to be used as a permanent residence does not count.&lt;/p&gt;&lt;p&gt;&lt;img src="[mobile_home.png]"/&gt;&lt;/p&gt;</v>
      </c>
      <c r="G36" t="str">
        <f>IF(VLOOKUP(A36,'Final items'!$A$1:$Z$300,11,FALSE)="Write in %", "Count", "Category")</f>
        <v>Category</v>
      </c>
      <c r="H36">
        <f>VLOOKUP(B36,kappas!$A$1:$C$300,2,FALSE)</f>
        <v>0.32493540051679598</v>
      </c>
      <c r="I36">
        <f>VLOOKUP(B36,kappas!$A$1:$C$300,3,FALSE)</f>
        <v>0.884210526315789</v>
      </c>
      <c r="J36" t="str">
        <f>VLOOKUP(B36,'initial kappas'!$A$1:$C$300,2,FALSE)</f>
        <v>NA</v>
      </c>
      <c r="K36">
        <f>VLOOKUP(B36,'initial kappas'!$A$1:$C$300,3,FALSE)</f>
        <v>1</v>
      </c>
    </row>
    <row r="37" spans="1:11">
      <c r="A37" t="str">
        <f>VLOOKUP('Final items'!$A108,'Final items'!$A$1:$Z$300,1,FALSE)</f>
        <v>Minn-Irvine-92.1</v>
      </c>
      <c r="B37" t="str">
        <f t="shared" si="2"/>
        <v>Minn.Irvine.92.1</v>
      </c>
      <c r="C37" t="e">
        <f>VLOOKUP('Final items'!$A108,'Kathy''s original list'!$A$1:$Z$300,8,FALSE)</f>
        <v>#N/A</v>
      </c>
      <c r="D37" t="str">
        <f>VLOOKUP('Final items'!$A108,'Final items'!$A$1:$Z$300,10,FALSE)</f>
        <v>Is the highway a barrier to walking?</v>
      </c>
      <c r="E37" t="e">
        <f t="shared" si="3"/>
        <v>#N/A</v>
      </c>
      <c r="F37">
        <f>VLOOKUP('Final items'!$A108,'Final items'!$A$1:$Z$300,9,FALSE)</f>
        <v>0</v>
      </c>
      <c r="G37" t="str">
        <f>IF(VLOOKUP(A37,'Final items'!$A$1:$Z$300,11,FALSE)="Write in %", "Count", "Category")</f>
        <v>Category</v>
      </c>
      <c r="H37">
        <f>VLOOKUP(B37,kappas!$A$1:$C$300,2,FALSE)</f>
        <v>0.32734204793028199</v>
      </c>
      <c r="I37">
        <f>VLOOKUP(B37,kappas!$A$1:$C$300,3,FALSE)</f>
        <v>0.93157894736842095</v>
      </c>
      <c r="J37">
        <f>VLOOKUP(B37,'initial kappas'!$A$1:$C$300,2,FALSE)</f>
        <v>-4.7619047619046201E-2</v>
      </c>
      <c r="K37">
        <f>VLOOKUP(B37,'initial kappas'!$A$1:$C$300,3,FALSE)</f>
        <v>0.90909090909090895</v>
      </c>
    </row>
    <row r="38" spans="1:11">
      <c r="A38" t="str">
        <f>VLOOKUP('Final items'!$A224,'Final items'!$A$1:$Z$300,1,FALSE)</f>
        <v>PEDS-27</v>
      </c>
      <c r="B38" t="str">
        <f t="shared" si="2"/>
        <v>PEDS.27</v>
      </c>
      <c r="C38" t="str">
        <f>VLOOKUP('Final items'!$A224,'Kathy''s original list'!$A$1:$Z$300,8,FALSE)</f>
        <v>Are there wayfinding aids?</v>
      </c>
      <c r="D38" t="str">
        <f>VLOOKUP('Final items'!$A224,'Final items'!$A$1:$Z$300,10,FALSE)</f>
        <v>Are there wayfinding aids?  (Note that this includes street signs)</v>
      </c>
      <c r="E38" t="str">
        <f t="shared" si="3"/>
        <v>No</v>
      </c>
      <c r="F38" t="str">
        <f>VLOOKUP('Final items'!$A224,'Final items'!$A$1:$Z$300,9,FALSE)</f>
        <v>&lt;p&gt;A wayfinding aid is a sign identifying the name of the cross streets. Any sign visible from the segment at the pedestrian level counts as a wayfinding aid, even if it is actually located on another segment.&lt;/p&gt;&lt;p&gt;&lt;img src="[wayfinding_aid.png]"/&gt;&lt;/p&gt;</v>
      </c>
      <c r="G38" t="str">
        <f>IF(VLOOKUP(A38,'Final items'!$A$1:$Z$300,11,FALSE)="Write in %", "Count", "Category")</f>
        <v>Category</v>
      </c>
      <c r="H38">
        <f>VLOOKUP(B38,kappas!$A$1:$C$300,2,FALSE)</f>
        <v>0.33170995670995701</v>
      </c>
      <c r="I38">
        <f>VLOOKUP(B38,kappas!$A$1:$C$300,3,FALSE)</f>
        <v>0.86315789473684201</v>
      </c>
      <c r="J38">
        <f>VLOOKUP(B38,'initial kappas'!$A$1:$C$300,2,FALSE)</f>
        <v>-0.157894736842105</v>
      </c>
      <c r="K38">
        <f>VLOOKUP(B38,'initial kappas'!$A$1:$C$300,3,FALSE)</f>
        <v>0.72727272727272696</v>
      </c>
    </row>
    <row r="39" spans="1:11">
      <c r="A39" t="str">
        <f>VLOOKUP('Final items'!$A226,'Final items'!$A$1:$Z$300,1,FALSE)</f>
        <v>MIUDQ-17</v>
      </c>
      <c r="B39" t="str">
        <f t="shared" si="2"/>
        <v>MIUDQ.17</v>
      </c>
      <c r="C39" t="str">
        <f>VLOOKUP('Final items'!$A226,'Kathy''s original list'!$A$1:$Z$300,8,FALSE)</f>
        <v>How many small planters are there?</v>
      </c>
      <c r="D39" t="str">
        <f>VLOOKUP('Final items'!$A226,'Final items'!$A$1:$Z$300,10,FALSE)</f>
        <v>How many small planters are there? (This includes planters outside residences)</v>
      </c>
      <c r="E39" t="str">
        <f t="shared" si="3"/>
        <v>No</v>
      </c>
      <c r="F39" t="str">
        <f>VLOOKUP('Final items'!$A226,'Final items'!$A$1:$Z$300,9,FALSE)</f>
        <v>&lt;p&gt;Count all the visible street-level planters on your side of the block and within 10 ft of the sidewalk edge. This includes planters on private and public property but not those inside enclosed parks or gardens.&lt;/p&gt;&lt;p&gt;Any potted arrangement of trees, shrubs, or flowers that are smaller than 10 ft square at their base. The planter should appear to be permanent (not able to be brought inside at the end of the day) but not in-ground.&lt;/p&gt;&lt;table&gt;&lt;tr&gt;&lt;th&gt;2 Planters&lt;/th&gt;&lt;th&gt;No planters (these are in-ground and permanent)&lt;/th&gt;&lt;/tr&gt;&lt;tr&gt;&lt;td&gt;&lt;img src='[planters_1.png]'/&gt;&lt;/td&gt;&lt;td&gt;&lt;img src='[planters_2.png]'/&gt;&lt;/td&gt;&lt;/tr&gt;&lt;/table&gt;</v>
      </c>
      <c r="G39" t="str">
        <f>IF(VLOOKUP(A39,'Final items'!$A$1:$Z$300,11,FALSE)="Write in %", "Count", "Category")</f>
        <v>Category</v>
      </c>
      <c r="H39">
        <f>VLOOKUP(B39,kappas!$A$1:$C$300,2,FALSE)</f>
        <v>0.334733893557423</v>
      </c>
      <c r="I39">
        <f>VLOOKUP(B39,kappas!$A$1:$C$300,3,FALSE)</f>
        <v>0.89473684210526305</v>
      </c>
      <c r="J39">
        <f>VLOOKUP(B39,'initial kappas'!$A$1:$C$300,2,FALSE)</f>
        <v>0.46341463414634199</v>
      </c>
      <c r="K39">
        <f>VLOOKUP(B39,'initial kappas'!$A$1:$C$300,3,FALSE)</f>
        <v>0.90909090909090895</v>
      </c>
    </row>
    <row r="40" spans="1:11">
      <c r="A40" t="str">
        <f>VLOOKUP('Final items'!$A184,'Final items'!$A$1:$Z$300,1,FALSE)</f>
        <v>Minn-Irvine-88</v>
      </c>
      <c r="B40" t="str">
        <f t="shared" si="2"/>
        <v>Minn.Irvine.88</v>
      </c>
      <c r="C40" t="str">
        <f>VLOOKUP('Final items'!$A184,'Kathy''s original list'!$A$1:$Z$300,8,FALSE)</f>
        <v>Is there a forest?</v>
      </c>
      <c r="D40" t="str">
        <f>VLOOKUP('Final items'!$A184,'Final items'!$A$1:$Z$300,10,FALSE)</f>
        <v>Is there a forest?</v>
      </c>
      <c r="E40" t="str">
        <f t="shared" si="3"/>
        <v>Yes</v>
      </c>
      <c r="F40" t="str">
        <f>VLOOKUP('Final items'!$A184,'Final items'!$A$1:$Z$300,9,FALSE)</f>
        <v>&lt;p&gt;&lt;img src="[forest.png]"&gt;&lt;/p&gt;</v>
      </c>
      <c r="G40" t="str">
        <f>IF(VLOOKUP(A40,'Final items'!$A$1:$Z$300,11,FALSE)="Write in %", "Count", "Category")</f>
        <v>Category</v>
      </c>
      <c r="H40">
        <f>VLOOKUP(B40,kappas!$A$1:$C$300,2,FALSE)</f>
        <v>0.34752747252747102</v>
      </c>
      <c r="I40">
        <f>VLOOKUP(B40,kappas!$A$1:$C$300,3,FALSE)</f>
        <v>0.94736842105263197</v>
      </c>
      <c r="J40">
        <f>VLOOKUP(B40,'initial kappas'!$A$1:$C$300,2,FALSE)</f>
        <v>-4.7619047619046201E-2</v>
      </c>
      <c r="K40">
        <f>VLOOKUP(B40,'initial kappas'!$A$1:$C$300,3,FALSE)</f>
        <v>0.90909090909090895</v>
      </c>
    </row>
    <row r="41" spans="1:11">
      <c r="A41" t="str">
        <f>VLOOKUP('Final items'!$A196,'Final items'!$A$1:$Z$300,1,FALSE)</f>
        <v>MIUDQ-23</v>
      </c>
      <c r="B41" t="str">
        <f t="shared" si="2"/>
        <v>MIUDQ.23</v>
      </c>
      <c r="C41" t="str">
        <f>VLOOKUP('Final items'!$A196,'Kathy''s original list'!$A$1:$Z$300,8,FALSE)</f>
        <v>How many basic building colors do you see?</v>
      </c>
      <c r="D41" t="str">
        <f>VLOOKUP('Final items'!$A196,'Final items'!$A$1:$Z$300,10,FALSE)</f>
        <v>How many basic building colors do you see?</v>
      </c>
      <c r="E41" t="str">
        <f t="shared" si="3"/>
        <v>Yes</v>
      </c>
      <c r="F41" t="str">
        <f>VLOOKUP('Final items'!$A196,'Final items'!$A$1:$Z$300,9,FALSE)</f>
        <v>&lt;p&gt;Count the number of distinct basic colors represented on buildings.  Select colors from this list: red, orange, yellow, green, blue, purple, brown, black, white and gray.Basic colors indicate that the colors used for the majority of the facade.&lt;/p&gt;</v>
      </c>
      <c r="G41" t="str">
        <f>IF(VLOOKUP(A41,'Final items'!$A$1:$Z$300,11,FALSE)="Write in %", "Count", "Category")</f>
        <v>Category</v>
      </c>
      <c r="H41">
        <f>VLOOKUP(B41,kappas!$A$1:$C$300,2,FALSE)</f>
        <v>0.35436893203883502</v>
      </c>
      <c r="I41">
        <f>VLOOKUP(B41,kappas!$A$1:$C$300,3,FALSE)</f>
        <v>0.48421052631578898</v>
      </c>
      <c r="J41">
        <f>VLOOKUP(B41,'initial kappas'!$A$1:$C$300,2,FALSE)</f>
        <v>0.46666666666666701</v>
      </c>
      <c r="K41">
        <f>VLOOKUP(B41,'initial kappas'!$A$1:$C$300,3,FALSE)</f>
        <v>0.63636363636363602</v>
      </c>
    </row>
    <row r="42" spans="1:11">
      <c r="A42" t="str">
        <f>VLOOKUP('Final items'!$A7,'Final items'!$A$1:$Z$300,1,FALSE)</f>
        <v>Meta-5</v>
      </c>
      <c r="B42" t="str">
        <f t="shared" si="2"/>
        <v>Meta.5</v>
      </c>
      <c r="C42" t="e">
        <f>VLOOKUP('Final items'!$A7,'Kathy''s original list'!$A$1:$Z$300,8,FALSE)</f>
        <v>#N/A</v>
      </c>
      <c r="D42" t="str">
        <f>VLOOKUP('Final items'!$A7,'Final items'!$A$1:$Z$300,10,FALSE)</f>
        <v>Can you read any street corner signs at the default zoom level?</v>
      </c>
      <c r="E42" t="e">
        <f t="shared" si="3"/>
        <v>#N/A</v>
      </c>
      <c r="F42" t="str">
        <f>VLOOKUP('Final items'!$A7,'Final items'!$A$1:$Z$300,9,FALSE)</f>
        <v>&lt;p&gt;Is it possible to read the name of the street from street corner signs?  To find out, walk up and down the street and identify the most readable street sign visible from in the street view window.  Evaluate that sign against the visibility options.  If you don't find a sign, pick "No street signs visible", of course.&lt;/p&gt;&lt;hr/&gt;&lt;p&gt;As a reference, the below image shows a clear sign&lt;/p&gt;&lt;div&gt;&lt;img src="[clear_street_sign.png]"&gt;&lt;/div&gt;&lt;p&gt;The below image shows a blurry sign&lt;/p&gt;&lt;div&gt;&lt;img src="[blurry_street_sign.png]"&gt;&lt;/div&gt;&lt;p&gt;The below image shows an unreadable sign&lt;/p&gt;&lt;div&gt;&lt;img src="[unreadable_street_sign.png]"&gt;&lt;/div&gt; &lt;/p&gt;</v>
      </c>
      <c r="G42" t="str">
        <f>IF(VLOOKUP(A42,'Final items'!$A$1:$Z$300,11,FALSE)="Write in %", "Count", "Category")</f>
        <v>Category</v>
      </c>
      <c r="H42">
        <f>VLOOKUP(B42,kappas!$A$1:$C$300,2,FALSE)</f>
        <v>0.356527093596059</v>
      </c>
      <c r="I42">
        <f>VLOOKUP(B42,kappas!$A$1:$C$300,3,FALSE)</f>
        <v>0.53684210526315801</v>
      </c>
      <c r="J42">
        <f>VLOOKUP(B42,'initial kappas'!$A$1:$C$300,2,FALSE)</f>
        <v>0.55102040816326503</v>
      </c>
      <c r="K42">
        <f>VLOOKUP(B42,'initial kappas'!$A$1:$C$300,3,FALSE)</f>
        <v>0.72727272727272696</v>
      </c>
    </row>
    <row r="43" spans="1:11">
      <c r="A43" t="str">
        <f>VLOOKUP('Final items'!$A194,'Final items'!$A$1:$Z$300,1,FALSE)</f>
        <v>Minn-Irvine-134</v>
      </c>
      <c r="B43" t="str">
        <f t="shared" si="2"/>
        <v>Minn.Irvine.134</v>
      </c>
      <c r="C43" t="str">
        <f>VLOOKUP('Final items'!$A194,'Kathy''s original list'!$A$1:$Z$300,8,FALSE)</f>
        <v>How prominent are most garage doors when looking at the front of buildings?</v>
      </c>
      <c r="D43" t="str">
        <f>VLOOKUP('Final items'!$A194,'Final items'!$A$1:$Z$300,10,FALSE)</f>
        <v>How prominent are most garage doors when looking at the front of buildings?</v>
      </c>
      <c r="E43" t="str">
        <f t="shared" si="3"/>
        <v>Yes</v>
      </c>
      <c r="F43" t="str">
        <f>VLOOKUP('Final items'!$A194,'Final items'!$A$1:$Z$300,9,FALSE)</f>
        <v>&lt;p&gt;Note that this question is asking about the prominance of garage doors that exist, not the prominance of garage doors on the street.  So if there's only one garage door on a 20-house street, but that garage's door is very prominant, pick very prominent as the answer.&lt;/p&gt;&lt;table&gt;&lt;tr&gt;&lt;th&gt;Very prominent&lt;/th&gt;&lt;th&gt;Somewhat prominent&lt;/th&gt;&lt;th&gt;Not very prominent&lt;/th&gt;&lt;/tr&gt;&lt;td&gt;&lt;img src="[very_prominent_garage.png]"/&gt;&lt;/td&gt;&lt;td&gt;&lt;img src="[somewhat_prominent.png]"/&gt;&lt;/td&gt;&lt;td&gt;&lt;img src="[not_very_prominent.png]"/&gt;&lt;/td&gt;&lt;/tr&gt;&lt;/table&gt;</v>
      </c>
      <c r="G43" t="str">
        <f>IF(VLOOKUP(A43,'Final items'!$A$1:$Z$300,11,FALSE)="Write in %", "Count", "Category")</f>
        <v>Category</v>
      </c>
      <c r="H43">
        <f>VLOOKUP(B43,kappas!$A$1:$C$300,2,FALSE)</f>
        <v>0.386420919974795</v>
      </c>
      <c r="I43">
        <f>VLOOKUP(B43,kappas!$A$1:$C$300,3,FALSE)</f>
        <v>0.56842105263157905</v>
      </c>
      <c r="J43">
        <f>VLOOKUP(B43,'initial kappas'!$A$1:$C$300,2,FALSE)</f>
        <v>0.27868852459016402</v>
      </c>
      <c r="K43">
        <f>VLOOKUP(B43,'initial kappas'!$A$1:$C$300,3,FALSE)</f>
        <v>0.63636363636363602</v>
      </c>
    </row>
    <row r="44" spans="1:11">
      <c r="A44" t="str">
        <f>VLOOKUP('Final items'!$A119,'Final items'!$A$1:$Z$300,1,FALSE)</f>
        <v>Minn-Irvine-178</v>
      </c>
      <c r="B44" t="str">
        <f t="shared" si="2"/>
        <v>Minn.Irvine.178</v>
      </c>
      <c r="C44" t="str">
        <f>VLOOKUP('Final items'!$A119,'Kathy''s original list'!$A$1:$Z$300,8,FALSE)</f>
        <v>For an individual on this segment, how convenient (traffic-wise) do you think it is to cross the street from this segment?</v>
      </c>
      <c r="D44" t="str">
        <f>VLOOKUP('Final items'!$A119,'Final items'!$A$1:$Z$300,10,FALSE)</f>
        <v>For an individual on this segment, how convenient (traffic-wise) do you think it is to cross the street from this segment?  (Note: the street in question is the street along the segment being rated, not any cross streets.)</v>
      </c>
      <c r="E44" t="str">
        <f t="shared" si="3"/>
        <v>No</v>
      </c>
      <c r="F44" t="str">
        <f>VLOOKUP('Final items'!$A119,'Final items'!$A$1:$Z$300,9,FALSE)</f>
        <v>&lt;p&gt;Determine whether there are sufficient opportunities for the average individual to cross the street conveniently at this location. Answer yes if a typical person would not feel that he or she had to go noticeably out of his or her way to cross the street at a designated location. Also answer yes if the typical person would not be discouraged from crossing the street because designated places for crossing are too far away. If the intersection is a cul de sac, mark N/A.&lt;/p&gt;</v>
      </c>
      <c r="G44" t="str">
        <f>IF(VLOOKUP(A44,'Final items'!$A$1:$Z$300,11,FALSE)="Write in %", "Count", "Category")</f>
        <v>Category</v>
      </c>
      <c r="H44">
        <f>VLOOKUP(B44,kappas!$A$1:$C$300,2,FALSE)</f>
        <v>0.39618644067796599</v>
      </c>
      <c r="I44">
        <f>VLOOKUP(B44,kappas!$A$1:$C$300,3,FALSE)</f>
        <v>0.90526315789473699</v>
      </c>
      <c r="J44">
        <f>VLOOKUP(B44,'initial kappas'!$A$1:$C$300,2,FALSE)</f>
        <v>8.3333333333333301E-2</v>
      </c>
      <c r="K44">
        <f>VLOOKUP(B44,'initial kappas'!$A$1:$C$300,3,FALSE)</f>
        <v>0.63636363636363602</v>
      </c>
    </row>
    <row r="45" spans="1:11">
      <c r="A45" t="str">
        <f>VLOOKUP('Final items'!$A104,'Final items'!$A$1:$Z$300,1,FALSE)</f>
        <v>Minn-Irvine-159</v>
      </c>
      <c r="B45" t="str">
        <f t="shared" si="2"/>
        <v>Minn.Irvine.159</v>
      </c>
      <c r="C45" t="str">
        <f>VLOOKUP('Final items'!$A104,'Kathy''s original list'!$A$1:$Z$300,8,FALSE)</f>
        <v>How many billboards are present?</v>
      </c>
      <c r="D45" t="str">
        <f>VLOOKUP('Final items'!$A104,'Final items'!$A$1:$Z$300,10,FALSE)</f>
        <v>How many billboards are present?</v>
      </c>
      <c r="E45" t="str">
        <f t="shared" si="3"/>
        <v>Yes</v>
      </c>
      <c r="F45" t="str">
        <f>VLOOKUP('Final items'!$A104,'Final items'!$A$1:$Z$300,9,FALSE)</f>
        <v xml:space="preserve">&lt;table&gt;&lt;tr&gt;&lt;th&gt;None&lt;/th&gt;&lt;th&gt;Few&lt;/th&gt;&lt;th&gt;Some&lt;/th&gt;&lt;/tr&gt;&lt;tr&gt;&lt;td&gt;&lt;img src="[no_billboards.png]"/&gt;&lt;/td&gt;&lt;td&gt;&lt;img src="[few_billboards.png]"/&gt;&lt;/td&gt;&lt;td&gt;&lt;img src="[some_billboards.png]"/&gt;&lt;/td&gt;&lt;/tr&gt;&lt;/table&gt; </v>
      </c>
      <c r="G45" t="str">
        <f>IF(VLOOKUP(A45,'Final items'!$A$1:$Z$300,11,FALSE)="Write in %", "Count", "Category")</f>
        <v>Category</v>
      </c>
      <c r="H45">
        <f>VLOOKUP(B45,kappas!$A$1:$C$300,2,FALSE)</f>
        <v>0.40025252525252503</v>
      </c>
      <c r="I45">
        <f>VLOOKUP(B45,kappas!$A$1:$C$300,3,FALSE)</f>
        <v>0.89473684210526305</v>
      </c>
      <c r="J45">
        <f>VLOOKUP(B45,'initial kappas'!$A$1:$C$300,2,FALSE)</f>
        <v>1</v>
      </c>
      <c r="K45">
        <f>VLOOKUP(B45,'initial kappas'!$A$1:$C$300,3,FALSE)</f>
        <v>1</v>
      </c>
    </row>
    <row r="46" spans="1:11">
      <c r="A46" t="str">
        <f>VLOOKUP('Final items'!$A241,'Final items'!$A$1:$Z$300,1,FALSE)</f>
        <v>PEDS-31</v>
      </c>
      <c r="B46" t="str">
        <f t="shared" si="2"/>
        <v>PEDS.31</v>
      </c>
      <c r="C46" t="str">
        <f>VLOOKUP('Final items'!$A241,'Kathy''s original list'!$A$1:$Z$300,8,FALSE)</f>
        <v>Describe the overall cleanliness and building maintenance.</v>
      </c>
      <c r="D46" t="str">
        <f>VLOOKUP('Final items'!$A241,'Final items'!$A$1:$Z$300,10,FALSE)</f>
        <v>Describe the overall cleanliness of the street.</v>
      </c>
      <c r="E46" t="str">
        <f t="shared" si="3"/>
        <v>No</v>
      </c>
      <c r="F46" t="str">
        <f>VLOOKUP('Final items'!$A241,'Final items'!$A$1:$Z$300,9,FALSE)</f>
        <v>&lt;p&gt;Good: no obvious garbage, Fair: a few wrappers or other litter but nothing really gross, Poor: significant noticeable garbage and/or broken glass.&lt;/p&gt;</v>
      </c>
      <c r="G46" t="str">
        <f>IF(VLOOKUP(A46,'Final items'!$A$1:$Z$300,11,FALSE)="Write in %", "Count", "Category")</f>
        <v>Category</v>
      </c>
      <c r="H46">
        <f>VLOOKUP(B46,kappas!$A$1:$C$300,2,FALSE)</f>
        <v>0.41358024691357997</v>
      </c>
      <c r="I46">
        <f>VLOOKUP(B46,kappas!$A$1:$C$300,3,FALSE)</f>
        <v>0.85263157894736796</v>
      </c>
      <c r="J46">
        <f>VLOOKUP(B46,'initial kappas'!$A$1:$C$300,2,FALSE)</f>
        <v>-4.7619047619046201E-2</v>
      </c>
      <c r="K46">
        <f>VLOOKUP(B46,'initial kappas'!$A$1:$C$300,3,FALSE)</f>
        <v>0.90909090909090895</v>
      </c>
    </row>
    <row r="47" spans="1:11">
      <c r="A47" t="str">
        <f>VLOOKUP('Final items'!$A64,'Final items'!$A$1:$Z$300,1,FALSE)</f>
        <v>Minn-Irvine-123</v>
      </c>
      <c r="B47" t="str">
        <f t="shared" si="2"/>
        <v>Minn.Irvine.123</v>
      </c>
      <c r="C47" t="str">
        <f>VLOOKUP('Final items'!$A64,'Kathy''s original list'!$A$1:$Z$300,8,FALSE)</f>
        <v>How many bike racks (bike parking facilities) are on the block?</v>
      </c>
      <c r="D47" t="str">
        <f>VLOOKUP('Final items'!$A64,'Final items'!$A$1:$Z$300,10,FALSE)</f>
        <v>How many bike racks (bike parking facilities) are on the block?</v>
      </c>
      <c r="E47" t="str">
        <f t="shared" si="3"/>
        <v>Yes</v>
      </c>
      <c r="F47" t="str">
        <f>VLOOKUP('Final items'!$A64,'Final items'!$A$1:$Z$300,9,FALSE)</f>
        <v>&lt;p&gt;Choose "some or a lot" rather than "few" if there are at least 3 places for a bike to be parked.&lt;/p&gt;&lt;p&gt;This question is asking about facilities designed for bikes to be parked there, not whether you see bikes parked on the segment.  In other words, count an empty bike rack, but don't count a bike locked to a lamppost.&lt;/p&gt;</v>
      </c>
      <c r="G47" t="str">
        <f>IF(VLOOKUP(A47,'Final items'!$A$1:$Z$300,11,FALSE)="Write in %", "Count", "Category")</f>
        <v>Category</v>
      </c>
      <c r="H47">
        <f>VLOOKUP(B47,kappas!$A$1:$C$300,2,FALSE)</f>
        <v>0.42455947136563799</v>
      </c>
      <c r="I47">
        <f>VLOOKUP(B47,kappas!$A$1:$C$300,3,FALSE)</f>
        <v>0.942105263157895</v>
      </c>
      <c r="J47" t="str">
        <f>VLOOKUP(B47,'initial kappas'!$A$1:$C$300,2,FALSE)</f>
        <v>NA</v>
      </c>
      <c r="K47">
        <f>VLOOKUP(B47,'initial kappas'!$A$1:$C$300,3,FALSE)</f>
        <v>1</v>
      </c>
    </row>
    <row r="48" spans="1:11">
      <c r="A48" t="str">
        <f>VLOOKUP('Final items'!$A36,'Final items'!$A$1:$Z$300,1,FALSE)</f>
        <v>Minn-Irvine-8</v>
      </c>
      <c r="B48" t="str">
        <f t="shared" si="2"/>
        <v>Minn.Irvine.8</v>
      </c>
      <c r="C48" t="str">
        <f>VLOOKUP('Final items'!$A36,'Kathy''s original list'!$A$1:$Z$300,8,FALSE)</f>
        <v>Are there curb cuts at all places where crossing is expected to occur?</v>
      </c>
      <c r="D48" t="str">
        <f>VLOOKUP('Final items'!$A36,'Final items'!$A$1:$Z$300,10,FALSE)</f>
        <v>Are there curb cuts at all places where crossing is expected to occur?  (If there are no curbs, please choose "Not applicable")</v>
      </c>
      <c r="E48" t="str">
        <f t="shared" si="3"/>
        <v>No</v>
      </c>
      <c r="F48" t="str">
        <f>VLOOKUP('Final items'!$A36,'Final items'!$A$1:$Z$300,9,FALSE)</f>
        <v>&lt;p&gt;Curb cuts are breaks in the sidewalk edge that allow wheels to roll from street level to sidewalk level.  If you cannot see all curb cuts because of obstructions but it is reasonable to believe all curbs are cut, mark as all.&lt;p&gt;&lt;p&gt;&lt;img src="[curb_cuts.png]"&gt;&lt;/p&gt;&lt;p&gt;Places where crossing is expected to occur include both desginated crossings and "implicit" crossings at intersections of two streets or a pedestrian path and a street execept where crossing is explicitly prohibited (e.g. by a no crossing sign).&lt;/p&gt;&lt;p&gt;It's okay if a curb cut doesn't line up exactly with the crosswalk as long as a pedestrian could get from the curb cut to the crosswalk without going into traffic.&lt;/p&gt;</v>
      </c>
      <c r="G48" t="str">
        <f>IF(VLOOKUP(A48,'Final items'!$A$1:$Z$300,11,FALSE)="Write in %", "Count", "Category")</f>
        <v>Category</v>
      </c>
      <c r="H48">
        <f>VLOOKUP(B48,kappas!$A$1:$C$300,2,FALSE)</f>
        <v>0.44750969281240699</v>
      </c>
      <c r="I48">
        <f>VLOOKUP(B48,kappas!$A$1:$C$300,3,FALSE)</f>
        <v>0.58947368421052604</v>
      </c>
      <c r="J48">
        <f>VLOOKUP(B48,'initial kappas'!$A$1:$C$300,2,FALSE)</f>
        <v>0.60479041916167697</v>
      </c>
      <c r="K48">
        <f>VLOOKUP(B48,'initial kappas'!$A$1:$C$300,3,FALSE)</f>
        <v>0.72727272727272696</v>
      </c>
    </row>
    <row r="49" spans="1:11">
      <c r="A49" t="str">
        <f>VLOOKUP('Final items'!$A228,'Final items'!$A$1:$Z$300,1,FALSE)</f>
        <v>PEDS-28</v>
      </c>
      <c r="B49" t="str">
        <f t="shared" si="2"/>
        <v>PEDS.28</v>
      </c>
      <c r="C49" t="str">
        <f>VLOOKUP('Final items'!$A228,'Kathy''s original list'!$A$1:$Z$300,8,FALSE)</f>
        <v>How many trees  shade the walking area?</v>
      </c>
      <c r="D49" t="str">
        <f>VLOOKUP('Final items'!$A228,'Final items'!$A$1:$Z$300,10,FALSE)</f>
        <v>How many trees shade the walking area? (This question is about amount of shade, not about number of trees -- see help for more information.)</v>
      </c>
      <c r="E49" t="str">
        <f t="shared" si="3"/>
        <v>No</v>
      </c>
      <c r="F49" t="str">
        <f>VLOOKUP('Final items'!$A228,'Final items'!$A$1:$Z$300,9,FALSE)</f>
        <v>&lt;p&gt;None or Very Few: the path is not shaded by any trees (or only one tree) along the segment.(less than 25% is covered) Some: the path is covered between 25 and 75% of the way. Many/Dense: more than 75% of the path is shaded by trees.&lt;/p&gt;&lt;p&gt;Note: Assume this question is asking about the shade you'd expect in the middle of the day in the summer.  That is, if you see deciduous trees with no leaves (because the street view imagery was taken in winter), rate the street as though there were leaves.  If there are big trees but they don't shade the path in the image because the image was taken early in the morning, try to guess how much of the path would be shaded around noon.&lt;/p&gt;&lt;p&gt;Note also: the "path" here indicates where you would walk if you were walking down the segment.  For example, for a quite street with no explicit path and dense enough foliage next to the road so that you would actually walk in the street, consider the shade along the side of the street.&lt;/p&gt;</v>
      </c>
      <c r="G49" t="str">
        <f>IF(VLOOKUP(A49,'Final items'!$A$1:$Z$300,11,FALSE)="Write in %", "Count", "Category")</f>
        <v>Category</v>
      </c>
      <c r="H49">
        <f>VLOOKUP(B49,kappas!$A$1:$C$300,2,FALSE)</f>
        <v>0.45330188679245298</v>
      </c>
      <c r="I49">
        <f>VLOOKUP(B49,kappas!$A$1:$C$300,3,FALSE)</f>
        <v>0.67894736842105297</v>
      </c>
      <c r="J49">
        <f>VLOOKUP(B49,'initial kappas'!$A$1:$C$300,2,FALSE)</f>
        <v>0.52517985611510798</v>
      </c>
      <c r="K49">
        <f>VLOOKUP(B49,'initial kappas'!$A$1:$C$300,3,FALSE)</f>
        <v>0.72727272727272696</v>
      </c>
    </row>
    <row r="50" spans="1:11">
      <c r="A50" t="str">
        <f>VLOOKUP('Final items'!$A208,'Final items'!$A$1:$Z$300,1,FALSE)</f>
        <v>PEDS-32</v>
      </c>
      <c r="B50" t="str">
        <f t="shared" si="2"/>
        <v>PEDS.32</v>
      </c>
      <c r="C50" t="str">
        <f>VLOOKUP('Final items'!$A208,'Kathy''s original list'!$A$1:$Z$300,8,FALSE)</f>
        <v>How much articulation is there is building designs?</v>
      </c>
      <c r="D50" t="str">
        <f>VLOOKUP('Final items'!$A208,'Final items'!$A$1:$Z$300,10,FALSE)</f>
        <v>How much articulation is there is building designs?</v>
      </c>
      <c r="E50" t="str">
        <f t="shared" si="3"/>
        <v>Yes</v>
      </c>
      <c r="F50" t="str">
        <f>VLOOKUP('Final items'!$A208,'Final items'!$A$1:$Z$300,9,FALSE)</f>
        <v>&lt;p&gt;Little or no articulation: the facades of buildings along the segment are unadorned and do not have many window openings. Some articulation: the facades of buildings along the segment are similar in style and/or are not very ornate. Highly articulated: the facades of buildings along the segment are complex and varied.&lt;/p&gt;&lt;table&gt;&lt;tr&gt;&lt;th&gt;No Articulation&lt;/th&gt;&lt;th&gt;Some Articulation&lt;/th&gt;&lt;th&gt;Highly Articulated&lt;/th&gt;&lt;/tr&gt;&lt;tr&gt;&lt;td&gt;&lt;img src="[no_articulation.png]"/&gt;&lt;/td&gt;&lt;td&gt;&lt;img src="[some_articulation.png]"/&gt;&lt;/td&gt;&lt;td&gt;&lt;img src="[high_articulation.png]"/&gt;&lt;/td&gt;&lt;/tr&gt;&lt;/table&gt;</v>
      </c>
      <c r="G50" t="str">
        <f>IF(VLOOKUP(A50,'Final items'!$A$1:$Z$300,11,FALSE)="Write in %", "Count", "Category")</f>
        <v>Category</v>
      </c>
      <c r="H50">
        <f>VLOOKUP(B50,kappas!$A$1:$C$300,2,FALSE)</f>
        <v>0.47575877020102503</v>
      </c>
      <c r="I50">
        <f>VLOOKUP(B50,kappas!$A$1:$C$300,3,FALSE)</f>
        <v>0.70526315789473704</v>
      </c>
      <c r="J50">
        <f>VLOOKUP(B50,'initial kappas'!$A$1:$C$300,2,FALSE)</f>
        <v>0.49618320610687</v>
      </c>
      <c r="K50">
        <f>VLOOKUP(B50,'initial kappas'!$A$1:$C$300,3,FALSE)</f>
        <v>0.72727272727272696</v>
      </c>
    </row>
    <row r="51" spans="1:11">
      <c r="A51" t="str">
        <f>VLOOKUP('Final items'!$A75,'Final items'!$A$1:$Z$300,1,FALSE)</f>
        <v>PEDS-10</v>
      </c>
      <c r="B51" t="str">
        <f t="shared" si="2"/>
        <v>PEDS.10</v>
      </c>
      <c r="C51" t="str">
        <f>VLOOKUP('Final items'!$A75,'Kathy''s original list'!$A$1:$Z$300,8,FALSE)</f>
        <v>How wide is the sidewalk?</v>
      </c>
      <c r="D51" t="str">
        <f>VLOOKUP('Final items'!$A75,'Final items'!$A$1:$Z$300,10,FALSE)</f>
        <v>How wide is the sidewalk?</v>
      </c>
      <c r="E51" t="str">
        <f t="shared" si="3"/>
        <v>Yes</v>
      </c>
      <c r="F51" t="str">
        <f>VLOOKUP('Final items'!$A75,'Final items'!$A$1:$Z$300,9,FALSE)</f>
        <v>&lt;p&gt;If the sidewalk width varies, use the average/typical width.&lt;/p&gt;&lt;table&gt;&lt;tr&gt;&lt;th&gt;This (obstructed) sidewalk is about 5 feet wide.&lt;/th&gt;&lt;th&gt;This sidewalk is about 3 feet wide&lt;/th&gt;&lt;th&gt;A sidewalk where a family can walk comfortably is at least 4-8 Feet wide, as this one is:&lt;/th&gt;&lt;/tr&gt;&lt;tr&gt;&lt;td&gt;&lt;img src="[sidewalk_width.png]"/&gt;&lt;/td&gt;&lt;td&gt;&lt;img src="[sidewalk_width_2.png]"/&gt;&lt;/td&gt;&lt;td&gt;&lt;img src="[sidewalk.png]"/&gt;&lt;/td&gt;&lt;/tr&gt;&lt;/table&gt;</v>
      </c>
      <c r="G51" t="str">
        <f>IF(VLOOKUP(A51,'Final items'!$A$1:$Z$300,11,FALSE)="Write in %", "Count", "Category")</f>
        <v>Category</v>
      </c>
      <c r="H51">
        <f>VLOOKUP(B51,kappas!$A$1:$C$300,2,FALSE)</f>
        <v>0.51514652617714896</v>
      </c>
      <c r="I51">
        <f>VLOOKUP(B51,kappas!$A$1:$C$300,3,FALSE)</f>
        <v>0.673684210526316</v>
      </c>
      <c r="J51">
        <f>VLOOKUP(B51,'initial kappas'!$A$1:$C$300,2,FALSE)</f>
        <v>0.52857142857142903</v>
      </c>
      <c r="K51">
        <f>VLOOKUP(B51,'initial kappas'!$A$1:$C$300,3,FALSE)</f>
        <v>0.72727272727272696</v>
      </c>
    </row>
    <row r="52" spans="1:11">
      <c r="A52" t="str">
        <f>VLOOKUP('Final items'!$A210,'Final items'!$A$1:$Z$300,1,FALSE)</f>
        <v>MIUDQ-4</v>
      </c>
      <c r="B52" t="str">
        <f t="shared" si="2"/>
        <v>MIUDQ.4</v>
      </c>
      <c r="C52" t="str">
        <f>VLOOKUP('Final items'!$A210,'Kathy''s original list'!$A$1:$Z$300,8,FALSE)</f>
        <v>How many buildings with identifiers are there?</v>
      </c>
      <c r="D52" t="str">
        <f>VLOOKUP('Final items'!$A210,'Final items'!$A$1:$Z$300,10,FALSE)</f>
        <v>How many buildings with identifiers are there?</v>
      </c>
      <c r="E52" t="str">
        <f t="shared" si="3"/>
        <v>Yes</v>
      </c>
      <c r="F52" t="str">
        <f>VLOOKUP('Final items'!$A210,'Final items'!$A$1:$Z$300,9,FALSE)</f>
        <v>&lt;p&gt;Count buildings that are not solely residential with clear signs or universal symbols that reveal their street-level use. That is, a gas pump on it could identify a gas statio or a steeple could identify a church. Words can also identify a lot/building: "high school," "pharmacy,""restaurant,""cafe," and brand or franchise names. A name such as "Joe's" would not work, while "Joe's Pub" would identify the building. If a single building has multiple street-level occupants, it is identifiable only if the majority of occupants are identifiable.&lt;/p&gt;</v>
      </c>
      <c r="G52" t="str">
        <f>IF(VLOOKUP(A52,'Final items'!$A$1:$Z$300,11,FALSE)="Write in %", "Count", "Category")</f>
        <v>Category</v>
      </c>
      <c r="H52">
        <f>VLOOKUP(B52,kappas!$A$1:$C$300,2,FALSE)</f>
        <v>0.522346368715084</v>
      </c>
      <c r="I52">
        <f>VLOOKUP(B52,kappas!$A$1:$C$300,3,FALSE)</f>
        <v>0.71578947368421098</v>
      </c>
      <c r="J52">
        <f>VLOOKUP(B52,'initial kappas'!$A$1:$C$300,2,FALSE)</f>
        <v>0.790476190476191</v>
      </c>
      <c r="K52">
        <f>VLOOKUP(B52,'initial kappas'!$A$1:$C$300,3,FALSE)</f>
        <v>0.90909090909090895</v>
      </c>
    </row>
    <row r="53" spans="1:11">
      <c r="A53" t="str">
        <f>VLOOKUP('Final items'!$A227,'Final items'!$A$1:$Z$300,1,FALSE)</f>
        <v>PEDS-2</v>
      </c>
      <c r="B53" t="str">
        <f t="shared" si="2"/>
        <v>PEDS.2</v>
      </c>
      <c r="C53" t="str">
        <f>VLOOKUP('Final items'!$A227,'Kathy''s original list'!$A$1:$Z$300,8,FALSE)</f>
        <v>What is the slope of the segment?</v>
      </c>
      <c r="D53" t="str">
        <f>VLOOKUP('Final items'!$A227,'Final items'!$A$1:$Z$300,10,FALSE)</f>
        <v>What is the maximum slope of the segment? (Note: please check the help for the definition of slight hill)</v>
      </c>
      <c r="E53" t="str">
        <f t="shared" si="3"/>
        <v>No</v>
      </c>
      <c r="F53" t="str">
        <f>VLOOKUP('Final items'!$A227,'Final items'!$A$1:$Z$300,9,FALSE)</f>
        <v>&lt;table&gt;&lt;tr&gt;&lt;th&gt;Flat: there is no discernable hill walking the segment. &lt;/th&gt;&lt;th&gt;Slight Hill: there is a slight hill in the segment, but not enough to make walking uphill difficult.&lt;/th&gt;&lt;th&gt;Steep Hill:  the hill in the segment makes walking or biking it difficult.&lt;/th&gt;&lt;/tr&gt;&lt;tr&gt;&lt;td&gt;&lt;img src="[slope_flat.png]"/&gt;&lt;/td&gt;&lt;td&gt;&lt;img src="[slope_slight_hill.png]"/&gt;&lt;/td&gt;&lt;td&gt;&lt;img src="[slope_steep_hill.png]"/&gt;&lt;/td&gt;&lt;/tr&gt;&lt;/table&gt;</v>
      </c>
      <c r="G53" t="str">
        <f>IF(VLOOKUP(A53,'Final items'!$A$1:$Z$300,11,FALSE)="Write in %", "Count", "Category")</f>
        <v>Category</v>
      </c>
      <c r="H53">
        <f>VLOOKUP(B53,kappas!$A$1:$C$300,2,FALSE)</f>
        <v>0.52500000000000002</v>
      </c>
      <c r="I53">
        <f>VLOOKUP(B53,kappas!$A$1:$C$300,3,FALSE)</f>
        <v>0.87368421052631595</v>
      </c>
      <c r="J53">
        <f>VLOOKUP(B53,'initial kappas'!$A$1:$C$300,2,FALSE)</f>
        <v>-4.7619047619046201E-2</v>
      </c>
      <c r="K53">
        <f>VLOOKUP(B53,'initial kappas'!$A$1:$C$300,3,FALSE)</f>
        <v>0.90909090909090895</v>
      </c>
    </row>
    <row r="54" spans="1:11">
      <c r="A54" t="str">
        <f>VLOOKUP('Final items'!$A198,'Final items'!$A$1:$Z$300,1,FALSE)</f>
        <v>MIUDQ-5</v>
      </c>
      <c r="B54" t="str">
        <f t="shared" si="2"/>
        <v>MIUDQ.5</v>
      </c>
      <c r="C54" t="str">
        <f>VLOOKUP('Final items'!$A198,'Kathy''s original list'!$A$1:$Z$300,8,FALSE)</f>
        <v>How many buildings with nonrectangular shapes do you see?</v>
      </c>
      <c r="D54" t="str">
        <f>VLOOKUP('Final items'!$A198,'Final items'!$A$1:$Z$300,10,FALSE)</f>
        <v>How many buildings with nonrectangular shapes do you see? (Note that pitched roofs a pedestrian can see make a building non-rectangular; please read the help for this question at least once)</v>
      </c>
      <c r="E54" t="str">
        <f t="shared" si="3"/>
        <v>No</v>
      </c>
      <c r="F54" t="str">
        <f>VLOOKUP('Final items'!$A198,'Final items'!$A$1:$Z$300,9,FALSE)</f>
        <v>&lt;p&gt;Non-rectangular shapes: Those that do not have simple rectangular profiles from at least one angle as seen by the passing pedestrian: Pitched roofs, ornamental trim, dormers, etc. Qualify buildings as non-rectangular, but not awnings, signage, and porches.&lt;/p&gt;</v>
      </c>
      <c r="G54" t="str">
        <f>IF(VLOOKUP(A54,'Final items'!$A$1:$Z$300,11,FALSE)="Write in %", "Count", "Category")</f>
        <v>Category</v>
      </c>
      <c r="H54">
        <f>VLOOKUP(B54,kappas!$A$1:$C$300,2,FALSE)</f>
        <v>0.55371732026143805</v>
      </c>
      <c r="I54">
        <f>VLOOKUP(B54,kappas!$A$1:$C$300,3,FALSE)</f>
        <v>0.63684210526315799</v>
      </c>
      <c r="J54">
        <f>VLOOKUP(B54,'initial kappas'!$A$1:$C$300,2,FALSE)</f>
        <v>8.8757396449704207E-2</v>
      </c>
      <c r="K54">
        <f>VLOOKUP(B54,'initial kappas'!$A$1:$C$300,3,FALSE)</f>
        <v>0.36363636363636398</v>
      </c>
    </row>
    <row r="55" spans="1:11">
      <c r="A55" t="str">
        <f>VLOOKUP('Final items'!$A166,'Final items'!$A$1:$Z$300,1,FALSE)</f>
        <v>Minn-Irvine-62</v>
      </c>
      <c r="B55" t="str">
        <f t="shared" si="2"/>
        <v>Minn.Irvine.62</v>
      </c>
      <c r="C55" t="str">
        <f>VLOOKUP('Final items'!$A166,'Kathy''s original list'!$A$1:$Z$300,8,FALSE)</f>
        <v>Is there any vertical mixed use?</v>
      </c>
      <c r="D55" t="str">
        <f>VLOOKUP('Final items'!$A166,'Final items'!$A$1:$Z$300,10,FALSE)</f>
        <v>Is there any vertical mixed use?</v>
      </c>
      <c r="E55" t="str">
        <f t="shared" si="3"/>
        <v>Yes</v>
      </c>
      <c r="F55" t="str">
        <f>VLOOKUP('Final items'!$A166,'Final items'!$A$1:$Z$300,9,FALSE)</f>
        <v>&lt;p&gt;Choose "some or a lot" rather than "few" if there are at least 3 buildings with mixed-use OR at least 50% of buildings on the segment are mixed-use.&lt;/p&gt;&lt;p&gt;&lt;img src="[mixed_use.png]"&gt;&lt;/p&gt;</v>
      </c>
      <c r="G55" t="str">
        <f>IF(VLOOKUP(A55,'Final items'!$A$1:$Z$300,11,FALSE)="Write in %", "Count", "Category")</f>
        <v>Category</v>
      </c>
      <c r="H55">
        <f>VLOOKUP(B55,kappas!$A$1:$C$300,2,FALSE)</f>
        <v>0.56412718736662404</v>
      </c>
      <c r="I55">
        <f>VLOOKUP(B55,kappas!$A$1:$C$300,3,FALSE)</f>
        <v>0.77368421052631597</v>
      </c>
      <c r="J55">
        <f>VLOOKUP(B55,'initial kappas'!$A$1:$C$300,2,FALSE)</f>
        <v>0.14728682170542601</v>
      </c>
      <c r="K55">
        <f>VLOOKUP(B55,'initial kappas'!$A$1:$C$300,3,FALSE)</f>
        <v>0.54545454545454497</v>
      </c>
    </row>
    <row r="56" spans="1:11">
      <c r="A56" t="str">
        <f>VLOOKUP('Final items'!$A125,'Final items'!$A$1:$Z$300,1,FALSE)</f>
        <v>Minn-Irvine-25</v>
      </c>
      <c r="B56" t="str">
        <f t="shared" si="2"/>
        <v>Minn.Irvine.25</v>
      </c>
      <c r="C56" t="str">
        <f>VLOOKUP('Final items'!$A125,'Kathy''s original list'!$A$1:$Z$300,8,FALSE)</f>
        <v xml:space="preserve">Are there any single family duplex homes? </v>
      </c>
      <c r="D56" t="str">
        <f>VLOOKUP('Final items'!$A125,'Final items'!$A$1:$Z$300,10,FALSE)</f>
        <v xml:space="preserve">Are there any single family duplex homes? </v>
      </c>
      <c r="E56" t="str">
        <f t="shared" si="3"/>
        <v>Yes</v>
      </c>
      <c r="F56" t="str">
        <f>VLOOKUP('Final items'!$A125,'Final items'!$A$1:$Z$300,9,FALSE)</f>
        <v>&lt;p&gt;Duplexes can be identified by multiple front doors, multiple mailboxes or multiple garage doors.&lt;p&gt;&lt;table&gt;&lt;tr&gt;&lt;td&gt;&lt;img src="[attached_single_family_housing_1.png]"/&gt;&lt;/td&gt;&lt;td&gt;&lt;img src="[attached_single_family_housing_2.png]"/&gt;&lt;/td&gt;&lt;/tr&gt;&lt;/table&gt;</v>
      </c>
      <c r="G56" t="str">
        <f>IF(VLOOKUP(A56,'Final items'!$A$1:$Z$300,11,FALSE)="Write in %", "Count", "Category")</f>
        <v>Category</v>
      </c>
      <c r="H56">
        <f>VLOOKUP(B56,kappas!$A$1:$C$300,2,FALSE)</f>
        <v>0.57013574660633504</v>
      </c>
      <c r="I56">
        <f>VLOOKUP(B56,kappas!$A$1:$C$300,3,FALSE)</f>
        <v>0.87368421052631595</v>
      </c>
      <c r="J56">
        <f>VLOOKUP(B56,'initial kappas'!$A$1:$C$300,2,FALSE)</f>
        <v>-4.7619047619046201E-2</v>
      </c>
      <c r="K56">
        <f>VLOOKUP(B56,'initial kappas'!$A$1:$C$300,3,FALSE)</f>
        <v>0.90909090909090895</v>
      </c>
    </row>
    <row r="57" spans="1:11">
      <c r="A57" t="str">
        <f>VLOOKUP('Final items'!$A107,'Final items'!$A$1:$Z$300,1,FALSE)</f>
        <v>Minn-Irvine-92</v>
      </c>
      <c r="B57" t="str">
        <f t="shared" si="2"/>
        <v>Minn.Irvine.92</v>
      </c>
      <c r="C57" t="str">
        <f>VLOOKUP('Final items'!$A107,'Kathy''s original list'!$A$1:$Z$300,8,FALSE)</f>
        <v>Is a highway (elevated or below ground) present and is it a barrier to walking?</v>
      </c>
      <c r="D57" t="str">
        <f>VLOOKUP('Final items'!$A107,'Final items'!$A$1:$Z$300,10,FALSE)</f>
        <v>Is a highway (elevated or below ground) present?</v>
      </c>
      <c r="E57" t="str">
        <f t="shared" si="3"/>
        <v>No</v>
      </c>
      <c r="F57" t="str">
        <f>VLOOKUP('Final items'!$A107,'Final items'!$A$1:$Z$300,9,FALSE)</f>
        <v>&lt;p&gt;&lt;img src="[highway.png]"&gt;&lt;/p&gt;</v>
      </c>
      <c r="G57" t="str">
        <f>IF(VLOOKUP(A57,'Final items'!$A$1:$Z$300,11,FALSE)="Write in %", "Count", "Category")</f>
        <v>Category</v>
      </c>
      <c r="H57">
        <f>VLOOKUP(B57,kappas!$A$1:$C$300,2,FALSE)</f>
        <v>0.57777777777777795</v>
      </c>
      <c r="I57">
        <f>VLOOKUP(B57,kappas!$A$1:$C$300,3,FALSE)</f>
        <v>0.95789473684210502</v>
      </c>
      <c r="J57">
        <f>VLOOKUP(B57,'initial kappas'!$A$1:$C$300,2,FALSE)</f>
        <v>-4.7619047619046201E-2</v>
      </c>
      <c r="K57">
        <f>VLOOKUP(B57,'initial kappas'!$A$1:$C$300,3,FALSE)</f>
        <v>0.90909090909090895</v>
      </c>
    </row>
    <row r="58" spans="1:11">
      <c r="A58" t="str">
        <f>VLOOKUP('Final items'!$A220,'Final items'!$A$1:$Z$300,1,FALSE)</f>
        <v>PEDS-26.1</v>
      </c>
      <c r="B58" t="str">
        <f t="shared" si="2"/>
        <v>PEDS.26.1</v>
      </c>
      <c r="C58" t="str">
        <f>VLOOKUP('Final items'!$A220,'Kathy''s original list'!$A$1:$Z$300,8,FALSE)</f>
        <v>Do you see a public garbage can?</v>
      </c>
      <c r="D58" t="str">
        <f>VLOOKUP('Final items'!$A220,'Final items'!$A$1:$Z$300,10,FALSE)</f>
        <v>Do you see a public garbage can?</v>
      </c>
      <c r="E58" t="str">
        <f t="shared" si="3"/>
        <v>Yes</v>
      </c>
      <c r="F58" t="str">
        <f>VLOOKUP('Final items'!$A220,'Final items'!$A$1:$Z$300,9,FALSE)</f>
        <v>&lt;p&gt;Only public use garbage cans count. Residential garbage cans do not count.&lt;/p&gt;</v>
      </c>
      <c r="G58" t="str">
        <f>IF(VLOOKUP(A58,'Final items'!$A$1:$Z$300,11,FALSE)="Write in %", "Count", "Category")</f>
        <v>Category</v>
      </c>
      <c r="H58">
        <f>VLOOKUP(B58,kappas!$A$1:$C$300,2,FALSE)</f>
        <v>0.57777777777777795</v>
      </c>
      <c r="I58">
        <f>VLOOKUP(B58,kappas!$A$1:$C$300,3,FALSE)</f>
        <v>0.95789473684210502</v>
      </c>
      <c r="J58">
        <f>VLOOKUP(B58,'initial kappas'!$A$1:$C$300,2,FALSE)</f>
        <v>0.61403508771929904</v>
      </c>
      <c r="K58">
        <f>VLOOKUP(B58,'initial kappas'!$A$1:$C$300,3,FALSE)</f>
        <v>0.90909090909090895</v>
      </c>
    </row>
    <row r="59" spans="1:11">
      <c r="A59" t="str">
        <f>VLOOKUP('Final items'!$A193,'Final items'!$A$1:$Z$300,1,FALSE)</f>
        <v>Minn-Irvine-133</v>
      </c>
      <c r="B59" t="str">
        <f t="shared" si="2"/>
        <v>Minn.Irvine.133</v>
      </c>
      <c r="C59" t="str">
        <f>VLOOKUP('Final items'!$A193,'Kathy''s original list'!$A$1:$Z$300,8,FALSE)</f>
        <v>How many buildings have garage doors pacing the street?</v>
      </c>
      <c r="D59" t="str">
        <f>VLOOKUP('Final items'!$A193,'Final items'!$A$1:$Z$300,10,FALSE)</f>
        <v>How many buildings have garage doors facing the street?</v>
      </c>
      <c r="E59" t="str">
        <f t="shared" si="3"/>
        <v>No</v>
      </c>
      <c r="F59" t="str">
        <f>VLOOKUP('Final items'!$A193,'Final items'!$A$1:$Z$300,9,FALSE)</f>
        <v xml:space="preserve">&lt;p&gt;Choose "some or a lot" rather than "few" if there are at least 3 buildings with garage doors facing the street OR at least 50% of residences on the segment have garage doors facing the street.&lt;/p&gt;&lt;table&gt;&lt;tr&gt;&lt;th&gt;None&lt;/th&gt;&lt;th&gt;Few&lt;/th&gt;&lt;th&gt;Some or a lot&lt;/th&gt;&lt;/tr&gt;&lt;tr&gt;&lt;td&gt;&lt;img src="[no_garage.png]"/&gt;&lt;/td&gt;&lt;td&gt;&lt;img src="[few_garages.png]"/&gt;&lt;/td&gt;&lt;td&gt;&lt;img src="[some_garages.png]"/&gt;&lt;/td&gt;&lt;/tr&gt;&lt;/table&gt; </v>
      </c>
      <c r="G59" t="str">
        <f>IF(VLOOKUP(A59,'Final items'!$A$1:$Z$300,11,FALSE)="Write in %", "Count", "Category")</f>
        <v>Category</v>
      </c>
      <c r="H59">
        <f>VLOOKUP(B59,kappas!$A$1:$C$300,2,FALSE)</f>
        <v>0.582954889494399</v>
      </c>
      <c r="I59">
        <f>VLOOKUP(B59,kappas!$A$1:$C$300,3,FALSE)</f>
        <v>0.69473684210526299</v>
      </c>
      <c r="J59">
        <f>VLOOKUP(B59,'initial kappas'!$A$1:$C$300,2,FALSE)</f>
        <v>0.59509202453987697</v>
      </c>
      <c r="K59">
        <f>VLOOKUP(B59,'initial kappas'!$A$1:$C$300,3,FALSE)</f>
        <v>0.72727272727272696</v>
      </c>
    </row>
    <row r="60" spans="1:11">
      <c r="A60" t="str">
        <f>VLOOKUP('Final items'!$A46,'Final items'!$A$1:$Z$300,1,FALSE)</f>
        <v>PEDS-14</v>
      </c>
      <c r="B60" t="str">
        <f t="shared" si="2"/>
        <v>PEDS.14</v>
      </c>
      <c r="C60" t="str">
        <f>VLOOKUP('Final items'!$A46,'Kathy''s original list'!$A$1:$Z$300,8,FALSE)</f>
        <v>What is the condition of the road?</v>
      </c>
      <c r="D60" t="str">
        <f>VLOOKUP('Final items'!$A46,'Final items'!$A$1:$Z$300,10,FALSE)</f>
        <v>What is the condition of the road?</v>
      </c>
      <c r="E60" t="str">
        <f t="shared" si="3"/>
        <v>Yes</v>
      </c>
      <c r="F60" t="str">
        <f>VLOOKUP('Final items'!$A46,'Final items'!$A$1:$Z$300,9,FALSE)</f>
        <v>&lt;p&gt;Poor: the potholes, cracks, etc. present would cause a vehicle driving the segment to rock, dip or otherwise disrupt driving. Fair: there are potholes, cracks etc., but not enough to cause problems for a vehicle driving the segment. Good: there are no large potholes or other problems that would cause problems for a vehicle driving the segment. Patched segments are fine as long as the patches are smooth.  Under repair: A roadway will only be considered "under repair" if there is evidence of work being done to improve it. Orange cones are not enough.&lt;/p&gt;</v>
      </c>
      <c r="G60" t="str">
        <f>IF(VLOOKUP(A60,'Final items'!$A$1:$Z$300,11,FALSE)="Write in %", "Count", "Category")</f>
        <v>Category</v>
      </c>
      <c r="H60">
        <f>VLOOKUP(B60,kappas!$A$1:$C$300,2,FALSE)</f>
        <v>0.58448434622467804</v>
      </c>
      <c r="I60">
        <f>VLOOKUP(B60,kappas!$A$1:$C$300,3,FALSE)</f>
        <v>0.8</v>
      </c>
      <c r="J60">
        <f>VLOOKUP(B60,'initial kappas'!$A$1:$C$300,2,FALSE)</f>
        <v>-0.17333333333333301</v>
      </c>
      <c r="K60">
        <f>VLOOKUP(B60,'initial kappas'!$A$1:$C$300,3,FALSE)</f>
        <v>0.63636363636363602</v>
      </c>
    </row>
    <row r="61" spans="1:11">
      <c r="A61" t="str">
        <f>VLOOKUP('Final items'!$A240,'Final items'!$A$1:$Z$300,1,FALSE)</f>
        <v>Minn-Irvine-138</v>
      </c>
      <c r="B61" t="str">
        <f t="shared" si="2"/>
        <v>Minn.Irvine.138</v>
      </c>
      <c r="C61" t="str">
        <f>VLOOKUP('Final items'!$A240,'Kathy''s original list'!$A$1:$Z$300,8,FALSE)</f>
        <v>Describe the general maintenance of the buildings.</v>
      </c>
      <c r="D61" t="str">
        <f>VLOOKUP('Final items'!$A240,'Final items'!$A$1:$Z$300,10,FALSE)</f>
        <v>Describe the general maintenance of the buildings.</v>
      </c>
      <c r="E61" t="str">
        <f t="shared" si="3"/>
        <v>Yes</v>
      </c>
      <c r="F61" t="str">
        <f>VLOOKUP('Final items'!$A240,'Final items'!$A$1:$Z$300,9,FALSE)</f>
        <v>&lt;table&gt;&lt;tr&gt;&lt;th&gt;Poor&lt;/th&gt;&lt;th&gt;Fair&lt;/th&gt;&lt;th&gt;Good&lt;/th&gt;&lt;/tr&gt;&lt;tr&gt;&lt;td&gt;&lt;img src="[unattractive.png]"/&gt;&lt;/td&gt;&lt;td&gt;&lt;img src="[neutral.png]"/&gt;&lt;/td&gt;&lt;td&gt;&lt;img src="[attractive.png]"/&gt;&lt;/td&gt;&lt;/tr&gt;&lt;/table&gt;</v>
      </c>
      <c r="G61" t="str">
        <f>IF(VLOOKUP(A61,'Final items'!$A$1:$Z$300,11,FALSE)="Write in %", "Count", "Category")</f>
        <v>Category</v>
      </c>
      <c r="H61">
        <f>VLOOKUP(B61,kappas!$A$1:$C$300,2,FALSE)</f>
        <v>0.58647707486941403</v>
      </c>
      <c r="I61">
        <f>VLOOKUP(B61,kappas!$A$1:$C$300,3,FALSE)</f>
        <v>0.84210526315789502</v>
      </c>
      <c r="J61">
        <f>VLOOKUP(B61,'initial kappas'!$A$1:$C$300,2,FALSE)</f>
        <v>0.29032258064516098</v>
      </c>
      <c r="K61">
        <f>VLOOKUP(B61,'initial kappas'!$A$1:$C$300,3,FALSE)</f>
        <v>0.72727272727272696</v>
      </c>
    </row>
    <row r="62" spans="1:11">
      <c r="A62" t="str">
        <f>VLOOKUP('Final items'!$A72,'Final items'!$A$1:$Z$300,1,FALSE)</f>
        <v>PEDS-13</v>
      </c>
      <c r="B62" t="str">
        <f t="shared" si="2"/>
        <v>PEDS.13</v>
      </c>
      <c r="C62" t="str">
        <f>VLOOKUP('Final items'!$A72,'Kathy''s original list'!$A$1:$Z$300,8,FALSE)</f>
        <v>How many connections does the sidewalk make to other sidewalks or crosswalks?</v>
      </c>
      <c r="D62" t="str">
        <f>VLOOKUP('Final items'!$A72,'Final items'!$A$1:$Z$300,10,FALSE)</f>
        <v>How many connections does the sidewalk make to other sidewalks or crosswalks?  (2-lane and 1-lane streets are considered to have implicit crosswalks at corners even if no explicit crosswalk exists)</v>
      </c>
      <c r="E62" t="str">
        <f t="shared" si="3"/>
        <v>No</v>
      </c>
      <c r="F62" t="str">
        <f>VLOOKUP('Final items'!$A72,'Final items'!$A$1:$Z$300,9,FALSE)</f>
        <v>&lt;p&gt;The number of connections the segment has to crosswalks and other sidewalks.  For example, a typical city block segment has 6 connections: 1 to the sidewalk at the start corner, 1 to the sidewalk at the end corner, 2 to the crosswalks at the start corner and 2 to the crosswalks at the end corner.&lt;/p&gt;&lt;p&gt;This will be scored as follows:&lt;/p&gt; &lt;ul&gt;&lt;li&gt;At the beginning of the segment, looking backward 180 degrees, +90 degrees and -90 degrees:how many sidewalks or crosswalks are there?&lt;/li&gt;&lt;li&gt;At the end of the segment, looking forward, +90 degrees and -90 degrees: how many sidewalks or crosswalks are there?&lt;/li&gt;&lt;li&gt;In the middle of the segment: are how many sidewalks or crosswalks are there?&lt;/li&gt;&lt;/ul&gt;&lt;p&gt;These three scores should be added to make up the connectivity score. A very well connected segment will have a score of six plus any crosswalks that may exist along the segment.&lt;/p&gt;&lt;p&gt;Note also that a sidewalk that continues along the non-interrupted side of a 3-way intersection counts as one connection.  For example, when rating the right side of a segment that ends at a 3-way intersection where another road enters from the left, if the sidewalk continues along the right side of the street, the sidewalk makes one connection (i.e. to its continuation) at that intersection.&lt;/p&gt;</v>
      </c>
      <c r="G62" t="str">
        <f>IF(VLOOKUP(A62,'Final items'!$A$1:$Z$300,11,FALSE)="Write in %", "Count", "Category")</f>
        <v>Category</v>
      </c>
      <c r="H62">
        <f>VLOOKUP(B62,kappas!$A$1:$C$300,2,FALSE)</f>
        <v>0.58818931210915304</v>
      </c>
      <c r="I62">
        <f>VLOOKUP(B62,kappas!$A$1:$C$300,3,FALSE)</f>
        <v>0.67894736842105297</v>
      </c>
      <c r="J62">
        <f>VLOOKUP(B62,'initial kappas'!$A$1:$C$300,2,FALSE)</f>
        <v>0.133004926108374</v>
      </c>
      <c r="K62">
        <f>VLOOKUP(B62,'initial kappas'!$A$1:$C$300,3,FALSE)</f>
        <v>0.27272727272727298</v>
      </c>
    </row>
    <row r="63" spans="1:11">
      <c r="A63" t="str">
        <f>VLOOKUP('Final items'!$A41,'Final items'!$A$1:$Z$300,1,FALSE)</f>
        <v>Minn-Irvine-21</v>
      </c>
      <c r="B63" t="str">
        <f t="shared" si="2"/>
        <v>Minn.Irvine.21</v>
      </c>
      <c r="C63" t="str">
        <f>VLOOKUP('Final items'!$A41,'Kathy''s original list'!$A$1:$Z$300,8,FALSE)</f>
        <v>How many lanes are there for cars (include turning lanes)?</v>
      </c>
      <c r="D63" t="str">
        <f>VLOOKUP('Final items'!$A41,'Final items'!$A$1:$Z$300,10,FALSE)</f>
        <v>How many lanes are there for cars (include turning lanes but not including parking lanes)?</v>
      </c>
      <c r="E63" t="str">
        <f t="shared" si="3"/>
        <v>No</v>
      </c>
      <c r="F63" t="str">
        <f>VLOOKUP('Final items'!$A41,'Final items'!$A$1:$Z$300,9,FALSE)</f>
        <v>&lt;p&gt;Count the maximum number of lanes on the segment.  (i.e. if it's two lanes but widens to include a turning lane at an intersection, count it as 3 lanes.)&lt;/p&gt;&lt;table&gt;&lt;tr&gt;&lt;th&gt;8 lanes (on the wide street)&lt;/th&gt;&lt;th&gt;3 lanes&lt;/th&gt;&lt;/tr&gt;&lt;tr&gt;&lt;td&gt;&lt;img src="[8_lanes.png]"&gt;&lt;/td&gt;&lt;td&gt;&lt;img src="[3_lanes.png]"&gt;&lt;/td&gt;&lt;/tr&gt;&lt;/table&gt;</v>
      </c>
      <c r="G63" t="str">
        <f>IF(VLOOKUP(A63,'Final items'!$A$1:$Z$300,11,FALSE)="Write in %", "Count", "Category")</f>
        <v>Category</v>
      </c>
      <c r="H63">
        <f>VLOOKUP(B63,kappas!$A$1:$C$300,2,FALSE)</f>
        <v>0.59601611459265902</v>
      </c>
      <c r="I63">
        <f>VLOOKUP(B63,kappas!$A$1:$C$300,3,FALSE)</f>
        <v>0.9</v>
      </c>
      <c r="J63">
        <f>VLOOKUP(B63,'initial kappas'!$A$1:$C$300,2,FALSE)</f>
        <v>0.245714285714286</v>
      </c>
      <c r="K63">
        <f>VLOOKUP(B63,'initial kappas'!$A$1:$C$300,3,FALSE)</f>
        <v>0.45454545454545497</v>
      </c>
    </row>
    <row r="64" spans="1:11">
      <c r="A64" t="str">
        <f>VLOOKUP('Final items'!$A206,'Final items'!$A$1:$Z$300,1,FALSE)</f>
        <v>Minn-Irvine-132</v>
      </c>
      <c r="B64" t="str">
        <f t="shared" si="2"/>
        <v>Minn.Irvine.132</v>
      </c>
      <c r="C64" t="str">
        <f>VLOOKUP('Final items'!$A206,'Kathy''s original list'!$A$1:$Z$300,8,FALSE)</f>
        <v>How many buildings have blank walls?</v>
      </c>
      <c r="D64" t="str">
        <f>VLOOKUP('Final items'!$A206,'Final items'!$A$1:$Z$300,10,FALSE)</f>
        <v>How many buildings have blank walls?  (only blank walls facing the segment count)</v>
      </c>
      <c r="E64" t="str">
        <f t="shared" si="3"/>
        <v>No</v>
      </c>
      <c r="F64" t="str">
        <f>VLOOKUP('Final items'!$A206,'Final items'!$A$1:$Z$300,9,FALSE)</f>
        <v>&lt;p&gt;Blank walls have no windows or doors meant to be opened from outside.&lt;/p&gt;&lt;p&gt;Choose "some or a lot" rather than "few" if there are at least 3 buildings with blank walls OR at least 50% of buildings on the segment have blank walls.&lt;/p&gt;&lt;p&gt;Picture of a blank wall:&lt;/p&gt;&lt;p&gt;&lt;img src="[blank_wall.png]"/&gt;&lt;/p&gt;</v>
      </c>
      <c r="G64" t="str">
        <f>IF(VLOOKUP(A64,'Final items'!$A$1:$Z$300,11,FALSE)="Write in %", "Count", "Category")</f>
        <v>Category</v>
      </c>
      <c r="H64">
        <f>VLOOKUP(B64,kappas!$A$1:$C$300,2,FALSE)</f>
        <v>0.607167470709855</v>
      </c>
      <c r="I64">
        <f>VLOOKUP(B64,kappas!$A$1:$C$300,3,FALSE)</f>
        <v>0.87368421052631595</v>
      </c>
      <c r="J64">
        <f>VLOOKUP(B64,'initial kappas'!$A$1:$C$300,2,FALSE)</f>
        <v>0.47928994082840198</v>
      </c>
      <c r="K64">
        <f>VLOOKUP(B64,'initial kappas'!$A$1:$C$300,3,FALSE)</f>
        <v>0.63636363636363602</v>
      </c>
    </row>
    <row r="65" spans="1:11">
      <c r="A65" t="str">
        <f>VLOOKUP('Final items'!$A202,'Final items'!$A$1:$Z$300,1,FALSE)</f>
        <v>PEDS-33</v>
      </c>
      <c r="B65" t="str">
        <f t="shared" si="2"/>
        <v>PEDS.33</v>
      </c>
      <c r="C65" t="str">
        <f>VLOOKUP('Final items'!$A202,'Kathy''s original list'!$A$1:$Z$300,8,FALSE)</f>
        <v>How far are the buildings set back from the sidewalk?</v>
      </c>
      <c r="D65" t="str">
        <f>VLOOKUP('Final items'!$A202,'Final items'!$A$1:$Z$300,10,FALSE)</f>
        <v>How far are most buildings set back from the sidewalk?</v>
      </c>
      <c r="E65" t="str">
        <f t="shared" si="3"/>
        <v>No</v>
      </c>
      <c r="F65" t="str">
        <f>VLOOKUP('Final items'!$A202,'Final items'!$A$1:$Z$300,9,FALSE)</f>
        <v>&lt;p&gt;If the setbacks vary along the segment, pick the setback distance that best describes the plurality of setbacks.&lt;/p&gt;&lt;table&gt;&lt;tr&gt;&lt;th&gt;Edge&lt;/th&gt;&lt;th&gt;Within 20 feet&lt;/th&gt;&lt;th&gt;More than 20 feet&lt;/th&gt;&lt;/tr&gt;&lt;tr&gt;&lt;td&gt;&lt;img src="[edge_of_sidewalk.png]"/&gt;&lt;/td&gt;&lt;td&gt;&lt;img src="[20_feet_of_sidewalk.png]"/&gt;&lt;/td&gt;&lt;td&gt;&lt;img src="[morethan20feet.png]"/&gt;&lt;/td&gt;&lt;/tr&gt;&lt;/table&gt;</v>
      </c>
      <c r="G65" t="str">
        <f>IF(VLOOKUP(A65,'Final items'!$A$1:$Z$300,11,FALSE)="Write in %", "Count", "Category")</f>
        <v>Category</v>
      </c>
      <c r="H65">
        <f>VLOOKUP(B65,kappas!$A$1:$C$300,2,FALSE)</f>
        <v>0.60751009915534304</v>
      </c>
      <c r="I65">
        <f>VLOOKUP(B65,kappas!$A$1:$C$300,3,FALSE)</f>
        <v>0.76315789473684204</v>
      </c>
      <c r="J65">
        <f>VLOOKUP(B65,'initial kappas'!$A$1:$C$300,2,FALSE)</f>
        <v>0.59509202453987697</v>
      </c>
      <c r="K65">
        <f>VLOOKUP(B65,'initial kappas'!$A$1:$C$300,3,FALSE)</f>
        <v>0.72727272727272696</v>
      </c>
    </row>
    <row r="66" spans="1:11">
      <c r="A66" t="str">
        <f>VLOOKUP('Final items'!$A165,'Final items'!$A$1:$Z$300,1,FALSE)</f>
        <v>PEDS-1.7</v>
      </c>
      <c r="B66" t="str">
        <f t="shared" ref="B66:B97" si="4">SUBSTITUTE(A66,"-",".")</f>
        <v>PEDS.1.7</v>
      </c>
      <c r="C66" t="str">
        <f>VLOOKUP('Final items'!$A165,'Kathy''s original list'!$A$1:$Z$300,8,FALSE)</f>
        <v>Is there vacant or undeveloped land?</v>
      </c>
      <c r="D66" t="str">
        <f>VLOOKUP('Final items'!$A165,'Final items'!$A$1:$Z$300,10,FALSE)</f>
        <v>Is there vacant or undeveloped land?</v>
      </c>
      <c r="E66" t="str">
        <f t="shared" ref="E66:E97" si="5">IF(AND(C66=D66,NOT(C66=0)),"Yes","No")</f>
        <v>Yes</v>
      </c>
      <c r="F66" t="str">
        <f>VLOOKUP('Final items'!$A165,'Final items'!$A$1:$Z$300,9,FALSE)</f>
        <v>&lt;p&gt;Cleaned or cleared off lots, naturally occurring vegetation, natural features such as lakes and rivers.&lt;/p&gt;</v>
      </c>
      <c r="G66" t="str">
        <f>IF(VLOOKUP(A66,'Final items'!$A$1:$Z$300,11,FALSE)="Write in %", "Count", "Category")</f>
        <v>Category</v>
      </c>
      <c r="H66">
        <f>VLOOKUP(B66,kappas!$A$1:$C$300,2,FALSE)</f>
        <v>0.62</v>
      </c>
      <c r="I66">
        <f>VLOOKUP(B66,kappas!$A$1:$C$300,3,FALSE)</f>
        <v>0.87368421052631595</v>
      </c>
      <c r="J66">
        <f>VLOOKUP(B66,'initial kappas'!$A$1:$C$300,2,FALSE)</f>
        <v>0.74117647058823599</v>
      </c>
      <c r="K66">
        <f>VLOOKUP(B66,'initial kappas'!$A$1:$C$300,3,FALSE)</f>
        <v>0.90909090909090895</v>
      </c>
    </row>
    <row r="67" spans="1:11">
      <c r="A67" t="str">
        <f>VLOOKUP('Final items'!$A49,'Final items'!$A$1:$Z$300,1,FALSE)</f>
        <v>Minn-Irvine-151</v>
      </c>
      <c r="B67" t="str">
        <f t="shared" si="4"/>
        <v>Minn.Irvine.151</v>
      </c>
      <c r="C67" t="str">
        <f>VLOOKUP('Final items'!$A49,'Kathy''s original list'!$A$1:$Z$300,8,FALSE)</f>
        <v>What kind of on-street parking is there?</v>
      </c>
      <c r="D67" t="str">
        <f>VLOOKUP('Final items'!$A49,'Final items'!$A$1:$Z$300,10,FALSE)</f>
        <v>What kind of on-street parking is there?</v>
      </c>
      <c r="E67" t="str">
        <f t="shared" si="5"/>
        <v>Yes</v>
      </c>
      <c r="F67" t="str">
        <f>VLOOKUP('Final items'!$A49,'Final items'!$A$1:$Z$300,9,FALSE)</f>
        <v>&lt;p&gt;Count perpendicular parking and back-in diagonal parking as diagonal.&lt;/p&gt;</v>
      </c>
      <c r="G67" t="str">
        <f>IF(VLOOKUP(A67,'Final items'!$A$1:$Z$300,11,FALSE)="Write in %", "Count", "Category")</f>
        <v>Category</v>
      </c>
      <c r="H67">
        <f>VLOOKUP(B67,kappas!$A$1:$C$300,2,FALSE)</f>
        <v>0.62774294670846398</v>
      </c>
      <c r="I67">
        <f>VLOOKUP(B67,kappas!$A$1:$C$300,3,FALSE)</f>
        <v>0.84210526315789502</v>
      </c>
      <c r="J67">
        <f>VLOOKUP(B67,'initial kappas'!$A$1:$C$300,2,FALSE)</f>
        <v>0.81196581196581197</v>
      </c>
      <c r="K67">
        <f>VLOOKUP(B67,'initial kappas'!$A$1:$C$300,3,FALSE)</f>
        <v>0.90909090909090895</v>
      </c>
    </row>
    <row r="68" spans="1:11">
      <c r="A68" t="str">
        <f>VLOOKUP('Final items'!$A189,'Final items'!$A$1:$Z$300,1,FALSE)</f>
        <v>MIUDQ-22</v>
      </c>
      <c r="B68" t="str">
        <f t="shared" si="4"/>
        <v>MIUDQ.22</v>
      </c>
      <c r="C68" t="str">
        <f>VLOOKUP('Final items'!$A189,'Kathy''s original list'!$A$1:$Z$300,8,FALSE)</f>
        <v>How many buildings are on the segment?</v>
      </c>
      <c r="D68" t="str">
        <f>VLOOKUP('Final items'!$A189,'Final items'!$A$1:$Z$300,10,FALSE)</f>
        <v>How many buildings are on the segment?</v>
      </c>
      <c r="E68" t="str">
        <f t="shared" si="5"/>
        <v>Yes</v>
      </c>
      <c r="F68" t="str">
        <f>VLOOKUP('Final items'!$A189,'Final items'!$A$1:$Z$300,9,FALSE)</f>
        <v>&lt;p&gt;This includes corner lot buildings and all buildings enterable from the study area only.    Visible buildings can be distinguished by separate doors, architecture, colors, etc.&lt;/p&gt;&lt;p&gt;If you are unsure whether a given structure should count as one building or multiple buildings, consider whether it appears that each sub-section of the structure could stand on its own without major renovations if its neighbors were removed.  For example, older attached rowhouses were often built to be able to stand independantly, but more recent duplexes were typically built as a single building.&lt;/p&gt;&lt;p&gt;In a campus environment, count only buildings that are within 100 feet of the sidewalk.&lt;/p&gt;&lt;p&gt;Do not count detached garages unless they appear to have other uses associated with them (e.g. a studio above the garage).&lt;/p&gt;</v>
      </c>
      <c r="G68" t="str">
        <f>IF(VLOOKUP(A68,'Final items'!$A$1:$Z$300,11,FALSE)="Write in %", "Count", "Category")</f>
        <v>Category</v>
      </c>
      <c r="H68">
        <f>VLOOKUP(B68,kappas!$A$1:$C$300,2,FALSE)</f>
        <v>0.63953321878579605</v>
      </c>
      <c r="I68">
        <f>VLOOKUP(B68,kappas!$A$1:$C$300,3,FALSE)</f>
        <v>0.72105263157894695</v>
      </c>
      <c r="J68">
        <f>VLOOKUP(B68,'initial kappas'!$A$1:$C$300,2,FALSE)</f>
        <v>0.67961165048543704</v>
      </c>
      <c r="K68">
        <f>VLOOKUP(B68,'initial kappas'!$A$1:$C$300,3,FALSE)</f>
        <v>0.72727272727272696</v>
      </c>
    </row>
    <row r="69" spans="1:11">
      <c r="A69" t="str">
        <f>VLOOKUP('Final items'!$A73,'Final items'!$A$1:$Z$300,1,FALSE)</f>
        <v>PEDS-6</v>
      </c>
      <c r="B69" t="str">
        <f t="shared" si="4"/>
        <v>PEDS.6</v>
      </c>
      <c r="C69" t="str">
        <f>VLOOKUP('Final items'!$A73,'Kathy''s original list'!$A$1:$Z$300,8,FALSE)</f>
        <v>In what condition is the sidewalk or pedestrian path (paved trail)?</v>
      </c>
      <c r="D69" t="str">
        <f>VLOOKUP('Final items'!$A73,'Final items'!$A$1:$Z$300,10,FALSE)</f>
        <v>In what condition is the sidewalk or pedestrian path (paved trail)?</v>
      </c>
      <c r="E69" t="str">
        <f t="shared" si="5"/>
        <v>Yes</v>
      </c>
      <c r="F69" t="str">
        <f>VLOOKUP('Final items'!$A73,'Final items'!$A$1:$Z$300,9,FALSE)</f>
        <v>&lt;p&gt;Poor: If a stroller cannot be pushed along the sidewalk without many jarring motions and/or if it clearly needs to be replaced (patches would not be sufficient). Fair: If a stroller can easily be pushed along the sidewalk with few jarring motions to the passenger and/or it only needs patches or other minor repair. Good: If a stroller can easily be pushed along the sidewalk without jarring motions to the passenger and/or it needs no repair at this time. Under Repair: If there is evidence of work being done to improve the sidewalk. Orange cones are not enough. If construction work is being done adjacent to the sidewalk, blocking it off as a result, it is considered "under repair."&lt;/p&gt;&lt;table&gt;&lt;tr&gt;&lt;th&gt;Poor&lt;/th&gt;&lt;th&gt;Good&lt;/th&gt;&lt;th&gt;Under Repair&lt;/th&gt;&lt;/tr&gt;&lt;tr&gt;&lt;td&gt;&lt;img src="[poor_sidewalk_2.png]"&gt;&lt;/td&gt;&lt;td&gt;&lt;img src="[good_sidewalk.png]"&gt;&lt;/td&gt;&lt;td&gt;&lt;img src="[sidewalk_under_repair.png]"&gt;&lt;/td&gt;&lt;/tr&gt;&lt;/table&gt;</v>
      </c>
      <c r="G69" t="str">
        <f>IF(VLOOKUP(A69,'Final items'!$A$1:$Z$300,11,FALSE)="Write in %", "Count", "Category")</f>
        <v>Category</v>
      </c>
      <c r="H69">
        <f>VLOOKUP(B69,kappas!$A$1:$C$300,2,FALSE)</f>
        <v>0.64502954466458096</v>
      </c>
      <c r="I69">
        <f>VLOOKUP(B69,kappas!$A$1:$C$300,3,FALSE)</f>
        <v>0.77368421052631597</v>
      </c>
      <c r="J69">
        <f>VLOOKUP(B69,'initial kappas'!$A$1:$C$300,2,FALSE)</f>
        <v>0.54482758620689697</v>
      </c>
      <c r="K69">
        <f>VLOOKUP(B69,'initial kappas'!$A$1:$C$300,3,FALSE)</f>
        <v>0.72727272727272696</v>
      </c>
    </row>
    <row r="70" spans="1:11">
      <c r="A70" t="str">
        <f>VLOOKUP('Final items'!$A103,'Final items'!$A$1:$Z$300,1,FALSE)</f>
        <v>Minn-Irvine-142</v>
      </c>
      <c r="B70" t="str">
        <f t="shared" si="4"/>
        <v>Minn.Irvine.142</v>
      </c>
      <c r="C70" t="str">
        <f>VLOOKUP('Final items'!$A103,'Kathy''s original list'!$A$1:$Z$300,8,FALSE)</f>
        <v>Is there visible electric wiring overhead?</v>
      </c>
      <c r="D70" t="str">
        <f>VLOOKUP('Final items'!$A103,'Final items'!$A$1:$Z$300,10,FALSE)</f>
        <v>Is there visible electric wiring overhead?</v>
      </c>
      <c r="E70" t="str">
        <f t="shared" si="5"/>
        <v>Yes</v>
      </c>
      <c r="F70" t="str">
        <f>VLOOKUP('Final items'!$A103,'Final items'!$A$1:$Z$300,9,FALSE)</f>
        <v xml:space="preserve">&lt;p&gt;Note that this question assesses the visual impact of the wiring, so wires on the other side of the segment do count.&lt;/p&gt;&lt;table&gt;&lt;tr&gt;&lt;th&gt;None&lt;/th&gt;&lt;th&gt;Little&lt;/th&gt;&lt;th&gt;Some&lt;/th&gt;&lt;/tr&gt;&lt;tr&gt;&lt;td&gt;&lt;img src="[no_wiring.png]"/&gt;&lt;/td&gt;&lt;td&gt;&lt;img src="[little_wiring.png]"/&gt;&lt;/td&gt;&lt;td&gt;&lt;img src="[some_wiring.png]"/&gt;&lt;/td&gt;&lt;/tr&gt;&lt;tr&gt;&lt;td&gt;&lt;/td&gt;&lt;td&gt;Random note: this coffee shop is a short walk from Steve's old house in Seattle.  Good coffee!&lt;/td&gt;&lt;td&gt;&lt;/td&gt;&lt;/tr&gt;&lt;/table&gt; </v>
      </c>
      <c r="G70" t="str">
        <f>IF(VLOOKUP(A70,'Final items'!$A$1:$Z$300,11,FALSE)="Write in %", "Count", "Category")</f>
        <v>Category</v>
      </c>
      <c r="H70">
        <f>VLOOKUP(B70,kappas!$A$1:$C$300,2,FALSE)</f>
        <v>0.653949386503067</v>
      </c>
      <c r="I70">
        <f>VLOOKUP(B70,kappas!$A$1:$C$300,3,FALSE)</f>
        <v>0.8</v>
      </c>
      <c r="J70">
        <f>VLOOKUP(B70,'initial kappas'!$A$1:$C$300,2,FALSE)</f>
        <v>0.446540880503145</v>
      </c>
      <c r="K70">
        <f>VLOOKUP(B70,'initial kappas'!$A$1:$C$300,3,FALSE)</f>
        <v>0.63636363636363602</v>
      </c>
    </row>
    <row r="71" spans="1:11">
      <c r="A71" t="str">
        <f>VLOOKUP('Final items'!$A191,'Final items'!$A$1:$Z$300,1,FALSE)</f>
        <v>Minn-Irvine-131</v>
      </c>
      <c r="B71" t="str">
        <f t="shared" si="4"/>
        <v>Minn.Irvine.131</v>
      </c>
      <c r="C71" t="str">
        <f>VLOOKUP('Final items'!$A191,'Kathy''s original list'!$A$1:$Z$300,8,FALSE)</f>
        <v>How many buildings have front porches (porches you can sit on)?</v>
      </c>
      <c r="D71" t="str">
        <f>VLOOKUP('Final items'!$A191,'Final items'!$A$1:$Z$300,10,FALSE)</f>
        <v>How many buildings have front porches (porches large enough to sit on)?</v>
      </c>
      <c r="E71" t="str">
        <f t="shared" si="5"/>
        <v>No</v>
      </c>
      <c r="F71" t="str">
        <f>VLOOKUP('Final items'!$A191,'Final items'!$A$1:$Z$300,9,FALSE)</f>
        <v>&lt;p&gt;Front porches are designated spaces on the front of the building that are large enough to accommodate two or more chairs for sitting. Chairs need not be present to count as a front porch. Porches can vary in size and type but should be elevated off the ground.  Porches typically function as an 'outdoor room.' &lt;/p&gt;&lt;p&gt;Choose "some or a lot" rather than "few" if there are at least 3 porches OR at least 50% of residences on the segment have front porches.&lt;/p&gt;&lt;p&gt;&lt;img src="[front_porch.png]"/&gt;&lt;/p&gt;</v>
      </c>
      <c r="G71" t="str">
        <f>IF(VLOOKUP(A71,'Final items'!$A$1:$Z$300,11,FALSE)="Write in %", "Count", "Category")</f>
        <v>Category</v>
      </c>
      <c r="H71">
        <f>VLOOKUP(B71,kappas!$A$1:$C$300,2,FALSE)</f>
        <v>0.66981132075471705</v>
      </c>
      <c r="I71">
        <f>VLOOKUP(B71,kappas!$A$1:$C$300,3,FALSE)</f>
        <v>0.77894736842105305</v>
      </c>
      <c r="J71">
        <f>VLOOKUP(B71,'initial kappas'!$A$1:$C$300,2,FALSE)</f>
        <v>0.29032258064516098</v>
      </c>
      <c r="K71">
        <f>VLOOKUP(B71,'initial kappas'!$A$1:$C$300,3,FALSE)</f>
        <v>0.54545454545454497</v>
      </c>
    </row>
    <row r="72" spans="1:11">
      <c r="A72" t="str">
        <f>VLOOKUP('Final items'!$A151,'Final items'!$A$1:$Z$300,1,FALSE)</f>
        <v>Minn-Irvine-45</v>
      </c>
      <c r="B72" t="str">
        <f t="shared" si="4"/>
        <v>Minn.Irvine.45</v>
      </c>
      <c r="C72" t="str">
        <f>VLOOKUP('Final items'!$A151,'Kathy''s original list'!$A$1:$Z$300,8,FALSE)</f>
        <v>Are there any retail stores/restaurants?</v>
      </c>
      <c r="D72" t="str">
        <f>VLOOKUP('Final items'!$A151,'Final items'!$A$1:$Z$300,10,FALSE)</f>
        <v>Are there any retail stores/restaurants?</v>
      </c>
      <c r="E72" t="str">
        <f t="shared" si="5"/>
        <v>Yes</v>
      </c>
      <c r="F72">
        <f>VLOOKUP('Final items'!$A151,'Final items'!$A$1:$Z$300,9,FALSE)</f>
        <v>0</v>
      </c>
      <c r="G72" t="str">
        <f>IF(VLOOKUP(A72,'Final items'!$A$1:$Z$300,11,FALSE)="Write in %", "Count", "Category")</f>
        <v>Category</v>
      </c>
      <c r="H72">
        <f>VLOOKUP(B72,kappas!$A$1:$C$300,2,FALSE)</f>
        <v>0.67044403330249802</v>
      </c>
      <c r="I72">
        <f>VLOOKUP(B72,kappas!$A$1:$C$300,3,FALSE)</f>
        <v>0.84210526315789502</v>
      </c>
      <c r="J72">
        <f>VLOOKUP(B72,'initial kappas'!$A$1:$C$300,2,FALSE)</f>
        <v>0.706666666666667</v>
      </c>
      <c r="K72">
        <f>VLOOKUP(B72,'initial kappas'!$A$1:$C$300,3,FALSE)</f>
        <v>0.90909090909090895</v>
      </c>
    </row>
    <row r="73" spans="1:11">
      <c r="A73" t="str">
        <f>VLOOKUP('Final items'!$A152,'Final items'!$A$1:$Z$300,1,FALSE)</f>
        <v>Minn-Irvine-46</v>
      </c>
      <c r="B73" t="str">
        <f t="shared" si="4"/>
        <v>Minn.Irvine.46</v>
      </c>
      <c r="C73" t="str">
        <f>VLOOKUP('Final items'!$A152,'Kathy''s original list'!$A$1:$Z$300,8,FALSE)</f>
        <v>Is there a bank or financial service?</v>
      </c>
      <c r="D73" t="str">
        <f>VLOOKUP('Final items'!$A152,'Final items'!$A$1:$Z$300,10,FALSE)</f>
        <v>Is there a bank or financial service?</v>
      </c>
      <c r="E73" t="str">
        <f t="shared" si="5"/>
        <v>Yes</v>
      </c>
      <c r="F73">
        <f>VLOOKUP('Final items'!$A152,'Final items'!$A$1:$Z$300,9,FALSE)</f>
        <v>0</v>
      </c>
      <c r="G73" t="str">
        <f>IF(VLOOKUP(A73,'Final items'!$A$1:$Z$300,11,FALSE)="Write in %", "Count", "Category")</f>
        <v>Category</v>
      </c>
      <c r="H73">
        <f>VLOOKUP(B73,kappas!$A$1:$C$300,2,FALSE)</f>
        <v>0.68453510436432596</v>
      </c>
      <c r="I73">
        <f>VLOOKUP(B73,kappas!$A$1:$C$300,3,FALSE)</f>
        <v>0.85263157894736796</v>
      </c>
      <c r="J73" t="str">
        <f>VLOOKUP(B73,'initial kappas'!$A$1:$C$300,2,FALSE)</f>
        <v>NA</v>
      </c>
      <c r="K73">
        <f>VLOOKUP(B73,'initial kappas'!$A$1:$C$300,3,FALSE)</f>
        <v>1</v>
      </c>
    </row>
    <row r="74" spans="1:11">
      <c r="A74" t="str">
        <f>VLOOKUP('Final items'!$A155,'Final items'!$A$1:$Z$300,1,FALSE)</f>
        <v>Minn-Irvine-49</v>
      </c>
      <c r="B74" t="str">
        <f t="shared" si="4"/>
        <v>Minn.Irvine.49</v>
      </c>
      <c r="C74" t="str">
        <f>VLOOKUP('Final items'!$A155,'Kathy''s original list'!$A$1:$Z$300,8,FALSE)</f>
        <v>Is there a gas/service station?</v>
      </c>
      <c r="D74" t="str">
        <f>VLOOKUP('Final items'!$A155,'Final items'!$A$1:$Z$300,10,FALSE)</f>
        <v>Is there a gas/service station?</v>
      </c>
      <c r="E74" t="str">
        <f t="shared" si="5"/>
        <v>Yes</v>
      </c>
      <c r="F74">
        <f>VLOOKUP('Final items'!$A155,'Final items'!$A$1:$Z$300,9,FALSE)</f>
        <v>0</v>
      </c>
      <c r="G74" t="str">
        <f>IF(VLOOKUP(A74,'Final items'!$A$1:$Z$300,11,FALSE)="Write in %", "Count", "Category")</f>
        <v>Category</v>
      </c>
      <c r="H74">
        <f>VLOOKUP(B74,kappas!$A$1:$C$300,2,FALSE)</f>
        <v>0.68453510436432596</v>
      </c>
      <c r="I74">
        <f>VLOOKUP(B74,kappas!$A$1:$C$300,3,FALSE)</f>
        <v>0.85263157894736796</v>
      </c>
      <c r="J74" t="str">
        <f>VLOOKUP(B74,'initial kappas'!$A$1:$C$300,2,FALSE)</f>
        <v>NA</v>
      </c>
      <c r="K74">
        <f>VLOOKUP(B74,'initial kappas'!$A$1:$C$300,3,FALSE)</f>
        <v>1</v>
      </c>
    </row>
    <row r="75" spans="1:11">
      <c r="A75" t="str">
        <f>VLOOKUP('Final items'!$A169,'Final items'!$A$1:$Z$300,1,FALSE)</f>
        <v>Minn-Irvine-65</v>
      </c>
      <c r="B75" t="str">
        <f t="shared" si="4"/>
        <v>Minn.Irvine.65</v>
      </c>
      <c r="C75" t="str">
        <f>VLOOKUP('Final items'!$A169,'Kathy''s original list'!$A$1:$Z$300,8,FALSE)</f>
        <v>Is there a strip mall/row of shops?</v>
      </c>
      <c r="D75" t="str">
        <f>VLOOKUP('Final items'!$A169,'Final items'!$A$1:$Z$300,10,FALSE)</f>
        <v>Is there a strip mall?</v>
      </c>
      <c r="E75" t="str">
        <f t="shared" si="5"/>
        <v>No</v>
      </c>
      <c r="F75" t="str">
        <f>VLOOKUP('Final items'!$A169,'Final items'!$A$1:$Z$300,9,FALSE)</f>
        <v>&lt;p&gt;A strip mall is a building with only ground floor retail uses and parking between the street and the shops.&lt;/p&gt;&lt;p&gt;&lt;img src="[strip_mall.png]"&gt;&lt;/p&gt;</v>
      </c>
      <c r="G75" t="str">
        <f>IF(VLOOKUP(A75,'Final items'!$A$1:$Z$300,11,FALSE)="Write in %", "Count", "Category")</f>
        <v>Category</v>
      </c>
      <c r="H75">
        <f>VLOOKUP(B75,kappas!$A$1:$C$300,2,FALSE)</f>
        <v>0.68453510436432596</v>
      </c>
      <c r="I75">
        <f>VLOOKUP(B75,kappas!$A$1:$C$300,3,FALSE)</f>
        <v>0.85263157894736796</v>
      </c>
      <c r="J75" t="str">
        <f>VLOOKUP(B75,'initial kappas'!$A$1:$C$300,2,FALSE)</f>
        <v>NA</v>
      </c>
      <c r="K75">
        <f>VLOOKUP(B75,'initial kappas'!$A$1:$C$300,3,FALSE)</f>
        <v>1</v>
      </c>
    </row>
    <row r="76" spans="1:11">
      <c r="A76" t="str">
        <f>VLOOKUP('Final items'!$A102,'Final items'!$A$1:$Z$300,1,FALSE)</f>
        <v>PEDS-25</v>
      </c>
      <c r="B76" t="str">
        <f t="shared" si="4"/>
        <v>PEDS.25</v>
      </c>
      <c r="C76" t="str">
        <f>VLOOKUP('Final items'!$A102,'Kathy''s original list'!$A$1:$Z$300,8,FALSE)</f>
        <v>What kind of lighting is there?</v>
      </c>
      <c r="D76" t="str">
        <f>VLOOKUP('Final items'!$A102,'Final items'!$A$1:$Z$300,10,FALSE)</f>
        <v>What kind of lighting is there?</v>
      </c>
      <c r="E76" t="str">
        <f t="shared" si="5"/>
        <v>Yes</v>
      </c>
      <c r="F76" t="str">
        <f>VLOOKUP('Final items'!$A102,'Final items'!$A$1:$Z$300,9,FALSE)</f>
        <v>&lt;p&gt;No lighting: there is no artificial lighting in the area, Road-oriental lighting: there are public light fixtures that aim light at the road or are very high and illuminate broad expanses. Pedestrian-scale lighting: there are public light fixtures that aim light at the walking path. Other lighting: lighting from store, apartment etc. that lights the road and/or ped path.&lt;/p&gt;&lt;p&gt;Note: please include lighting that lights the road from either side but exclude pedestrian-oriented lighting that doesn't light the side of the street that's being rated.&lt;/p&gt;</v>
      </c>
      <c r="G76" t="str">
        <f>IF(VLOOKUP(A76,'Final items'!$A$1:$Z$300,11,FALSE)="Write in %", "Count", "Category")</f>
        <v>Category</v>
      </c>
      <c r="H76">
        <f>VLOOKUP(B76,kappas!$A$1:$C$300,2,FALSE)</f>
        <v>0.68966925275622704</v>
      </c>
      <c r="I76">
        <f>VLOOKUP(B76,kappas!$A$1:$C$300,3,FALSE)</f>
        <v>0.83157894736842097</v>
      </c>
      <c r="J76">
        <f>VLOOKUP(B76,'initial kappas'!$A$1:$C$300,2,FALSE)</f>
        <v>0.20863309352518</v>
      </c>
      <c r="K76">
        <f>VLOOKUP(B76,'initial kappas'!$A$1:$C$300,3,FALSE)</f>
        <v>0.54545454545454497</v>
      </c>
    </row>
    <row r="77" spans="1:11">
      <c r="A77" t="str">
        <f>VLOOKUP('Final items'!$A54,'Final items'!$A$1:$Z$300,1,FALSE)</f>
        <v>PEDS-19</v>
      </c>
      <c r="B77" t="str">
        <f t="shared" si="4"/>
        <v>PEDS.19</v>
      </c>
      <c r="C77" t="str">
        <f>VLOOKUP('Final items'!$A54,'Kathy''s original list'!$A$1:$Z$300,8,FALSE)</f>
        <v>Do you have to walk through a parking lot to get to most buildings?</v>
      </c>
      <c r="D77" t="str">
        <f>VLOOKUP('Final items'!$A54,'Final items'!$A$1:$Z$300,10,FALSE)</f>
        <v>Do you have to walk through a parking lot to get to most buildings?</v>
      </c>
      <c r="E77" t="str">
        <f t="shared" si="5"/>
        <v>Yes</v>
      </c>
      <c r="F77" t="str">
        <f>VLOOKUP('Final items'!$A54,'Final items'!$A$1:$Z$300,9,FALSE)</f>
        <v>&lt;p&gt;For this question, the origin point of walking to the buildings will be from the sidewalk. If there is no sidewalk, origin point will be the curb of the roadway. &lt;img src="[walkthrough_parking_lot.png]"/&gt;&lt;/p&gt;</v>
      </c>
      <c r="G77" t="str">
        <f>IF(VLOOKUP(A77,'Final items'!$A$1:$Z$300,11,FALSE)="Write in %", "Count", "Category")</f>
        <v>Category</v>
      </c>
      <c r="H77">
        <f>VLOOKUP(B77,kappas!$A$1:$C$300,2,FALSE)</f>
        <v>0.69088937093275504</v>
      </c>
      <c r="I77">
        <f>VLOOKUP(B77,kappas!$A$1:$C$300,3,FALSE)</f>
        <v>0.87368421052631595</v>
      </c>
      <c r="J77">
        <f>VLOOKUP(B77,'initial kappas'!$A$1:$C$300,2,FALSE)</f>
        <v>0.27472527472527503</v>
      </c>
      <c r="K77">
        <f>VLOOKUP(B77,'initial kappas'!$A$1:$C$300,3,FALSE)</f>
        <v>0.72727272727272696</v>
      </c>
    </row>
    <row r="78" spans="1:11">
      <c r="A78" t="str">
        <f>VLOOKUP('Final items'!$A126,'Final items'!$A$1:$Z$300,1,FALSE)</f>
        <v>Minn-Irvine-26</v>
      </c>
      <c r="B78" t="str">
        <f t="shared" si="4"/>
        <v>Minn.Irvine.26</v>
      </c>
      <c r="C78" t="str">
        <f>VLOOKUP('Final items'!$A126,'Kathy''s original list'!$A$1:$Z$300,8,FALSE)</f>
        <v>Are there any town home/condo/apartments (3+ units)?</v>
      </c>
      <c r="D78" t="str">
        <f>VLOOKUP('Final items'!$A126,'Final items'!$A$1:$Z$300,10,FALSE)</f>
        <v>Are there any town home/condo/apartments (3+ units)?</v>
      </c>
      <c r="E78" t="str">
        <f t="shared" si="5"/>
        <v>Yes</v>
      </c>
      <c r="F78" t="str">
        <f>VLOOKUP('Final items'!$A126,'Final items'!$A$1:$Z$300,9,FALSE)</f>
        <v>&lt;p&gt;&lt;img src="[townhouse_condo.png]"/&gt;&lt;/p&gt;</v>
      </c>
      <c r="G78" t="str">
        <f>IF(VLOOKUP(A78,'Final items'!$A$1:$Z$300,11,FALSE)="Write in %", "Count", "Category")</f>
        <v>Category</v>
      </c>
      <c r="H78">
        <f>VLOOKUP(B78,kappas!$A$1:$C$300,2,FALSE)</f>
        <v>0.69315245478036103</v>
      </c>
      <c r="I78">
        <f>VLOOKUP(B78,kappas!$A$1:$C$300,3,FALSE)</f>
        <v>0.94736842105263197</v>
      </c>
      <c r="J78">
        <f>VLOOKUP(B78,'initial kappas'!$A$1:$C$300,2,FALSE)</f>
        <v>-4.7619047619046201E-2</v>
      </c>
      <c r="K78">
        <f>VLOOKUP(B78,'initial kappas'!$A$1:$C$300,3,FALSE)</f>
        <v>0.90909090909090895</v>
      </c>
    </row>
    <row r="79" spans="1:11">
      <c r="A79" t="str">
        <f>VLOOKUP('Final items'!$A133,'Final items'!$A$1:$Z$300,1,FALSE)</f>
        <v>Minn-Irvine-32</v>
      </c>
      <c r="B79" t="str">
        <f t="shared" si="4"/>
        <v>Minn.Irvine.32</v>
      </c>
      <c r="C79" t="str">
        <f>VLOOKUP('Final items'!$A133,'Kathy''s original list'!$A$1:$Z$300,8,FALSE)</f>
        <v>Is there any other kind of school?</v>
      </c>
      <c r="D79" t="str">
        <f>VLOOKUP('Final items'!$A133,'Final items'!$A$1:$Z$300,10,FALSE)</f>
        <v>Is there any other kind of school? (If there's a school and you're not sure what grade level it is or it spans junior high and high school, pick yes)</v>
      </c>
      <c r="E79" t="str">
        <f t="shared" si="5"/>
        <v>No</v>
      </c>
      <c r="F79">
        <f>VLOOKUP('Final items'!$A133,'Final items'!$A$1:$Z$300,9,FALSE)</f>
        <v>0</v>
      </c>
      <c r="G79" t="str">
        <f>IF(VLOOKUP(A79,'Final items'!$A$1:$Z$300,11,FALSE)="Write in %", "Count", "Category")</f>
        <v>Category</v>
      </c>
      <c r="H79">
        <f>VLOOKUP(B79,kappas!$A$1:$C$300,2,FALSE)</f>
        <v>0.70283926852742995</v>
      </c>
      <c r="I79">
        <f>VLOOKUP(B79,kappas!$A$1:$C$300,3,FALSE)</f>
        <v>0.86315789473684201</v>
      </c>
      <c r="J79" t="str">
        <f>VLOOKUP(B79,'initial kappas'!$A$1:$C$300,2,FALSE)</f>
        <v>NA</v>
      </c>
      <c r="K79">
        <f>VLOOKUP(B79,'initial kappas'!$A$1:$C$300,3,FALSE)</f>
        <v>1</v>
      </c>
    </row>
    <row r="80" spans="1:11">
      <c r="A80" t="str">
        <f>VLOOKUP('Final items'!$A157,'Final items'!$A$1:$Z$300,1,FALSE)</f>
        <v>Minn-Irvine-51</v>
      </c>
      <c r="B80" t="str">
        <f t="shared" si="4"/>
        <v>Minn.Irvine.51</v>
      </c>
      <c r="C80" t="str">
        <f>VLOOKUP('Final items'!$A157,'Kathy''s original list'!$A$1:$Z$300,8,FALSE)</f>
        <v>Are there offices?</v>
      </c>
      <c r="D80" t="str">
        <f>VLOOKUP('Final items'!$A157,'Final items'!$A$1:$Z$300,10,FALSE)</f>
        <v>Are there offices?  (i.e. buildings where white-collar work take place)</v>
      </c>
      <c r="E80" t="str">
        <f t="shared" si="5"/>
        <v>No</v>
      </c>
      <c r="F80">
        <f>VLOOKUP('Final items'!$A157,'Final items'!$A$1:$Z$300,9,FALSE)</f>
        <v>0</v>
      </c>
      <c r="G80" t="str">
        <f>IF(VLOOKUP(A80,'Final items'!$A$1:$Z$300,11,FALSE)="Write in %", "Count", "Category")</f>
        <v>Category</v>
      </c>
      <c r="H80">
        <f>VLOOKUP(B80,kappas!$A$1:$C$300,2,FALSE)</f>
        <v>0.70283926852742995</v>
      </c>
      <c r="I80">
        <f>VLOOKUP(B80,kappas!$A$1:$C$300,3,FALSE)</f>
        <v>0.86315789473684201</v>
      </c>
      <c r="J80">
        <f>VLOOKUP(B80,'initial kappas'!$A$1:$C$300,2,FALSE)</f>
        <v>0.413333333333333</v>
      </c>
      <c r="K80">
        <f>VLOOKUP(B80,'initial kappas'!$A$1:$C$300,3,FALSE)</f>
        <v>0.81818181818181801</v>
      </c>
    </row>
    <row r="81" spans="1:11">
      <c r="A81" t="str">
        <f>VLOOKUP('Final items'!$A233,'Final items'!$A$1:$Z$300,1,FALSE)</f>
        <v>Minn-Irvine-128</v>
      </c>
      <c r="B81" t="str">
        <f t="shared" si="4"/>
        <v>Minn.Irvine.128</v>
      </c>
      <c r="C81" t="str">
        <f>VLOOKUP('Final items'!$A233,'Kathy''s original list'!$A$1:$Z$300,8,FALSE)</f>
        <v>Are there abandoned buildings or lots on this block?</v>
      </c>
      <c r="D81" t="str">
        <f>VLOOKUP('Final items'!$A233,'Final items'!$A$1:$Z$300,10,FALSE)</f>
        <v>Are there abandoned buildings or lots on this block?</v>
      </c>
      <c r="E81" t="str">
        <f t="shared" si="5"/>
        <v>Yes</v>
      </c>
      <c r="F81" t="str">
        <f>VLOOKUP('Final items'!$A233,'Final items'!$A$1:$Z$300,9,FALSE)</f>
        <v xml:space="preserve">&lt;p&gt;Choose "some or a lot" rather than "few" if there are at least 3 abandoned buildings OR at least 50% of buildings on the segment appear abandoned.&lt;/p&gt;&lt;p&gt;&lt;img src="[abandoned_building.png]"/&gt;&lt;/p&gt; </v>
      </c>
      <c r="G81" t="str">
        <f>IF(VLOOKUP(A81,'Final items'!$A$1:$Z$300,11,FALSE)="Write in %", "Count", "Category")</f>
        <v>Category</v>
      </c>
      <c r="H81">
        <f>VLOOKUP(B81,kappas!$A$1:$C$300,2,FALSE)</f>
        <v>0.70525800130633498</v>
      </c>
      <c r="I81">
        <f>VLOOKUP(B81,kappas!$A$1:$C$300,3,FALSE)</f>
        <v>0.9</v>
      </c>
      <c r="J81">
        <f>VLOOKUP(B81,'initial kappas'!$A$1:$C$300,2,FALSE)</f>
        <v>0.790476190476191</v>
      </c>
      <c r="K81">
        <f>VLOOKUP(B81,'initial kappas'!$A$1:$C$300,3,FALSE)</f>
        <v>0.90909090909090895</v>
      </c>
    </row>
    <row r="82" spans="1:11">
      <c r="A82" t="str">
        <f>VLOOKUP('Final items'!$A139,'Final items'!$A$1:$Z$300,1,FALSE)</f>
        <v>Minn-Irvine-34</v>
      </c>
      <c r="B82" t="str">
        <f t="shared" si="4"/>
        <v>Minn.Irvine.34</v>
      </c>
      <c r="C82" t="str">
        <f>VLOOKUP('Final items'!$A139,'Kathy''s original list'!$A$1:$Z$300,8,FALSE)</f>
        <v>Is there some other kind of public space?</v>
      </c>
      <c r="D82" t="str">
        <f>VLOOKUP('Final items'!$A139,'Final items'!$A$1:$Z$300,10,FALSE)</f>
        <v>Is there some other kind of public space?</v>
      </c>
      <c r="E82" t="str">
        <f t="shared" si="5"/>
        <v>Yes</v>
      </c>
      <c r="F82" t="str">
        <f>VLOOKUP('Final items'!$A139,'Final items'!$A$1:$Z$300,9,FALSE)</f>
        <v>&lt;p&gt;Any space that seems intended for public use and is open to the public but not included in above categories or specifically commercial or industrial.  Note that streets and sidewalks do not count for this purpose.  Does not need to be publicly owned.&lt;/p&gt;</v>
      </c>
      <c r="G82" t="str">
        <f>IF(VLOOKUP(A82,'Final items'!$A$1:$Z$300,11,FALSE)="Write in %", "Count", "Category")</f>
        <v>Category</v>
      </c>
      <c r="H82">
        <f>VLOOKUP(B82,kappas!$A$1:$C$300,2,FALSE)</f>
        <v>0.71090823970037398</v>
      </c>
      <c r="I82">
        <f>VLOOKUP(B82,kappas!$A$1:$C$300,3,FALSE)</f>
        <v>0.86315789473684201</v>
      </c>
      <c r="J82">
        <f>VLOOKUP(B82,'initial kappas'!$A$1:$C$300,2,FALSE)</f>
        <v>-9.99999999999997E-2</v>
      </c>
      <c r="K82">
        <f>VLOOKUP(B82,'initial kappas'!$A$1:$C$300,3,FALSE)</f>
        <v>0.81818181818181801</v>
      </c>
    </row>
    <row r="83" spans="1:11">
      <c r="A83" t="str">
        <f>VLOOKUP('Final items'!$A132,'Final items'!$A$1:$Z$300,1,FALSE)</f>
        <v>Minn-Irvine-31</v>
      </c>
      <c r="B83" t="str">
        <f t="shared" si="4"/>
        <v>Minn.Irvine.31</v>
      </c>
      <c r="C83" t="str">
        <f>VLOOKUP('Final items'!$A132,'Kathy''s original list'!$A$1:$Z$300,8,FALSE)</f>
        <v>Is there a university or college?</v>
      </c>
      <c r="D83" t="str">
        <f>VLOOKUP('Final items'!$A132,'Final items'!$A$1:$Z$300,10,FALSE)</f>
        <v>Is there a university or college?</v>
      </c>
      <c r="E83" t="str">
        <f t="shared" si="5"/>
        <v>Yes</v>
      </c>
      <c r="F83">
        <f>VLOOKUP('Final items'!$A132,'Final items'!$A$1:$Z$300,9,FALSE)</f>
        <v>0</v>
      </c>
      <c r="G83" t="str">
        <f>IF(VLOOKUP(A83,'Final items'!$A$1:$Z$300,11,FALSE)="Write in %", "Count", "Category")</f>
        <v>Category</v>
      </c>
      <c r="H83">
        <f>VLOOKUP(B83,kappas!$A$1:$C$300,2,FALSE)</f>
        <v>0.71438482886216403</v>
      </c>
      <c r="I83">
        <f>VLOOKUP(B83,kappas!$A$1:$C$300,3,FALSE)</f>
        <v>0.86315789473684201</v>
      </c>
      <c r="J83">
        <f>VLOOKUP(B83,'initial kappas'!$A$1:$C$300,2,FALSE)</f>
        <v>0.61403508771929904</v>
      </c>
      <c r="K83">
        <f>VLOOKUP(B83,'initial kappas'!$A$1:$C$300,3,FALSE)</f>
        <v>0.90909090909090895</v>
      </c>
    </row>
    <row r="84" spans="1:11">
      <c r="A84" t="str">
        <f>VLOOKUP('Final items'!$A192,'Final items'!$A$1:$Z$300,1,FALSE)</f>
        <v>Minn-Irvine-130</v>
      </c>
      <c r="B84" t="str">
        <f t="shared" si="4"/>
        <v>Minn.Irvine.130</v>
      </c>
      <c r="C84" t="str">
        <f>VLOOKUP('Final items'!$A192,'Kathy''s original list'!$A$1:$Z$300,8,FALSE)</f>
        <v>How many buildings have windows with bars?</v>
      </c>
      <c r="D84" t="str">
        <f>VLOOKUP('Final items'!$A192,'Final items'!$A$1:$Z$300,10,FALSE)</f>
        <v>How many buildings have windows with bars?</v>
      </c>
      <c r="E84" t="str">
        <f t="shared" si="5"/>
        <v>Yes</v>
      </c>
      <c r="F84" t="str">
        <f>VLOOKUP('Final items'!$A192,'Final items'!$A$1:$Z$300,9,FALSE)</f>
        <v>&lt;p&gt;This question concerns bars to keep intruders out:&lt;/p&gt;&lt;p&gt;&lt;img src="[window_bars.png]"/&gt;&lt;/p&gt;&lt;p&gt;Please do not count bars to keep children in:&lt;/p&gt;&lt;p&gt;&lt;img src="[child_guards.jpg]"/&gt;&lt;/p&gt;&lt;p&gt;Choose "some or a lot" rather than "few" if there are at least 3 buildings with bars on the windows OR at least 50% of residences on the segment have bars on the windows.&lt;/p&gt;</v>
      </c>
      <c r="G84" t="str">
        <f>IF(VLOOKUP(A84,'Final items'!$A$1:$Z$300,11,FALSE)="Write in %", "Count", "Category")</f>
        <v>Category</v>
      </c>
      <c r="H84">
        <f>VLOOKUP(B84,kappas!$A$1:$C$300,2,FALSE)</f>
        <v>0.71624850657108696</v>
      </c>
      <c r="I84">
        <f>VLOOKUP(B84,kappas!$A$1:$C$300,3,FALSE)</f>
        <v>0.89473684210526305</v>
      </c>
      <c r="J84">
        <f>VLOOKUP(B84,'initial kappas'!$A$1:$C$300,2,FALSE)</f>
        <v>0.65625</v>
      </c>
      <c r="K84">
        <f>VLOOKUP(B84,'initial kappas'!$A$1:$C$300,3,FALSE)</f>
        <v>0.81818181818181801</v>
      </c>
    </row>
    <row r="85" spans="1:11">
      <c r="A85" t="str">
        <f>VLOOKUP('Final items'!$A124,'Final items'!$A$1:$Z$300,1,FALSE)</f>
        <v>Minn-Irvine-24</v>
      </c>
      <c r="B85" t="str">
        <f t="shared" si="4"/>
        <v>Minn.Irvine.24</v>
      </c>
      <c r="C85" t="str">
        <f>VLOOKUP('Final items'!$A124,'Kathy''s original list'!$A$1:$Z$300,8,FALSE)</f>
        <v>Are there any single family detached homes?</v>
      </c>
      <c r="D85" t="str">
        <f>VLOOKUP('Final items'!$A124,'Final items'!$A$1:$Z$300,10,FALSE)</f>
        <v>Are there any single family detached homes?</v>
      </c>
      <c r="E85" t="str">
        <f t="shared" si="5"/>
        <v>Yes</v>
      </c>
      <c r="F85" t="str">
        <f>VLOOKUP('Final items'!$A124,'Final items'!$A$1:$Z$300,9,FALSE)</f>
        <v>&lt;p&gt;&lt;img src="[single_family_housing.png]"/&gt;&lt;/p&gt;</v>
      </c>
      <c r="G85" t="str">
        <f>IF(VLOOKUP(A85,'Final items'!$A$1:$Z$300,11,FALSE)="Write in %", "Count", "Category")</f>
        <v>Category</v>
      </c>
      <c r="H85">
        <f>VLOOKUP(B85,kappas!$A$1:$C$300,2,FALSE)</f>
        <v>0.721407624633431</v>
      </c>
      <c r="I85">
        <f>VLOOKUP(B85,kappas!$A$1:$C$300,3,FALSE)</f>
        <v>0.87368421052631595</v>
      </c>
      <c r="J85">
        <f>VLOOKUP(B85,'initial kappas'!$A$1:$C$300,2,FALSE)</f>
        <v>1</v>
      </c>
      <c r="K85">
        <f>VLOOKUP(B85,'initial kappas'!$A$1:$C$300,3,FALSE)</f>
        <v>1</v>
      </c>
    </row>
    <row r="86" spans="1:11">
      <c r="A86" t="str">
        <f>VLOOKUP('Final items'!$A143,'Final items'!$A$1:$Z$300,1,FALSE)</f>
        <v>Minn-Irvine-37</v>
      </c>
      <c r="B86" t="str">
        <f t="shared" si="4"/>
        <v>Minn.Irvine.37</v>
      </c>
      <c r="C86" t="str">
        <f>VLOOKUP('Final items'!$A143,'Kathy''s original list'!$A$1:$Z$300,8,FALSE)</f>
        <v>Is there any other kind of recreational land use?</v>
      </c>
      <c r="D86" t="str">
        <f>VLOOKUP('Final items'!$A143,'Final items'!$A$1:$Z$300,10,FALSE)</f>
        <v>Is there any other kind of recreational land use?</v>
      </c>
      <c r="E86" t="str">
        <f t="shared" si="5"/>
        <v>Yes</v>
      </c>
      <c r="F86">
        <f>VLOOKUP('Final items'!$A143,'Final items'!$A$1:$Z$300,9,FALSE)</f>
        <v>0</v>
      </c>
      <c r="G86" t="str">
        <f>IF(VLOOKUP(A86,'Final items'!$A$1:$Z$300,11,FALSE)="Write in %", "Count", "Category")</f>
        <v>Category</v>
      </c>
      <c r="H86">
        <f>VLOOKUP(B86,kappas!$A$1:$C$300,2,FALSE)</f>
        <v>0.72569778633301196</v>
      </c>
      <c r="I86">
        <f>VLOOKUP(B86,kappas!$A$1:$C$300,3,FALSE)</f>
        <v>0.87368421052631595</v>
      </c>
      <c r="J86">
        <f>VLOOKUP(B86,'initial kappas'!$A$1:$C$300,2,FALSE)</f>
        <v>-4.7619047619046201E-2</v>
      </c>
      <c r="K86">
        <f>VLOOKUP(B86,'initial kappas'!$A$1:$C$300,3,FALSE)</f>
        <v>0.90909090909090895</v>
      </c>
    </row>
    <row r="87" spans="1:11">
      <c r="A87" t="str">
        <f>VLOOKUP('Final items'!$A171,'Final items'!$A$1:$Z$300,1,FALSE)</f>
        <v>Minn-Irvine-74</v>
      </c>
      <c r="B87" t="str">
        <f t="shared" si="4"/>
        <v>Minn.Irvine.74</v>
      </c>
      <c r="C87" t="str">
        <f>VLOOKUP('Final items'!$A171,'Kathy''s original list'!$A$1:$Z$300,8,FALSE)</f>
        <v>Are there any bars/nightclubs?</v>
      </c>
      <c r="D87" t="str">
        <f>VLOOKUP('Final items'!$A171,'Final items'!$A$1:$Z$300,10,FALSE)</f>
        <v>Are there any bars/nightclubs?</v>
      </c>
      <c r="E87" t="str">
        <f t="shared" si="5"/>
        <v>Yes</v>
      </c>
      <c r="F87" t="str">
        <f>VLOOKUP('Final items'!$A171,'Final items'!$A$1:$Z$300,9,FALSE)</f>
        <v>&lt;p&gt;&lt;img src="[night_club.png]"&gt;&lt;/p&gt;</v>
      </c>
      <c r="G87" t="str">
        <f>IF(VLOOKUP(A87,'Final items'!$A$1:$Z$300,11,FALSE)="Write in %", "Count", "Category")</f>
        <v>Category</v>
      </c>
      <c r="H87">
        <f>VLOOKUP(B87,kappas!$A$1:$C$300,2,FALSE)</f>
        <v>0.72569778633301196</v>
      </c>
      <c r="I87">
        <f>VLOOKUP(B87,kappas!$A$1:$C$300,3,FALSE)</f>
        <v>0.87368421052631595</v>
      </c>
      <c r="J87" t="str">
        <f>VLOOKUP(B87,'initial kappas'!$A$1:$C$300,2,FALSE)</f>
        <v>NA</v>
      </c>
      <c r="K87">
        <f>VLOOKUP(B87,'initial kappas'!$A$1:$C$300,3,FALSE)</f>
        <v>1</v>
      </c>
    </row>
    <row r="88" spans="1:11">
      <c r="A88" t="str">
        <f>VLOOKUP('Final items'!$A175,'Final items'!$A$1:$Z$300,1,FALSE)</f>
        <v>Minn-Irvine-78</v>
      </c>
      <c r="B88" t="str">
        <f t="shared" si="4"/>
        <v>Minn.Irvine.78</v>
      </c>
      <c r="C88" t="str">
        <f>VLOOKUP('Final items'!$A175,'Kathy''s original list'!$A$1:$Z$300,8,FALSE)</f>
        <v>Are there any restaurants?</v>
      </c>
      <c r="D88" t="str">
        <f>VLOOKUP('Final items'!$A175,'Final items'!$A$1:$Z$300,10,FALSE)</f>
        <v>Are there any restaurants?</v>
      </c>
      <c r="E88" t="str">
        <f t="shared" si="5"/>
        <v>Yes</v>
      </c>
      <c r="F88" t="str">
        <f>VLOOKUP('Final items'!$A175,'Final items'!$A$1:$Z$300,9,FALSE)</f>
        <v>&lt;p&gt;&lt;img src="[restaurant.png]"&gt;&lt;/p&gt;</v>
      </c>
      <c r="G88" t="str">
        <f>IF(VLOOKUP(A88,'Final items'!$A$1:$Z$300,11,FALSE)="Write in %", "Count", "Category")</f>
        <v>Category</v>
      </c>
      <c r="H88">
        <f>VLOOKUP(B88,kappas!$A$1:$C$300,2,FALSE)</f>
        <v>0.72569778633301196</v>
      </c>
      <c r="I88">
        <f>VLOOKUP(B88,kappas!$A$1:$C$300,3,FALSE)</f>
        <v>0.87368421052631595</v>
      </c>
      <c r="J88">
        <f>VLOOKUP(B88,'initial kappas'!$A$1:$C$300,2,FALSE)</f>
        <v>0.46341463414634199</v>
      </c>
      <c r="K88">
        <f>VLOOKUP(B88,'initial kappas'!$A$1:$C$300,3,FALSE)</f>
        <v>0.90909090909090895</v>
      </c>
    </row>
    <row r="89" spans="1:11">
      <c r="A89" t="str">
        <f>VLOOKUP('Final items'!$A48,'Final items'!$A$1:$Z$300,1,FALSE)</f>
        <v>Minn-Irvine-137</v>
      </c>
      <c r="B89" t="str">
        <f t="shared" si="4"/>
        <v>Minn.Irvine.137</v>
      </c>
      <c r="C89" t="str">
        <f>VLOOKUP('Final items'!$A48,'Kathy''s original list'!$A$1:$Z$300,8,FALSE)</f>
        <v>Are driveways visible?</v>
      </c>
      <c r="D89" t="str">
        <f>VLOOKUP('Final items'!$A48,'Final items'!$A$1:$Z$300,10,FALSE)</f>
        <v>Are driveways visible?  (Residential driveways only)</v>
      </c>
      <c r="E89" t="str">
        <f t="shared" si="5"/>
        <v>No</v>
      </c>
      <c r="F89" t="str">
        <f>VLOOKUP('Final items'!$A48,'Final items'!$A$1:$Z$300,9,FALSE)</f>
        <v>&lt;p&gt;Choose "some or a lot" rather than "few" if there are at least 3 visible driveways OR at least 50% of residences on the segment have visible driveways.&lt;/p&gt;&lt;p&gt;Note: Do not include commercial driveways or alleys between buildings that may lead to parking behind the building.&lt;/p&gt;&lt;p&gt;No visible driveways&lt;/p&gt;&lt;p&gt;&lt;img src="[no_visible_driveways.png]"/&gt;&lt;/p&gt;&lt;p&gt;Some visible driveways&lt;/p&gt;&lt;p&gt;&lt;img src="[some_visible_driveways.png]"/&gt;&lt;/p&gt;</v>
      </c>
      <c r="G89" t="str">
        <f>IF(VLOOKUP(A89,'Final items'!$A$1:$Z$300,11,FALSE)="Write in %", "Count", "Category")</f>
        <v>Category</v>
      </c>
      <c r="H89">
        <f>VLOOKUP(B89,kappas!$A$1:$C$300,2,FALSE)</f>
        <v>0.726277372262774</v>
      </c>
      <c r="I89">
        <f>VLOOKUP(B89,kappas!$A$1:$C$300,3,FALSE)</f>
        <v>0.84210526315789502</v>
      </c>
      <c r="J89">
        <f>VLOOKUP(B89,'initial kappas'!$A$1:$C$300,2,FALSE)</f>
        <v>1</v>
      </c>
      <c r="K89">
        <f>VLOOKUP(B89,'initial kappas'!$A$1:$C$300,3,FALSE)</f>
        <v>1</v>
      </c>
    </row>
    <row r="90" spans="1:11">
      <c r="A90" t="str">
        <f>VLOOKUP('Final items'!$A8,'Final items'!$A$1:$Z$300,1,FALSE)</f>
        <v>Meta-6</v>
      </c>
      <c r="B90" t="str">
        <f t="shared" si="4"/>
        <v>Meta.6</v>
      </c>
      <c r="C90" t="e">
        <f>VLOOKUP('Final items'!$A8,'Kathy''s original list'!$A$1:$Z$300,8,FALSE)</f>
        <v>#N/A</v>
      </c>
      <c r="D90" t="str">
        <f>VLOOKUP('Final items'!$A8,'Final items'!$A$1:$Z$300,10,FALSE)</f>
        <v>Which camera technology does this segment use?</v>
      </c>
      <c r="E90" t="e">
        <f t="shared" si="5"/>
        <v>#N/A</v>
      </c>
      <c r="F90" t="str">
        <f>VLOOKUP('Final items'!$A8,'Final items'!$A$1:$Z$300,9,FALSE)</f>
        <v>&lt;p&gt;Which iteration of streetview imaging is this from?  To date, we've identified the "dark" style and the "bright" style.  Choose other for an image that doesn't fit either category.&lt;/p&gt;&lt;table&gt;&lt;tr&gt;&lt;th&gt;Dark&lt;/th&gt;&lt;th&gt;Bright&lt;/th&gt;&lt;/tr&gt;&lt;tr&gt;&lt;td&gt;&lt;img src="[dark_camera.png]"&gt;&lt;/td&gt;&lt;td&gt;&lt;img src="[bright_camera.png]"&gt;&lt;/td&gt;&lt;/tr&gt;&lt;/table&gt;</v>
      </c>
      <c r="G90" t="str">
        <f>IF(VLOOKUP(A90,'Final items'!$A$1:$Z$300,11,FALSE)="Write in %", "Count", "Category")</f>
        <v>Category</v>
      </c>
      <c r="H90">
        <f>VLOOKUP(B90,kappas!$A$1:$C$300,2,FALSE)</f>
        <v>0.73684210526315796</v>
      </c>
      <c r="I90">
        <f>VLOOKUP(B90,kappas!$A$1:$C$300,3,FALSE)</f>
        <v>0.91578947368421004</v>
      </c>
      <c r="J90" t="e">
        <f>VLOOKUP(B90,'initial kappas'!$A$1:$C$300,2,FALSE)</f>
        <v>#N/A</v>
      </c>
      <c r="K90" t="e">
        <f>VLOOKUP(B90,'initial kappas'!$A$1:$C$300,3,FALSE)</f>
        <v>#N/A</v>
      </c>
    </row>
    <row r="91" spans="1:11">
      <c r="A91" t="str">
        <f>VLOOKUP('Final items'!$A34,'Final items'!$A$1:$Z$300,1,FALSE)</f>
        <v>Minn-Irvine-12</v>
      </c>
      <c r="B91" t="str">
        <f t="shared" si="4"/>
        <v>Minn.Irvine.12</v>
      </c>
      <c r="C91" t="str">
        <f>VLOOKUP('Final items'!$A34,'Kathy''s original list'!$A$1:$Z$300,8,FALSE)</f>
        <v>Is there a pedestrian-activated signal?</v>
      </c>
      <c r="D91" t="str">
        <f>VLOOKUP('Final items'!$A34,'Final items'!$A$1:$Z$300,10,FALSE)</f>
        <v>Is there a pedestrian-activated signal?</v>
      </c>
      <c r="E91" t="str">
        <f t="shared" si="5"/>
        <v>Yes</v>
      </c>
      <c r="F91">
        <f>VLOOKUP('Final items'!$A34,'Final items'!$A$1:$Z$300,9,FALSE)</f>
        <v>0</v>
      </c>
      <c r="G91" t="str">
        <f>IF(VLOOKUP(A91,'Final items'!$A$1:$Z$300,11,FALSE)="Write in %", "Count", "Category")</f>
        <v>Category</v>
      </c>
      <c r="H91">
        <f>VLOOKUP(B91,kappas!$A$1:$C$300,2,FALSE)</f>
        <v>0.73901098901098805</v>
      </c>
      <c r="I91">
        <f>VLOOKUP(B91,kappas!$A$1:$C$300,3,FALSE)</f>
        <v>0.97894736842105301</v>
      </c>
      <c r="J91" t="str">
        <f>VLOOKUP(B91,'initial kappas'!$A$1:$C$300,2,FALSE)</f>
        <v>NA</v>
      </c>
      <c r="K91">
        <f>VLOOKUP(B91,'initial kappas'!$A$1:$C$300,3,FALSE)</f>
        <v>1</v>
      </c>
    </row>
    <row r="92" spans="1:11">
      <c r="A92" t="str">
        <f>VLOOKUP('Final items'!$A236,'Final items'!$A$1:$Z$300,1,FALSE)</f>
        <v>Minn-Irvine-139</v>
      </c>
      <c r="B92" t="str">
        <f t="shared" si="4"/>
        <v>Minn.Irvine.139</v>
      </c>
      <c r="C92" t="str">
        <f>VLOOKUP('Final items'!$A236,'Kathy''s original list'!$A$1:$Z$300,8,FALSE)</f>
        <v>How much graffiti is apparent?</v>
      </c>
      <c r="D92" t="str">
        <f>VLOOKUP('Final items'!$A236,'Final items'!$A$1:$Z$300,10,FALSE)</f>
        <v>How much graffiti is apparent?</v>
      </c>
      <c r="E92" t="str">
        <f t="shared" si="5"/>
        <v>Yes</v>
      </c>
      <c r="F92" t="str">
        <f>VLOOKUP('Final items'!$A236,'Final items'!$A$1:$Z$300,9,FALSE)</f>
        <v xml:space="preserve">&lt;p&gt;Choose "some or a lot" rather than "few" if there are at least 3 unique graffiti tags OR at least one very prominent, multi-colored graffiti tag.&lt;/p&gt;&lt;table&gt;&lt;tr&gt;&lt;th&gt;None&lt;/th&gt;&lt;th&gt;Some or a lot&lt;/th&gt;&lt;th&gt;Little&lt;/th&gt;&lt;/tr&gt;&lt;tr&gt;&lt;td&gt;&lt;img src="[no_graffiti.png]"/&gt;&lt;/td&gt;&lt;td&gt;&lt;img src="[some_graffiti.png]"/&gt;&lt;/td&gt;&lt;td&gt;&lt;img src="[little_graffiti.png]"/&gt;&lt;/td&gt;&lt;/tr&gt;&lt;/table&gt; </v>
      </c>
      <c r="G92" t="str">
        <f>IF(VLOOKUP(A92,'Final items'!$A$1:$Z$300,11,FALSE)="Write in %", "Count", "Category")</f>
        <v>Category</v>
      </c>
      <c r="H92">
        <f>VLOOKUP(B92,kappas!$A$1:$C$300,2,FALSE)</f>
        <v>0.73901098901098805</v>
      </c>
      <c r="I92">
        <f>VLOOKUP(B92,kappas!$A$1:$C$300,3,FALSE)</f>
        <v>0.97894736842105301</v>
      </c>
      <c r="J92">
        <f>VLOOKUP(B92,'initial kappas'!$A$1:$C$300,2,FALSE)</f>
        <v>1</v>
      </c>
      <c r="K92">
        <f>VLOOKUP(B92,'initial kappas'!$A$1:$C$300,3,FALSE)</f>
        <v>1</v>
      </c>
    </row>
    <row r="93" spans="1:11">
      <c r="A93" t="str">
        <f>VLOOKUP('Final items'!$A134,'Final items'!$A$1:$Z$300,1,FALSE)</f>
        <v>Minn-Irvine-33</v>
      </c>
      <c r="B93" t="str">
        <f t="shared" si="4"/>
        <v>Minn.Irvine.33</v>
      </c>
      <c r="C93" t="str">
        <f>VLOOKUP('Final items'!$A134,'Kathy''s original list'!$A$1:$Z$300,8,FALSE)</f>
        <v>Is there a park or playground?</v>
      </c>
      <c r="D93" t="str">
        <f>VLOOKUP('Final items'!$A134,'Final items'!$A$1:$Z$300,10,FALSE)</f>
        <v>Is there a park or playground?</v>
      </c>
      <c r="E93" t="str">
        <f t="shared" si="5"/>
        <v>Yes</v>
      </c>
      <c r="F93">
        <f>VLOOKUP('Final items'!$A134,'Final items'!$A$1:$Z$300,9,FALSE)</f>
        <v>0</v>
      </c>
      <c r="G93" t="str">
        <f>IF(VLOOKUP(A93,'Final items'!$A$1:$Z$300,11,FALSE)="Write in %", "Count", "Category")</f>
        <v>Category</v>
      </c>
      <c r="H93">
        <f>VLOOKUP(B93,kappas!$A$1:$C$300,2,FALSE)</f>
        <v>0.74184782608695599</v>
      </c>
      <c r="I93">
        <f>VLOOKUP(B93,kappas!$A$1:$C$300,3,FALSE)</f>
        <v>0.87368421052631595</v>
      </c>
      <c r="J93">
        <f>VLOOKUP(B93,'initial kappas'!$A$1:$C$300,2,FALSE)</f>
        <v>-4.7619047619046201E-2</v>
      </c>
      <c r="K93">
        <f>VLOOKUP(B93,'initial kappas'!$A$1:$C$300,3,FALSE)</f>
        <v>0.90909090909090895</v>
      </c>
    </row>
    <row r="94" spans="1:11">
      <c r="A94" t="str">
        <f>VLOOKUP('Final items'!$A156,'Final items'!$A$1:$Z$300,1,FALSE)</f>
        <v>Minn-Irvine-50</v>
      </c>
      <c r="B94" t="str">
        <f t="shared" si="4"/>
        <v>Minn.Irvine.50</v>
      </c>
      <c r="C94" t="str">
        <f>VLOOKUP('Final items'!$A156,'Kathy''s original list'!$A$1:$Z$300,8,FALSE)</f>
        <v>Is there any other commercial land use?</v>
      </c>
      <c r="D94" t="str">
        <f>VLOOKUP('Final items'!$A156,'Final items'!$A$1:$Z$300,10,FALSE)</f>
        <v>Is there any other commercial land use? (Not included in the above land uses)</v>
      </c>
      <c r="E94" t="str">
        <f t="shared" si="5"/>
        <v>No</v>
      </c>
      <c r="F94" t="str">
        <f>VLOOKUP('Final items'!$A156,'Final items'!$A$1:$Z$300,9,FALSE)</f>
        <v>Commercial use implies that commerce will take place here, so a manufacturing use is not a commercial use unless it has an in-building retail outlet.</v>
      </c>
      <c r="G94" t="str">
        <f>IF(VLOOKUP(A94,'Final items'!$A$1:$Z$300,11,FALSE)="Write in %", "Count", "Category")</f>
        <v>Category</v>
      </c>
      <c r="H94">
        <f>VLOOKUP(B94,kappas!$A$1:$C$300,2,FALSE)</f>
        <v>0.74184782608695599</v>
      </c>
      <c r="I94">
        <f>VLOOKUP(B94,kappas!$A$1:$C$300,3,FALSE)</f>
        <v>0.87368421052631595</v>
      </c>
      <c r="J94">
        <f>VLOOKUP(B94,'initial kappas'!$A$1:$C$300,2,FALSE)</f>
        <v>-4.7619047619046201E-2</v>
      </c>
      <c r="K94">
        <f>VLOOKUP(B94,'initial kappas'!$A$1:$C$300,3,FALSE)</f>
        <v>0.90909090909090895</v>
      </c>
    </row>
    <row r="95" spans="1:11">
      <c r="A95" t="str">
        <f>VLOOKUP('Final items'!$A129,'Final items'!$A$1:$Z$300,1,FALSE)</f>
        <v>Streetview-1</v>
      </c>
      <c r="B95" t="str">
        <f t="shared" si="4"/>
        <v>Streetview.1</v>
      </c>
      <c r="C95" t="e">
        <f>VLOOKUP('Final items'!$A129,'Kathy''s original list'!$A$1:$Z$300,8,FALSE)</f>
        <v>#N/A</v>
      </c>
      <c r="D95" t="str">
        <f>VLOOKUP('Final items'!$A129,'Final items'!$A$1:$Z$300,10,FALSE)</f>
        <v>Are there any non-residential land uses?</v>
      </c>
      <c r="E95" t="e">
        <f t="shared" si="5"/>
        <v>#N/A</v>
      </c>
      <c r="F95">
        <f>VLOOKUP('Final items'!$A129,'Final items'!$A$1:$Z$300,9,FALSE)</f>
        <v>0</v>
      </c>
      <c r="G95" t="str">
        <f>IF(VLOOKUP(A95,'Final items'!$A$1:$Z$300,11,FALSE)="Write in %", "Count", "Category")</f>
        <v>Category</v>
      </c>
      <c r="H95">
        <f>VLOOKUP(B95,kappas!$A$1:$C$300,2,FALSE)</f>
        <v>0.74462365591397806</v>
      </c>
      <c r="I95">
        <f>VLOOKUP(B95,kappas!$A$1:$C$300,3,FALSE)</f>
        <v>0.884210526315789</v>
      </c>
      <c r="J95" t="e">
        <f>VLOOKUP(B95,'initial kappas'!$A$1:$C$300,2,FALSE)</f>
        <v>#N/A</v>
      </c>
      <c r="K95" t="e">
        <f>VLOOKUP(B95,'initial kappas'!$A$1:$C$300,3,FALSE)</f>
        <v>#N/A</v>
      </c>
    </row>
    <row r="96" spans="1:11">
      <c r="A96" t="str">
        <f>VLOOKUP('Final items'!$A130,'Final items'!$A$1:$Z$300,1,FALSE)</f>
        <v>Minn-Irvine-29</v>
      </c>
      <c r="B96" t="str">
        <f t="shared" si="4"/>
        <v>Minn.Irvine.29</v>
      </c>
      <c r="C96" t="str">
        <f>VLOOKUP('Final items'!$A130,'Kathy''s original list'!$A$1:$Z$300,8,FALSE)</f>
        <v>Is there an Elementary or junior hi school?</v>
      </c>
      <c r="D96" t="str">
        <f>VLOOKUP('Final items'!$A130,'Final items'!$A$1:$Z$300,10,FALSE)</f>
        <v>Is there an Elementary or junior high school? (If there's a school and you're not sure what grade level it is or it spans junior high and high school, pick no)</v>
      </c>
      <c r="E96" t="str">
        <f t="shared" si="5"/>
        <v>No</v>
      </c>
      <c r="F96">
        <f>VLOOKUP('Final items'!$A130,'Final items'!$A$1:$Z$300,9,FALSE)</f>
        <v>0</v>
      </c>
      <c r="G96" t="str">
        <f>IF(VLOOKUP(A96,'Final items'!$A$1:$Z$300,11,FALSE)="Write in %", "Count", "Category")</f>
        <v>Category</v>
      </c>
      <c r="H96">
        <f>VLOOKUP(B96,kappas!$A$1:$C$300,2,FALSE)</f>
        <v>0.74462365591397806</v>
      </c>
      <c r="I96">
        <f>VLOOKUP(B96,kappas!$A$1:$C$300,3,FALSE)</f>
        <v>0.884210526315789</v>
      </c>
      <c r="J96" t="str">
        <f>VLOOKUP(B96,'initial kappas'!$A$1:$C$300,2,FALSE)</f>
        <v>NA</v>
      </c>
      <c r="K96">
        <f>VLOOKUP(B96,'initial kappas'!$A$1:$C$300,3,FALSE)</f>
        <v>1</v>
      </c>
    </row>
    <row r="97" spans="1:11">
      <c r="A97" t="str">
        <f>VLOOKUP('Final items'!$A131,'Final items'!$A$1:$Z$300,1,FALSE)</f>
        <v>Minn-Irvine-30</v>
      </c>
      <c r="B97" t="str">
        <f t="shared" si="4"/>
        <v>Minn.Irvine.30</v>
      </c>
      <c r="C97" t="str">
        <f>VLOOKUP('Final items'!$A131,'Kathy''s original list'!$A$1:$Z$300,8,FALSE)</f>
        <v>Is there a high school?</v>
      </c>
      <c r="D97" t="str">
        <f>VLOOKUP('Final items'!$A131,'Final items'!$A$1:$Z$300,10,FALSE)</f>
        <v>Is there a high school? (If there's a school and you're not sure what grade level it is or it spans junior high and high school, pick no)</v>
      </c>
      <c r="E97" t="str">
        <f t="shared" si="5"/>
        <v>No</v>
      </c>
      <c r="F97">
        <f>VLOOKUP('Final items'!$A131,'Final items'!$A$1:$Z$300,9,FALSE)</f>
        <v>0</v>
      </c>
      <c r="G97" t="str">
        <f>IF(VLOOKUP(A97,'Final items'!$A$1:$Z$300,11,FALSE)="Write in %", "Count", "Category")</f>
        <v>Category</v>
      </c>
      <c r="H97">
        <f>VLOOKUP(B97,kappas!$A$1:$C$300,2,FALSE)</f>
        <v>0.74462365591397806</v>
      </c>
      <c r="I97">
        <f>VLOOKUP(B97,kappas!$A$1:$C$300,3,FALSE)</f>
        <v>0.884210526315789</v>
      </c>
      <c r="J97" t="str">
        <f>VLOOKUP(B97,'initial kappas'!$A$1:$C$300,2,FALSE)</f>
        <v>NA</v>
      </c>
      <c r="K97">
        <f>VLOOKUP(B97,'initial kappas'!$A$1:$C$300,3,FALSE)</f>
        <v>1</v>
      </c>
    </row>
    <row r="98" spans="1:11">
      <c r="A98" t="str">
        <f>VLOOKUP('Final items'!$A141,'Final items'!$A$1:$Z$300,1,FALSE)</f>
        <v>Minn-Irvine-35</v>
      </c>
      <c r="B98" t="str">
        <f t="shared" ref="B98:B129" si="6">SUBSTITUTE(A98,"-",".")</f>
        <v>Minn.Irvine.35</v>
      </c>
      <c r="C98" t="str">
        <f>VLOOKUP('Final items'!$A141,'Kathy''s original list'!$A$1:$Z$300,8,FALSE)</f>
        <v>Is there a gym/fitness center?</v>
      </c>
      <c r="D98" t="str">
        <f>VLOOKUP('Final items'!$A141,'Final items'!$A$1:$Z$300,10,FALSE)</f>
        <v>Is there a gym/fitness center?</v>
      </c>
      <c r="E98" t="str">
        <f t="shared" ref="E98:E129" si="7">IF(AND(C98=D98,NOT(C98=0)),"Yes","No")</f>
        <v>Yes</v>
      </c>
      <c r="F98">
        <f>VLOOKUP('Final items'!$A141,'Final items'!$A$1:$Z$300,9,FALSE)</f>
        <v>0</v>
      </c>
      <c r="G98" t="str">
        <f>IF(VLOOKUP(A98,'Final items'!$A$1:$Z$300,11,FALSE)="Write in %", "Count", "Category")</f>
        <v>Category</v>
      </c>
      <c r="H98">
        <f>VLOOKUP(B98,kappas!$A$1:$C$300,2,FALSE)</f>
        <v>0.74462365591397806</v>
      </c>
      <c r="I98">
        <f>VLOOKUP(B98,kappas!$A$1:$C$300,3,FALSE)</f>
        <v>0.884210526315789</v>
      </c>
      <c r="J98" t="str">
        <f>VLOOKUP(B98,'initial kappas'!$A$1:$C$300,2,FALSE)</f>
        <v>NA</v>
      </c>
      <c r="K98">
        <f>VLOOKUP(B98,'initial kappas'!$A$1:$C$300,3,FALSE)</f>
        <v>1</v>
      </c>
    </row>
    <row r="99" spans="1:11">
      <c r="A99" t="str">
        <f>VLOOKUP('Final items'!$A142,'Final items'!$A$1:$Z$300,1,FALSE)</f>
        <v>Minn-Irvine-36</v>
      </c>
      <c r="B99" t="str">
        <f t="shared" si="6"/>
        <v>Minn.Irvine.36</v>
      </c>
      <c r="C99" t="str">
        <f>VLOOKUP('Final items'!$A142,'Kathy''s original list'!$A$1:$Z$300,8,FALSE)</f>
        <v>Is there a movie theater?</v>
      </c>
      <c r="D99" t="str">
        <f>VLOOKUP('Final items'!$A142,'Final items'!$A$1:$Z$300,10,FALSE)</f>
        <v>Is there a movie theater?</v>
      </c>
      <c r="E99" t="str">
        <f t="shared" si="7"/>
        <v>Yes</v>
      </c>
      <c r="F99">
        <f>VLOOKUP('Final items'!$A142,'Final items'!$A$1:$Z$300,9,FALSE)</f>
        <v>0</v>
      </c>
      <c r="G99" t="str">
        <f>IF(VLOOKUP(A99,'Final items'!$A$1:$Z$300,11,FALSE)="Write in %", "Count", "Category")</f>
        <v>Category</v>
      </c>
      <c r="H99">
        <f>VLOOKUP(B99,kappas!$A$1:$C$300,2,FALSE)</f>
        <v>0.74462365591397806</v>
      </c>
      <c r="I99">
        <f>VLOOKUP(B99,kappas!$A$1:$C$300,3,FALSE)</f>
        <v>0.884210526315789</v>
      </c>
      <c r="J99" t="str">
        <f>VLOOKUP(B99,'initial kappas'!$A$1:$C$300,2,FALSE)</f>
        <v>NA</v>
      </c>
      <c r="K99">
        <f>VLOOKUP(B99,'initial kappas'!$A$1:$C$300,3,FALSE)</f>
        <v>1</v>
      </c>
    </row>
    <row r="100" spans="1:11">
      <c r="A100" t="str">
        <f>VLOOKUP('Final items'!$A144,'Final items'!$A$1:$Z$300,1,FALSE)</f>
        <v>Minn-Irvine-38</v>
      </c>
      <c r="B100" t="str">
        <f t="shared" si="6"/>
        <v>Minn.Irvine.38</v>
      </c>
      <c r="C100" t="str">
        <f>VLOOKUP('Final items'!$A144,'Kathy''s original list'!$A$1:$Z$300,8,FALSE)</f>
        <v>Is there a community center or library?</v>
      </c>
      <c r="D100" t="str">
        <f>VLOOKUP('Final items'!$A144,'Final items'!$A$1:$Z$300,10,FALSE)</f>
        <v>Is there a community center or library?</v>
      </c>
      <c r="E100" t="str">
        <f t="shared" si="7"/>
        <v>Yes</v>
      </c>
      <c r="F100">
        <f>VLOOKUP('Final items'!$A144,'Final items'!$A$1:$Z$300,9,FALSE)</f>
        <v>0</v>
      </c>
      <c r="G100" t="str">
        <f>IF(VLOOKUP(A100,'Final items'!$A$1:$Z$300,11,FALSE)="Write in %", "Count", "Category")</f>
        <v>Category</v>
      </c>
      <c r="H100">
        <f>VLOOKUP(B100,kappas!$A$1:$C$300,2,FALSE)</f>
        <v>0.74462365591397806</v>
      </c>
      <c r="I100">
        <f>VLOOKUP(B100,kappas!$A$1:$C$300,3,FALSE)</f>
        <v>0.884210526315789</v>
      </c>
      <c r="J100" t="str">
        <f>VLOOKUP(B100,'initial kappas'!$A$1:$C$300,2,FALSE)</f>
        <v>NA</v>
      </c>
      <c r="K100">
        <f>VLOOKUP(B100,'initial kappas'!$A$1:$C$300,3,FALSE)</f>
        <v>1</v>
      </c>
    </row>
    <row r="101" spans="1:11">
      <c r="A101" t="str">
        <f>VLOOKUP('Final items'!$A145,'Final items'!$A$1:$Z$300,1,FALSE)</f>
        <v>Minn-Irvine-39</v>
      </c>
      <c r="B101" t="str">
        <f t="shared" si="6"/>
        <v>Minn.Irvine.39</v>
      </c>
      <c r="C101" t="str">
        <f>VLOOKUP('Final items'!$A145,'Kathy''s original list'!$A$1:$Z$300,8,FALSE)</f>
        <v>Is there a museum, auditorium, concert hall, or theater?</v>
      </c>
      <c r="D101" t="str">
        <f>VLOOKUP('Final items'!$A145,'Final items'!$A$1:$Z$300,10,FALSE)</f>
        <v>Is there a museum, auditorium, concert hall, or theater?</v>
      </c>
      <c r="E101" t="str">
        <f t="shared" si="7"/>
        <v>Yes</v>
      </c>
      <c r="F101">
        <f>VLOOKUP('Final items'!$A145,'Final items'!$A$1:$Z$300,9,FALSE)</f>
        <v>0</v>
      </c>
      <c r="G101" t="str">
        <f>IF(VLOOKUP(A101,'Final items'!$A$1:$Z$300,11,FALSE)="Write in %", "Count", "Category")</f>
        <v>Category</v>
      </c>
      <c r="H101">
        <f>VLOOKUP(B101,kappas!$A$1:$C$300,2,FALSE)</f>
        <v>0.74462365591397806</v>
      </c>
      <c r="I101">
        <f>VLOOKUP(B101,kappas!$A$1:$C$300,3,FALSE)</f>
        <v>0.884210526315789</v>
      </c>
      <c r="J101" t="str">
        <f>VLOOKUP(B101,'initial kappas'!$A$1:$C$300,2,FALSE)</f>
        <v>NA</v>
      </c>
      <c r="K101">
        <f>VLOOKUP(B101,'initial kappas'!$A$1:$C$300,3,FALSE)</f>
        <v>1</v>
      </c>
    </row>
    <row r="102" spans="1:11">
      <c r="A102" t="str">
        <f>VLOOKUP('Final items'!$A146,'Final items'!$A$1:$Z$300,1,FALSE)</f>
        <v>Minn-Irvine-40</v>
      </c>
      <c r="B102" t="str">
        <f t="shared" si="6"/>
        <v>Minn.Irvine.40</v>
      </c>
      <c r="C102" t="str">
        <f>VLOOKUP('Final items'!$A146,'Kathy''s original list'!$A$1:$Z$300,8,FALSE)</f>
        <v>Is there a post office, police, courtroom, or DMV?</v>
      </c>
      <c r="D102" t="str">
        <f>VLOOKUP('Final items'!$A146,'Final items'!$A$1:$Z$300,10,FALSE)</f>
        <v>Is there a post office, police, courtroom, or DMV?</v>
      </c>
      <c r="E102" t="str">
        <f t="shared" si="7"/>
        <v>Yes</v>
      </c>
      <c r="F102">
        <f>VLOOKUP('Final items'!$A146,'Final items'!$A$1:$Z$300,9,FALSE)</f>
        <v>0</v>
      </c>
      <c r="G102" t="str">
        <f>IF(VLOOKUP(A102,'Final items'!$A$1:$Z$300,11,FALSE)="Write in %", "Count", "Category")</f>
        <v>Category</v>
      </c>
      <c r="H102">
        <f>VLOOKUP(B102,kappas!$A$1:$C$300,2,FALSE)</f>
        <v>0.74462365591397806</v>
      </c>
      <c r="I102">
        <f>VLOOKUP(B102,kappas!$A$1:$C$300,3,FALSE)</f>
        <v>0.884210526315789</v>
      </c>
      <c r="J102" t="str">
        <f>VLOOKUP(B102,'initial kappas'!$A$1:$C$300,2,FALSE)</f>
        <v>NA</v>
      </c>
      <c r="K102">
        <f>VLOOKUP(B102,'initial kappas'!$A$1:$C$300,3,FALSE)</f>
        <v>1</v>
      </c>
    </row>
    <row r="103" spans="1:11">
      <c r="A103" t="str">
        <f>VLOOKUP('Final items'!$A147,'Final items'!$A$1:$Z$300,1,FALSE)</f>
        <v>Minn-Irvine-41</v>
      </c>
      <c r="B103" t="str">
        <f t="shared" si="6"/>
        <v>Minn.Irvine.41</v>
      </c>
      <c r="C103" t="str">
        <f>VLOOKUP('Final items'!$A147,'Kathy''s original list'!$A$1:$Z$300,8,FALSE)</f>
        <v>Is there any other kind of public building?</v>
      </c>
      <c r="D103" t="str">
        <f>VLOOKUP('Final items'!$A147,'Final items'!$A$1:$Z$300,10,FALSE)</f>
        <v>Is there any other kind of public (i.e. government or quasi-government) building?</v>
      </c>
      <c r="E103" t="str">
        <f t="shared" si="7"/>
        <v>No</v>
      </c>
      <c r="F103">
        <f>VLOOKUP('Final items'!$A147,'Final items'!$A$1:$Z$300,9,FALSE)</f>
        <v>0</v>
      </c>
      <c r="G103" t="str">
        <f>IF(VLOOKUP(A103,'Final items'!$A$1:$Z$300,11,FALSE)="Write in %", "Count", "Category")</f>
        <v>Category</v>
      </c>
      <c r="H103">
        <f>VLOOKUP(B103,kappas!$A$1:$C$300,2,FALSE)</f>
        <v>0.74462365591397806</v>
      </c>
      <c r="I103">
        <f>VLOOKUP(B103,kappas!$A$1:$C$300,3,FALSE)</f>
        <v>0.884210526315789</v>
      </c>
      <c r="J103">
        <f>VLOOKUP(B103,'initial kappas'!$A$1:$C$300,2,FALSE)</f>
        <v>-4.7619047619046201E-2</v>
      </c>
      <c r="K103">
        <f>VLOOKUP(B103,'initial kappas'!$A$1:$C$300,3,FALSE)</f>
        <v>0.90909090909090895</v>
      </c>
    </row>
    <row r="104" spans="1:11">
      <c r="A104" t="str">
        <f>VLOOKUP('Final items'!$A148,'Final items'!$A$1:$Z$300,1,FALSE)</f>
        <v>Minn-Irvine-42</v>
      </c>
      <c r="B104" t="str">
        <f t="shared" si="6"/>
        <v>Minn.Irvine.42</v>
      </c>
      <c r="C104" t="str">
        <f>VLOOKUP('Final items'!$A148,'Kathy''s original list'!$A$1:$Z$300,8,FALSE)</f>
        <v>Is there a religious institution?</v>
      </c>
      <c r="D104" t="str">
        <f>VLOOKUP('Final items'!$A148,'Final items'!$A$1:$Z$300,10,FALSE)</f>
        <v>Is there a religious institution?</v>
      </c>
      <c r="E104" t="str">
        <f t="shared" si="7"/>
        <v>Yes</v>
      </c>
      <c r="F104">
        <f>VLOOKUP('Final items'!$A148,'Final items'!$A$1:$Z$300,9,FALSE)</f>
        <v>0</v>
      </c>
      <c r="G104" t="str">
        <f>IF(VLOOKUP(A104,'Final items'!$A$1:$Z$300,11,FALSE)="Write in %", "Count", "Category")</f>
        <v>Category</v>
      </c>
      <c r="H104">
        <f>VLOOKUP(B104,kappas!$A$1:$C$300,2,FALSE)</f>
        <v>0.74462365591397806</v>
      </c>
      <c r="I104">
        <f>VLOOKUP(B104,kappas!$A$1:$C$300,3,FALSE)</f>
        <v>0.884210526315789</v>
      </c>
      <c r="J104" t="str">
        <f>VLOOKUP(B104,'initial kappas'!$A$1:$C$300,2,FALSE)</f>
        <v>NA</v>
      </c>
      <c r="K104">
        <f>VLOOKUP(B104,'initial kappas'!$A$1:$C$300,3,FALSE)</f>
        <v>1</v>
      </c>
    </row>
    <row r="105" spans="1:11">
      <c r="A105" t="str">
        <f>VLOOKUP('Final items'!$A149,'Final items'!$A$1:$Z$300,1,FALSE)</f>
        <v>Minn-Irvine-43</v>
      </c>
      <c r="B105" t="str">
        <f t="shared" si="6"/>
        <v>Minn.Irvine.43</v>
      </c>
      <c r="C105" t="str">
        <f>VLOOKUP('Final items'!$A149,'Kathy''s original list'!$A$1:$Z$300,8,FALSE)</f>
        <v>Is there a hospital, medical facility, or health clinic?</v>
      </c>
      <c r="D105" t="str">
        <f>VLOOKUP('Final items'!$A149,'Final items'!$A$1:$Z$300,10,FALSE)</f>
        <v>Is there a hospital, medical facility, or health clinic?</v>
      </c>
      <c r="E105" t="str">
        <f t="shared" si="7"/>
        <v>Yes</v>
      </c>
      <c r="F105">
        <f>VLOOKUP('Final items'!$A149,'Final items'!$A$1:$Z$300,9,FALSE)</f>
        <v>0</v>
      </c>
      <c r="G105" t="str">
        <f>IF(VLOOKUP(A105,'Final items'!$A$1:$Z$300,11,FALSE)="Write in %", "Count", "Category")</f>
        <v>Category</v>
      </c>
      <c r="H105">
        <f>VLOOKUP(B105,kappas!$A$1:$C$300,2,FALSE)</f>
        <v>0.74462365591397806</v>
      </c>
      <c r="I105">
        <f>VLOOKUP(B105,kappas!$A$1:$C$300,3,FALSE)</f>
        <v>0.884210526315789</v>
      </c>
      <c r="J105" t="str">
        <f>VLOOKUP(B105,'initial kappas'!$A$1:$C$300,2,FALSE)</f>
        <v>NA</v>
      </c>
      <c r="K105">
        <f>VLOOKUP(B105,'initial kappas'!$A$1:$C$300,3,FALSE)</f>
        <v>1</v>
      </c>
    </row>
    <row r="106" spans="1:11">
      <c r="A106" t="str">
        <f>VLOOKUP('Final items'!$A150,'Final items'!$A$1:$Z$300,1,FALSE)</f>
        <v>Minn-Irvine-44</v>
      </c>
      <c r="B106" t="str">
        <f t="shared" si="6"/>
        <v>Minn.Irvine.44</v>
      </c>
      <c r="C106" t="str">
        <f>VLOOKUP('Final items'!$A150,'Kathy''s original list'!$A$1:$Z$300,8,FALSE)</f>
        <v>Is there any other institutional land use?</v>
      </c>
      <c r="D106" t="str">
        <f>VLOOKUP('Final items'!$A150,'Final items'!$A$1:$Z$300,10,FALSE)</f>
        <v>Is there any other institutional land use?</v>
      </c>
      <c r="E106" t="str">
        <f t="shared" si="7"/>
        <v>Yes</v>
      </c>
      <c r="F106">
        <f>VLOOKUP('Final items'!$A150,'Final items'!$A$1:$Z$300,9,FALSE)</f>
        <v>0</v>
      </c>
      <c r="G106" t="str">
        <f>IF(VLOOKUP(A106,'Final items'!$A$1:$Z$300,11,FALSE)="Write in %", "Count", "Category")</f>
        <v>Category</v>
      </c>
      <c r="H106">
        <f>VLOOKUP(B106,kappas!$A$1:$C$300,2,FALSE)</f>
        <v>0.74462365591397806</v>
      </c>
      <c r="I106">
        <f>VLOOKUP(B106,kappas!$A$1:$C$300,3,FALSE)</f>
        <v>0.884210526315789</v>
      </c>
      <c r="J106" t="str">
        <f>VLOOKUP(B106,'initial kappas'!$A$1:$C$300,2,FALSE)</f>
        <v>NA</v>
      </c>
      <c r="K106">
        <f>VLOOKUP(B106,'initial kappas'!$A$1:$C$300,3,FALSE)</f>
        <v>1</v>
      </c>
    </row>
    <row r="107" spans="1:11">
      <c r="A107" t="str">
        <f>VLOOKUP('Final items'!$A153,'Final items'!$A$1:$Z$300,1,FALSE)</f>
        <v>Minn-Irvine-47</v>
      </c>
      <c r="B107" t="str">
        <f t="shared" si="6"/>
        <v>Minn.Irvine.47</v>
      </c>
      <c r="C107" t="str">
        <f>VLOOKUP('Final items'!$A153,'Kathy''s original list'!$A$1:$Z$300,8,FALSE)</f>
        <v>Is there a hotel or hospitality business?</v>
      </c>
      <c r="D107" t="str">
        <f>VLOOKUP('Final items'!$A153,'Final items'!$A$1:$Z$300,10,FALSE)</f>
        <v>Is there a hotel or hospitality business?</v>
      </c>
      <c r="E107" t="str">
        <f t="shared" si="7"/>
        <v>Yes</v>
      </c>
      <c r="F107">
        <f>VLOOKUP('Final items'!$A153,'Final items'!$A$1:$Z$300,9,FALSE)</f>
        <v>0</v>
      </c>
      <c r="G107" t="str">
        <f>IF(VLOOKUP(A107,'Final items'!$A$1:$Z$300,11,FALSE)="Write in %", "Count", "Category")</f>
        <v>Category</v>
      </c>
      <c r="H107">
        <f>VLOOKUP(B107,kappas!$A$1:$C$300,2,FALSE)</f>
        <v>0.74462365591397806</v>
      </c>
      <c r="I107">
        <f>VLOOKUP(B107,kappas!$A$1:$C$300,3,FALSE)</f>
        <v>0.884210526315789</v>
      </c>
      <c r="J107" t="str">
        <f>VLOOKUP(B107,'initial kappas'!$A$1:$C$300,2,FALSE)</f>
        <v>NA</v>
      </c>
      <c r="K107">
        <f>VLOOKUP(B107,'initial kappas'!$A$1:$C$300,3,FALSE)</f>
        <v>1</v>
      </c>
    </row>
    <row r="108" spans="1:11">
      <c r="A108" t="str">
        <f>VLOOKUP('Final items'!$A158,'Final items'!$A$1:$Z$300,1,FALSE)</f>
        <v>Minn-Irvine-53</v>
      </c>
      <c r="B108" t="str">
        <f t="shared" si="6"/>
        <v>Minn.Irvine.53</v>
      </c>
      <c r="C108" t="str">
        <f>VLOOKUP('Final items'!$A158,'Kathy''s original list'!$A$1:$Z$300,8,FALSE)</f>
        <v>Is there any other kind of office or service land use?</v>
      </c>
      <c r="D108" t="str">
        <f>VLOOKUP('Final items'!$A158,'Final items'!$A$1:$Z$300,10,FALSE)</f>
        <v>Is there any other kind of office or service land use?</v>
      </c>
      <c r="E108" t="str">
        <f t="shared" si="7"/>
        <v>Yes</v>
      </c>
      <c r="F108">
        <f>VLOOKUP('Final items'!$A158,'Final items'!$A$1:$Z$300,9,FALSE)</f>
        <v>0</v>
      </c>
      <c r="G108" t="str">
        <f>IF(VLOOKUP(A108,'Final items'!$A$1:$Z$300,11,FALSE)="Write in %", "Count", "Category")</f>
        <v>Category</v>
      </c>
      <c r="H108">
        <f>VLOOKUP(B108,kappas!$A$1:$C$300,2,FALSE)</f>
        <v>0.74462365591397806</v>
      </c>
      <c r="I108">
        <f>VLOOKUP(B108,kappas!$A$1:$C$300,3,FALSE)</f>
        <v>0.884210526315789</v>
      </c>
      <c r="J108" t="str">
        <f>VLOOKUP(B108,'initial kappas'!$A$1:$C$300,2,FALSE)</f>
        <v>NA</v>
      </c>
      <c r="K108">
        <f>VLOOKUP(B108,'initial kappas'!$A$1:$C$300,3,FALSE)</f>
        <v>1</v>
      </c>
    </row>
    <row r="109" spans="1:11">
      <c r="A109" t="str">
        <f>VLOOKUP('Final items'!$A159,'Final items'!$A$1:$Z$300,1,FALSE)</f>
        <v>PEDS-1.6</v>
      </c>
      <c r="B109" t="str">
        <f t="shared" si="6"/>
        <v>PEDS.1.6</v>
      </c>
      <c r="C109" t="str">
        <f>VLOOKUP('Final items'!$A159,'Kathy''s original list'!$A$1:$Z$300,8,FALSE)</f>
        <v>Is there any industrial land use?</v>
      </c>
      <c r="D109" t="str">
        <f>VLOOKUP('Final items'!$A159,'Final items'!$A$1:$Z$300,10,FALSE)</f>
        <v>Is there any industrial land use?</v>
      </c>
      <c r="E109" t="str">
        <f t="shared" si="7"/>
        <v>Yes</v>
      </c>
      <c r="F109" t="str">
        <f>VLOOKUP('Final items'!$A159,'Final items'!$A$1:$Z$300,9,FALSE)</f>
        <v>&lt;p&gt;Factories, mills, industrial complexes, etc.&lt;/p&gt;</v>
      </c>
      <c r="G109" t="str">
        <f>IF(VLOOKUP(A109,'Final items'!$A$1:$Z$300,11,FALSE)="Write in %", "Count", "Category")</f>
        <v>Category</v>
      </c>
      <c r="H109">
        <f>VLOOKUP(B109,kappas!$A$1:$C$300,2,FALSE)</f>
        <v>0.74462365591397806</v>
      </c>
      <c r="I109">
        <f>VLOOKUP(B109,kappas!$A$1:$C$300,3,FALSE)</f>
        <v>0.884210526315789</v>
      </c>
      <c r="J109" t="str">
        <f>VLOOKUP(B109,'initial kappas'!$A$1:$C$300,2,FALSE)</f>
        <v>NA</v>
      </c>
      <c r="K109">
        <f>VLOOKUP(B109,'initial kappas'!$A$1:$C$300,3,FALSE)</f>
        <v>1</v>
      </c>
    </row>
    <row r="110" spans="1:11">
      <c r="A110" t="str">
        <f>VLOOKUP('Final items'!$A163,'Final items'!$A$1:$Z$300,1,FALSE)</f>
        <v>Minn-Irvine-57</v>
      </c>
      <c r="B110" t="str">
        <f t="shared" si="6"/>
        <v>Minn.Irvine.57</v>
      </c>
      <c r="C110" t="str">
        <f>VLOOKUP('Final items'!$A163,'Kathy''s original list'!$A$1:$Z$300,8,FALSE)</f>
        <v>Is there a harbor or marina?</v>
      </c>
      <c r="D110" t="str">
        <f>VLOOKUP('Final items'!$A163,'Final items'!$A$1:$Z$300,10,FALSE)</f>
        <v>Is there a harbor or marina?</v>
      </c>
      <c r="E110" t="str">
        <f t="shared" si="7"/>
        <v>Yes</v>
      </c>
      <c r="F110">
        <f>VLOOKUP('Final items'!$A163,'Final items'!$A$1:$Z$300,9,FALSE)</f>
        <v>0</v>
      </c>
      <c r="G110" t="str">
        <f>IF(VLOOKUP(A110,'Final items'!$A$1:$Z$300,11,FALSE)="Write in %", "Count", "Category")</f>
        <v>Category</v>
      </c>
      <c r="H110">
        <f>VLOOKUP(B110,kappas!$A$1:$C$300,2,FALSE)</f>
        <v>0.74462365591397806</v>
      </c>
      <c r="I110">
        <f>VLOOKUP(B110,kappas!$A$1:$C$300,3,FALSE)</f>
        <v>0.884210526315789</v>
      </c>
      <c r="J110" t="str">
        <f>VLOOKUP(B110,'initial kappas'!$A$1:$C$300,2,FALSE)</f>
        <v>NA</v>
      </c>
      <c r="K110">
        <f>VLOOKUP(B110,'initial kappas'!$A$1:$C$300,3,FALSE)</f>
        <v>1</v>
      </c>
    </row>
    <row r="111" spans="1:11">
      <c r="A111" t="str">
        <f>VLOOKUP('Final items'!$A167,'Final items'!$A$1:$Z$300,1,FALSE)</f>
        <v>Minn-Irvine-63</v>
      </c>
      <c r="B111" t="str">
        <f t="shared" si="6"/>
        <v>Minn.Irvine.63</v>
      </c>
      <c r="C111" t="str">
        <f>VLOOKUP('Final items'!$A167,'Kathy''s original list'!$A$1:$Z$300,8,FALSE)</f>
        <v>Is there a big box store (e.g. super store or warehouse store)?</v>
      </c>
      <c r="D111" t="str">
        <f>VLOOKUP('Final items'!$A167,'Final items'!$A$1:$Z$300,10,FALSE)</f>
        <v>Is there a big box store (e.g. super store or warehouse store)?</v>
      </c>
      <c r="E111" t="str">
        <f t="shared" si="7"/>
        <v>Yes</v>
      </c>
      <c r="F111" t="str">
        <f>VLOOKUP('Final items'!$A167,'Final items'!$A$1:$Z$300,9,FALSE)</f>
        <v>&lt;p&gt;&lt;img src="[big_box.png]"&gt;&lt;/p&gt;</v>
      </c>
      <c r="G111" t="str">
        <f>IF(VLOOKUP(A111,'Final items'!$A$1:$Z$300,11,FALSE)="Write in %", "Count", "Category")</f>
        <v>Category</v>
      </c>
      <c r="H111">
        <f>VLOOKUP(B111,kappas!$A$1:$C$300,2,FALSE)</f>
        <v>0.74462365591397806</v>
      </c>
      <c r="I111">
        <f>VLOOKUP(B111,kappas!$A$1:$C$300,3,FALSE)</f>
        <v>0.884210526315789</v>
      </c>
      <c r="J111" t="str">
        <f>VLOOKUP(B111,'initial kappas'!$A$1:$C$300,2,FALSE)</f>
        <v>NA</v>
      </c>
      <c r="K111">
        <f>VLOOKUP(B111,'initial kappas'!$A$1:$C$300,3,FALSE)</f>
        <v>1</v>
      </c>
    </row>
    <row r="112" spans="1:11">
      <c r="A112" t="str">
        <f>VLOOKUP('Final items'!$A168,'Final items'!$A$1:$Z$300,1,FALSE)</f>
        <v>Minn-Irvine-64</v>
      </c>
      <c r="B112" t="str">
        <f t="shared" si="6"/>
        <v>Minn.Irvine.64</v>
      </c>
      <c r="C112" t="str">
        <f>VLOOKUP('Final items'!$A168,'Kathy''s original list'!$A$1:$Z$300,8,FALSE)</f>
        <v>Is there a shopping mall?</v>
      </c>
      <c r="D112" t="str">
        <f>VLOOKUP('Final items'!$A168,'Final items'!$A$1:$Z$300,10,FALSE)</f>
        <v>Is there a shopping mall?</v>
      </c>
      <c r="E112" t="str">
        <f t="shared" si="7"/>
        <v>Yes</v>
      </c>
      <c r="F112" t="str">
        <f>VLOOKUP('Final items'!$A168,'Final items'!$A$1:$Z$300,9,FALSE)</f>
        <v>&lt;p&gt;&lt;img src="[shopping_mall.png]"&gt;&lt;/p&gt;</v>
      </c>
      <c r="G112" t="str">
        <f>IF(VLOOKUP(A112,'Final items'!$A$1:$Z$300,11,FALSE)="Write in %", "Count", "Category")</f>
        <v>Category</v>
      </c>
      <c r="H112">
        <f>VLOOKUP(B112,kappas!$A$1:$C$300,2,FALSE)</f>
        <v>0.74462365591397806</v>
      </c>
      <c r="I112">
        <f>VLOOKUP(B112,kappas!$A$1:$C$300,3,FALSE)</f>
        <v>0.884210526315789</v>
      </c>
      <c r="J112" t="str">
        <f>VLOOKUP(B112,'initial kappas'!$A$1:$C$300,2,FALSE)</f>
        <v>NA</v>
      </c>
      <c r="K112">
        <f>VLOOKUP(B112,'initial kappas'!$A$1:$C$300,3,FALSE)</f>
        <v>1</v>
      </c>
    </row>
    <row r="113" spans="1:11">
      <c r="A113" t="str">
        <f>VLOOKUP('Final items'!$A170,'Final items'!$A$1:$Z$300,1,FALSE)</f>
        <v>Minn-Irvine-66</v>
      </c>
      <c r="B113" t="str">
        <f t="shared" si="6"/>
        <v>Minn.Irvine.66</v>
      </c>
      <c r="C113" t="str">
        <f>VLOOKUP('Final items'!$A170,'Kathy''s original list'!$A$1:$Z$300,8,FALSE)</f>
        <v>Is there a drive-thru?</v>
      </c>
      <c r="D113" t="str">
        <f>VLOOKUP('Final items'!$A170,'Final items'!$A$1:$Z$300,10,FALSE)</f>
        <v>Is there a drive-through?</v>
      </c>
      <c r="E113" t="str">
        <f t="shared" si="7"/>
        <v>No</v>
      </c>
      <c r="F113" t="str">
        <f>VLOOKUP('Final items'!$A170,'Final items'!$A$1:$Z$300,9,FALSE)</f>
        <v>&lt;p&gt;&lt;img src="[drive_through.png]"&gt;&lt;/p&gt;</v>
      </c>
      <c r="G113" t="str">
        <f>IF(VLOOKUP(A113,'Final items'!$A$1:$Z$300,11,FALSE)="Write in %", "Count", "Category")</f>
        <v>Category</v>
      </c>
      <c r="H113">
        <f>VLOOKUP(B113,kappas!$A$1:$C$300,2,FALSE)</f>
        <v>0.74462365591397806</v>
      </c>
      <c r="I113">
        <f>VLOOKUP(B113,kappas!$A$1:$C$300,3,FALSE)</f>
        <v>0.884210526315789</v>
      </c>
      <c r="J113" t="str">
        <f>VLOOKUP(B113,'initial kappas'!$A$1:$C$300,2,FALSE)</f>
        <v>NA</v>
      </c>
      <c r="K113">
        <f>VLOOKUP(B113,'initial kappas'!$A$1:$C$300,3,FALSE)</f>
        <v>1</v>
      </c>
    </row>
    <row r="114" spans="1:11">
      <c r="A114" t="str">
        <f>VLOOKUP('Final items'!$A172,'Final items'!$A$1:$Z$300,1,FALSE)</f>
        <v>Minn-Irvine-75</v>
      </c>
      <c r="B114" t="str">
        <f t="shared" si="6"/>
        <v>Minn.Irvine.75</v>
      </c>
      <c r="C114" t="str">
        <f>VLOOKUP('Final items'!$A172,'Kathy''s original list'!$A$1:$Z$300,8,FALSE)</f>
        <v>Are there any adult uses?</v>
      </c>
      <c r="D114" t="str">
        <f>VLOOKUP('Final items'!$A172,'Final items'!$A$1:$Z$300,10,FALSE)</f>
        <v>Are there any adult uses?</v>
      </c>
      <c r="E114" t="str">
        <f t="shared" si="7"/>
        <v>Yes</v>
      </c>
      <c r="F114" t="str">
        <f>VLOOKUP('Final items'!$A172,'Final items'!$A$1:$Z$300,9,FALSE)</f>
        <v>&lt;p&gt;&lt;img src="[adult_uses.png]"&gt;&lt;/p&gt;</v>
      </c>
      <c r="G114" t="str">
        <f>IF(VLOOKUP(A114,'Final items'!$A$1:$Z$300,11,FALSE)="Write in %", "Count", "Category")</f>
        <v>Category</v>
      </c>
      <c r="H114">
        <f>VLOOKUP(B114,kappas!$A$1:$C$300,2,FALSE)</f>
        <v>0.74462365591397806</v>
      </c>
      <c r="I114">
        <f>VLOOKUP(B114,kappas!$A$1:$C$300,3,FALSE)</f>
        <v>0.884210526315789</v>
      </c>
      <c r="J114" t="str">
        <f>VLOOKUP(B114,'initial kappas'!$A$1:$C$300,2,FALSE)</f>
        <v>NA</v>
      </c>
      <c r="K114">
        <f>VLOOKUP(B114,'initial kappas'!$A$1:$C$300,3,FALSE)</f>
        <v>1</v>
      </c>
    </row>
    <row r="115" spans="1:11">
      <c r="A115" t="str">
        <f>VLOOKUP('Final items'!$A173,'Final items'!$A$1:$Z$300,1,FALSE)</f>
        <v>Minn-Irvine-76</v>
      </c>
      <c r="B115" t="str">
        <f t="shared" si="6"/>
        <v>Minn.Irvine.76</v>
      </c>
      <c r="C115" t="str">
        <f>VLOOKUP('Final items'!$A173,'Kathy''s original list'!$A$1:$Z$300,8,FALSE)</f>
        <v>Are there any check cashing establishments?</v>
      </c>
      <c r="D115" t="str">
        <f>VLOOKUP('Final items'!$A173,'Final items'!$A$1:$Z$300,10,FALSE)</f>
        <v>Are there any check cashing establishments?</v>
      </c>
      <c r="E115" t="str">
        <f t="shared" si="7"/>
        <v>Yes</v>
      </c>
      <c r="F115">
        <f>VLOOKUP('Final items'!$A173,'Final items'!$A$1:$Z$300,9,FALSE)</f>
        <v>0</v>
      </c>
      <c r="G115" t="str">
        <f>IF(VLOOKUP(A115,'Final items'!$A$1:$Z$300,11,FALSE)="Write in %", "Count", "Category")</f>
        <v>Category</v>
      </c>
      <c r="H115">
        <f>VLOOKUP(B115,kappas!$A$1:$C$300,2,FALSE)</f>
        <v>0.74462365591397806</v>
      </c>
      <c r="I115">
        <f>VLOOKUP(B115,kappas!$A$1:$C$300,3,FALSE)</f>
        <v>0.884210526315789</v>
      </c>
      <c r="J115" t="str">
        <f>VLOOKUP(B115,'initial kappas'!$A$1:$C$300,2,FALSE)</f>
        <v>NA</v>
      </c>
      <c r="K115">
        <f>VLOOKUP(B115,'initial kappas'!$A$1:$C$300,3,FALSE)</f>
        <v>1</v>
      </c>
    </row>
    <row r="116" spans="1:11">
      <c r="A116" t="str">
        <f>VLOOKUP('Final items'!$A174,'Final items'!$A$1:$Z$300,1,FALSE)</f>
        <v>Minn-Irvine-77</v>
      </c>
      <c r="B116" t="str">
        <f t="shared" si="6"/>
        <v>Minn.Irvine.77</v>
      </c>
      <c r="C116" t="str">
        <f>VLOOKUP('Final items'!$A174,'Kathy''s original list'!$A$1:$Z$300,8,FALSE)</f>
        <v>Are there any liquor stores?</v>
      </c>
      <c r="D116" t="str">
        <f>VLOOKUP('Final items'!$A174,'Final items'!$A$1:$Z$300,10,FALSE)</f>
        <v>Are there any liquor stores?</v>
      </c>
      <c r="E116" t="str">
        <f t="shared" si="7"/>
        <v>Yes</v>
      </c>
      <c r="F116" t="str">
        <f>VLOOKUP('Final items'!$A174,'Final items'!$A$1:$Z$300,9,FALSE)</f>
        <v>&lt;p&gt;&lt;img src="[liquor_store.png]"&gt;&lt;/p&gt;</v>
      </c>
      <c r="G116" t="str">
        <f>IF(VLOOKUP(A116,'Final items'!$A$1:$Z$300,11,FALSE)="Write in %", "Count", "Category")</f>
        <v>Category</v>
      </c>
      <c r="H116">
        <f>VLOOKUP(B116,kappas!$A$1:$C$300,2,FALSE)</f>
        <v>0.74462365591397806</v>
      </c>
      <c r="I116">
        <f>VLOOKUP(B116,kappas!$A$1:$C$300,3,FALSE)</f>
        <v>0.884210526315789</v>
      </c>
      <c r="J116">
        <f>VLOOKUP(B116,'initial kappas'!$A$1:$C$300,2,FALSE)</f>
        <v>-7.3170731707316805E-2</v>
      </c>
      <c r="K116">
        <f>VLOOKUP(B116,'initial kappas'!$A$1:$C$300,3,FALSE)</f>
        <v>0.81818181818181801</v>
      </c>
    </row>
    <row r="117" spans="1:11">
      <c r="A117" t="str">
        <f>VLOOKUP('Final items'!$A176,'Final items'!$A$1:$Z$300,1,FALSE)</f>
        <v>Minn-Irvine-79</v>
      </c>
      <c r="B117" t="str">
        <f t="shared" si="6"/>
        <v>Minn.Irvine.79</v>
      </c>
      <c r="C117" t="str">
        <f>VLOOKUP('Final items'!$A176,'Kathy''s original list'!$A$1:$Z$300,8,FALSE)</f>
        <v>Are tehre any coffee shops?</v>
      </c>
      <c r="D117" t="str">
        <f>VLOOKUP('Final items'!$A176,'Final items'!$A$1:$Z$300,10,FALSE)</f>
        <v>Are there any coffee shops?</v>
      </c>
      <c r="E117" t="str">
        <f t="shared" si="7"/>
        <v>No</v>
      </c>
      <c r="F117" t="str">
        <f>VLOOKUP('Final items'!$A176,'Final items'!$A$1:$Z$300,9,FALSE)</f>
        <v>&lt;p&gt;&lt;img src="[coffee_shop.png]"&gt;&lt;/p&gt;</v>
      </c>
      <c r="G117" t="str">
        <f>IF(VLOOKUP(A117,'Final items'!$A$1:$Z$300,11,FALSE)="Write in %", "Count", "Category")</f>
        <v>Category</v>
      </c>
      <c r="H117">
        <f>VLOOKUP(B117,kappas!$A$1:$C$300,2,FALSE)</f>
        <v>0.74462365591397806</v>
      </c>
      <c r="I117">
        <f>VLOOKUP(B117,kappas!$A$1:$C$300,3,FALSE)</f>
        <v>0.884210526315789</v>
      </c>
      <c r="J117" t="str">
        <f>VLOOKUP(B117,'initial kappas'!$A$1:$C$300,2,FALSE)</f>
        <v>NA</v>
      </c>
      <c r="K117">
        <f>VLOOKUP(B117,'initial kappas'!$A$1:$C$300,3,FALSE)</f>
        <v>1</v>
      </c>
    </row>
    <row r="118" spans="1:11">
      <c r="A118" t="str">
        <f>VLOOKUP('Final items'!$A177,'Final items'!$A$1:$Z$300,1,FALSE)</f>
        <v>Minn-Irvine-80</v>
      </c>
      <c r="B118" t="str">
        <f t="shared" si="6"/>
        <v>Minn.Irvine.80</v>
      </c>
      <c r="C118" t="str">
        <f>VLOOKUP('Final items'!$A177,'Kathy''s original list'!$A$1:$Z$300,8,FALSE)</f>
        <v>Are there any libraries/bookshops?</v>
      </c>
      <c r="D118" t="str">
        <f>VLOOKUP('Final items'!$A177,'Final items'!$A$1:$Z$300,10,FALSE)</f>
        <v>Are there any libraries/bookshops?</v>
      </c>
      <c r="E118" t="str">
        <f t="shared" si="7"/>
        <v>Yes</v>
      </c>
      <c r="F118" t="str">
        <f>VLOOKUP('Final items'!$A177,'Final items'!$A$1:$Z$300,9,FALSE)</f>
        <v>&lt;p&gt;&lt;img src="[bookstore.png]"&gt;&lt;/p&gt;</v>
      </c>
      <c r="G118" t="str">
        <f>IF(VLOOKUP(A118,'Final items'!$A$1:$Z$300,11,FALSE)="Write in %", "Count", "Category")</f>
        <v>Category</v>
      </c>
      <c r="H118">
        <f>VLOOKUP(B118,kappas!$A$1:$C$300,2,FALSE)</f>
        <v>0.74462365591397806</v>
      </c>
      <c r="I118">
        <f>VLOOKUP(B118,kappas!$A$1:$C$300,3,FALSE)</f>
        <v>0.884210526315789</v>
      </c>
      <c r="J118" t="str">
        <f>VLOOKUP(B118,'initial kappas'!$A$1:$C$300,2,FALSE)</f>
        <v>NA</v>
      </c>
      <c r="K118">
        <f>VLOOKUP(B118,'initial kappas'!$A$1:$C$300,3,FALSE)</f>
        <v>1</v>
      </c>
    </row>
    <row r="119" spans="1:11">
      <c r="A119" t="str">
        <f>VLOOKUP('Final items'!$A179,'Final items'!$A$1:$Z$300,1,FALSE)</f>
        <v>Minn-Irvine-82</v>
      </c>
      <c r="B119" t="str">
        <f t="shared" si="6"/>
        <v>Minn.Irvine.82</v>
      </c>
      <c r="C119" t="str">
        <f>VLOOKUP('Final items'!$A179,'Kathy''s original list'!$A$1:$Z$300,8,FALSE)</f>
        <v>Are there any galleries?</v>
      </c>
      <c r="D119" t="str">
        <f>VLOOKUP('Final items'!$A179,'Final items'!$A$1:$Z$300,10,FALSE)</f>
        <v>Are there any galleries?</v>
      </c>
      <c r="E119" t="str">
        <f t="shared" si="7"/>
        <v>Yes</v>
      </c>
      <c r="F119">
        <f>VLOOKUP('Final items'!$A179,'Final items'!$A$1:$Z$300,9,FALSE)</f>
        <v>0</v>
      </c>
      <c r="G119" t="str">
        <f>IF(VLOOKUP(A119,'Final items'!$A$1:$Z$300,11,FALSE)="Write in %", "Count", "Category")</f>
        <v>Category</v>
      </c>
      <c r="H119">
        <f>VLOOKUP(B119,kappas!$A$1:$C$300,2,FALSE)</f>
        <v>0.74462365591397806</v>
      </c>
      <c r="I119">
        <f>VLOOKUP(B119,kappas!$A$1:$C$300,3,FALSE)</f>
        <v>0.884210526315789</v>
      </c>
      <c r="J119" t="str">
        <f>VLOOKUP(B119,'initial kappas'!$A$1:$C$300,2,FALSE)</f>
        <v>NA</v>
      </c>
      <c r="K119">
        <f>VLOOKUP(B119,'initial kappas'!$A$1:$C$300,3,FALSE)</f>
        <v>1</v>
      </c>
    </row>
    <row r="120" spans="1:11">
      <c r="A120" t="str">
        <f>VLOOKUP('Final items'!$A178,'Final items'!$A$1:$Z$300,1,FALSE)</f>
        <v>Minn-Irvine-81</v>
      </c>
      <c r="B120" t="str">
        <f t="shared" si="6"/>
        <v>Minn.Irvine.81</v>
      </c>
      <c r="C120" t="str">
        <f>VLOOKUP('Final items'!$A178,'Kathy''s original list'!$A$1:$Z$300,8,FALSE)</f>
        <v>Is there a corner store?</v>
      </c>
      <c r="D120" t="str">
        <f>VLOOKUP('Final items'!$A178,'Final items'!$A$1:$Z$300,10,FALSE)</f>
        <v>Is there a convenience store or bodega?</v>
      </c>
      <c r="E120" t="str">
        <f t="shared" si="7"/>
        <v>No</v>
      </c>
      <c r="F120" t="str">
        <f>VLOOKUP('Final items'!$A178,'Final items'!$A$1:$Z$300,9,FALSE)</f>
        <v>&lt;p&gt;&lt;img src="[convenience_store.png]"&gt;&lt;/p&gt;</v>
      </c>
      <c r="G120" t="str">
        <f>IF(VLOOKUP(A120,'Final items'!$A$1:$Z$300,11,FALSE)="Write in %", "Count", "Category")</f>
        <v>Category</v>
      </c>
      <c r="H120">
        <f>VLOOKUP(B120,kappas!$A$1:$C$300,2,FALSE)</f>
        <v>0.75538389513108595</v>
      </c>
      <c r="I120">
        <f>VLOOKUP(B120,kappas!$A$1:$C$300,3,FALSE)</f>
        <v>0.884210526315789</v>
      </c>
      <c r="J120" t="str">
        <f>VLOOKUP(B120,'initial kappas'!$A$1:$C$300,2,FALSE)</f>
        <v>NA</v>
      </c>
      <c r="K120">
        <f>VLOOKUP(B120,'initial kappas'!$A$1:$C$300,3,FALSE)</f>
        <v>1</v>
      </c>
    </row>
    <row r="121" spans="1:11">
      <c r="A121" t="str">
        <f>VLOOKUP('Final items'!$A154,'Final items'!$A$1:$Z$300,1,FALSE)</f>
        <v>Minn-Irvine-48</v>
      </c>
      <c r="B121" t="str">
        <f t="shared" si="6"/>
        <v>Minn.Irvine.48</v>
      </c>
      <c r="C121" t="str">
        <f>VLOOKUP('Final items'!$A154,'Kathy''s original list'!$A$1:$Z$300,8,FALSE)</f>
        <v>Are there any car dealerships?</v>
      </c>
      <c r="D121" t="str">
        <f>VLOOKUP('Final items'!$A154,'Final items'!$A$1:$Z$300,10,FALSE)</f>
        <v>Are there any car dealerships?</v>
      </c>
      <c r="E121" t="str">
        <f t="shared" si="7"/>
        <v>Yes</v>
      </c>
      <c r="F121">
        <f>VLOOKUP('Final items'!$A154,'Final items'!$A$1:$Z$300,9,FALSE)</f>
        <v>0</v>
      </c>
      <c r="G121" t="str">
        <f>IF(VLOOKUP(A121,'Final items'!$A$1:$Z$300,11,FALSE)="Write in %", "Count", "Category")</f>
        <v>Category</v>
      </c>
      <c r="H121">
        <f>VLOOKUP(B121,kappas!$A$1:$C$300,2,FALSE)</f>
        <v>0.76097895699908502</v>
      </c>
      <c r="I121">
        <f>VLOOKUP(B121,kappas!$A$1:$C$300,3,FALSE)</f>
        <v>0.884210526315789</v>
      </c>
      <c r="J121" t="str">
        <f>VLOOKUP(B121,'initial kappas'!$A$1:$C$300,2,FALSE)</f>
        <v>NA</v>
      </c>
      <c r="K121">
        <f>VLOOKUP(B121,'initial kappas'!$A$1:$C$300,3,FALSE)</f>
        <v>1</v>
      </c>
    </row>
    <row r="122" spans="1:11">
      <c r="A122" t="str">
        <f>VLOOKUP('Final items'!$A71,'Final items'!$A$1:$Z$300,1,FALSE)</f>
        <v>PEDS-12</v>
      </c>
      <c r="B122" t="str">
        <f t="shared" si="6"/>
        <v>PEDS.12</v>
      </c>
      <c r="C122" t="str">
        <f>VLOOKUP('Final items'!$A71,'Kathy''s original list'!$A$1:$Z$300,8,FALSE)</f>
        <v>Is the sidewalk complete/continuous?</v>
      </c>
      <c r="D122" t="str">
        <f>VLOOKUP('Final items'!$A71,'Final items'!$A$1:$Z$300,10,FALSE)</f>
        <v>Is the sidewalk complete/continuous?</v>
      </c>
      <c r="E122" t="str">
        <f t="shared" si="7"/>
        <v>Yes</v>
      </c>
      <c r="F122" t="str">
        <f>VLOOKUP('Final items'!$A71,'Final items'!$A$1:$Z$300,9,FALSE)</f>
        <v>&lt;p&gt;A complete sidewalk is one that does not end WITHIN the segment that is being observed.&lt;/p&gt;&lt;p&gt;&lt;img src="[incomplete_sidewalk.png]"&gt;&lt;/p&gt;</v>
      </c>
      <c r="G122" t="str">
        <f>IF(VLOOKUP(A122,'Final items'!$A$1:$Z$300,11,FALSE)="Write in %", "Count", "Category")</f>
        <v>Category</v>
      </c>
      <c r="H122">
        <f>VLOOKUP(B122,kappas!$A$1:$C$300,2,FALSE)</f>
        <v>0.76662887377173095</v>
      </c>
      <c r="I122">
        <f>VLOOKUP(B122,kappas!$A$1:$C$300,3,FALSE)</f>
        <v>0.86315789473684201</v>
      </c>
      <c r="J122">
        <f>VLOOKUP(B122,'initial kappas'!$A$1:$C$300,2,FALSE)</f>
        <v>0.56435643564356497</v>
      </c>
      <c r="K122">
        <f>VLOOKUP(B122,'initial kappas'!$A$1:$C$300,3,FALSE)</f>
        <v>0.81818181818181801</v>
      </c>
    </row>
    <row r="123" spans="1:11">
      <c r="A123" t="str">
        <f>VLOOKUP('Final items'!$A47,'Final items'!$A$1:$Z$300,1,FALSE)</f>
        <v>PEDS-16</v>
      </c>
      <c r="B123" t="str">
        <f t="shared" si="6"/>
        <v>PEDS.16</v>
      </c>
      <c r="C123" t="str">
        <f>VLOOKUP('Final items'!$A47,'Kathy''s original list'!$A$1:$Z$300,8,FALSE)</f>
        <v>What is the posted speed limit?</v>
      </c>
      <c r="D123" t="str">
        <f>VLOOKUP('Final items'!$A47,'Final items'!$A$1:$Z$300,10,FALSE)</f>
        <v>What is the posted speed limit?</v>
      </c>
      <c r="E123" t="str">
        <f t="shared" si="7"/>
        <v>Yes</v>
      </c>
      <c r="F123" t="str">
        <f>VLOOKUP('Final items'!$A47,'Final items'!$A$1:$Z$300,9,FALSE)</f>
        <v>&lt;p&gt;Check the "non posted" box unless there is a sign WITHIN the segment that displays the speed limit. Even if there is a sign outside the segment, within plain view, it does not count. &lt;img src="[speed_limit.png]"/&gt;&lt;/p&gt;</v>
      </c>
      <c r="G123" t="str">
        <f>IF(VLOOKUP(A123,'Final items'!$A$1:$Z$300,11,FALSE)="Write in %", "Count", "Category")</f>
        <v>Category</v>
      </c>
      <c r="H123">
        <f>VLOOKUP(B123,kappas!$A$1:$C$300,2,FALSE)</f>
        <v>0.768668831168831</v>
      </c>
      <c r="I123">
        <f>VLOOKUP(B123,kappas!$A$1:$C$300,3,FALSE)</f>
        <v>0.87368421052631595</v>
      </c>
      <c r="J123">
        <f>VLOOKUP(B123,'initial kappas'!$A$1:$C$300,2,FALSE)</f>
        <v>0.86163522012578597</v>
      </c>
      <c r="K123">
        <f>VLOOKUP(B123,'initial kappas'!$A$1:$C$300,3,FALSE)</f>
        <v>0.90909090909090895</v>
      </c>
    </row>
    <row r="124" spans="1:11">
      <c r="A124" t="str">
        <f>VLOOKUP('Final items'!$A53,'Final items'!$A$1:$Z$300,1,FALSE)</f>
        <v>PEDS-18</v>
      </c>
      <c r="B124" t="str">
        <f t="shared" si="6"/>
        <v>PEDS.18</v>
      </c>
      <c r="C124" t="str">
        <f>VLOOKUP('Final items'!$A53,'Kathy''s original list'!$A$1:$Z$300,8,FALSE)</f>
        <v>How many off-street parking lot spaces are there?</v>
      </c>
      <c r="D124" t="str">
        <f>VLOOKUP('Final items'!$A53,'Final items'!$A$1:$Z$300,10,FALSE)</f>
        <v>How many off-street parking lot spaces are there?</v>
      </c>
      <c r="E124" t="str">
        <f t="shared" si="7"/>
        <v>Yes</v>
      </c>
      <c r="F124" t="str">
        <f>VLOOKUP('Final items'!$A53,'Final items'!$A$1:$Z$300,9,FALSE)</f>
        <v>&lt;p&gt;Count all off-street parking spaces in segment. Cars in single family home driveways do not count. Only spaces in actual parking lots count (apartment complexes, commercial parking, office parking, etc.).  Do not include spaces in parking garages. There must be access to the lot from the segment.  &lt;/p&gt;&lt;p&gt;&lt;img src="[walkthrough_parking_lot.png]"/&gt;&lt;/p&gt;</v>
      </c>
      <c r="G124" t="str">
        <f>IF(VLOOKUP(A124,'Final items'!$A$1:$Z$300,11,FALSE)="Write in %", "Count", "Category")</f>
        <v>Category</v>
      </c>
      <c r="H124">
        <f>VLOOKUP(B124,kappas!$A$1:$C$300,2,FALSE)</f>
        <v>0.770309477756286</v>
      </c>
      <c r="I124">
        <f>VLOOKUP(B124,kappas!$A$1:$C$300,3,FALSE)</f>
        <v>0.92105263157894701</v>
      </c>
      <c r="J124">
        <f>VLOOKUP(B124,'initial kappas'!$A$1:$C$300,2,FALSE)</f>
        <v>0.219858156028369</v>
      </c>
      <c r="K124">
        <f>VLOOKUP(B124,'initial kappas'!$A$1:$C$300,3,FALSE)</f>
        <v>0.54545454545454497</v>
      </c>
    </row>
    <row r="125" spans="1:11">
      <c r="A125" t="str">
        <f>VLOOKUP('Final items'!$A164,'Final items'!$A$1:$Z$300,1,FALSE)</f>
        <v>Minn-Irvine-59</v>
      </c>
      <c r="B125" t="str">
        <f t="shared" si="6"/>
        <v>Minn.Irvine.59</v>
      </c>
      <c r="C125" t="str">
        <f>VLOOKUP('Final items'!$A164,'Kathy''s original list'!$A$1:$Z$300,8,FALSE)</f>
        <v>Is there agricultural land, ranch, farming?</v>
      </c>
      <c r="D125" t="str">
        <f>VLOOKUP('Final items'!$A164,'Final items'!$A$1:$Z$300,10,FALSE)</f>
        <v>Is there agricultural land, ranch, farming?</v>
      </c>
      <c r="E125" t="str">
        <f t="shared" si="7"/>
        <v>Yes</v>
      </c>
      <c r="F125">
        <f>VLOOKUP('Final items'!$A164,'Final items'!$A$1:$Z$300,9,FALSE)</f>
        <v>0</v>
      </c>
      <c r="G125" t="str">
        <f>IF(VLOOKUP(A125,'Final items'!$A$1:$Z$300,11,FALSE)="Write in %", "Count", "Category")</f>
        <v>Category</v>
      </c>
      <c r="H125">
        <f>VLOOKUP(B125,kappas!$A$1:$C$300,2,FALSE)</f>
        <v>0.77043057996485098</v>
      </c>
      <c r="I125">
        <f>VLOOKUP(B125,kappas!$A$1:$C$300,3,FALSE)</f>
        <v>0.884210526315789</v>
      </c>
      <c r="J125" t="str">
        <f>VLOOKUP(B125,'initial kappas'!$A$1:$C$300,2,FALSE)</f>
        <v>NA</v>
      </c>
      <c r="K125">
        <f>VLOOKUP(B125,'initial kappas'!$A$1:$C$300,3,FALSE)</f>
        <v>1</v>
      </c>
    </row>
    <row r="126" spans="1:11">
      <c r="A126" t="str">
        <f>VLOOKUP('Final items'!$A15,'Final items'!$A$1:$Z$300,1,FALSE)</f>
        <v>Minn-Irvine-2</v>
      </c>
      <c r="B126" t="str">
        <f t="shared" si="6"/>
        <v>Minn.Irvine.2</v>
      </c>
      <c r="C126" t="str">
        <f>VLOOKUP('Final items'!$A15,'Kathy''s original list'!$A$1:$Z$300,8,FALSE)</f>
        <v>Consider the places that are intended for pedestrians to cross the street. Are these places marked for pedestrian crossing?</v>
      </c>
      <c r="D126" t="str">
        <f>VLOOKUP('Final items'!$A15,'Final items'!$A$1:$Z$300,10,FALSE)</f>
        <v>Consider the places that are intended for pedestrians to cross the street. Are these places marked for pedestrian crossing?</v>
      </c>
      <c r="E126" t="str">
        <f t="shared" si="7"/>
        <v>Yes</v>
      </c>
      <c r="F126" t="str">
        <f>VLOOKUP('Final items'!$A15,'Final items'!$A$1:$Z$300,9,FALSE)</f>
        <v>&lt;p&gt;Places where crossing is expected to occur include both desginated crossings and "implicit" crossings at intersections of two streets or a pedestrian path and a street execept where crossing is explicitly prohibited (e.g. by a no crossing sign).&lt;/p&gt;</v>
      </c>
      <c r="G126" t="str">
        <f>IF(VLOOKUP(A126,'Final items'!$A$1:$Z$300,11,FALSE)="Write in %", "Count", "Category")</f>
        <v>Category</v>
      </c>
      <c r="H126">
        <f>VLOOKUP(B126,kappas!$A$1:$C$300,2,FALSE)</f>
        <v>0.78841870824053495</v>
      </c>
      <c r="I126">
        <f>VLOOKUP(B126,kappas!$A$1:$C$300,3,FALSE)</f>
        <v>0.91578947368421004</v>
      </c>
      <c r="J126">
        <f>VLOOKUP(B126,'initial kappas'!$A$1:$C$300,2,FALSE)</f>
        <v>0.58878504672897203</v>
      </c>
      <c r="K126">
        <f>VLOOKUP(B126,'initial kappas'!$A$1:$C$300,3,FALSE)</f>
        <v>0.81818181818181801</v>
      </c>
    </row>
    <row r="127" spans="1:11">
      <c r="A127" t="str">
        <f>VLOOKUP('Final items'!$A199,'Final items'!$A$1:$Z$300,1,FALSE)</f>
        <v>Minn-Irvine-129</v>
      </c>
      <c r="B127" t="str">
        <f t="shared" si="6"/>
        <v>Minn.Irvine.129</v>
      </c>
      <c r="C127" t="str">
        <f>VLOOKUP('Final items'!$A199,'Kathy''s original list'!$A$1:$Z$300,8,FALSE)</f>
        <v>Does at least 50% of the segment have buildings?</v>
      </c>
      <c r="D127" t="str">
        <f>VLOOKUP('Final items'!$A199,'Final items'!$A$1:$Z$300,10,FALSE)</f>
        <v>Does at least 50% of the segment have buildings?</v>
      </c>
      <c r="E127" t="str">
        <f t="shared" si="7"/>
        <v>Yes</v>
      </c>
      <c r="F127" t="str">
        <f>VLOOKUP('Final items'!$A199,'Final items'!$A$1:$Z$300,9,FALSE)</f>
        <v>&lt;p&gt;A segment where more than 50% of the segment has buildings&lt;/p&gt;&lt;p&gt;This means that 50% or more of the land is developed with buildings (i.e. not vacant lots, parking lots, parks, or other land uses that are not associated with buildings).  Note that this does not require that 50% of the land space is covered by buildings -- a segment through a fully built-out large-lot suburban development should count as having 50% buildings even if, say, 20% of the ground is built over.&lt;/p&gt;&lt;p&gt;&lt;img src="[building.png]"/&gt;&lt;/p&gt;</v>
      </c>
      <c r="G127" t="str">
        <f>IF(VLOOKUP(A127,'Final items'!$A$1:$Z$300,11,FALSE)="Write in %", "Count", "Category")</f>
        <v>Category</v>
      </c>
      <c r="H127">
        <f>VLOOKUP(B127,kappas!$A$1:$C$300,2,FALSE)</f>
        <v>0.79101194217473303</v>
      </c>
      <c r="I127">
        <f>VLOOKUP(B127,kappas!$A$1:$C$300,3,FALSE)</f>
        <v>0.92631578947368398</v>
      </c>
      <c r="J127">
        <f>VLOOKUP(B127,'initial kappas'!$A$1:$C$300,2,FALSE)</f>
        <v>0.42105263157894701</v>
      </c>
      <c r="K127">
        <f>VLOOKUP(B127,'initial kappas'!$A$1:$C$300,3,FALSE)</f>
        <v>0.63636363636363602</v>
      </c>
    </row>
    <row r="128" spans="1:11">
      <c r="A128" t="str">
        <f>VLOOKUP('Final items'!$A31,'Final items'!$A$1:$Z$300,1,FALSE)</f>
        <v>PEDS-23.2</v>
      </c>
      <c r="B128" t="str">
        <f t="shared" si="6"/>
        <v>PEDS.23.2</v>
      </c>
      <c r="C128" t="str">
        <f>VLOOKUP('Final items'!$A31,'Kathy''s original list'!$A$1:$Z$300,8,FALSE)</f>
        <v>Is there a pedestrian signal?</v>
      </c>
      <c r="D128" t="str">
        <f>VLOOKUP('Final items'!$A31,'Final items'!$A$1:$Z$300,10,FALSE)</f>
        <v>Is there a pedestrian signal?</v>
      </c>
      <c r="E128" t="str">
        <f t="shared" si="7"/>
        <v>Yes</v>
      </c>
      <c r="F128" t="str">
        <f>VLOOKUP('Final items'!$A31,'Final items'!$A$1:$Z$300,9,FALSE)</f>
        <v>&lt;p&gt;&lt;img src="[ped_sign.png]"/&gt;&lt;/p&gt;</v>
      </c>
      <c r="G128" t="str">
        <f>IF(VLOOKUP(A128,'Final items'!$A$1:$Z$300,11,FALSE)="Write in %", "Count", "Category")</f>
        <v>Category</v>
      </c>
      <c r="H128">
        <f>VLOOKUP(B128,kappas!$A$1:$C$300,2,FALSE)</f>
        <v>0.79525862068965503</v>
      </c>
      <c r="I128">
        <f>VLOOKUP(B128,kappas!$A$1:$C$300,3,FALSE)</f>
        <v>0.96842105263157896</v>
      </c>
      <c r="J128">
        <f>VLOOKUP(B128,'initial kappas'!$A$1:$C$300,2,FALSE)</f>
        <v>0.61403508771929904</v>
      </c>
      <c r="K128">
        <f>VLOOKUP(B128,'initial kappas'!$A$1:$C$300,3,FALSE)</f>
        <v>0.90909090909090895</v>
      </c>
    </row>
    <row r="129" spans="1:11">
      <c r="A129" t="str">
        <f>VLOOKUP('Final items'!$A40,'Final items'!$A$1:$Z$300,1,FALSE)</f>
        <v>Minn-Irvine-19</v>
      </c>
      <c r="B129" t="str">
        <f t="shared" si="6"/>
        <v>Minn.Irvine.19</v>
      </c>
      <c r="C129" t="str">
        <f>VLOOKUP('Final items'!$A40,'Kathy''s original list'!$A$1:$Z$300,8,FALSE)</f>
        <v>Is the street a one-way or two-way street?</v>
      </c>
      <c r="D129" t="str">
        <f>VLOOKUP('Final items'!$A40,'Final items'!$A$1:$Z$300,10,FALSE)</f>
        <v>Is the street a one-way or two-way street?</v>
      </c>
      <c r="E129" t="str">
        <f t="shared" si="7"/>
        <v>Yes</v>
      </c>
      <c r="F129" t="str">
        <f>VLOOKUP('Final items'!$A40,'Final items'!$A$1:$Z$300,9,FALSE)</f>
        <v>&lt;p&gt;&lt;img src="[one_way_two_way.png]"&gt;&lt;/p&gt;</v>
      </c>
      <c r="G129" t="str">
        <f>IF(VLOOKUP(A129,'Final items'!$A$1:$Z$300,11,FALSE)="Write in %", "Count", "Category")</f>
        <v>Category</v>
      </c>
      <c r="H129">
        <f>VLOOKUP(B129,kappas!$A$1:$C$300,2,FALSE)</f>
        <v>0.79525862068965503</v>
      </c>
      <c r="I129">
        <f>VLOOKUP(B129,kappas!$A$1:$C$300,3,FALSE)</f>
        <v>0.96842105263157896</v>
      </c>
      <c r="J129" t="str">
        <f>VLOOKUP(B129,'initial kappas'!$A$1:$C$300,2,FALSE)</f>
        <v>NA</v>
      </c>
      <c r="K129">
        <f>VLOOKUP(B129,'initial kappas'!$A$1:$C$300,3,FALSE)</f>
        <v>1</v>
      </c>
    </row>
    <row r="130" spans="1:11">
      <c r="A130" t="str">
        <f>VLOOKUP('Final items'!$A76,'Final items'!$A$1:$Z$300,1,FALSE)</f>
        <v>PEDS-9</v>
      </c>
      <c r="B130" t="str">
        <f t="shared" ref="B130:B161" si="8">SUBSTITUTE(A130,"-",".")</f>
        <v>PEDS.9</v>
      </c>
      <c r="C130" t="str">
        <f>VLOOKUP('Final items'!$A76,'Kathy''s original list'!$A$1:$Z$300,8,FALSE)</f>
        <v>How far is the sidewalk or path from the curb?</v>
      </c>
      <c r="D130" t="str">
        <f>VLOOKUP('Final items'!$A76,'Final items'!$A$1:$Z$300,10,FALSE)</f>
        <v>How far is the sidewalk or path from the curb?</v>
      </c>
      <c r="E130" t="str">
        <f t="shared" ref="E130:E161" si="9">IF(AND(C130=D130,NOT(C130=0)),"Yes","No")</f>
        <v>Yes</v>
      </c>
      <c r="F130" t="str">
        <f>VLOOKUP('Final items'!$A76,'Final items'!$A$1:$Z$300,9,FALSE)</f>
        <v>&lt;p&gt;The image on the left is less than 5 feet and the image on the right is &gt; 5 feet.  If the distance varies, use the average or typical distance.&lt;/p&gt;&lt;p&gt;&lt;img src="[distance_from_curb.png]"/&gt;&lt;/p&gt;</v>
      </c>
      <c r="G130" t="str">
        <f>IF(VLOOKUP(A130,'Final items'!$A$1:$Z$300,11,FALSE)="Write in %", "Count", "Category")</f>
        <v>Category</v>
      </c>
      <c r="H130">
        <f>VLOOKUP(B130,kappas!$A$1:$C$300,2,FALSE)</f>
        <v>0.79722518676627496</v>
      </c>
      <c r="I130">
        <f>VLOOKUP(B130,kappas!$A$1:$C$300,3,FALSE)</f>
        <v>0.87368421052631595</v>
      </c>
      <c r="J130">
        <f>VLOOKUP(B130,'initial kappas'!$A$1:$C$300,2,FALSE)</f>
        <v>0.62068965517241403</v>
      </c>
      <c r="K130">
        <f>VLOOKUP(B130,'initial kappas'!$A$1:$C$300,3,FALSE)</f>
        <v>0.81818181818181801</v>
      </c>
    </row>
    <row r="131" spans="1:11">
      <c r="A131" t="str">
        <f>VLOOKUP('Final items'!$A84,'Final items'!$A$1:$Z$300,1,FALSE)</f>
        <v>PEDS-7.2</v>
      </c>
      <c r="B131" t="str">
        <f t="shared" si="8"/>
        <v>PEDS.7.2</v>
      </c>
      <c r="C131" t="str">
        <f>VLOOKUP('Final items'!$A84,'Kathy''s original list'!$A$1:$Z$300,8,FALSE)</f>
        <v>Do parked cars obstruct the path?</v>
      </c>
      <c r="D131" t="str">
        <f>VLOOKUP('Final items'!$A84,'Final items'!$A$1:$Z$300,10,FALSE)</f>
        <v>Do parked cars obstruct the path?</v>
      </c>
      <c r="E131" t="str">
        <f t="shared" si="9"/>
        <v>Yes</v>
      </c>
      <c r="F131" t="str">
        <f>VLOOKUP('Final items'!$A84,'Final items'!$A$1:$Z$300,9,FALSE)</f>
        <v>&lt;p&gt;An object is only a path obstruction if it severely reduces or completely blocks off the pedestrian facility. Threshold: Could you get by in wheelchair or while pushing a stroller? For this question, you are looking at potential obstructions on ALL pedestrian facilities on the street. If there are two sidewalks and only one has obstructions, please write down those obstructions.&lt;/p&gt;</v>
      </c>
      <c r="G131" t="str">
        <f>IF(VLOOKUP(A131,'Final items'!$A$1:$Z$300,11,FALSE)="Write in %", "Count", "Category")</f>
        <v>Category</v>
      </c>
      <c r="H131">
        <f>VLOOKUP(B131,kappas!$A$1:$C$300,2,FALSE)</f>
        <v>0.80508822322527696</v>
      </c>
      <c r="I131">
        <f>VLOOKUP(B131,kappas!$A$1:$C$300,3,FALSE)</f>
        <v>0.89473684210526305</v>
      </c>
      <c r="J131">
        <f>VLOOKUP(B131,'initial kappas'!$A$1:$C$300,2,FALSE)</f>
        <v>0.74117647058823599</v>
      </c>
      <c r="K131">
        <f>VLOOKUP(B131,'initial kappas'!$A$1:$C$300,3,FALSE)</f>
        <v>0.90909090909090895</v>
      </c>
    </row>
    <row r="132" spans="1:11">
      <c r="A132" t="str">
        <f>VLOOKUP('Final items'!$A89,'Final items'!$A$1:$Z$300,1,FALSE)</f>
        <v>Minn-Irvine-103</v>
      </c>
      <c r="B132" t="str">
        <f t="shared" si="8"/>
        <v>Minn.Irvine.103</v>
      </c>
      <c r="C132" t="str">
        <f>VLOOKUP('Final items'!$A89,'Kathy''s original list'!$A$1:$Z$300,8,FALSE)</f>
        <v>How much of the sidewalk is covered by arcades?</v>
      </c>
      <c r="D132" t="str">
        <f>VLOOKUP('Final items'!$A89,'Final items'!$A$1:$Z$300,10,FALSE)</f>
        <v>How much of the sidewalk is covered by arcades?</v>
      </c>
      <c r="E132" t="str">
        <f t="shared" si="9"/>
        <v>Yes</v>
      </c>
      <c r="F132" t="str">
        <f>VLOOKUP('Final items'!$A89,'Final items'!$A$1:$Z$300,9,FALSE)</f>
        <v>&lt;p&gt;&lt;img src="[arcade.png]"/&gt;&lt;/p&gt;</v>
      </c>
      <c r="G132" t="str">
        <f>IF(VLOOKUP(A132,'Final items'!$A$1:$Z$300,11,FALSE)="Write in %", "Count", "Category")</f>
        <v>Category</v>
      </c>
      <c r="H132">
        <f>VLOOKUP(B132,kappas!$A$1:$C$300,2,FALSE)</f>
        <v>0.80769230769230804</v>
      </c>
      <c r="I132">
        <f>VLOOKUP(B132,kappas!$A$1:$C$300,3,FALSE)</f>
        <v>0.90526315789473699</v>
      </c>
      <c r="J132">
        <f>VLOOKUP(B132,'initial kappas'!$A$1:$C$300,2,FALSE)</f>
        <v>0.74117647058823599</v>
      </c>
      <c r="K132">
        <f>VLOOKUP(B132,'initial kappas'!$A$1:$C$300,3,FALSE)</f>
        <v>0.90909090909090895</v>
      </c>
    </row>
    <row r="133" spans="1:11">
      <c r="A133" t="str">
        <f>VLOOKUP('Final items'!$A16,'Final items'!$A$1:$Z$300,1,FALSE)</f>
        <v>Minn-Irvine-4</v>
      </c>
      <c r="B133" t="str">
        <f t="shared" si="8"/>
        <v>Minn.Irvine.4</v>
      </c>
      <c r="C133" t="str">
        <f>VLOOKUP('Final items'!$A16,'Kathy''s original list'!$A$1:$Z$300,8,FALSE)</f>
        <v>How is the road marked at crosswalks?</v>
      </c>
      <c r="D133" t="str">
        <f>VLOOKUP('Final items'!$A16,'Final items'!$A$1:$Z$300,10,FALSE)</f>
        <v>How is the road marked at crosswalks?</v>
      </c>
      <c r="E133" t="str">
        <f t="shared" si="9"/>
        <v>Yes</v>
      </c>
      <c r="F133" t="str">
        <f>VLOOKUP('Final items'!$A16,'Final items'!$A$1:$Z$300,9,FALSE)</f>
        <v>&lt;p&gt;See below for details of crosswalk types.  Any crosswalk types not shown here or different markings for different crosswalks should be rated as "other".&lt;/p&gt;&lt;img src="[crosswalk_types.png]"&gt;</v>
      </c>
      <c r="G133" t="str">
        <f>IF(VLOOKUP(A133,'Final items'!$A$1:$Z$300,11,FALSE)="Write in %", "Count", "Category")</f>
        <v>Category</v>
      </c>
      <c r="H133">
        <f>VLOOKUP(B133,kappas!$A$1:$C$300,2,FALSE)</f>
        <v>0.817808219178082</v>
      </c>
      <c r="I133">
        <f>VLOOKUP(B133,kappas!$A$1:$C$300,3,FALSE)</f>
        <v>0.92631578947368398</v>
      </c>
      <c r="J133">
        <f>VLOOKUP(B133,'initial kappas'!$A$1:$C$300,2,FALSE)</f>
        <v>0.580952380952381</v>
      </c>
      <c r="K133">
        <f>VLOOKUP(B133,'initial kappas'!$A$1:$C$300,3,FALSE)</f>
        <v>0.81818181818181801</v>
      </c>
    </row>
    <row r="134" spans="1:11">
      <c r="A134" t="str">
        <f>VLOOKUP('Final items'!$A190,'Final items'!$A$1:$Z$300,1,FALSE)</f>
        <v>Minn-Irvine-127</v>
      </c>
      <c r="B134" t="str">
        <f t="shared" si="8"/>
        <v>Minn.Irvine.127</v>
      </c>
      <c r="C134" t="str">
        <f>VLOOKUP('Final items'!$A190,'Kathy''s original list'!$A$1:$Z$300,8,FALSE)</f>
        <v>How many stories are most buildings on the segment?</v>
      </c>
      <c r="D134" t="str">
        <f>VLOOKUP('Final items'!$A190,'Final items'!$A$1:$Z$300,10,FALSE)</f>
        <v>How many stories are most buildings on the segment?  (Do not count basements)</v>
      </c>
      <c r="E134" t="str">
        <f t="shared" si="9"/>
        <v>No</v>
      </c>
      <c r="F134" t="str">
        <f>VLOOKUP('Final items'!$A190,'Final items'!$A$1:$Z$300,9,FALSE)</f>
        <v xml:space="preserve">&lt;table&gt;&lt;tr&gt;&lt;th&gt;1-2 stories&lt;/th&gt;&lt;th&gt;3-4 stories&lt;/th&gt;&lt;th&gt;5 or more stories&lt;/th&gt;&lt;/tr&gt;&lt;tr&gt;&lt;td&gt;&lt;img src="[one_two_stories.png]"/&gt;&lt;/td&gt; &lt;td&gt;&lt;img src="[three_four_stories.png]"/&gt;&lt;/td&gt; &lt;td&gt;&lt;img src="[five_more_stories.png]"/&gt;&lt;/td&gt;&lt;/tr&gt;&lt;/table&gt; </v>
      </c>
      <c r="G134" t="str">
        <f>IF(VLOOKUP(A134,'Final items'!$A$1:$Z$300,11,FALSE)="Write in %", "Count", "Category")</f>
        <v>Category</v>
      </c>
      <c r="H134">
        <f>VLOOKUP(B134,kappas!$A$1:$C$300,2,FALSE)</f>
        <v>0.82810615199034998</v>
      </c>
      <c r="I134">
        <f>VLOOKUP(B134,kappas!$A$1:$C$300,3,FALSE)</f>
        <v>0.93684210526315803</v>
      </c>
      <c r="J134">
        <f>VLOOKUP(B134,'initial kappas'!$A$1:$C$300,2,FALSE)</f>
        <v>0.790476190476191</v>
      </c>
      <c r="K134">
        <f>VLOOKUP(B134,'initial kappas'!$A$1:$C$300,3,FALSE)</f>
        <v>0.90909090909090895</v>
      </c>
    </row>
    <row r="135" spans="1:11">
      <c r="A135" t="str">
        <f>VLOOKUP('Final items'!$A80,'Final items'!$A$1:$Z$300,1,FALSE)</f>
        <v>PEDS-8.4</v>
      </c>
      <c r="B135" t="str">
        <f t="shared" si="8"/>
        <v>PEDS.8.4</v>
      </c>
      <c r="C135" t="str">
        <f>VLOOKUP('Final items'!$A80,'Kathy''s original list'!$A$1:$Z$300,8,FALSE)</f>
        <v>Is there landscaping between the road and the path/sidewalk?</v>
      </c>
      <c r="D135" t="str">
        <f>VLOOKUP('Final items'!$A80,'Final items'!$A$1:$Z$300,10,FALSE)</f>
        <v>Is there landscaping between the road and the path/sidewalk? (Note that grass is not landscaping for the purpose of this question)</v>
      </c>
      <c r="E135" t="str">
        <f t="shared" si="9"/>
        <v>No</v>
      </c>
      <c r="F135" t="str">
        <f>VLOOKUP('Final items'!$A80,'Final items'!$A$1:$Z$300,9,FALSE)</f>
        <v>&lt;p&gt;&lt;img src="[landscape_grass.png]"/&gt;&lt;/p&gt;&lt;p&gt;Note that the landscaping need not run the length of the segment, just be present for some of it.&lt;/p&gt;</v>
      </c>
      <c r="G135" t="str">
        <f>IF(VLOOKUP(A135,'Final items'!$A$1:$Z$300,11,FALSE)="Write in %", "Count", "Category")</f>
        <v>Category</v>
      </c>
      <c r="H135">
        <f>VLOOKUP(B135,kappas!$A$1:$C$300,2,FALSE)</f>
        <v>0.83318700614574204</v>
      </c>
      <c r="I135">
        <f>VLOOKUP(B135,kappas!$A$1:$C$300,3,FALSE)</f>
        <v>0.91578947368421004</v>
      </c>
      <c r="J135">
        <f>VLOOKUP(B135,'initial kappas'!$A$1:$C$300,2,FALSE)</f>
        <v>0.74117647058823599</v>
      </c>
      <c r="K135">
        <f>VLOOKUP(B135,'initial kappas'!$A$1:$C$300,3,FALSE)</f>
        <v>0.90909090909090895</v>
      </c>
    </row>
    <row r="136" spans="1:11">
      <c r="A136" t="str">
        <f>VLOOKUP('Final items'!$A69,'Final items'!$A$1:$Z$300,1,FALSE)</f>
        <v>PEDS-4.1</v>
      </c>
      <c r="B136" t="str">
        <f t="shared" si="8"/>
        <v>PEDS.4.1</v>
      </c>
      <c r="C136" t="str">
        <f>VLOOKUP('Final items'!$A69,'Kathy''s original list'!$A$1:$Z$300,8,FALSE)</f>
        <v>What type of pedestrian facility is there?</v>
      </c>
      <c r="D136" t="str">
        <f>VLOOKUP('Final items'!$A69,'Final items'!$A$1:$Z$300,10,FALSE)</f>
        <v>What type of sidewalk or path (paved or unpaved) is there?</v>
      </c>
      <c r="E136" t="str">
        <f t="shared" si="9"/>
        <v>No</v>
      </c>
      <c r="F136" t="str">
        <f>VLOOKUP('Final items'!$A69,'Final items'!$A$1:$Z$300,9,FALSE)</f>
        <v>&lt;p&gt;&lt;img src="[trail_footpath.png]"/&gt;&lt;/p&gt;</v>
      </c>
      <c r="G136" t="str">
        <f>IF(VLOOKUP(A136,'Final items'!$A$1:$Z$300,11,FALSE)="Write in %", "Count", "Category")</f>
        <v>Category</v>
      </c>
      <c r="H136">
        <f>VLOOKUP(B136,kappas!$A$1:$C$300,2,FALSE)</f>
        <v>0.83974358974358998</v>
      </c>
      <c r="I136">
        <f>VLOOKUP(B136,kappas!$A$1:$C$300,3,FALSE)</f>
        <v>0.92105263157894701</v>
      </c>
      <c r="J136">
        <f>VLOOKUP(B136,'initial kappas'!$A$1:$C$300,2,FALSE)</f>
        <v>0.78217821782178198</v>
      </c>
      <c r="K136">
        <f>VLOOKUP(B136,'initial kappas'!$A$1:$C$300,3,FALSE)</f>
        <v>0.90909090909090895</v>
      </c>
    </row>
    <row r="137" spans="1:11">
      <c r="A137" t="str">
        <f>VLOOKUP('Final items'!$A78,'Final items'!$A$1:$Z$300,1,FALSE)</f>
        <v>PEDS-8.2</v>
      </c>
      <c r="B137" t="str">
        <f t="shared" si="8"/>
        <v>PEDS.8.2</v>
      </c>
      <c r="C137" t="str">
        <f>VLOOKUP('Final items'!$A78,'Kathy''s original list'!$A$1:$Z$300,8,FALSE)</f>
        <v>Are there trees between the road and the path/sidewalk?</v>
      </c>
      <c r="D137" t="str">
        <f>VLOOKUP('Final items'!$A78,'Final items'!$A$1:$Z$300,10,FALSE)</f>
        <v>Are there trees between the road and the path/sidewalk?</v>
      </c>
      <c r="E137" t="str">
        <f t="shared" si="9"/>
        <v>Yes</v>
      </c>
      <c r="F137" t="str">
        <f>VLOOKUP('Final items'!$A78,'Final items'!$A$1:$Z$300,9,FALSE)</f>
        <v>&lt;p&gt;Trees are only a buffer if they are part of a landscape/grass buffer or if they occur regularly enough on the street to discourage pedestrians from walking along the roadway. Trees within a grass buffer count as a buffer. &lt;img src="[trees_grass.png]"/&gt;&lt;/p&gt;</v>
      </c>
      <c r="G137" t="str">
        <f>IF(VLOOKUP(A137,'Final items'!$A$1:$Z$300,11,FALSE)="Write in %", "Count", "Category")</f>
        <v>Category</v>
      </c>
      <c r="H137">
        <f>VLOOKUP(B137,kappas!$A$1:$C$300,2,FALSE)</f>
        <v>0.84012117132278696</v>
      </c>
      <c r="I137">
        <f>VLOOKUP(B137,kappas!$A$1:$C$300,3,FALSE)</f>
        <v>0.89473684210526305</v>
      </c>
      <c r="J137">
        <f>VLOOKUP(B137,'initial kappas'!$A$1:$C$300,2,FALSE)</f>
        <v>0.56291390728476798</v>
      </c>
      <c r="K137">
        <f>VLOOKUP(B137,'initial kappas'!$A$1:$C$300,3,FALSE)</f>
        <v>0.72727272727272696</v>
      </c>
    </row>
    <row r="138" spans="1:11">
      <c r="A138" t="str">
        <f>VLOOKUP('Final items'!$A12,'Final items'!$A$1:$Z$300,1,FALSE)</f>
        <v>Minn-Irvine-9</v>
      </c>
      <c r="B138" t="str">
        <f t="shared" si="8"/>
        <v>Minn.Irvine.9</v>
      </c>
      <c r="C138" t="str">
        <f>VLOOKUP('Final items'!$A12,'Kathy''s original list'!$A$1:$Z$300,8,FALSE)</f>
        <v>What kind of traffic signal is provided?</v>
      </c>
      <c r="D138" t="str">
        <f>VLOOKUP('Final items'!$A12,'Final items'!$A$1:$Z$300,10,FALSE)</f>
        <v>What kind of traffic signal is provided?</v>
      </c>
      <c r="E138" t="str">
        <f t="shared" si="9"/>
        <v>Yes</v>
      </c>
      <c r="F138" t="str">
        <f>VLOOKUP('Final items'!$A12,'Final items'!$A$1:$Z$300,9,FALSE)</f>
        <v>&lt;p&gt;This question refers to the signal as encountered by a driver coming from the intersection at the end point (the red intersection) through the intersection at the start point (the green intersection).&lt;/p&gt;</v>
      </c>
      <c r="G138" t="str">
        <f>IF(VLOOKUP(A138,'Final items'!$A$1:$Z$300,11,FALSE)="Write in %", "Count", "Category")</f>
        <v>Category</v>
      </c>
      <c r="H138">
        <f>VLOOKUP(B138,kappas!$A$1:$C$300,2,FALSE)</f>
        <v>0.84013462347496803</v>
      </c>
      <c r="I138">
        <f>VLOOKUP(B138,kappas!$A$1:$C$300,3,FALSE)</f>
        <v>0.91578947368421004</v>
      </c>
      <c r="J138">
        <f>VLOOKUP(B138,'initial kappas'!$A$1:$C$300,2,FALSE)</f>
        <v>0.17499999999999999</v>
      </c>
      <c r="K138">
        <f>VLOOKUP(B138,'initial kappas'!$A$1:$C$300,3,FALSE)</f>
        <v>0.45454545454545497</v>
      </c>
    </row>
    <row r="139" spans="1:11">
      <c r="A139" t="str">
        <f>VLOOKUP('Final items'!$A87,'Final items'!$A$1:$Z$300,1,FALSE)</f>
        <v>PEDS-7.5</v>
      </c>
      <c r="B139" t="str">
        <f t="shared" si="8"/>
        <v>PEDS.7.5</v>
      </c>
      <c r="C139" t="str">
        <f>VLOOKUP('Final items'!$A87,'Kathy''s original list'!$A$1:$Z$300,8,FALSE)</f>
        <v>Does anything else obstruct the path?</v>
      </c>
      <c r="D139" t="str">
        <f>VLOOKUP('Final items'!$A87,'Final items'!$A$1:$Z$300,10,FALSE)</f>
        <v>Does anything else obstruct the path?</v>
      </c>
      <c r="E139" t="str">
        <f t="shared" si="9"/>
        <v>Yes</v>
      </c>
      <c r="F139" t="str">
        <f>VLOOKUP('Final items'!$A87,'Final items'!$A$1:$Z$300,9,FALSE)</f>
        <v>&lt;p&gt;An object is only a path obstruction if it severely reduces or completely blocks off the pedestrian facility. Threshold: Could you get by in wheelchair or while pushing a stroller? For this question, you are looking at potential obstructions on ALL pedestrian facilities on the street. If there are two sidewalks and only one has obstructions, please write those obstructions.&lt;/p&gt;</v>
      </c>
      <c r="G139" t="str">
        <f>IF(VLOOKUP(A139,'Final items'!$A$1:$Z$300,11,FALSE)="Write in %", "Count", "Category")</f>
        <v>Category</v>
      </c>
      <c r="H139">
        <f>VLOOKUP(B139,kappas!$A$1:$C$300,2,FALSE)</f>
        <v>0.84649122807017496</v>
      </c>
      <c r="I139">
        <f>VLOOKUP(B139,kappas!$A$1:$C$300,3,FALSE)</f>
        <v>0.92631578947368398</v>
      </c>
      <c r="J139">
        <f>VLOOKUP(B139,'initial kappas'!$A$1:$C$300,2,FALSE)</f>
        <v>0.74117647058823599</v>
      </c>
      <c r="K139">
        <f>VLOOKUP(B139,'initial kappas'!$A$1:$C$300,3,FALSE)</f>
        <v>0.90909090909090895</v>
      </c>
    </row>
    <row r="140" spans="1:11">
      <c r="A140" t="str">
        <f>VLOOKUP('Final items'!$A90,'Final items'!$A$1:$Z$300,1,FALSE)</f>
        <v>Minn-Irvine-104</v>
      </c>
      <c r="B140" t="str">
        <f t="shared" si="8"/>
        <v>Minn.Irvine.104</v>
      </c>
      <c r="C140" t="str">
        <f>VLOOKUP('Final items'!$A90,'Kathy''s original list'!$A$1:$Z$300,8,FALSE)</f>
        <v>How much of the sidewalk is covered by awnings?</v>
      </c>
      <c r="D140" t="str">
        <f>VLOOKUP('Final items'!$A90,'Final items'!$A$1:$Z$300,10,FALSE)</f>
        <v>How much of the sidewalk is covered by awnings?</v>
      </c>
      <c r="E140" t="str">
        <f t="shared" si="9"/>
        <v>Yes</v>
      </c>
      <c r="F140" t="str">
        <f>VLOOKUP('Final items'!$A90,'Final items'!$A$1:$Z$300,9,FALSE)</f>
        <v>&lt;p&gt;&lt;img src="[awning.png]"/&gt;&lt;/p&gt;</v>
      </c>
      <c r="G140" t="str">
        <f>IF(VLOOKUP(A140,'Final items'!$A$1:$Z$300,11,FALSE)="Write in %", "Count", "Category")</f>
        <v>Category</v>
      </c>
      <c r="H140">
        <f>VLOOKUP(B140,kappas!$A$1:$C$300,2,FALSE)</f>
        <v>0.84649122807017496</v>
      </c>
      <c r="I140">
        <f>VLOOKUP(B140,kappas!$A$1:$C$300,3,FALSE)</f>
        <v>0.92631578947368398</v>
      </c>
      <c r="J140">
        <f>VLOOKUP(B140,'initial kappas'!$A$1:$C$300,2,FALSE)</f>
        <v>0.74117647058823599</v>
      </c>
      <c r="K140">
        <f>VLOOKUP(B140,'initial kappas'!$A$1:$C$300,3,FALSE)</f>
        <v>0.90909090909090895</v>
      </c>
    </row>
    <row r="141" spans="1:11">
      <c r="A141" t="str">
        <f>VLOOKUP('Final items'!$A91,'Final items'!$A$1:$Z$300,1,FALSE)</f>
        <v>Minn-Irvine-105</v>
      </c>
      <c r="B141" t="str">
        <f t="shared" si="8"/>
        <v>Minn.Irvine.105</v>
      </c>
      <c r="C141" t="str">
        <f>VLOOKUP('Final items'!$A91,'Kathy''s original list'!$A$1:$Z$300,8,FALSE)</f>
        <v>How much of the sidewalk is covered by some other covering?</v>
      </c>
      <c r="D141" t="str">
        <f>VLOOKUP('Final items'!$A91,'Final items'!$A$1:$Z$300,10,FALSE)</f>
        <v>How much of the sidewalk is covered by some other covering?</v>
      </c>
      <c r="E141" t="str">
        <f t="shared" si="9"/>
        <v>Yes</v>
      </c>
      <c r="F141">
        <f>VLOOKUP('Final items'!$A91,'Final items'!$A$1:$Z$300,9,FALSE)</f>
        <v>0</v>
      </c>
      <c r="G141" t="str">
        <f>IF(VLOOKUP(A141,'Final items'!$A$1:$Z$300,11,FALSE)="Write in %", "Count", "Category")</f>
        <v>Category</v>
      </c>
      <c r="H141">
        <f>VLOOKUP(B141,kappas!$A$1:$C$300,2,FALSE)</f>
        <v>0.84649122807017496</v>
      </c>
      <c r="I141">
        <f>VLOOKUP(B141,kappas!$A$1:$C$300,3,FALSE)</f>
        <v>0.92631578947368398</v>
      </c>
      <c r="J141">
        <f>VLOOKUP(B141,'initial kappas'!$A$1:$C$300,2,FALSE)</f>
        <v>0.74117647058823599</v>
      </c>
      <c r="K141">
        <f>VLOOKUP(B141,'initial kappas'!$A$1:$C$300,3,FALSE)</f>
        <v>0.90909090909090895</v>
      </c>
    </row>
    <row r="142" spans="1:11">
      <c r="A142" t="str">
        <f>VLOOKUP('Final items'!$A86,'Final items'!$A$1:$Z$300,1,FALSE)</f>
        <v>PEDS-7.4</v>
      </c>
      <c r="B142" t="str">
        <f t="shared" si="8"/>
        <v>PEDS.7.4</v>
      </c>
      <c r="C142" t="str">
        <f>VLOOKUP('Final items'!$A86,'Kathy''s original list'!$A$1:$Z$300,8,FALSE)</f>
        <v>Do garbage cans obstruct the path?</v>
      </c>
      <c r="D142" t="str">
        <f>VLOOKUP('Final items'!$A86,'Final items'!$A$1:$Z$300,10,FALSE)</f>
        <v>Do garbage cans obstruct the path?</v>
      </c>
      <c r="E142" t="str">
        <f t="shared" si="9"/>
        <v>Yes</v>
      </c>
      <c r="F142" t="str">
        <f>VLOOKUP('Final items'!$A86,'Final items'!$A$1:$Z$300,9,FALSE)</f>
        <v>&lt;p&gt;An object is only a path obstruction if it severely reduces or completely blocks off the pedestrian facility. Threshold: Could you get by in wheelchair or while pushing a stroller? For this question, you are looking at potential obstructions on ALL pedestrian facilities on the street. If there are two sidewalks and only one has obstructions, please write down those obstructions.&lt;/p&gt;</v>
      </c>
      <c r="G142" t="str">
        <f>IF(VLOOKUP(A142,'Final items'!$A$1:$Z$300,11,FALSE)="Write in %", "Count", "Category")</f>
        <v>Category</v>
      </c>
      <c r="H142">
        <f>VLOOKUP(B142,kappas!$A$1:$C$300,2,FALSE)</f>
        <v>0.87179487179487203</v>
      </c>
      <c r="I142">
        <f>VLOOKUP(B142,kappas!$A$1:$C$300,3,FALSE)</f>
        <v>0.93684210526315803</v>
      </c>
      <c r="J142">
        <f>VLOOKUP(B142,'initial kappas'!$A$1:$C$300,2,FALSE)</f>
        <v>0.74117647058823599</v>
      </c>
      <c r="K142">
        <f>VLOOKUP(B142,'initial kappas'!$A$1:$C$300,3,FALSE)</f>
        <v>0.90909090909090895</v>
      </c>
    </row>
    <row r="143" spans="1:11">
      <c r="A143" t="str">
        <f>VLOOKUP('Final items'!$A83,'Final items'!$A$1:$Z$300,1,FALSE)</f>
        <v>PEDS-7.1</v>
      </c>
      <c r="B143" t="str">
        <f t="shared" si="8"/>
        <v>PEDS.7.1</v>
      </c>
      <c r="C143" t="str">
        <f>VLOOKUP('Final items'!$A83,'Kathy''s original list'!$A$1:$Z$300,8,FALSE)</f>
        <v>Do poles or signs obstruct the path?</v>
      </c>
      <c r="D143" t="str">
        <f>VLOOKUP('Final items'!$A83,'Final items'!$A$1:$Z$300,10,FALSE)</f>
        <v>Do poles or signs obstruct the path?</v>
      </c>
      <c r="E143" t="str">
        <f t="shared" si="9"/>
        <v>Yes</v>
      </c>
      <c r="F143" t="str">
        <f>VLOOKUP('Final items'!$A83,'Final items'!$A$1:$Z$300,9,FALSE)</f>
        <v>&lt;p&gt;Cars in driveways that block the sidewalk should be counted.  An object is only a path obstruction if it severely reduces or completely blocks off the pedestrian facility. &lt;/p&gt;</v>
      </c>
      <c r="G143" t="str">
        <f>IF(VLOOKUP(A143,'Final items'!$A$1:$Z$300,11,FALSE)="Write in %", "Count", "Category")</f>
        <v>Category</v>
      </c>
      <c r="H143">
        <f>VLOOKUP(B143,kappas!$A$1:$C$300,2,FALSE)</f>
        <v>0.89574187884108902</v>
      </c>
      <c r="I143">
        <f>VLOOKUP(B143,kappas!$A$1:$C$300,3,FALSE)</f>
        <v>0.94736842105263197</v>
      </c>
      <c r="J143">
        <f>VLOOKUP(B143,'initial kappas'!$A$1:$C$300,2,FALSE)</f>
        <v>0.74117647058823599</v>
      </c>
      <c r="K143">
        <f>VLOOKUP(B143,'initial kappas'!$A$1:$C$300,3,FALSE)</f>
        <v>0.90909090909090895</v>
      </c>
    </row>
    <row r="144" spans="1:11">
      <c r="A144" t="str">
        <f>VLOOKUP('Final items'!$A85,'Final items'!$A$1:$Z$300,1,FALSE)</f>
        <v>PEDS-7.3</v>
      </c>
      <c r="B144" t="str">
        <f t="shared" si="8"/>
        <v>PEDS.7.3</v>
      </c>
      <c r="C144" t="str">
        <f>VLOOKUP('Final items'!$A85,'Kathy''s original list'!$A$1:$Z$300,8,FALSE)</f>
        <v>Does greenery obstruct the path?</v>
      </c>
      <c r="D144" t="str">
        <f>VLOOKUP('Final items'!$A85,'Final items'!$A$1:$Z$300,10,FALSE)</f>
        <v>Does greenery obstruct the path?</v>
      </c>
      <c r="E144" t="str">
        <f t="shared" si="9"/>
        <v>Yes</v>
      </c>
      <c r="F144" t="str">
        <f>VLOOKUP('Final items'!$A85,'Final items'!$A$1:$Z$300,9,FALSE)</f>
        <v>&lt;p&gt;An object is only a path obstruction if it severely reduces or completely blocks off the pedestrian facility. Threshold: Could you get by in wheelchair or while pushing a stroller? For this question, you are looking at potential obstructions on ALL pedestrian facilities on the street. If there are two sidewalks and only one has obstructions, please write down those obstructions.&lt;/p&gt;</v>
      </c>
      <c r="G144" t="str">
        <f>IF(VLOOKUP(A144,'Final items'!$A$1:$Z$300,11,FALSE)="Write in %", "Count", "Category")</f>
        <v>Category</v>
      </c>
      <c r="H144">
        <f>VLOOKUP(B144,kappas!$A$1:$C$300,2,FALSE)</f>
        <v>0.90889911775987697</v>
      </c>
      <c r="I144">
        <f>VLOOKUP(B144,kappas!$A$1:$C$300,3,FALSE)</f>
        <v>0.94736842105263197</v>
      </c>
      <c r="J144">
        <f>VLOOKUP(B144,'initial kappas'!$A$1:$C$300,2,FALSE)</f>
        <v>0.74117647058823599</v>
      </c>
      <c r="K144">
        <f>VLOOKUP(B144,'initial kappas'!$A$1:$C$300,3,FALSE)</f>
        <v>0.90909090909090895</v>
      </c>
    </row>
    <row r="145" spans="1:11">
      <c r="A145" t="str">
        <f>VLOOKUP('Final items'!$A81,'Final items'!$A$1:$Z$300,1,FALSE)</f>
        <v>PEDS-8.5</v>
      </c>
      <c r="B145" t="str">
        <f t="shared" si="8"/>
        <v>PEDS.8.5</v>
      </c>
      <c r="C145" t="str">
        <f>VLOOKUP('Final items'!$A81,'Kathy''s original list'!$A$1:$Z$300,8,FALSE)</f>
        <v>Is there grass between the road and the path/sidewalk?</v>
      </c>
      <c r="D145" t="str">
        <f>VLOOKUP('Final items'!$A81,'Final items'!$A$1:$Z$300,10,FALSE)</f>
        <v>Is there grass between the road and the path/sidewalk?</v>
      </c>
      <c r="E145" t="str">
        <f t="shared" si="9"/>
        <v>Yes</v>
      </c>
      <c r="F145" t="str">
        <f>VLOOKUP('Final items'!$A81,'Final items'!$A$1:$Z$300,9,FALSE)</f>
        <v>&lt;p&gt;&lt;img src="[trees_grass.png]"/&gt;&lt;/p&gt;&lt;p&gt;Note that the grass need not run the length of the segment, just be present for some of it.&lt;/p&gt;</v>
      </c>
      <c r="G145" t="str">
        <f>IF(VLOOKUP(A145,'Final items'!$A$1:$Z$300,11,FALSE)="Write in %", "Count", "Category")</f>
        <v>Category</v>
      </c>
      <c r="H145">
        <f>VLOOKUP(B145,kappas!$A$1:$C$300,2,FALSE)</f>
        <v>0.91930003397893301</v>
      </c>
      <c r="I145">
        <f>VLOOKUP(B145,kappas!$A$1:$C$300,3,FALSE)</f>
        <v>0.94736842105263197</v>
      </c>
      <c r="J145">
        <f>VLOOKUP(B145,'initial kappas'!$A$1:$C$300,2,FALSE)</f>
        <v>0.678832116788321</v>
      </c>
      <c r="K145">
        <f>VLOOKUP(B145,'initial kappas'!$A$1:$C$300,3,FALSE)</f>
        <v>0.81818181818181801</v>
      </c>
    </row>
    <row r="146" spans="1:11">
      <c r="A146" t="str">
        <f>VLOOKUP('Final items'!$A77,'Final items'!$A$1:$Z$300,1,FALSE)</f>
        <v>PEDS-8.1</v>
      </c>
      <c r="B146" t="str">
        <f t="shared" si="8"/>
        <v>PEDS.8.1</v>
      </c>
      <c r="C146" t="str">
        <f>VLOOKUP('Final items'!$A77,'Kathy''s original list'!$A$1:$Z$300,8,FALSE)</f>
        <v>Is there a fence between the road and the path/sidewalk?</v>
      </c>
      <c r="D146" t="str">
        <f>VLOOKUP('Final items'!$A77,'Final items'!$A$1:$Z$300,10,FALSE)</f>
        <v>Is there a fence between the road and the path/sidewalk?</v>
      </c>
      <c r="E146" t="str">
        <f t="shared" si="9"/>
        <v>Yes</v>
      </c>
      <c r="F146" t="str">
        <f>VLOOKUP('Final items'!$A77,'Final items'!$A$1:$Z$300,9,FALSE)</f>
        <v>&lt;p&gt;&lt;img src="[fence_hedges.png]"/&gt;&lt;/p&gt;&lt;p&gt;Note that the fence need not run the length of the segment, just be present for some of it.&lt;/p&gt;</v>
      </c>
      <c r="G146" t="str">
        <f>IF(VLOOKUP(A146,'Final items'!$A$1:$Z$300,11,FALSE)="Write in %", "Count", "Category")</f>
        <v>Category</v>
      </c>
      <c r="H146">
        <f>VLOOKUP(B146,kappas!$A$1:$C$300,2,FALSE)</f>
        <v>0.92109634551495001</v>
      </c>
      <c r="I146">
        <f>VLOOKUP(B146,kappas!$A$1:$C$300,3,FALSE)</f>
        <v>0.96315789473684199</v>
      </c>
      <c r="J146">
        <f>VLOOKUP(B146,'initial kappas'!$A$1:$C$300,2,FALSE)</f>
        <v>0.74117647058823599</v>
      </c>
      <c r="K146">
        <f>VLOOKUP(B146,'initial kappas'!$A$1:$C$300,3,FALSE)</f>
        <v>0.90909090909090895</v>
      </c>
    </row>
    <row r="147" spans="1:11">
      <c r="A147" t="str">
        <f>VLOOKUP('Final items'!$A11,'Final items'!$A$1:$Z$300,1,FALSE)</f>
        <v>PEDS-3</v>
      </c>
      <c r="B147" t="str">
        <f t="shared" si="8"/>
        <v>PEDS.3</v>
      </c>
      <c r="C147" t="str">
        <f>VLOOKUP('Final items'!$A11,'Kathy''s original list'!$A$1:$Z$300,8,FALSE)</f>
        <v>What type of intersection is this?</v>
      </c>
      <c r="D147" t="str">
        <f>VLOOKUP('Final items'!$A11,'Final items'!$A$1:$Z$300,10,FALSE)</f>
        <v>What type of intersection is this?</v>
      </c>
      <c r="E147" t="str">
        <f t="shared" si="9"/>
        <v>Yes</v>
      </c>
      <c r="F147" t="str">
        <f>VLOOKUP('Final items'!$A11,'Final items'!$A$1:$Z$300,9,FALSE)</f>
        <v>&lt;p&gt;Images on the left are 3-way intersection types;those on the right are 4-way.  Note that streets need not line up directly.&lt;/p&gt;&lt;p&gt;&lt;img src="[segment_intersection.png]"/&gt;&lt;/p&gt;</v>
      </c>
      <c r="G147" t="str">
        <f>IF(VLOOKUP(A147,'Final items'!$A$1:$Z$300,11,FALSE)="Write in %", "Count", "Category")</f>
        <v>Category</v>
      </c>
      <c r="H147">
        <f>VLOOKUP(B147,kappas!$A$1:$C$300,2,FALSE)</f>
        <v>0.92285830288266302</v>
      </c>
      <c r="I147">
        <f>VLOOKUP(B147,kappas!$A$1:$C$300,3,FALSE)</f>
        <v>0.95789473684210502</v>
      </c>
      <c r="J147">
        <f>VLOOKUP(B147,'initial kappas'!$A$1:$C$300,2,FALSE)</f>
        <v>0.69444444444444497</v>
      </c>
      <c r="K147">
        <f>VLOOKUP(B147,'initial kappas'!$A$1:$C$300,3,FALSE)</f>
        <v>0.81818181818181801</v>
      </c>
    </row>
    <row r="148" spans="1:11">
      <c r="A148" t="str">
        <f>VLOOKUP('Final items'!$A70,'Final items'!$A$1:$Z$300,1,FALSE)</f>
        <v>PEDS-5.1</v>
      </c>
      <c r="B148" t="str">
        <f t="shared" si="8"/>
        <v>PEDS.5.1</v>
      </c>
      <c r="C148" t="str">
        <f>VLOOKUP('Final items'!$A70,'Kathy''s original list'!$A$1:$Z$300,8,FALSE)</f>
        <v>What is the sidewalk or path surface made of?</v>
      </c>
      <c r="D148" t="str">
        <f>VLOOKUP('Final items'!$A70,'Final items'!$A$1:$Z$300,10,FALSE)</f>
        <v>What is the sidewalk or path surface made of?</v>
      </c>
      <c r="E148" t="str">
        <f t="shared" si="9"/>
        <v>Yes</v>
      </c>
      <c r="F148" t="str">
        <f>VLOOKUP('Final items'!$A70,'Final items'!$A$1:$Z$300,9,FALSE)</f>
        <v>&lt;p&gt;&lt;img src="[asphalt.png]"/&gt;&lt;/p&gt;</v>
      </c>
      <c r="G148" t="str">
        <f>IF(VLOOKUP(A148,'Final items'!$A$1:$Z$300,11,FALSE)="Write in %", "Count", "Category")</f>
        <v>Category</v>
      </c>
      <c r="H148">
        <f>VLOOKUP(B148,kappas!$A$1:$C$300,2,FALSE)</f>
        <v>0.93035190615835806</v>
      </c>
      <c r="I148">
        <f>VLOOKUP(B148,kappas!$A$1:$C$300,3,FALSE)</f>
        <v>0.96842105263157896</v>
      </c>
      <c r="J148">
        <f>VLOOKUP(B148,'initial kappas'!$A$1:$C$300,2,FALSE)</f>
        <v>0.78217821782178198</v>
      </c>
      <c r="K148">
        <f>VLOOKUP(B148,'initial kappas'!$A$1:$C$300,3,FALSE)</f>
        <v>0.90909090909090895</v>
      </c>
    </row>
    <row r="149" spans="1:11">
      <c r="A149" t="str">
        <f>VLOOKUP('Final items'!$A79,'Final items'!$A$1:$Z$300,1,FALSE)</f>
        <v>PEDS-8.3</v>
      </c>
      <c r="B149" t="str">
        <f t="shared" si="8"/>
        <v>PEDS.8.3</v>
      </c>
      <c r="C149" t="str">
        <f>VLOOKUP('Final items'!$A79,'Kathy''s original list'!$A$1:$Z$300,8,FALSE)</f>
        <v>Is there a hedge between the road and the path/sidewalk?</v>
      </c>
      <c r="D149" t="str">
        <f>VLOOKUP('Final items'!$A79,'Final items'!$A$1:$Z$300,10,FALSE)</f>
        <v>Is there a hedge between the road and the path/sidewalk?</v>
      </c>
      <c r="E149" t="str">
        <f t="shared" si="9"/>
        <v>Yes</v>
      </c>
      <c r="F149" t="str">
        <f>VLOOKUP('Final items'!$A79,'Final items'!$A$1:$Z$300,9,FALSE)</f>
        <v>&lt;p&gt;&lt;img src="[fence_hedges.png]"/&gt;&lt;/p&gt;&lt;p&gt;Note that the hedge need not run the length of the segment, just be present for some of it.&lt;/p&gt;</v>
      </c>
      <c r="G149" t="str">
        <f>IF(VLOOKUP(A149,'Final items'!$A$1:$Z$300,11,FALSE)="Write in %", "Count", "Category")</f>
        <v>Category</v>
      </c>
      <c r="H149">
        <f>VLOOKUP(B149,kappas!$A$1:$C$300,2,FALSE)</f>
        <v>0.93886743886743895</v>
      </c>
      <c r="I149">
        <f>VLOOKUP(B149,kappas!$A$1:$C$300,3,FALSE)</f>
        <v>0.96842105263157896</v>
      </c>
      <c r="J149">
        <f>VLOOKUP(B149,'initial kappas'!$A$1:$C$300,2,FALSE)</f>
        <v>0.74117647058823599</v>
      </c>
      <c r="K149">
        <f>VLOOKUP(B149,'initial kappas'!$A$1:$C$300,3,FALSE)</f>
        <v>0.90909090909090895</v>
      </c>
    </row>
    <row r="150" spans="1:11">
      <c r="A150" t="str">
        <f>VLOOKUP('Final items'!$A42,'Final items'!$A$1:$Z$300,1,FALSE)</f>
        <v>Minn-Irvine-152</v>
      </c>
      <c r="B150" t="str">
        <f t="shared" si="8"/>
        <v>Minn.Irvine.152</v>
      </c>
      <c r="C150" t="str">
        <f>VLOOKUP('Final items'!$A42,'Kathy''s original list'!$A$1:$Z$300,8,FALSE)</f>
        <v>Is there a cul-de-sac or permanent street closing on this segment?</v>
      </c>
      <c r="D150" t="str">
        <f>VLOOKUP('Final items'!$A42,'Final items'!$A$1:$Z$300,10,FALSE)</f>
        <v>Is there a cul-de-sac or permanent street closing on this segment?</v>
      </c>
      <c r="E150" t="str">
        <f t="shared" si="9"/>
        <v>Yes</v>
      </c>
      <c r="F150" t="str">
        <f>VLOOKUP('Final items'!$A42,'Final items'!$A$1:$Z$300,9,FALSE)</f>
        <v xml:space="preserve">&lt;p&gt;&lt;img src="[culdesac.png]"/&gt;&lt;/p&gt; </v>
      </c>
      <c r="G150" t="str">
        <f>IF(VLOOKUP(A150,'Final items'!$A$1:$Z$300,11,FALSE)="Write in %", "Count", "Category")</f>
        <v>Category</v>
      </c>
      <c r="H150">
        <f>VLOOKUP(B150,kappas!$A$1:$C$300,2,FALSE)</f>
        <v>1</v>
      </c>
      <c r="I150">
        <f>VLOOKUP(B150,kappas!$A$1:$C$300,3,FALSE)</f>
        <v>1</v>
      </c>
      <c r="J150">
        <f>VLOOKUP(B150,'initial kappas'!$A$1:$C$300,2,FALSE)</f>
        <v>1</v>
      </c>
      <c r="K150">
        <f>VLOOKUP(B150,'initial kappas'!$A$1:$C$300,3,FALSE)</f>
        <v>1</v>
      </c>
    </row>
    <row r="151" spans="1:11">
      <c r="A151" t="str">
        <f>VLOOKUP('Final items'!$A66,'Final items'!$A$1:$Z$300,1,FALSE)</f>
        <v>PEDS-24.1</v>
      </c>
      <c r="B151" t="str">
        <f t="shared" si="8"/>
        <v>PEDS.24.1</v>
      </c>
      <c r="C151" t="str">
        <f>VLOOKUP('Final items'!$A66,'Kathy''s original list'!$A$1:$Z$300,8,FALSE)</f>
        <v>Are there bike route signs or bike crossing warnings on the segment?</v>
      </c>
      <c r="D151" t="str">
        <f>VLOOKUP('Final items'!$A66,'Final items'!$A$1:$Z$300,10,FALSE)</f>
        <v>Are there bike route signs or bike crossing warnings on the segment?  (Note: do not count pavement markings)</v>
      </c>
      <c r="E151" t="str">
        <f t="shared" si="9"/>
        <v>No</v>
      </c>
      <c r="F151" t="str">
        <f>VLOOKUP('Final items'!$A66,'Final items'!$A$1:$Z$300,9,FALSE)</f>
        <v>&lt;p&gt;&lt;img src="[bike_route_signs.png]"/&gt;&lt;/p&gt;</v>
      </c>
      <c r="G151" t="str">
        <f>IF(VLOOKUP(A151,'Final items'!$A$1:$Z$300,11,FALSE)="Write in %", "Count", "Category")</f>
        <v>Category</v>
      </c>
      <c r="H151">
        <f>VLOOKUP(B151,kappas!$A$1:$C$300,2,FALSE)</f>
        <v>1</v>
      </c>
      <c r="I151">
        <f>VLOOKUP(B151,kappas!$A$1:$C$300,3,FALSE)</f>
        <v>1</v>
      </c>
      <c r="J151">
        <f>VLOOKUP(B151,'initial kappas'!$A$1:$C$300,2,FALSE)</f>
        <v>-4.7619047619046201E-2</v>
      </c>
      <c r="K151">
        <f>VLOOKUP(B151,'initial kappas'!$A$1:$C$300,3,FALSE)</f>
        <v>0.90909090909090895</v>
      </c>
    </row>
    <row r="152" spans="1:11">
      <c r="A152" t="str">
        <f>VLOOKUP('Final items'!$A182,'Final items'!$A$1:$Z$300,1,FALSE)</f>
        <v>Minn-Irvine-86</v>
      </c>
      <c r="B152" t="str">
        <f t="shared" si="8"/>
        <v>Minn.Irvine.86</v>
      </c>
      <c r="C152" t="str">
        <f>VLOOKUP('Final items'!$A182,'Kathy''s original list'!$A$1:$Z$300,8,FALSE)</f>
        <v>Is there a fountain or pool?</v>
      </c>
      <c r="D152" t="str">
        <f>VLOOKUP('Final items'!$A182,'Final items'!$A$1:$Z$300,10,FALSE)</f>
        <v>Is there a fountain or pool?</v>
      </c>
      <c r="E152" t="str">
        <f t="shared" si="9"/>
        <v>Yes</v>
      </c>
      <c r="F152" t="str">
        <f>VLOOKUP('Final items'!$A182,'Final items'!$A$1:$Z$300,9,FALSE)</f>
        <v>&lt;p&gt;&lt;img src="[fountain.png]"&gt;&lt;/p&gt;</v>
      </c>
      <c r="G152" t="str">
        <f>IF(VLOOKUP(A152,'Final items'!$A$1:$Z$300,11,FALSE)="Write in %", "Count", "Category")</f>
        <v>Category</v>
      </c>
      <c r="H152">
        <f>VLOOKUP(B152,kappas!$A$1:$C$300,2,FALSE)</f>
        <v>1</v>
      </c>
      <c r="I152">
        <f>VLOOKUP(B152,kappas!$A$1:$C$300,3,FALSE)</f>
        <v>1</v>
      </c>
      <c r="J152" t="str">
        <f>VLOOKUP(B152,'initial kappas'!$A$1:$C$300,2,FALSE)</f>
        <v>NA</v>
      </c>
      <c r="K152">
        <f>VLOOKUP(B152,'initial kappas'!$A$1:$C$300,3,FALSE)</f>
        <v>1</v>
      </c>
    </row>
    <row r="153" spans="1:11">
      <c r="A153" t="str">
        <f>VLOOKUP('Final items'!$A3,'Final items'!$A$1:$Z$300,1,FALSE)</f>
        <v>Meta-1</v>
      </c>
      <c r="B153" t="str">
        <f t="shared" si="8"/>
        <v>Meta.1</v>
      </c>
      <c r="C153" t="e">
        <f>VLOOKUP('Final items'!$A3,'Kathy''s original list'!$A$1:$Z$300,8,FALSE)</f>
        <v>#N/A</v>
      </c>
      <c r="D153" t="str">
        <f>VLOOKUP('Final items'!$A3,'Final items'!$A$1:$Z$300,10,FALSE)</f>
        <v>How many steps long is the segment?</v>
      </c>
      <c r="E153" t="e">
        <f t="shared" si="9"/>
        <v>#N/A</v>
      </c>
      <c r="F153" t="str">
        <f>VLOOKUP('Final items'!$A3,'Final items'!$A$1:$Z$300,9,FALSE)</f>
        <v>&lt;p&gt;How many times do you need to click or use the forward arrow key to move from one end of the segment to the other?&lt;/p&gt;</v>
      </c>
      <c r="G153" t="str">
        <f>IF(VLOOKUP(A153,'Final items'!$A$1:$Z$300,11,FALSE)="Write in %", "Count", "Category")</f>
        <v>Count</v>
      </c>
      <c r="H153" t="str">
        <f>VLOOKUP(B153,kappas!$A$1:$C$300,2,FALSE)</f>
        <v>NA</v>
      </c>
      <c r="I153">
        <f>VLOOKUP(B153,kappas!$A$1:$C$300,3,FALSE)</f>
        <v>0.278947368421053</v>
      </c>
      <c r="J153" t="str">
        <f>VLOOKUP(B153,'initial kappas'!$A$1:$C$300,2,FALSE)</f>
        <v>NA</v>
      </c>
      <c r="K153">
        <f>VLOOKUP(B153,'initial kappas'!$A$1:$C$300,3,FALSE)</f>
        <v>0.45454545454545497</v>
      </c>
    </row>
    <row r="154" spans="1:11">
      <c r="A154" t="str">
        <f>VLOOKUP('Final items'!$A4,'Final items'!$A$1:$Z$300,1,FALSE)</f>
        <v>Meta-2</v>
      </c>
      <c r="B154" t="str">
        <f t="shared" si="8"/>
        <v>Meta.2</v>
      </c>
      <c r="C154" t="e">
        <f>VLOOKUP('Final items'!$A4,'Kathy''s original list'!$A$1:$Z$300,8,FALSE)</f>
        <v>#N/A</v>
      </c>
      <c r="D154" t="str">
        <f>VLOOKUP('Final items'!$A4,'Final items'!$A$1:$Z$300,10,FALSE)</f>
        <v>For how many of those steps is the view obstructed?</v>
      </c>
      <c r="E154" t="e">
        <f t="shared" si="9"/>
        <v>#N/A</v>
      </c>
      <c r="F154" t="str">
        <f>VLOOKUP('Final items'!$A4,'Final items'!$A$1:$Z$300,9,FALSE)</f>
        <v>&lt;p&gt;An obstructed view is one in which you cannot fully see the sidewalk or adjacent buildings.&lt;p&gt;</v>
      </c>
      <c r="G154" t="str">
        <f>IF(VLOOKUP(A154,'Final items'!$A$1:$Z$300,11,FALSE)="Write in %", "Count", "Category")</f>
        <v>Count</v>
      </c>
      <c r="H154" t="str">
        <f>VLOOKUP(B154,kappas!$A$1:$C$300,2,FALSE)</f>
        <v>NA</v>
      </c>
      <c r="I154">
        <f>VLOOKUP(B154,kappas!$A$1:$C$300,3,FALSE)</f>
        <v>0.268421052631579</v>
      </c>
      <c r="J154" t="str">
        <f>VLOOKUP(B154,'initial kappas'!$A$1:$C$300,2,FALSE)</f>
        <v>NA</v>
      </c>
      <c r="K154">
        <f>VLOOKUP(B154,'initial kappas'!$A$1:$C$300,3,FALSE)</f>
        <v>0.54545454545454497</v>
      </c>
    </row>
    <row r="155" spans="1:11">
      <c r="A155" t="str">
        <f>VLOOKUP('Final items'!$A5,'Final items'!$A$1:$Z$300,1,FALSE)</f>
        <v>Meta-3</v>
      </c>
      <c r="B155" t="str">
        <f t="shared" si="8"/>
        <v>Meta.3</v>
      </c>
      <c r="C155" t="e">
        <f>VLOOKUP('Final items'!$A5,'Kathy''s original list'!$A$1:$Z$300,8,FALSE)</f>
        <v>#N/A</v>
      </c>
      <c r="D155" t="str">
        <f>VLOOKUP('Final items'!$A5,'Final items'!$A$1:$Z$300,10,FALSE)</f>
        <v>How many zoom levels are available?</v>
      </c>
      <c r="E155" t="e">
        <f t="shared" si="9"/>
        <v>#N/A</v>
      </c>
      <c r="F155" t="str">
        <f>VLOOKUP('Final items'!$A5,'Final items'!$A$1:$Z$300,9,FALSE)</f>
        <v>&lt;p&gt;There is a zoom control in the upper left corner of the streetview window -- the + button zooms in and the - button zooms out.  After how many clicks does the image stop changing? &lt;/P&gt;</v>
      </c>
      <c r="G155" t="str">
        <f>IF(VLOOKUP(A155,'Final items'!$A$1:$Z$300,11,FALSE)="Write in %", "Count", "Category")</f>
        <v>Category</v>
      </c>
      <c r="H155" t="str">
        <f>VLOOKUP(B155,kappas!$A$1:$C$300,2,FALSE)</f>
        <v>NA</v>
      </c>
      <c r="I155">
        <f>VLOOKUP(B155,kappas!$A$1:$C$300,3,FALSE)</f>
        <v>1</v>
      </c>
      <c r="J155" t="str">
        <f>VLOOKUP(B155,'initial kappas'!$A$1:$C$300,2,FALSE)</f>
        <v>NA</v>
      </c>
      <c r="K155">
        <f>VLOOKUP(B155,'initial kappas'!$A$1:$C$300,3,FALSE)</f>
        <v>1</v>
      </c>
    </row>
    <row r="156" spans="1:11">
      <c r="A156" t="str">
        <f>VLOOKUP('Final items'!$A26,'Final items'!$A$1:$Z$300,1,FALSE)</f>
        <v>PEDS-21.5</v>
      </c>
      <c r="B156" t="str">
        <f t="shared" si="8"/>
        <v>PEDS.21.5</v>
      </c>
      <c r="C156" t="str">
        <f>VLOOKUP('Final items'!$A26,'Kathy''s original list'!$A$1:$Z$300,8,FALSE)</f>
        <v>Is there a chicane or choker?</v>
      </c>
      <c r="D156" t="str">
        <f>VLOOKUP('Final items'!$A26,'Final items'!$A$1:$Z$300,10,FALSE)</f>
        <v>Is there a chicane or choker?</v>
      </c>
      <c r="E156" t="str">
        <f t="shared" si="9"/>
        <v>Yes</v>
      </c>
      <c r="F156" t="str">
        <f>VLOOKUP('Final items'!$A26,'Final items'!$A$1:$Z$300,9,FALSE)</f>
        <v>&lt;p&gt;Chicanes are a series of narrowings or curb extensions that alternate from one side of the street to the other forming S-shaped curves. Chokers are curb extensions at midblock or intersection corners that narrow a street by extending the sidewalk or widening the planting strip.&lt;/p&gt;&lt;p&gt;&lt;img src="[chicane_choker.png]"&gt;&lt;/p&gt;</v>
      </c>
      <c r="G156" t="str">
        <f>IF(VLOOKUP(A156,'Final items'!$A$1:$Z$300,11,FALSE)="Write in %", "Count", "Category")</f>
        <v>Category</v>
      </c>
      <c r="H156" t="str">
        <f>VLOOKUP(B156,kappas!$A$1:$C$300,2,FALSE)</f>
        <v>NA</v>
      </c>
      <c r="I156">
        <f>VLOOKUP(B156,kappas!$A$1:$C$300,3,FALSE)</f>
        <v>1</v>
      </c>
      <c r="J156">
        <f>VLOOKUP(B156,'initial kappas'!$A$1:$C$300,2,FALSE)</f>
        <v>-4.7619047619046201E-2</v>
      </c>
      <c r="K156">
        <f>VLOOKUP(B156,'initial kappas'!$A$1:$C$300,3,FALSE)</f>
        <v>0.90909090909090895</v>
      </c>
    </row>
    <row r="157" spans="1:11">
      <c r="A157" t="str">
        <f>VLOOKUP('Final items'!$A27,'Final items'!$A$1:$Z$300,1,FALSE)</f>
        <v>PEDS-23.7</v>
      </c>
      <c r="B157" t="str">
        <f t="shared" si="8"/>
        <v>PEDS.23.7</v>
      </c>
      <c r="C157" t="str">
        <f>VLOOKUP('Final items'!$A27,'Kathy''s original list'!$A$1:$Z$300,8,FALSE)</f>
        <v>Is there a flashing warning sign?</v>
      </c>
      <c r="D157" t="str">
        <f>VLOOKUP('Final items'!$A27,'Final items'!$A$1:$Z$300,10,FALSE)</f>
        <v>Is there a flashing warning sign?</v>
      </c>
      <c r="E157" t="str">
        <f t="shared" si="9"/>
        <v>Yes</v>
      </c>
      <c r="F157" t="str">
        <f>VLOOKUP('Final items'!$A27,'Final items'!$A$1:$Z$300,9,FALSE)</f>
        <v>&lt;p&gt;&lt;img src="[flashing_warning.png]"/&gt;&lt;/p&gt;</v>
      </c>
      <c r="G157" t="str">
        <f>IF(VLOOKUP(A157,'Final items'!$A$1:$Z$300,11,FALSE)="Write in %", "Count", "Category")</f>
        <v>Category</v>
      </c>
      <c r="H157" t="str">
        <f>VLOOKUP(B157,kappas!$A$1:$C$300,2,FALSE)</f>
        <v>NA</v>
      </c>
      <c r="I157">
        <f>VLOOKUP(B157,kappas!$A$1:$C$300,3,FALSE)</f>
        <v>1</v>
      </c>
      <c r="J157" t="str">
        <f>VLOOKUP(B157,'initial kappas'!$A$1:$C$300,2,FALSE)</f>
        <v>NA</v>
      </c>
      <c r="K157">
        <f>VLOOKUP(B157,'initial kappas'!$A$1:$C$300,3,FALSE)</f>
        <v>1</v>
      </c>
    </row>
    <row r="158" spans="1:11">
      <c r="A158" t="str">
        <f>VLOOKUP('Final items'!$A29,'Final items'!$A$1:$Z$300,1,FALSE)</f>
        <v>PEDS-23.5</v>
      </c>
      <c r="B158" t="str">
        <f t="shared" si="8"/>
        <v>PEDS.23.5</v>
      </c>
      <c r="C158" t="str">
        <f>VLOOKUP('Final items'!$A29,'Kathy''s original list'!$A$1:$Z$300,8,FALSE)</f>
        <v>Is there an overpass or underpass?</v>
      </c>
      <c r="D158" t="str">
        <f>VLOOKUP('Final items'!$A29,'Final items'!$A$1:$Z$300,10,FALSE)</f>
        <v>Is there an overpass or underpass?</v>
      </c>
      <c r="E158" t="str">
        <f t="shared" si="9"/>
        <v>Yes</v>
      </c>
      <c r="F158" t="str">
        <f>VLOOKUP('Final items'!$A29,'Final items'!$A$1:$Z$300,9,FALSE)</f>
        <v>&lt;p&gt;Warnings to cars &lt;img src="[overpass.png]"/&gt;&lt;/p&gt;</v>
      </c>
      <c r="G158" t="str">
        <f>IF(VLOOKUP(A158,'Final items'!$A$1:$Z$300,11,FALSE)="Write in %", "Count", "Category")</f>
        <v>Category</v>
      </c>
      <c r="H158" t="str">
        <f>VLOOKUP(B158,kappas!$A$1:$C$300,2,FALSE)</f>
        <v>NA</v>
      </c>
      <c r="I158">
        <f>VLOOKUP(B158,kappas!$A$1:$C$300,3,FALSE)</f>
        <v>1</v>
      </c>
      <c r="J158">
        <f>VLOOKUP(B158,'initial kappas'!$A$1:$C$300,2,FALSE)</f>
        <v>-4.7619047619046201E-2</v>
      </c>
      <c r="K158">
        <f>VLOOKUP(B158,'initial kappas'!$A$1:$C$300,3,FALSE)</f>
        <v>0.90909090909090895</v>
      </c>
    </row>
    <row r="159" spans="1:11">
      <c r="A159" t="str">
        <f>VLOOKUP('Final items'!$A32,'Final items'!$A$1:$Z$300,1,FALSE)</f>
        <v>PEDS-23.8</v>
      </c>
      <c r="B159" t="str">
        <f t="shared" si="8"/>
        <v>PEDS.23.8</v>
      </c>
      <c r="C159" t="str">
        <f>VLOOKUP('Final items'!$A32,'Kathy''s original list'!$A$1:$Z$300,8,FALSE)</f>
        <v>Is there a share the road warning sign?</v>
      </c>
      <c r="D159" t="str">
        <f>VLOOKUP('Final items'!$A32,'Final items'!$A$1:$Z$300,10,FALSE)</f>
        <v>Is there a share the road warning sign?</v>
      </c>
      <c r="E159" t="str">
        <f t="shared" si="9"/>
        <v>Yes</v>
      </c>
      <c r="F159">
        <f>VLOOKUP('Final items'!$A32,'Final items'!$A$1:$Z$300,9,FALSE)</f>
        <v>0</v>
      </c>
      <c r="G159" t="str">
        <f>IF(VLOOKUP(A159,'Final items'!$A$1:$Z$300,11,FALSE)="Write in %", "Count", "Category")</f>
        <v>Category</v>
      </c>
      <c r="H159" t="str">
        <f>VLOOKUP(B159,kappas!$A$1:$C$300,2,FALSE)</f>
        <v>NA</v>
      </c>
      <c r="I159">
        <f>VLOOKUP(B159,kappas!$A$1:$C$300,3,FALSE)</f>
        <v>1</v>
      </c>
      <c r="J159" t="str">
        <f>VLOOKUP(B159,'initial kappas'!$A$1:$C$300,2,FALSE)</f>
        <v>NA</v>
      </c>
      <c r="K159">
        <f>VLOOKUP(B159,'initial kappas'!$A$1:$C$300,3,FALSE)</f>
        <v>1</v>
      </c>
    </row>
    <row r="160" spans="1:11">
      <c r="A160" t="str">
        <f>VLOOKUP('Final items'!$A33,'Final items'!$A$1:$Z$300,1,FALSE)</f>
        <v>PEDS-23.1</v>
      </c>
      <c r="B160" t="str">
        <f t="shared" si="8"/>
        <v>PEDS.23.1</v>
      </c>
      <c r="C160" t="str">
        <f>VLOOKUP('Final items'!$A33,'Kathy''s original list'!$A$1:$Z$300,8,FALSE)</f>
        <v>Are there yield to pedestrian paddles?</v>
      </c>
      <c r="D160" t="str">
        <f>VLOOKUP('Final items'!$A33,'Final items'!$A$1:$Z$300,10,FALSE)</f>
        <v>Are there yield to pedestrian paddles?</v>
      </c>
      <c r="E160" t="str">
        <f t="shared" si="9"/>
        <v>Yes</v>
      </c>
      <c r="F160" t="str">
        <f>VLOOKUP('Final items'!$A33,'Final items'!$A$1:$Z$300,9,FALSE)</f>
        <v>&lt;p&gt;&lt;img src="[yield_to_ped_paddles.png]"/&gt;&lt;/p&gt;</v>
      </c>
      <c r="G160" t="str">
        <f>IF(VLOOKUP(A160,'Final items'!$A$1:$Z$300,11,FALSE)="Write in %", "Count", "Category")</f>
        <v>Category</v>
      </c>
      <c r="H160" t="str">
        <f>VLOOKUP(B160,kappas!$A$1:$C$300,2,FALSE)</f>
        <v>NA</v>
      </c>
      <c r="I160">
        <f>VLOOKUP(B160,kappas!$A$1:$C$300,3,FALSE)</f>
        <v>1</v>
      </c>
      <c r="J160" t="str">
        <f>VLOOKUP(B160,'initial kappas'!$A$1:$C$300,2,FALSE)</f>
        <v>NA</v>
      </c>
      <c r="K160">
        <f>VLOOKUP(B160,'initial kappas'!$A$1:$C$300,3,FALSE)</f>
        <v>1</v>
      </c>
    </row>
    <row r="161" spans="1:11">
      <c r="A161" t="str">
        <f>VLOOKUP('Final items'!$A51,'Final items'!$A$1:$Z$300,1,FALSE)</f>
        <v>Minn-Irvine-135</v>
      </c>
      <c r="B161" t="str">
        <f t="shared" si="8"/>
        <v>Minn.Irvine.135</v>
      </c>
      <c r="C161" t="str">
        <f>VLOOKUP('Final items'!$A51,'Kathy''s original list'!$A$1:$Z$300,8,FALSE)</f>
        <v>Is a parking structure visible?</v>
      </c>
      <c r="D161" t="str">
        <f>VLOOKUP('Final items'!$A51,'Final items'!$A$1:$Z$300,10,FALSE)</f>
        <v>Is a parking structure visible?</v>
      </c>
      <c r="E161" t="str">
        <f t="shared" si="9"/>
        <v>Yes</v>
      </c>
      <c r="F161" t="str">
        <f>VLOOKUP('Final items'!$A51,'Final items'!$A$1:$Z$300,9,FALSE)</f>
        <v xml:space="preserve">&lt;p&gt;Note that the parking structure need not be on the segment being rated; it need merely be visible.&lt;/p&gt;&lt;p&gt;Please do not include parking structures that are completely underground.&lt;/p&gt; &lt;p&gt;&lt;img src="[parking_structure.png]"/&gt;&lt;/p&gt; </v>
      </c>
      <c r="G161" t="str">
        <f>IF(VLOOKUP(A161,'Final items'!$A$1:$Z$300,11,FALSE)="Write in %", "Count", "Category")</f>
        <v>Category</v>
      </c>
      <c r="H161" t="str">
        <f>VLOOKUP(B161,kappas!$A$1:$C$300,2,FALSE)</f>
        <v>NA</v>
      </c>
      <c r="I161">
        <f>VLOOKUP(B161,kappas!$A$1:$C$300,3,FALSE)</f>
        <v>1</v>
      </c>
      <c r="J161" t="str">
        <f>VLOOKUP(B161,'initial kappas'!$A$1:$C$300,2,FALSE)</f>
        <v>NA</v>
      </c>
      <c r="K161">
        <f>VLOOKUP(B161,'initial kappas'!$A$1:$C$300,3,FALSE)</f>
        <v>1</v>
      </c>
    </row>
    <row r="162" spans="1:11">
      <c r="A162" t="str">
        <f>VLOOKUP('Final items'!$A52,'Final items'!$A$1:$Z$300,1,FALSE)</f>
        <v>Minn-Irvine-136</v>
      </c>
      <c r="B162" t="str">
        <f t="shared" ref="B162:B193" si="10">SUBSTITUTE(A162,"-",".")</f>
        <v>Minn.Irvine.136</v>
      </c>
      <c r="C162" t="str">
        <f>VLOOKUP('Final items'!$A52,'Kathy''s original list'!$A$1:$Z$300,8,FALSE)</f>
        <v>What is the street level use of the parking structure if any?</v>
      </c>
      <c r="D162" t="str">
        <f>VLOOKUP('Final items'!$A52,'Final items'!$A$1:$Z$300,10,FALSE)</f>
        <v>What is the street level use of the parking structure if any?</v>
      </c>
      <c r="E162" t="str">
        <f t="shared" ref="E162:E193" si="11">IF(AND(C162=D162,NOT(C162=0)),"Yes","No")</f>
        <v>Yes</v>
      </c>
      <c r="F162" t="str">
        <f>VLOOKUP('Final items'!$A52,'Final items'!$A$1:$Z$300,9,FALSE)</f>
        <v>&lt;p&gt;Varied indicates that the street level use is parking for some of the garage, where Not Parking indicates retail or other non-parking use along the entire bulding.&lt;/p&gt;&lt;table&gt;&lt;tr&gt;&lt;th&gt;Parking&lt;/th&gt;&lt;th&gt;Varied&lt;/th&gt;&lt;th&gt;Not Parking&lt;/th&gt;&lt;/tr&gt;&lt;tr&gt;&lt;td&gt;&lt;img src="[parking.png]"/&gt;&lt;/td&gt;&lt;td&gt;&lt;img src="[varied.png]"/&gt;&lt;/td&gt;&lt;td&gt;&lt;img src="[no_parking.png]"/&gt;&lt;/td&gt;&lt;/tr&gt;&lt;/table&gt;</v>
      </c>
      <c r="G162" t="str">
        <f>IF(VLOOKUP(A162,'Final items'!$A$1:$Z$300,11,FALSE)="Write in %", "Count", "Category")</f>
        <v>Category</v>
      </c>
      <c r="H162" t="str">
        <f>VLOOKUP(B162,kappas!$A$1:$C$300,2,FALSE)</f>
        <v>NA</v>
      </c>
      <c r="I162">
        <f>VLOOKUP(B162,kappas!$A$1:$C$300,3,FALSE)</f>
        <v>1</v>
      </c>
      <c r="J162">
        <f>VLOOKUP(B162,'initial kappas'!$A$1:$C$300,2,FALSE)</f>
        <v>-0.46666666666666701</v>
      </c>
      <c r="K162">
        <f>VLOOKUP(B162,'initial kappas'!$A$1:$C$300,3,FALSE)</f>
        <v>0.27272727272727298</v>
      </c>
    </row>
    <row r="163" spans="1:11">
      <c r="A163" t="str">
        <f>VLOOKUP('Final items'!$A62,'Final items'!$A$1:$Z$300,1,FALSE)</f>
        <v>Minn-Irvine-108</v>
      </c>
      <c r="B163" t="str">
        <f t="shared" si="10"/>
        <v>Minn.Irvine.108</v>
      </c>
      <c r="C163" t="str">
        <f>VLOOKUP('Final items'!$A62,'Kathy''s original list'!$A$1:$Z$300,8,FALSE)</f>
        <v>Are there bicycle lanes and if so how are they demarcated?</v>
      </c>
      <c r="D163" t="str">
        <f>VLOOKUP('Final items'!$A62,'Final items'!$A$1:$Z$300,10,FALSE)</f>
        <v>Are there bicycle lanes and if so how are they demarcated?</v>
      </c>
      <c r="E163" t="str">
        <f t="shared" si="11"/>
        <v>Yes</v>
      </c>
      <c r="F163" t="str">
        <f>VLOOKUP('Final items'!$A62,'Final items'!$A$1:$Z$300,9,FALSE)</f>
        <v>&lt;p&gt;Some examples of different types of bike lanes:&lt;/p&gt;&lt;table&gt;&lt;tr&gt;&lt;th&gt;On road-painted&lt;/th&gt;&lt;th&gt;On road-physically separated&lt;/th&gt;&lt;th&gt;Off road&lt;/th&gt;&lt;/tr&gt;&lt;tr&gt;&lt;td&gt;&lt;img src="[bike_lanes_on_road.png]"&gt;&lt;/td&gt;&lt;td&gt;&lt;img src="[bike_lanes_on_road_physically_separated.png]"&gt;&lt;/td&gt;&lt;td&gt;&lt;img src="[bike_lanes_off_road.png]"&gt;&lt;/td&gt;&lt;/tr&gt;&lt;/table&gt;</v>
      </c>
      <c r="G163" t="str">
        <f>IF(VLOOKUP(A163,'Final items'!$A$1:$Z$300,11,FALSE)="Write in %", "Count", "Category")</f>
        <v>Category</v>
      </c>
      <c r="H163" t="str">
        <f>VLOOKUP(B163,kappas!$A$1:$C$300,2,FALSE)</f>
        <v>NA</v>
      </c>
      <c r="I163">
        <f>VLOOKUP(B163,kappas!$A$1:$C$300,3,FALSE)</f>
        <v>1</v>
      </c>
      <c r="J163" t="str">
        <f>VLOOKUP(B163,'initial kappas'!$A$1:$C$300,2,FALSE)</f>
        <v>NA</v>
      </c>
      <c r="K163">
        <f>VLOOKUP(B163,'initial kappas'!$A$1:$C$300,3,FALSE)</f>
        <v>1</v>
      </c>
    </row>
    <row r="164" spans="1:11">
      <c r="A164" t="str">
        <f>VLOOKUP('Final items'!$A113,'Final items'!$A$1:$Z$300,1,FALSE)</f>
        <v>Minn-Irvine-93</v>
      </c>
      <c r="B164" t="str">
        <f t="shared" si="10"/>
        <v>Minn.Irvine.93</v>
      </c>
      <c r="C164" t="str">
        <f>VLOOKUP('Final items'!$A113,'Kathy''s original list'!$A$1:$Z$300,8,FALSE)</f>
        <v>Is a railroad track present and is it a barrier to walking?</v>
      </c>
      <c r="D164" t="str">
        <f>VLOOKUP('Final items'!$A113,'Final items'!$A$1:$Z$300,10,FALSE)</f>
        <v>Is a railroad track present?</v>
      </c>
      <c r="E164" t="str">
        <f t="shared" si="11"/>
        <v>No</v>
      </c>
      <c r="F164" t="str">
        <f>VLOOKUP('Final items'!$A113,'Final items'!$A$1:$Z$300,9,FALSE)</f>
        <v>&lt;p&gt;&lt;img src="[railroad_track.png]"&gt;&lt;/p&gt;</v>
      </c>
      <c r="G164" t="str">
        <f>IF(VLOOKUP(A164,'Final items'!$A$1:$Z$300,11,FALSE)="Write in %", "Count", "Category")</f>
        <v>Category</v>
      </c>
      <c r="H164" t="str">
        <f>VLOOKUP(B164,kappas!$A$1:$C$300,2,FALSE)</f>
        <v>NA</v>
      </c>
      <c r="I164">
        <f>VLOOKUP(B164,kappas!$A$1:$C$300,3,FALSE)</f>
        <v>1</v>
      </c>
      <c r="J164" t="str">
        <f>VLOOKUP(B164,'initial kappas'!$A$1:$C$300,2,FALSE)</f>
        <v>NA</v>
      </c>
      <c r="K164">
        <f>VLOOKUP(B164,'initial kappas'!$A$1:$C$300,3,FALSE)</f>
        <v>1</v>
      </c>
    </row>
    <row r="165" spans="1:11">
      <c r="A165" t="str">
        <f>VLOOKUP('Final items'!$A114,'Final items'!$A$1:$Z$300,1,FALSE)</f>
        <v>Minn-Irvine-93.1</v>
      </c>
      <c r="B165" t="str">
        <f t="shared" si="10"/>
        <v>Minn.Irvine.93.1</v>
      </c>
      <c r="C165" t="e">
        <f>VLOOKUP('Final items'!$A114,'Kathy''s original list'!$A$1:$Z$300,8,FALSE)</f>
        <v>#N/A</v>
      </c>
      <c r="D165" t="str">
        <f>VLOOKUP('Final items'!$A114,'Final items'!$A$1:$Z$300,10,FALSE)</f>
        <v>Is that railroad track a barrier to walking?</v>
      </c>
      <c r="E165" t="e">
        <f t="shared" si="11"/>
        <v>#N/A</v>
      </c>
      <c r="F165">
        <f>VLOOKUP('Final items'!$A114,'Final items'!$A$1:$Z$300,9,FALSE)</f>
        <v>0</v>
      </c>
      <c r="G165" t="str">
        <f>IF(VLOOKUP(A165,'Final items'!$A$1:$Z$300,11,FALSE)="Write in %", "Count", "Category")</f>
        <v>Category</v>
      </c>
      <c r="H165" t="str">
        <f>VLOOKUP(B165,kappas!$A$1:$C$300,2,FALSE)</f>
        <v>NA</v>
      </c>
      <c r="I165">
        <f>VLOOKUP(B165,kappas!$A$1:$C$300,3,FALSE)</f>
        <v>1</v>
      </c>
      <c r="J165" t="str">
        <f>VLOOKUP(B165,'initial kappas'!$A$1:$C$300,2,FALSE)</f>
        <v>NA</v>
      </c>
      <c r="K165">
        <f>VLOOKUP(B165,'initial kappas'!$A$1:$C$300,3,FALSE)</f>
        <v>1</v>
      </c>
    </row>
    <row r="166" spans="1:11">
      <c r="A166" t="str">
        <f>VLOOKUP('Final items'!$A128,'Final items'!$A$1:$Z$300,1,FALSE)</f>
        <v>Minn-Irvine-28</v>
      </c>
      <c r="B166" t="str">
        <f t="shared" si="10"/>
        <v>Minn.Irvine.28</v>
      </c>
      <c r="C166" t="str">
        <f>VLOOKUP('Final items'!$A128,'Kathy''s original list'!$A$1:$Z$300,8,FALSE)</f>
        <v>Is there any other residential land use?</v>
      </c>
      <c r="D166" t="str">
        <f>VLOOKUP('Final items'!$A128,'Final items'!$A$1:$Z$300,10,FALSE)</f>
        <v>Is there any other residential land use?</v>
      </c>
      <c r="E166" t="str">
        <f t="shared" si="11"/>
        <v>Yes</v>
      </c>
      <c r="F166">
        <f>VLOOKUP('Final items'!$A128,'Final items'!$A$1:$Z$300,9,FALSE)</f>
        <v>0</v>
      </c>
      <c r="G166" t="str">
        <f>IF(VLOOKUP(A166,'Final items'!$A$1:$Z$300,11,FALSE)="Write in %", "Count", "Category")</f>
        <v>Category</v>
      </c>
      <c r="H166" t="str">
        <f>VLOOKUP(B166,kappas!$A$1:$C$300,2,FALSE)</f>
        <v>NA</v>
      </c>
      <c r="I166">
        <f>VLOOKUP(B166,kappas!$A$1:$C$300,3,FALSE)</f>
        <v>1</v>
      </c>
      <c r="J166">
        <f>VLOOKUP(B166,'initial kappas'!$A$1:$C$300,2,FALSE)</f>
        <v>-4.7619047619046201E-2</v>
      </c>
      <c r="K166">
        <f>VLOOKUP(B166,'initial kappas'!$A$1:$C$300,3,FALSE)</f>
        <v>0.90909090909090895</v>
      </c>
    </row>
    <row r="167" spans="1:11">
      <c r="A167" t="str">
        <f>VLOOKUP('Final items'!$A160,'Final items'!$A$1:$Z$300,1,FALSE)</f>
        <v>Minn-Irvine-54</v>
      </c>
      <c r="B167" t="str">
        <f t="shared" si="10"/>
        <v>Minn.Irvine.54</v>
      </c>
      <c r="C167" t="str">
        <f>VLOOKUP('Final items'!$A160,'Kathy''s original list'!$A$1:$Z$300,8,FALSE)</f>
        <v>Is there any light industrial (small or clean) land use?</v>
      </c>
      <c r="D167" t="str">
        <f>VLOOKUP('Final items'!$A160,'Final items'!$A$1:$Z$300,10,FALSE)</f>
        <v>Is there any light industrial (small) land use?</v>
      </c>
      <c r="E167" t="str">
        <f t="shared" si="11"/>
        <v>No</v>
      </c>
      <c r="F167" t="str">
        <f>VLOOKUP('Final items'!$A160,'Final items'!$A$1:$Z$300,9,FALSE)</f>
        <v>&lt;p&gt;Industrial uses are intended to include job locations; do not count, say, electrical substations or warehouses.&lt;p&gt;</v>
      </c>
      <c r="G167" t="str">
        <f>IF(VLOOKUP(A167,'Final items'!$A$1:$Z$300,11,FALSE)="Write in %", "Count", "Category")</f>
        <v>Category</v>
      </c>
      <c r="H167" t="str">
        <f>VLOOKUP(B167,kappas!$A$1:$C$300,2,FALSE)</f>
        <v>NA</v>
      </c>
      <c r="I167">
        <f>VLOOKUP(B167,kappas!$A$1:$C$300,3,FALSE)</f>
        <v>1</v>
      </c>
      <c r="J167" t="str">
        <f>VLOOKUP(B167,'initial kappas'!$A$1:$C$300,2,FALSE)</f>
        <v>NA</v>
      </c>
      <c r="K167">
        <f>VLOOKUP(B167,'initial kappas'!$A$1:$C$300,3,FALSE)</f>
        <v>1</v>
      </c>
    </row>
    <row r="168" spans="1:11">
      <c r="A168" t="str">
        <f>VLOOKUP('Final items'!$A161,'Final items'!$A$1:$Z$300,1,FALSE)</f>
        <v>Minn-Irvine-55</v>
      </c>
      <c r="B168" t="str">
        <f t="shared" si="10"/>
        <v>Minn.Irvine.55</v>
      </c>
      <c r="C168" t="str">
        <f>VLOOKUP('Final items'!$A161,'Kathy''s original list'!$A$1:$Z$300,8,FALSE)</f>
        <v>Is there any medium or heavy industrial (e.g. chemical plants, oil wells) land use?</v>
      </c>
      <c r="D168" t="str">
        <f>VLOOKUP('Final items'!$A161,'Final items'!$A$1:$Z$300,10,FALSE)</f>
        <v>Is there any medium or heavy industrial (e.g. chemical plants, oil wells) land use?</v>
      </c>
      <c r="E168" t="str">
        <f t="shared" si="11"/>
        <v>Yes</v>
      </c>
      <c r="F168">
        <f>VLOOKUP('Final items'!$A161,'Final items'!$A$1:$Z$300,9,FALSE)</f>
        <v>0</v>
      </c>
      <c r="G168" t="str">
        <f>IF(VLOOKUP(A168,'Final items'!$A$1:$Z$300,11,FALSE)="Write in %", "Count", "Category")</f>
        <v>Category</v>
      </c>
      <c r="H168" t="str">
        <f>VLOOKUP(B168,kappas!$A$1:$C$300,2,FALSE)</f>
        <v>NA</v>
      </c>
      <c r="I168">
        <f>VLOOKUP(B168,kappas!$A$1:$C$300,3,FALSE)</f>
        <v>1</v>
      </c>
      <c r="J168" t="str">
        <f>VLOOKUP(B168,'initial kappas'!$A$1:$C$300,2,FALSE)</f>
        <v>NA</v>
      </c>
      <c r="K168">
        <f>VLOOKUP(B168,'initial kappas'!$A$1:$C$300,3,FALSE)</f>
        <v>1</v>
      </c>
    </row>
    <row r="169" spans="1:11">
      <c r="A169" t="str">
        <f>VLOOKUP('Final items'!$A162,'Final items'!$A$1:$Z$300,1,FALSE)</f>
        <v>Minn-Irvine-56</v>
      </c>
      <c r="B169" t="str">
        <f t="shared" si="10"/>
        <v>Minn.Irvine.56</v>
      </c>
      <c r="C169" t="str">
        <f>VLOOKUP('Final items'!$A162,'Kathy''s original list'!$A$1:$Z$300,8,FALSE)</f>
        <v>Is there any other industrial land use?</v>
      </c>
      <c r="D169" t="str">
        <f>VLOOKUP('Final items'!$A162,'Final items'!$A$1:$Z$300,10,FALSE)</f>
        <v>Is there any other industrial land use?</v>
      </c>
      <c r="E169" t="str">
        <f t="shared" si="11"/>
        <v>Yes</v>
      </c>
      <c r="F169" t="str">
        <f>VLOOKUP('Final items'!$A162,'Final items'!$A$1:$Z$300,9,FALSE)</f>
        <v>&lt;p&gt;This category includes warehouses that aren't part of warehouse stores.&lt;/p&gt;</v>
      </c>
      <c r="G169" t="str">
        <f>IF(VLOOKUP(A169,'Final items'!$A$1:$Z$300,11,FALSE)="Write in %", "Count", "Category")</f>
        <v>Category</v>
      </c>
      <c r="H169" t="str">
        <f>VLOOKUP(B169,kappas!$A$1:$C$300,2,FALSE)</f>
        <v>NA</v>
      </c>
      <c r="I169">
        <f>VLOOKUP(B169,kappas!$A$1:$C$300,3,FALSE)</f>
        <v>1</v>
      </c>
      <c r="J169" t="str">
        <f>VLOOKUP(B169,'initial kappas'!$A$1:$C$300,2,FALSE)</f>
        <v>NA</v>
      </c>
      <c r="K169">
        <f>VLOOKUP(B169,'initial kappas'!$A$1:$C$300,3,FALSE)</f>
        <v>1</v>
      </c>
    </row>
    <row r="170" spans="1:11">
      <c r="A170" t="str">
        <f>VLOOKUP('Final items'!$A185,'Final items'!$A$1:$Z$300,1,FALSE)</f>
        <v>Minn-Irvine-89</v>
      </c>
      <c r="B170" t="str">
        <f t="shared" si="10"/>
        <v>Minn.Irvine.89</v>
      </c>
      <c r="C170" t="str">
        <f>VLOOKUP('Final items'!$A185,'Kathy''s original list'!$A$1:$Z$300,8,FALSE)</f>
        <v>Is there an ocean?</v>
      </c>
      <c r="D170" t="str">
        <f>VLOOKUP('Final items'!$A185,'Final items'!$A$1:$Z$300,10,FALSE)</f>
        <v>Is there an ocean?</v>
      </c>
      <c r="E170" t="str">
        <f t="shared" si="11"/>
        <v>Yes</v>
      </c>
      <c r="F170" t="str">
        <f>VLOOKUP('Final items'!$A185,'Final items'!$A$1:$Z$300,9,FALSE)</f>
        <v>&lt;p&gt;&lt;img src="[ocean.png]"&gt;&lt;/p&gt;</v>
      </c>
      <c r="G170" t="str">
        <f>IF(VLOOKUP(A170,'Final items'!$A$1:$Z$300,11,FALSE)="Write in %", "Count", "Category")</f>
        <v>Category</v>
      </c>
      <c r="H170" t="str">
        <f>VLOOKUP(B170,kappas!$A$1:$C$300,2,FALSE)</f>
        <v>NA</v>
      </c>
      <c r="I170">
        <f>VLOOKUP(B170,kappas!$A$1:$C$300,3,FALSE)</f>
        <v>1</v>
      </c>
      <c r="J170" t="str">
        <f>VLOOKUP(B170,'initial kappas'!$A$1:$C$300,2,FALSE)</f>
        <v>NA</v>
      </c>
      <c r="K170">
        <f>VLOOKUP(B170,'initial kappas'!$A$1:$C$300,3,FALSE)</f>
        <v>1</v>
      </c>
    </row>
    <row r="171" spans="1:11">
      <c r="A171" t="str">
        <f>VLOOKUP('Final items'!$A186,'Final items'!$A$1:$Z$300,1,FALSE)</f>
        <v>Minn-Irvine-90</v>
      </c>
      <c r="B171" t="str">
        <f t="shared" si="10"/>
        <v>Minn.Irvine.90</v>
      </c>
      <c r="C171" t="str">
        <f>VLOOKUP('Final items'!$A186,'Kathy''s original list'!$A$1:$Z$300,8,FALSE)</f>
        <v>Is there a mountain or hills?</v>
      </c>
      <c r="D171" t="str">
        <f>VLOOKUP('Final items'!$A186,'Final items'!$A$1:$Z$300,10,FALSE)</f>
        <v>Is there a mountain or hills?</v>
      </c>
      <c r="E171" t="str">
        <f t="shared" si="11"/>
        <v>Yes</v>
      </c>
      <c r="F171" t="str">
        <f>VLOOKUP('Final items'!$A186,'Final items'!$A$1:$Z$300,9,FALSE)</f>
        <v>&lt;p&gt;&lt;img src="[mountain.png]"&gt;&lt;/p&gt;</v>
      </c>
      <c r="G171" t="str">
        <f>IF(VLOOKUP(A171,'Final items'!$A$1:$Z$300,11,FALSE)="Write in %", "Count", "Category")</f>
        <v>Category</v>
      </c>
      <c r="H171" t="str">
        <f>VLOOKUP(B171,kappas!$A$1:$C$300,2,FALSE)</f>
        <v>NA</v>
      </c>
      <c r="I171">
        <f>VLOOKUP(B171,kappas!$A$1:$C$300,3,FALSE)</f>
        <v>1</v>
      </c>
      <c r="J171" t="str">
        <f>VLOOKUP(B171,'initial kappas'!$A$1:$C$300,2,FALSE)</f>
        <v>NA</v>
      </c>
      <c r="K171">
        <f>VLOOKUP(B171,'initial kappas'!$A$1:$C$300,3,FALSE)</f>
        <v>1</v>
      </c>
    </row>
    <row r="172" spans="1:11">
      <c r="A172" t="str">
        <f>VLOOKUP('Final items'!$A187,'Final items'!$A$1:$Z$300,1,FALSE)</f>
        <v>Minn-Irvine-91</v>
      </c>
      <c r="B172" t="str">
        <f t="shared" si="10"/>
        <v>Minn.Irvine.91</v>
      </c>
      <c r="C172" t="str">
        <f>VLOOKUP('Final items'!$A187,'Kathy''s original list'!$A$1:$Z$300,8,FALSE)</f>
        <v>Is there a desert?</v>
      </c>
      <c r="D172" t="str">
        <f>VLOOKUP('Final items'!$A187,'Final items'!$A$1:$Z$300,10,FALSE)</f>
        <v>Is there a desert?</v>
      </c>
      <c r="E172" t="str">
        <f t="shared" si="11"/>
        <v>Yes</v>
      </c>
      <c r="F172" t="str">
        <f>VLOOKUP('Final items'!$A187,'Final items'!$A$1:$Z$300,9,FALSE)</f>
        <v>&lt;p&gt;&lt;img src="[desert.png]"&gt;&lt;/p&gt;</v>
      </c>
      <c r="G172" t="str">
        <f>IF(VLOOKUP(A172,'Final items'!$A$1:$Z$300,11,FALSE)="Write in %", "Count", "Category")</f>
        <v>Category</v>
      </c>
      <c r="H172" t="str">
        <f>VLOOKUP(B172,kappas!$A$1:$C$300,2,FALSE)</f>
        <v>NA</v>
      </c>
      <c r="I172">
        <f>VLOOKUP(B172,kappas!$A$1:$C$300,3,FALSE)</f>
        <v>1</v>
      </c>
      <c r="J172" t="str">
        <f>VLOOKUP(B172,'initial kappas'!$A$1:$C$300,2,FALSE)</f>
        <v>NA</v>
      </c>
      <c r="K172">
        <f>VLOOKUP(B172,'initial kappas'!$A$1:$C$300,3,FALSE)</f>
        <v>1</v>
      </c>
    </row>
    <row r="173" spans="1:11">
      <c r="A173" t="str">
        <f>VLOOKUP('Final items'!$A195,'Final items'!$A$1:$Z$300,1,FALSE)</f>
        <v>MIUDQ-3</v>
      </c>
      <c r="B173" t="str">
        <f t="shared" si="10"/>
        <v>MIUDQ.3</v>
      </c>
      <c r="C173" t="str">
        <f>VLOOKUP('Final items'!$A195,'Kathy''s original list'!$A$1:$Z$300,8,FALSE)</f>
        <v>What percent of the building frontage is historic?</v>
      </c>
      <c r="D173" t="str">
        <f>VLOOKUP('Final items'!$A195,'Final items'!$A$1:$Z$300,10,FALSE)</f>
        <v>What percent of the building frontage is historic?</v>
      </c>
      <c r="E173" t="str">
        <f t="shared" si="11"/>
        <v>Yes</v>
      </c>
      <c r="F173" t="str">
        <f>VLOOKUP('Final items'!$A195,'Final items'!$A$1:$Z$300,9,FALSE)</f>
        <v>&lt;p&gt;Those built before WWll. Post WWll buildings have lots of glass, interesting lighting, and look very simple or geometric.&lt;/p&gt;</v>
      </c>
      <c r="G173" t="str">
        <f>IF(VLOOKUP(A173,'Final items'!$A$1:$Z$300,11,FALSE)="Write in %", "Count", "Category")</f>
        <v>Count</v>
      </c>
      <c r="H173" t="str">
        <f>VLOOKUP(B173,kappas!$A$1:$C$300,2,FALSE)</f>
        <v>NA</v>
      </c>
      <c r="I173">
        <f>VLOOKUP(B173,kappas!$A$1:$C$300,3,FALSE)</f>
        <v>0.884210526315789</v>
      </c>
      <c r="J173" t="str">
        <f>VLOOKUP(B173,'initial kappas'!$A$1:$C$300,2,FALSE)</f>
        <v>NA</v>
      </c>
      <c r="K173">
        <f>VLOOKUP(B173,'initial kappas'!$A$1:$C$300,3,FALSE)</f>
        <v>0.81818181818181801</v>
      </c>
    </row>
    <row r="174" spans="1:11">
      <c r="A174" t="str">
        <f>VLOOKUP('Final items'!$A201,'Final items'!$A$1:$Z$300,1,FALSE)</f>
        <v>MIUDQ-10</v>
      </c>
      <c r="B174" t="str">
        <f t="shared" si="10"/>
        <v>MIUDQ.10</v>
      </c>
      <c r="C174" t="str">
        <f>VLOOKUP('Final items'!$A201,'Kathy''s original list'!$A$1:$Z$300,8,FALSE)</f>
        <v>What proportion of the block has a street wall (buildings within 10 ft of sidewalk edge)?</v>
      </c>
      <c r="D174" t="str">
        <f>VLOOKUP('Final items'!$A201,'Final items'!$A$1:$Z$300,10,FALSE)</f>
        <v>What proportion of the block has a street wall (buildings within 10 ft of sidewalk edge)?</v>
      </c>
      <c r="E174" t="str">
        <f t="shared" si="11"/>
        <v>Yes</v>
      </c>
      <c r="F174" t="str">
        <f>VLOOKUP('Final items'!$A201,'Final items'!$A$1:$Z$300,9,FALSE)</f>
        <v>&lt;p&gt;Note the proportion of your side of block that consists of a street wall of the total block length. Record the proportion estimates (between 1 and 100).&lt;/p&gt;</v>
      </c>
      <c r="G174" t="str">
        <f>IF(VLOOKUP(A174,'Final items'!$A$1:$Z$300,11,FALSE)="Write in %", "Count", "Category")</f>
        <v>Count</v>
      </c>
      <c r="H174" t="str">
        <f>VLOOKUP(B174,kappas!$A$1:$C$300,2,FALSE)</f>
        <v>NA</v>
      </c>
      <c r="I174">
        <f>VLOOKUP(B174,kappas!$A$1:$C$300,3,FALSE)</f>
        <v>0.83157894736842097</v>
      </c>
      <c r="J174" t="str">
        <f>VLOOKUP(B174,'initial kappas'!$A$1:$C$300,2,FALSE)</f>
        <v>NA</v>
      </c>
      <c r="K174">
        <f>VLOOKUP(B174,'initial kappas'!$A$1:$C$300,3,FALSE)</f>
        <v>0.90909090909090895</v>
      </c>
    </row>
    <row r="175" spans="1:11">
      <c r="A175" t="str">
        <f>VLOOKUP('Final items'!$A204,'Final items'!$A$1:$Z$300,1,FALSE)</f>
        <v>MIUDQ-12</v>
      </c>
      <c r="B175" t="str">
        <f t="shared" si="10"/>
        <v>MIUDQ.12</v>
      </c>
      <c r="C175" t="str">
        <f>VLOOKUP('Final items'!$A204,'Kathy''s original list'!$A$1:$Z$300,8,FALSE)</f>
        <v>What proportion of the view ahead is sky?</v>
      </c>
      <c r="D175" t="str">
        <f>VLOOKUP('Final items'!$A204,'Final items'!$A$1:$Z$300,10,FALSE)</f>
        <v>What proportion of the view ahead is sky at the start of the segment?</v>
      </c>
      <c r="E175" t="str">
        <f t="shared" si="11"/>
        <v>No</v>
      </c>
      <c r="F175" t="str">
        <f>VLOOKUP('Final items'!$A204,'Final items'!$A$1:$Z$300,9,FALSE)</f>
        <v>&lt;p&gt;Assess the percentage of sky visible in your frame of vision. Record the estimated proportion (between 1 and 100). Make sure you are at the beginning of the block just past the cross-street. Sky visible through a glass obstruction does not count as visible sky.&lt;/p&gt;</v>
      </c>
      <c r="G175" t="str">
        <f>IF(VLOOKUP(A175,'Final items'!$A$1:$Z$300,11,FALSE)="Write in %", "Count", "Category")</f>
        <v>Count</v>
      </c>
      <c r="H175" t="str">
        <f>VLOOKUP(B175,kappas!$A$1:$C$300,2,FALSE)</f>
        <v>NA</v>
      </c>
      <c r="I175">
        <f>VLOOKUP(B175,kappas!$A$1:$C$300,3,FALSE)</f>
        <v>0.115789473684211</v>
      </c>
      <c r="J175" t="str">
        <f>VLOOKUP(B175,'initial kappas'!$A$1:$C$300,2,FALSE)</f>
        <v>NA</v>
      </c>
      <c r="K175">
        <f>VLOOKUP(B175,'initial kappas'!$A$1:$C$300,3,FALSE)</f>
        <v>0.27272727272727298</v>
      </c>
    </row>
    <row r="176" spans="1:11">
      <c r="A176" t="str">
        <f>VLOOKUP('Final items'!$A207,'Final items'!$A$1:$Z$300,1,FALSE)</f>
        <v>MIUDQ-19</v>
      </c>
      <c r="B176" t="str">
        <f t="shared" si="10"/>
        <v>MIUDQ.19</v>
      </c>
      <c r="C176" t="str">
        <f>VLOOKUP('Final items'!$A207,'Kathy''s original list'!$A$1:$Z$300,8,FALSE)</f>
        <v>What proportion of the building fronts are windows at street level?</v>
      </c>
      <c r="D176" t="str">
        <f>VLOOKUP('Final items'!$A207,'Final items'!$A$1:$Z$300,10,FALSE)</f>
        <v>What proportion of the building fronts are windows at street level?</v>
      </c>
      <c r="E176" t="str">
        <f t="shared" si="11"/>
        <v>Yes</v>
      </c>
      <c r="F176" t="str">
        <f>VLOOKUP('Final items'!$A207,'Final items'!$A$1:$Z$300,9,FALSE)</f>
        <v>&lt;p&gt;Note the proportion of street-level facade on your side covered by windows of any size. Record the proportion of the whole block length (between 1 and 100) covered by street-level windows.&lt;/p&gt;</v>
      </c>
      <c r="G176" t="str">
        <f>IF(VLOOKUP(A176,'Final items'!$A$1:$Z$300,11,FALSE)="Write in %", "Count", "Category")</f>
        <v>Count</v>
      </c>
      <c r="H176" t="str">
        <f>VLOOKUP(B176,kappas!$A$1:$C$300,2,FALSE)</f>
        <v>NA</v>
      </c>
      <c r="I176">
        <f>VLOOKUP(B176,kappas!$A$1:$C$300,3,FALSE)</f>
        <v>0.19473684210526301</v>
      </c>
      <c r="J176" t="str">
        <f>VLOOKUP(B176,'initial kappas'!$A$1:$C$300,2,FALSE)</f>
        <v>NA</v>
      </c>
      <c r="K176">
        <f>VLOOKUP(B176,'initial kappas'!$A$1:$C$300,3,FALSE)</f>
        <v>0.36363636363636398</v>
      </c>
    </row>
    <row r="177" spans="1:15">
      <c r="A177" t="str">
        <f>VLOOKUP('Final items'!$A211,'Final items'!$A$1:$Z$300,1,FALSE)</f>
        <v>MIUDQ-21</v>
      </c>
      <c r="B177" t="str">
        <f t="shared" si="10"/>
        <v>MIUDQ.21</v>
      </c>
      <c r="C177" t="str">
        <f>VLOOKUP('Final items'!$A211,'Kathy''s original list'!$A$1:$Z$300,8,FALSE)</f>
        <v>What proportion of the block is active uses?</v>
      </c>
      <c r="D177" t="str">
        <f>VLOOKUP('Final items'!$A211,'Final items'!$A$1:$Z$300,10,FALSE)</f>
        <v>What proportion of the block is active uses?</v>
      </c>
      <c r="E177" t="str">
        <f t="shared" si="11"/>
        <v>Yes</v>
      </c>
      <c r="F177" t="str">
        <f>VLOOKUP('Final items'!$A211,'Final items'!$A$1:$Z$300,9,FALSE)</f>
        <v>&lt;p&gt;Note the amount of active-use buildings that are on your side within the study area. If a building is active, assume all sides are active (even blank walls). Record the proportion of the total block (between 1 and 100). Active use building: one in which there is frequent pedestrian traffic (more than 5 people could be expected to enter/exit if you were rating the block in person at a busy time of the day). Always active: parks, stores, restaurants, attached/apartment-style residential buildings, hospitals, and schools. Always inactive: construction sites, parking lots, churches, detached/single residence units, and vacant or abandoned lots. &lt;/p&gt;</v>
      </c>
      <c r="G177" t="str">
        <f>IF(VLOOKUP(A177,'Final items'!$A$1:$Z$300,11,FALSE)="Write in %", "Count", "Category")</f>
        <v>Count</v>
      </c>
      <c r="H177" t="str">
        <f>VLOOKUP(B177,kappas!$A$1:$C$300,2,FALSE)</f>
        <v>NA</v>
      </c>
      <c r="I177">
        <f>VLOOKUP(B177,kappas!$A$1:$C$300,3,FALSE)</f>
        <v>0.70526315789473704</v>
      </c>
      <c r="J177" t="str">
        <f>VLOOKUP(B177,'initial kappas'!$A$1:$C$300,2,FALSE)</f>
        <v>NA</v>
      </c>
      <c r="K177">
        <f>VLOOKUP(B177,'initial kappas'!$A$1:$C$300,3,FALSE)</f>
        <v>0.63636363636363602</v>
      </c>
    </row>
    <row r="178" spans="1:15">
      <c r="A178" t="str">
        <f>VLOOKUP('Final items'!$A213,'Final items'!$A$1:$Z$300,1,FALSE)</f>
        <v>Minn-Irvine-17</v>
      </c>
      <c r="B178" t="str">
        <f t="shared" si="10"/>
        <v>Minn.Irvine.17</v>
      </c>
      <c r="C178" t="str">
        <f>VLOOKUP('Final items'!$A213,'Kathy''s original list'!$A$1:$Z$300,8,FALSE)</f>
        <v>Does the segment have banners or monuments that identify the neighborhood?</v>
      </c>
      <c r="D178" t="str">
        <f>VLOOKUP('Final items'!$A213,'Final items'!$A$1:$Z$300,10,FALSE)</f>
        <v>Does the segment have banners or monuments that identify the neighborhood?</v>
      </c>
      <c r="E178" t="str">
        <f t="shared" si="11"/>
        <v>Yes</v>
      </c>
      <c r="F178" t="str">
        <f>VLOOKUP('Final items'!$A213,'Final items'!$A$1:$Z$300,9,FALSE)</f>
        <v>&lt;p&gt;Note: count only markers that identify the neighborhood -- monuments or banners identifying a particular building or a campus should not count.&lt;/p&gt;&lt;p&gt;Some examples of monuments:&lt;/p&gt;&lt;p&gt;&lt;img src="[monuments.png]"&gt;&lt;/p&gt;&lt;p&gt;Some examples of banners:&lt;/p&gt;&lt;p&gt;&lt;img src="[banners.png]"&gt;&lt;/p&gt;</v>
      </c>
      <c r="G178" t="str">
        <f>IF(VLOOKUP(A178,'Final items'!$A$1:$Z$300,11,FALSE)="Write in %", "Count", "Category")</f>
        <v>Category</v>
      </c>
      <c r="H178" t="str">
        <f>VLOOKUP(B178,kappas!$A$1:$C$300,2,FALSE)</f>
        <v>NA</v>
      </c>
      <c r="I178">
        <f>VLOOKUP(B178,kappas!$A$1:$C$300,3,FALSE)</f>
        <v>1</v>
      </c>
      <c r="J178">
        <f>VLOOKUP(B178,'initial kappas'!$A$1:$C$300,2,FALSE)</f>
        <v>-4.7619047619046201E-2</v>
      </c>
      <c r="K178">
        <f>VLOOKUP(B178,'initial kappas'!$A$1:$C$300,3,FALSE)</f>
        <v>0.90909090909090895</v>
      </c>
    </row>
    <row r="179" spans="1:15">
      <c r="A179" t="str">
        <f>VLOOKUP('Final items'!$A214,'Final items'!$A$1:$Z$300,1,FALSE)</f>
        <v>MIUDQ-26</v>
      </c>
      <c r="B179" t="str">
        <f t="shared" si="10"/>
        <v>MIUDQ.26</v>
      </c>
      <c r="C179" t="str">
        <f>VLOOKUP('Final items'!$A214,'Kathy''s original list'!$A$1:$Z$300,8,FALSE)</f>
        <v>How many pieces of public art do you see?</v>
      </c>
      <c r="D179" t="str">
        <f>VLOOKUP('Final items'!$A214,'Final items'!$A$1:$Z$300,10,FALSE)</f>
        <v>How many pieces of public art do you see?</v>
      </c>
      <c r="E179" t="str">
        <f t="shared" si="11"/>
        <v>Yes</v>
      </c>
      <c r="F179" t="str">
        <f>VLOOKUP('Final items'!$A214,'Final items'!$A$1:$Z$300,9,FALSE)</f>
        <v>&lt;p&gt;Count individual pieces of public art that are within the study area or intended for viewing from the sidewalk. Public art: monuments, sculptures, murals, and any artistic display that has free access. Art must be the size of a small person or have clear identification indicating its status as art.&lt;/p&gt;</v>
      </c>
      <c r="G179" t="str">
        <f>IF(VLOOKUP(A179,'Final items'!$A$1:$Z$300,11,FALSE)="Write in %", "Count", "Category")</f>
        <v>Category</v>
      </c>
      <c r="H179" t="str">
        <f>VLOOKUP(B179,kappas!$A$1:$C$300,2,FALSE)</f>
        <v>NA</v>
      </c>
      <c r="I179">
        <f>VLOOKUP(B179,kappas!$A$1:$C$300,3,FALSE)</f>
        <v>1</v>
      </c>
      <c r="J179" t="str">
        <f>VLOOKUP(B179,'initial kappas'!$A$1:$C$300,2,FALSE)</f>
        <v>NA</v>
      </c>
      <c r="K179">
        <f>VLOOKUP(B179,'initial kappas'!$A$1:$C$300,3,FALSE)</f>
        <v>1</v>
      </c>
    </row>
    <row r="180" spans="1:15">
      <c r="A180" t="str">
        <f>VLOOKUP('Final items'!$A215,'Final items'!$A$1:$Z$300,1,FALSE)</f>
        <v>Minn-Irvine-119</v>
      </c>
      <c r="B180" t="str">
        <f t="shared" si="10"/>
        <v>Minn.Irvine.119</v>
      </c>
      <c r="C180" t="str">
        <f>VLOOKUP('Final items'!$A215,'Kathy''s original list'!$A$1:$Z$300,8,FALSE)</f>
        <v>Are there outdoor dining areas (cafes, outdoor tables at coffee shops or plazas, etc)?</v>
      </c>
      <c r="D180" t="str">
        <f>VLOOKUP('Final items'!$A215,'Final items'!$A$1:$Z$300,10,FALSE)</f>
        <v>Are there outdoor dining areas (cafes, outdoor tables at coffee shops or plazas, etc)?</v>
      </c>
      <c r="E180" t="str">
        <f t="shared" si="11"/>
        <v>Yes</v>
      </c>
      <c r="F180" t="str">
        <f>VLOOKUP('Final items'!$A215,'Final items'!$A$1:$Z$300,9,FALSE)</f>
        <v>&lt;p&gt;&lt;img src="[outdoor_dining.png]"/&gt; &lt;p&gt; cafes, outdoor tables at coffeeshops and plazas, etc &lt;/p&gt; &lt;p&gt;Choose "some or a lot" rather than "few" if there are at least 3 outdoor dining locations OR at least 50% of buildings on the segment have associated outdoor dining areas.&lt;/p&gt;</v>
      </c>
      <c r="G180" t="str">
        <f>IF(VLOOKUP(A180,'Final items'!$A$1:$Z$300,11,FALSE)="Write in %", "Count", "Category")</f>
        <v>Category</v>
      </c>
      <c r="H180" t="str">
        <f>VLOOKUP(B180,kappas!$A$1:$C$300,2,FALSE)</f>
        <v>NA</v>
      </c>
      <c r="I180">
        <f>VLOOKUP(B180,kappas!$A$1:$C$300,3,FALSE)</f>
        <v>1</v>
      </c>
      <c r="J180">
        <f>VLOOKUP(B180,'initial kappas'!$A$1:$C$300,2,FALSE)</f>
        <v>1</v>
      </c>
      <c r="K180">
        <f>VLOOKUP(B180,'initial kappas'!$A$1:$C$300,3,FALSE)</f>
        <v>1</v>
      </c>
    </row>
    <row r="181" spans="1:15">
      <c r="A181" t="str">
        <f>VLOOKUP('Final items'!$A219,'Final items'!$A$1:$Z$300,1,FALSE)</f>
        <v>Minn-Irvine-157</v>
      </c>
      <c r="B181" t="str">
        <f t="shared" si="10"/>
        <v>Minn.Irvine.157</v>
      </c>
      <c r="C181" t="str">
        <f>VLOOKUP('Final items'!$A219,'Kathy''s original list'!$A$1:$Z$300,8,FALSE)</f>
        <v>How many street vendors or stalls are there?</v>
      </c>
      <c r="D181" t="str">
        <f>VLOOKUP('Final items'!$A219,'Final items'!$A$1:$Z$300,10,FALSE)</f>
        <v>How many street vendors or stalls are there?</v>
      </c>
      <c r="E181" t="str">
        <f t="shared" si="11"/>
        <v>Yes</v>
      </c>
      <c r="F181" t="str">
        <f>VLOOKUP('Final items'!$A219,'Final items'!$A$1:$Z$300,9,FALSE)</f>
        <v>&lt;p&gt;Street Vendors sell from carts, semi-permanent or permanent stalls, or directly on the sidewalk; do not count newspaper racks; there must be a person "manning" the stall &lt;/p&gt;  &lt;p&gt;&lt;img src="[street_vendor.png]"/&gt;&lt;/p&gt;</v>
      </c>
      <c r="G181" t="str">
        <f>IF(VLOOKUP(A181,'Final items'!$A$1:$Z$300,11,FALSE)="Write in %", "Count", "Category")</f>
        <v>Category</v>
      </c>
      <c r="H181" t="str">
        <f>VLOOKUP(B181,kappas!$A$1:$C$300,2,FALSE)</f>
        <v>NA</v>
      </c>
      <c r="I181">
        <f>VLOOKUP(B181,kappas!$A$1:$C$300,3,FALSE)</f>
        <v>1</v>
      </c>
      <c r="J181">
        <f>VLOOKUP(B181,'initial kappas'!$A$1:$C$300,2,FALSE)</f>
        <v>-4.7619047619046201E-2</v>
      </c>
      <c r="K181">
        <f>VLOOKUP(B181,'initial kappas'!$A$1:$C$300,3,FALSE)</f>
        <v>0.90909090909090895</v>
      </c>
    </row>
    <row r="182" spans="1:15">
      <c r="A182" t="str">
        <f>VLOOKUP('Final items'!$A222,'Final items'!$A$1:$Z$300,1,FALSE)</f>
        <v>Minn-Irvine-122</v>
      </c>
      <c r="B182" t="str">
        <f t="shared" si="10"/>
        <v>Minn.Irvine.122</v>
      </c>
      <c r="C182" t="str">
        <f>VLOOKUP('Final items'!$A222,'Kathy''s original list'!$A$1:$Z$300,8,FALSE)</f>
        <v>How many heat lamps are there?</v>
      </c>
      <c r="D182" t="str">
        <f>VLOOKUP('Final items'!$A222,'Final items'!$A$1:$Z$300,10,FALSE)</f>
        <v>How many heat lamps are there?</v>
      </c>
      <c r="E182" t="str">
        <f t="shared" si="11"/>
        <v>Yes</v>
      </c>
      <c r="F182">
        <f>VLOOKUP('Final items'!$A222,'Final items'!$A$1:$Z$300,9,FALSE)</f>
        <v>0</v>
      </c>
      <c r="G182" t="str">
        <f>IF(VLOOKUP(A182,'Final items'!$A$1:$Z$300,11,FALSE)="Write in %", "Count", "Category")</f>
        <v>Category</v>
      </c>
      <c r="H182" t="str">
        <f>VLOOKUP(B182,kappas!$A$1:$C$300,2,FALSE)</f>
        <v>NA</v>
      </c>
      <c r="I182">
        <f>VLOOKUP(B182,kappas!$A$1:$C$300,3,FALSE)</f>
        <v>1</v>
      </c>
      <c r="J182" t="str">
        <f>VLOOKUP(B182,'initial kappas'!$A$1:$C$300,2,FALSE)</f>
        <v>NA</v>
      </c>
      <c r="K182">
        <f>VLOOKUP(B182,'initial kappas'!$A$1:$C$300,3,FALSE)</f>
        <v>1</v>
      </c>
    </row>
    <row r="183" spans="1:15">
      <c r="A183" t="str">
        <f>VLOOKUP('Final items'!$A223,'Final items'!$A$1:$Z$300,1,FALSE)</f>
        <v>Minn-Irvine-124</v>
      </c>
      <c r="B183" t="str">
        <f t="shared" si="10"/>
        <v>Minn.Irvine.124</v>
      </c>
      <c r="C183" t="str">
        <f>VLOOKUP('Final items'!$A223,'Kathy''s original list'!$A$1:$Z$300,8,FALSE)</f>
        <v>Are there public restrooms?</v>
      </c>
      <c r="D183" t="str">
        <f>VLOOKUP('Final items'!$A223,'Final items'!$A$1:$Z$300,10,FALSE)</f>
        <v>Are there public restrooms?</v>
      </c>
      <c r="E183" t="str">
        <f t="shared" si="11"/>
        <v>Yes</v>
      </c>
      <c r="F183" t="str">
        <f>VLOOKUP('Final items'!$A223,'Final items'!$A$1:$Z$300,9,FALSE)</f>
        <v>&lt;p&gt;are there obvious public restrooms on this segment that are clearly open to the public?&lt;/p&gt; &lt;p&gt;&lt;img src="[public_restrooms.png]"/&gt;&lt;/p&gt;</v>
      </c>
      <c r="G183" t="str">
        <f>IF(VLOOKUP(A183,'Final items'!$A$1:$Z$300,11,FALSE)="Write in %", "Count", "Category")</f>
        <v>Category</v>
      </c>
      <c r="H183" t="str">
        <f>VLOOKUP(B183,kappas!$A$1:$C$300,2,FALSE)</f>
        <v>NA</v>
      </c>
      <c r="I183">
        <f>VLOOKUP(B183,kappas!$A$1:$C$300,3,FALSE)</f>
        <v>1</v>
      </c>
      <c r="J183" t="str">
        <f>VLOOKUP(B183,'initial kappas'!$A$1:$C$300,2,FALSE)</f>
        <v>NA</v>
      </c>
      <c r="K183">
        <f>VLOOKUP(B183,'initial kappas'!$A$1:$C$300,3,FALSE)</f>
        <v>1</v>
      </c>
    </row>
    <row r="184" spans="1:15">
      <c r="A184" t="str">
        <f>VLOOKUP('Final items'!$A234,'Final items'!$A$1:$Z$300,1,FALSE)</f>
        <v>PHDCN-1</v>
      </c>
      <c r="B184" t="str">
        <f t="shared" si="10"/>
        <v>PHDCN.1</v>
      </c>
      <c r="C184" t="str">
        <f>VLOOKUP('Final items'!$A234,'Kathy''s original list'!$A$1:$Z$300,8,FALSE)</f>
        <v>Are there abandoned cars?</v>
      </c>
      <c r="D184" t="str">
        <f>VLOOKUP('Final items'!$A234,'Final items'!$A$1:$Z$300,10,FALSE)</f>
        <v>Are there abandoned cars?</v>
      </c>
      <c r="E184" t="str">
        <f t="shared" si="11"/>
        <v>Yes</v>
      </c>
      <c r="F184">
        <f>VLOOKUP('Final items'!$A234,'Final items'!$A$1:$Z$300,9,FALSE)</f>
        <v>0</v>
      </c>
      <c r="G184" t="str">
        <f>IF(VLOOKUP(A184,'Final items'!$A$1:$Z$300,11,FALSE)="Write in %", "Count", "Category")</f>
        <v>Category</v>
      </c>
      <c r="H184" t="str">
        <f>VLOOKUP(B184,kappas!$A$1:$C$300,2,FALSE)</f>
        <v>NA</v>
      </c>
      <c r="I184">
        <f>VLOOKUP(B184,kappas!$A$1:$C$300,3,FALSE)</f>
        <v>1</v>
      </c>
      <c r="J184" t="str">
        <f>VLOOKUP(B184,'initial kappas'!$A$1:$C$300,2,FALSE)</f>
        <v>NA</v>
      </c>
      <c r="K184">
        <f>VLOOKUP(B184,'initial kappas'!$A$1:$C$300,3,FALSE)</f>
        <v>1</v>
      </c>
    </row>
    <row r="185" spans="1:15">
      <c r="A185" t="str">
        <f>VLOOKUP('Final items'!$A237,'Final items'!$A$1:$Z$300,1,FALSE)</f>
        <v>PHDCN-2</v>
      </c>
      <c r="B185" t="str">
        <f t="shared" si="10"/>
        <v>PHDCN.2</v>
      </c>
      <c r="C185" t="str">
        <f>VLOOKUP('Final items'!$A237,'Kathy''s original list'!$A$1:$Z$300,8,FALSE)</f>
        <v>Is graffiti painted over apparent?</v>
      </c>
      <c r="D185" t="str">
        <f>VLOOKUP('Final items'!$A237,'Final items'!$A$1:$Z$300,10,FALSE)</f>
        <v>Is graffiti painted over apparent?</v>
      </c>
      <c r="E185" t="str">
        <f t="shared" si="11"/>
        <v>Yes</v>
      </c>
      <c r="F185">
        <f>VLOOKUP('Final items'!$A237,'Final items'!$A$1:$Z$300,9,FALSE)</f>
        <v>0</v>
      </c>
      <c r="G185" t="str">
        <f>IF(VLOOKUP(A185,'Final items'!$A$1:$Z$300,11,FALSE)="Write in %", "Count", "Category")</f>
        <v>Category</v>
      </c>
      <c r="H185" t="str">
        <f>VLOOKUP(B185,kappas!$A$1:$C$300,2,FALSE)</f>
        <v>NA</v>
      </c>
      <c r="I185">
        <f>VLOOKUP(B185,kappas!$A$1:$C$300,3,FALSE)</f>
        <v>1</v>
      </c>
      <c r="J185" t="str">
        <f>VLOOKUP(B185,'initial kappas'!$A$1:$C$300,2,FALSE)</f>
        <v>NA</v>
      </c>
      <c r="K185">
        <f>VLOOKUP(B185,'initial kappas'!$A$1:$C$300,3,FALSE)</f>
        <v>1</v>
      </c>
    </row>
    <row r="186" spans="1:15">
      <c r="A186" t="str">
        <f>VLOOKUP('Final items'!$A239,'Final items'!$A$1:$Z$300,1,FALSE)</f>
        <v>PHDCN-3</v>
      </c>
      <c r="B186" t="str">
        <f t="shared" si="10"/>
        <v>PHDCN.3</v>
      </c>
      <c r="C186" t="str">
        <f>VLOOKUP('Final items'!$A239,'Kathy''s original list'!$A$1:$Z$300,8,FALSE)</f>
        <v>Are empty beer bottles visible in the street?</v>
      </c>
      <c r="D186" t="str">
        <f>VLOOKUP('Final items'!$A239,'Final items'!$A$1:$Z$300,10,FALSE)</f>
        <v>Are empty beer bottles visible in the street?</v>
      </c>
      <c r="E186" t="str">
        <f t="shared" si="11"/>
        <v>Yes</v>
      </c>
      <c r="F186">
        <f>VLOOKUP('Final items'!$A239,'Final items'!$A$1:$Z$300,9,FALSE)</f>
        <v>0</v>
      </c>
      <c r="G186" t="str">
        <f>IF(VLOOKUP(A186,'Final items'!$A$1:$Z$300,11,FALSE)="Write in %", "Count", "Category")</f>
        <v>Category</v>
      </c>
      <c r="H186" t="str">
        <f>VLOOKUP(B186,kappas!$A$1:$C$300,2,FALSE)</f>
        <v>NA</v>
      </c>
      <c r="I186">
        <f>VLOOKUP(B186,kappas!$A$1:$C$300,3,FALSE)</f>
        <v>1</v>
      </c>
      <c r="J186">
        <f>VLOOKUP(B186,'initial kappas'!$A$1:$C$300,2,FALSE)</f>
        <v>-4.7619047619046201E-2</v>
      </c>
      <c r="K186">
        <f>VLOOKUP(B186,'initial kappas'!$A$1:$C$300,3,FALSE)</f>
        <v>0.90909090909090895</v>
      </c>
    </row>
    <row r="187" spans="1:15">
      <c r="A187" t="str">
        <f>VLOOKUP('Final items'!$A231,'Final items'!$A$1:$Z$300,1,FALSE)</f>
        <v>NYC HVS-1</v>
      </c>
      <c r="B187" t="str">
        <f t="shared" si="10"/>
        <v>NYC HVS.1</v>
      </c>
      <c r="C187" t="str">
        <f>VLOOKUP('Final items'!$A231,'Kathy''s original list'!$A$1:$Z$300,8,FALSE)</f>
        <v>Do any buildings have either major cracks in walls OR missing bricks, siding, or other outside wall material?</v>
      </c>
      <c r="D187" t="str">
        <f>VLOOKUP('Final items'!$A231,'Final items'!$A$1:$Z$300,10,FALSE)</f>
        <v>Do any buildings have either major cracks in walls OR missing bricks, siding, or other outside wall material?</v>
      </c>
      <c r="E187" t="str">
        <f t="shared" si="11"/>
        <v>Yes</v>
      </c>
      <c r="F187">
        <f>VLOOKUP('Final items'!$A231,'Final items'!$A$1:$Z$300,9,FALSE)</f>
        <v>0</v>
      </c>
      <c r="G187" t="str">
        <f>IF(VLOOKUP(A187,'Final items'!$A$1:$Z$300,11,FALSE)="Write in %", "Count", "Category")</f>
        <v>Category</v>
      </c>
      <c r="H187" t="e">
        <f>VLOOKUP(B187,kappas!$A$1:$C$300,2,FALSE)</f>
        <v>#N/A</v>
      </c>
      <c r="I187" t="e">
        <f>VLOOKUP(B187,kappas!$A$1:$C$300,3,FALSE)</f>
        <v>#N/A</v>
      </c>
      <c r="J187" t="e">
        <f>VLOOKUP(B187,'initial kappas'!$A$1:$C$300,2,FALSE)</f>
        <v>#N/A</v>
      </c>
      <c r="K187" t="e">
        <f>VLOOKUP(B187,'initial kappas'!$A$1:$C$300,3,FALSE)</f>
        <v>#N/A</v>
      </c>
    </row>
    <row r="188" spans="1:15">
      <c r="A188" t="str">
        <f>VLOOKUP('Final items'!$A232,'Final items'!$A$1:$Z$300,1,FALSE)</f>
        <v>NYC HVS-2</v>
      </c>
      <c r="B188" t="str">
        <f t="shared" si="10"/>
        <v>NYC HVS.2</v>
      </c>
      <c r="C188" t="str">
        <f>VLOOKUP('Final items'!$A232,'Kathy''s original list'!$A$1:$Z$300,8,FALSE)</f>
        <v>Do any buildings have broken or boarded up windows?</v>
      </c>
      <c r="D188" t="str">
        <f>VLOOKUP('Final items'!$A232,'Final items'!$A$1:$Z$300,10,FALSE)</f>
        <v>Do any buildings have broken or boarded up windows?</v>
      </c>
      <c r="E188" t="str">
        <f t="shared" si="11"/>
        <v>Yes</v>
      </c>
      <c r="F188">
        <f>VLOOKUP('Final items'!$A232,'Final items'!$A$1:$Z$300,9,FALSE)</f>
        <v>0</v>
      </c>
      <c r="G188" t="str">
        <f>IF(VLOOKUP(A188,'Final items'!$A$1:$Z$300,11,FALSE)="Write in %", "Count", "Category")</f>
        <v>Category</v>
      </c>
      <c r="H188" t="e">
        <f>VLOOKUP(B188,kappas!$A$1:$C$300,2,FALSE)</f>
        <v>#N/A</v>
      </c>
      <c r="I188" t="e">
        <f>VLOOKUP(B188,kappas!$A$1:$C$300,3,FALSE)</f>
        <v>#N/A</v>
      </c>
      <c r="J188" t="e">
        <f>VLOOKUP(B188,'initial kappas'!$A$1:$C$300,2,FALSE)</f>
        <v>#N/A</v>
      </c>
      <c r="K188" t="e">
        <f>VLOOKUP(B188,'initial kappas'!$A$1:$C$300,3,FALSE)</f>
        <v>#N/A</v>
      </c>
    </row>
    <row r="190" spans="1:15">
      <c r="D190" t="s">
        <v>1156</v>
      </c>
      <c r="E190">
        <f>COUNTIF(E2:E188, "#N/A")</f>
        <v>15</v>
      </c>
      <c r="G190" t="s">
        <v>1150</v>
      </c>
      <c r="H190">
        <f>COUNTIF(H1:H188, "&gt;.6")</f>
        <v>89</v>
      </c>
      <c r="J190">
        <f>COUNTIF(J1:J188, "&gt;.6")</f>
        <v>40</v>
      </c>
    </row>
    <row r="191" spans="1:15">
      <c r="D191" t="s">
        <v>1155</v>
      </c>
      <c r="E191">
        <f>COUNTIF(E2:E188,"No")</f>
        <v>47</v>
      </c>
      <c r="G191" t="s">
        <v>1151</v>
      </c>
      <c r="H191">
        <f>COUNTIF(H2:H189, "&lt;.6")</f>
        <v>62</v>
      </c>
      <c r="J191">
        <f>COUNTIF(J2:J189, "&lt;.6")</f>
        <v>63</v>
      </c>
      <c r="N191" t="s">
        <v>1166</v>
      </c>
      <c r="O191" t="s">
        <v>1167</v>
      </c>
    </row>
    <row r="192" spans="1:15">
      <c r="D192" t="s">
        <v>1154</v>
      </c>
      <c r="E192">
        <f>COUNTIF(E1:E188,"Yes")</f>
        <v>125</v>
      </c>
      <c r="H192">
        <f>SUM(H190:H191)</f>
        <v>151</v>
      </c>
      <c r="J192">
        <f>SUM(J190:J191)</f>
        <v>103</v>
      </c>
      <c r="M192" t="s">
        <v>1168</v>
      </c>
      <c r="N192">
        <f>J193*100</f>
        <v>38.834951456310677</v>
      </c>
      <c r="O192">
        <f>K196*100</f>
        <v>77.005347593582883</v>
      </c>
    </row>
    <row r="193" spans="4:15">
      <c r="D193" t="s">
        <v>1153</v>
      </c>
      <c r="E193">
        <f>SUM(E190:E192)</f>
        <v>187</v>
      </c>
      <c r="G193" t="s">
        <v>1163</v>
      </c>
      <c r="H193">
        <f>H190/H192</f>
        <v>0.58940397350993379</v>
      </c>
      <c r="J193">
        <f>J190/J192</f>
        <v>0.38834951456310679</v>
      </c>
      <c r="M193" t="s">
        <v>1169</v>
      </c>
      <c r="N193">
        <f>H193*100</f>
        <v>58.940397350993379</v>
      </c>
      <c r="O193">
        <f>I196*100</f>
        <v>82.887700534759361</v>
      </c>
    </row>
    <row r="195" spans="4:15">
      <c r="D195" t="s">
        <v>1122</v>
      </c>
      <c r="E195">
        <f>COUNTIF(G2:G188, "Category")</f>
        <v>180</v>
      </c>
      <c r="G195" t="s">
        <v>1164</v>
      </c>
      <c r="I195">
        <f>COUNTIF(I2:I188, "&gt;.8")</f>
        <v>155</v>
      </c>
      <c r="K195">
        <f>COUNTIF(K2:K188, "&gt;.8")</f>
        <v>144</v>
      </c>
    </row>
    <row r="196" spans="4:15">
      <c r="G196" t="s">
        <v>1165</v>
      </c>
      <c r="I196">
        <f>I195/187</f>
        <v>0.82887700534759357</v>
      </c>
      <c r="K196">
        <f>K195/187</f>
        <v>0.77005347593582885</v>
      </c>
    </row>
    <row r="199" spans="4:15">
      <c r="G199" t="s">
        <v>1081</v>
      </c>
      <c r="H199">
        <f>COUNTA(F1:F188)</f>
        <v>188</v>
      </c>
    </row>
    <row r="200" spans="4:15">
      <c r="G200" t="s">
        <v>1007</v>
      </c>
      <c r="H200">
        <f>COUNTIF(F1:F188,"&lt;&gt;0")</f>
        <v>138</v>
      </c>
    </row>
    <row r="201" spans="4:15">
      <c r="G201" t="s">
        <v>1082</v>
      </c>
      <c r="H201">
        <f>COUNTIF(F1:F188, "*img*")</f>
        <v>98</v>
      </c>
    </row>
    <row r="202" spans="4:15">
      <c r="G202" t="s">
        <v>1083</v>
      </c>
      <c r="H202">
        <f>H200-H201</f>
        <v>40</v>
      </c>
    </row>
    <row r="203" spans="4:15">
      <c r="G203" t="s">
        <v>1084</v>
      </c>
      <c r="H203">
        <f>H199-H200</f>
        <v>50</v>
      </c>
    </row>
  </sheetData>
  <sheetCalcPr fullCalcOnLoad="1"/>
  <sortState ref="A2:I188">
    <sortCondition ref="H3:H188"/>
  </sortState>
  <phoneticPr fontId="2"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99"/>
  <sheetViews>
    <sheetView view="pageLayout" topLeftCell="A64" workbookViewId="0">
      <selection activeCell="B88" sqref="B88"/>
    </sheetView>
  </sheetViews>
  <sheetFormatPr baseColWidth="10" defaultRowHeight="13"/>
  <cols>
    <col min="1" max="1" width="80.5703125" bestFit="1" customWidth="1"/>
    <col min="2" max="2" width="12.7109375" bestFit="1" customWidth="1"/>
    <col min="3" max="3" width="12" bestFit="1" customWidth="1"/>
  </cols>
  <sheetData>
    <row r="1" spans="1:3">
      <c r="B1" t="s">
        <v>1090</v>
      </c>
      <c r="C1" t="s">
        <v>1152</v>
      </c>
    </row>
    <row r="2" spans="1:3">
      <c r="A2" t="s">
        <v>1091</v>
      </c>
      <c r="B2">
        <v>-0.25</v>
      </c>
      <c r="C2">
        <v>0</v>
      </c>
    </row>
    <row r="3" spans="1:3">
      <c r="A3" t="s">
        <v>1092</v>
      </c>
      <c r="B3">
        <v>1</v>
      </c>
      <c r="C3">
        <v>1</v>
      </c>
    </row>
    <row r="4" spans="1:3">
      <c r="A4" t="s">
        <v>1093</v>
      </c>
      <c r="B4" t="s">
        <v>1094</v>
      </c>
      <c r="C4">
        <v>0.278947368421053</v>
      </c>
    </row>
    <row r="5" spans="1:3">
      <c r="A5" t="s">
        <v>1095</v>
      </c>
      <c r="B5" t="s">
        <v>1094</v>
      </c>
      <c r="C5">
        <v>0.268421052631579</v>
      </c>
    </row>
    <row r="6" spans="1:3">
      <c r="A6" t="s">
        <v>1096</v>
      </c>
      <c r="B6" t="s">
        <v>1094</v>
      </c>
      <c r="C6">
        <v>1</v>
      </c>
    </row>
    <row r="7" spans="1:3">
      <c r="A7" t="s">
        <v>1097</v>
      </c>
      <c r="B7">
        <v>1.6272189349112402E-2</v>
      </c>
      <c r="C7">
        <v>0.336842105263158</v>
      </c>
    </row>
    <row r="8" spans="1:3">
      <c r="A8" t="s">
        <v>1098</v>
      </c>
      <c r="B8">
        <v>0.356527093596059</v>
      </c>
      <c r="C8">
        <v>0.53684210526315801</v>
      </c>
    </row>
    <row r="9" spans="1:3">
      <c r="A9" t="s">
        <v>1099</v>
      </c>
      <c r="B9">
        <v>0.73684210526315796</v>
      </c>
      <c r="C9">
        <v>0.91578947368421004</v>
      </c>
    </row>
    <row r="10" spans="1:3">
      <c r="A10" t="s">
        <v>1100</v>
      </c>
      <c r="B10">
        <v>0.05</v>
      </c>
      <c r="C10">
        <v>0.74736842105263201</v>
      </c>
    </row>
    <row r="11" spans="1:3">
      <c r="A11" t="s">
        <v>1101</v>
      </c>
      <c r="B11">
        <v>0.92285830288266302</v>
      </c>
      <c r="C11">
        <v>0.95789473684210502</v>
      </c>
    </row>
    <row r="12" spans="1:3">
      <c r="A12" t="s">
        <v>1102</v>
      </c>
      <c r="B12">
        <v>0.84013462347496803</v>
      </c>
      <c r="C12">
        <v>0.91578947368421004</v>
      </c>
    </row>
    <row r="13" spans="1:3">
      <c r="A13" t="s">
        <v>1103</v>
      </c>
      <c r="B13">
        <v>0.78841870824053495</v>
      </c>
      <c r="C13">
        <v>0.91578947368421004</v>
      </c>
    </row>
    <row r="14" spans="1:3">
      <c r="A14" t="s">
        <v>1104</v>
      </c>
      <c r="B14">
        <v>0.817808219178082</v>
      </c>
      <c r="C14">
        <v>0.92631578947368398</v>
      </c>
    </row>
    <row r="15" spans="1:3">
      <c r="A15" t="s">
        <v>1105</v>
      </c>
      <c r="B15">
        <v>-2.1505376344086599E-2</v>
      </c>
      <c r="C15">
        <v>0.95789473684210502</v>
      </c>
    </row>
    <row r="16" spans="1:3">
      <c r="A16" t="s">
        <v>1106</v>
      </c>
      <c r="B16" t="s">
        <v>1094</v>
      </c>
      <c r="C16">
        <v>1</v>
      </c>
    </row>
    <row r="17" spans="1:3">
      <c r="A17" t="s">
        <v>1107</v>
      </c>
      <c r="B17" t="s">
        <v>1094</v>
      </c>
      <c r="C17">
        <v>1</v>
      </c>
    </row>
    <row r="18" spans="1:3">
      <c r="A18" t="s">
        <v>1108</v>
      </c>
      <c r="B18">
        <v>0.21703296703296501</v>
      </c>
      <c r="C18">
        <v>0.93684210526315803</v>
      </c>
    </row>
    <row r="19" spans="1:3">
      <c r="A19" t="s">
        <v>1109</v>
      </c>
      <c r="B19" t="s">
        <v>1094</v>
      </c>
      <c r="C19">
        <v>1</v>
      </c>
    </row>
    <row r="20" spans="1:3">
      <c r="A20" t="s">
        <v>1110</v>
      </c>
      <c r="B20">
        <v>-1.0638297872342E-2</v>
      </c>
      <c r="C20">
        <v>0.97894736842105301</v>
      </c>
    </row>
    <row r="21" spans="1:3">
      <c r="A21" t="s">
        <v>1111</v>
      </c>
      <c r="B21">
        <v>0.79525862068965503</v>
      </c>
      <c r="C21">
        <v>0.96842105263157896</v>
      </c>
    </row>
    <row r="22" spans="1:3">
      <c r="A22" t="s">
        <v>1112</v>
      </c>
      <c r="B22" t="s">
        <v>1094</v>
      </c>
      <c r="C22">
        <v>1</v>
      </c>
    </row>
    <row r="23" spans="1:3">
      <c r="A23" t="s">
        <v>1113</v>
      </c>
      <c r="B23" t="s">
        <v>1094</v>
      </c>
      <c r="C23">
        <v>1</v>
      </c>
    </row>
    <row r="24" spans="1:3">
      <c r="A24" t="s">
        <v>1114</v>
      </c>
      <c r="B24">
        <v>0.73901098901098805</v>
      </c>
      <c r="C24">
        <v>0.97894736842105301</v>
      </c>
    </row>
    <row r="25" spans="1:3">
      <c r="A25" t="s">
        <v>1115</v>
      </c>
      <c r="B25">
        <v>0.44750969281240699</v>
      </c>
      <c r="C25">
        <v>0.58947368421052604</v>
      </c>
    </row>
    <row r="26" spans="1:3">
      <c r="A26" t="s">
        <v>1116</v>
      </c>
      <c r="B26">
        <v>-3.2608695652175203E-2</v>
      </c>
      <c r="C26">
        <v>0.93684210526315803</v>
      </c>
    </row>
    <row r="27" spans="1:3">
      <c r="A27" t="s">
        <v>1117</v>
      </c>
      <c r="B27">
        <v>-2.1505376344086599E-2</v>
      </c>
      <c r="C27">
        <v>0.95789473684210502</v>
      </c>
    </row>
    <row r="28" spans="1:3">
      <c r="A28" t="s">
        <v>1118</v>
      </c>
      <c r="B28">
        <v>0.79525862068965503</v>
      </c>
      <c r="C28">
        <v>0.96842105263157896</v>
      </c>
    </row>
    <row r="29" spans="1:3">
      <c r="A29" t="s">
        <v>1119</v>
      </c>
      <c r="B29">
        <v>0.59601611459265902</v>
      </c>
      <c r="C29">
        <v>0.9</v>
      </c>
    </row>
    <row r="30" spans="1:3">
      <c r="A30" t="s">
        <v>1120</v>
      </c>
      <c r="B30">
        <v>1</v>
      </c>
      <c r="C30">
        <v>1</v>
      </c>
    </row>
    <row r="31" spans="1:3">
      <c r="A31" t="s">
        <v>960</v>
      </c>
      <c r="B31">
        <v>-1.0638297872342E-2</v>
      </c>
      <c r="C31">
        <v>0.97894736842105301</v>
      </c>
    </row>
    <row r="32" spans="1:3">
      <c r="A32" t="s">
        <v>961</v>
      </c>
      <c r="B32">
        <v>0.58448434622467804</v>
      </c>
      <c r="C32">
        <v>0.8</v>
      </c>
    </row>
    <row r="33" spans="1:3">
      <c r="A33" t="s">
        <v>962</v>
      </c>
      <c r="B33">
        <v>0.768668831168831</v>
      </c>
      <c r="C33">
        <v>0.87368421052631595</v>
      </c>
    </row>
    <row r="34" spans="1:3">
      <c r="A34" t="s">
        <v>963</v>
      </c>
      <c r="B34">
        <v>0.726277372262774</v>
      </c>
      <c r="C34">
        <v>0.84210526315789502</v>
      </c>
    </row>
    <row r="35" spans="1:3">
      <c r="A35" t="s">
        <v>964</v>
      </c>
      <c r="B35">
        <v>0.62774294670846398</v>
      </c>
      <c r="C35">
        <v>0.84210526315789502</v>
      </c>
    </row>
    <row r="36" spans="1:3">
      <c r="A36" t="s">
        <v>965</v>
      </c>
      <c r="B36" t="s">
        <v>1094</v>
      </c>
      <c r="C36">
        <v>1</v>
      </c>
    </row>
    <row r="37" spans="1:3">
      <c r="A37" t="s">
        <v>966</v>
      </c>
      <c r="B37" t="s">
        <v>1094</v>
      </c>
      <c r="C37">
        <v>1</v>
      </c>
    </row>
    <row r="38" spans="1:3">
      <c r="A38" t="s">
        <v>967</v>
      </c>
      <c r="B38">
        <v>0.770309477756286</v>
      </c>
      <c r="C38">
        <v>0.92105263157894701</v>
      </c>
    </row>
    <row r="39" spans="1:3">
      <c r="A39" t="s">
        <v>968</v>
      </c>
      <c r="B39">
        <v>0.69088937093275504</v>
      </c>
      <c r="C39">
        <v>0.87368421052631595</v>
      </c>
    </row>
    <row r="40" spans="1:3">
      <c r="A40" t="s">
        <v>969</v>
      </c>
      <c r="B40">
        <v>0.227642276422763</v>
      </c>
      <c r="C40">
        <v>0.93684210526315803</v>
      </c>
    </row>
    <row r="41" spans="1:3">
      <c r="A41" t="s">
        <v>970</v>
      </c>
      <c r="B41" t="s">
        <v>1094</v>
      </c>
      <c r="C41">
        <v>1</v>
      </c>
    </row>
    <row r="42" spans="1:3">
      <c r="A42" t="s">
        <v>971</v>
      </c>
      <c r="B42">
        <v>0.42455947136563799</v>
      </c>
      <c r="C42">
        <v>0.942105263157895</v>
      </c>
    </row>
    <row r="43" spans="1:3">
      <c r="A43" t="s">
        <v>972</v>
      </c>
      <c r="B43">
        <v>1</v>
      </c>
      <c r="C43">
        <v>1</v>
      </c>
    </row>
    <row r="44" spans="1:3">
      <c r="A44" t="s">
        <v>973</v>
      </c>
      <c r="B44">
        <v>0.83974358974358998</v>
      </c>
      <c r="C44">
        <v>0.92105263157894701</v>
      </c>
    </row>
    <row r="45" spans="1:3">
      <c r="A45" t="s">
        <v>974</v>
      </c>
      <c r="B45">
        <v>0.93035190615835806</v>
      </c>
      <c r="C45">
        <v>0.96842105263157896</v>
      </c>
    </row>
    <row r="46" spans="1:3">
      <c r="A46" t="s">
        <v>975</v>
      </c>
      <c r="B46">
        <v>0.76662887377173095</v>
      </c>
      <c r="C46">
        <v>0.86315789473684201</v>
      </c>
    </row>
    <row r="47" spans="1:3">
      <c r="A47" t="s">
        <v>976</v>
      </c>
      <c r="B47">
        <v>0.58818931210915304</v>
      </c>
      <c r="C47">
        <v>0.67894736842105297</v>
      </c>
    </row>
    <row r="48" spans="1:3">
      <c r="A48" t="s">
        <v>977</v>
      </c>
      <c r="B48">
        <v>0.64502954466458096</v>
      </c>
      <c r="C48">
        <v>0.77368421052631597</v>
      </c>
    </row>
    <row r="49" spans="1:3">
      <c r="A49" t="s">
        <v>978</v>
      </c>
      <c r="B49">
        <v>0.51514652617714896</v>
      </c>
      <c r="C49">
        <v>0.673684210526316</v>
      </c>
    </row>
    <row r="50" spans="1:3">
      <c r="A50" t="s">
        <v>979</v>
      </c>
      <c r="B50">
        <v>0.79722518676627496</v>
      </c>
      <c r="C50">
        <v>0.87368421052631595</v>
      </c>
    </row>
    <row r="51" spans="1:3">
      <c r="A51" t="s">
        <v>980</v>
      </c>
      <c r="B51">
        <v>0.92109634551495001</v>
      </c>
      <c r="C51">
        <v>0.96315789473684199</v>
      </c>
    </row>
    <row r="52" spans="1:3">
      <c r="A52" t="s">
        <v>981</v>
      </c>
      <c r="B52">
        <v>0.84012117132278696</v>
      </c>
      <c r="C52">
        <v>0.89473684210526305</v>
      </c>
    </row>
    <row r="53" spans="1:3">
      <c r="A53" t="s">
        <v>982</v>
      </c>
      <c r="B53">
        <v>0.93886743886743895</v>
      </c>
      <c r="C53">
        <v>0.96842105263157896</v>
      </c>
    </row>
    <row r="54" spans="1:3">
      <c r="A54" t="s">
        <v>983</v>
      </c>
      <c r="B54">
        <v>0.83318700614574204</v>
      </c>
      <c r="C54">
        <v>0.91578947368421004</v>
      </c>
    </row>
    <row r="55" spans="1:3">
      <c r="A55" t="s">
        <v>984</v>
      </c>
      <c r="B55">
        <v>0.91930003397893301</v>
      </c>
      <c r="C55">
        <v>0.94736842105263197</v>
      </c>
    </row>
    <row r="56" spans="1:3">
      <c r="A56" t="s">
        <v>985</v>
      </c>
      <c r="B56">
        <v>0.89574187884108902</v>
      </c>
      <c r="C56">
        <v>0.94736842105263197</v>
      </c>
    </row>
    <row r="57" spans="1:3">
      <c r="A57" t="s">
        <v>986</v>
      </c>
      <c r="B57">
        <v>0.80508822322527696</v>
      </c>
      <c r="C57">
        <v>0.89473684210526305</v>
      </c>
    </row>
    <row r="58" spans="1:3">
      <c r="A58" t="s">
        <v>987</v>
      </c>
      <c r="B58">
        <v>0.90889911775987697</v>
      </c>
      <c r="C58">
        <v>0.94736842105263197</v>
      </c>
    </row>
    <row r="59" spans="1:3">
      <c r="A59" t="s">
        <v>988</v>
      </c>
      <c r="B59">
        <v>0.87179487179487203</v>
      </c>
      <c r="C59">
        <v>0.93684210526315803</v>
      </c>
    </row>
    <row r="60" spans="1:3">
      <c r="A60" t="s">
        <v>989</v>
      </c>
      <c r="B60">
        <v>0.84649122807017496</v>
      </c>
      <c r="C60">
        <v>0.92631578947368398</v>
      </c>
    </row>
    <row r="61" spans="1:3">
      <c r="A61" t="s">
        <v>990</v>
      </c>
      <c r="B61">
        <v>0.80769230769230804</v>
      </c>
      <c r="C61">
        <v>0.90526315789473699</v>
      </c>
    </row>
    <row r="62" spans="1:3">
      <c r="A62" t="s">
        <v>991</v>
      </c>
      <c r="B62">
        <v>0.84649122807017496</v>
      </c>
      <c r="C62">
        <v>0.92631578947368398</v>
      </c>
    </row>
    <row r="63" spans="1:3">
      <c r="A63" t="s">
        <v>992</v>
      </c>
      <c r="B63">
        <v>0.84649122807017496</v>
      </c>
      <c r="C63">
        <v>0.92631578947368398</v>
      </c>
    </row>
    <row r="64" spans="1:3">
      <c r="A64" t="s">
        <v>993</v>
      </c>
      <c r="B64">
        <v>-1.0638297872342E-2</v>
      </c>
      <c r="C64">
        <v>0.97894736842105301</v>
      </c>
    </row>
    <row r="65" spans="1:3">
      <c r="A65" t="s">
        <v>994</v>
      </c>
      <c r="B65">
        <v>0.68966925275622704</v>
      </c>
      <c r="C65">
        <v>0.83157894736842097</v>
      </c>
    </row>
    <row r="66" spans="1:3">
      <c r="A66" t="s">
        <v>995</v>
      </c>
      <c r="B66">
        <v>0.653949386503067</v>
      </c>
      <c r="C66">
        <v>0.8</v>
      </c>
    </row>
    <row r="67" spans="1:3">
      <c r="A67" t="s">
        <v>996</v>
      </c>
      <c r="B67">
        <v>0.40025252525252503</v>
      </c>
      <c r="C67">
        <v>0.89473684210526305</v>
      </c>
    </row>
    <row r="68" spans="1:3">
      <c r="A68" t="s">
        <v>997</v>
      </c>
      <c r="B68">
        <v>-2.1505376344086599E-2</v>
      </c>
      <c r="C68">
        <v>0.95789473684210502</v>
      </c>
    </row>
    <row r="69" spans="1:3">
      <c r="A69" t="s">
        <v>998</v>
      </c>
      <c r="B69">
        <v>-1.6042780748662801E-2</v>
      </c>
      <c r="C69">
        <v>0.95789473684210502</v>
      </c>
    </row>
    <row r="70" spans="1:3">
      <c r="A70" t="s">
        <v>999</v>
      </c>
      <c r="B70">
        <v>0.57777777777777795</v>
      </c>
      <c r="C70">
        <v>0.95789473684210502</v>
      </c>
    </row>
    <row r="71" spans="1:3">
      <c r="A71" t="s">
        <v>1000</v>
      </c>
      <c r="B71">
        <v>0.32734204793028199</v>
      </c>
      <c r="C71">
        <v>0.93157894736842095</v>
      </c>
    </row>
    <row r="72" spans="1:3">
      <c r="A72" t="s">
        <v>1170</v>
      </c>
      <c r="B72">
        <v>-2.1505376344086599E-2</v>
      </c>
      <c r="C72">
        <v>0.95789473684210502</v>
      </c>
    </row>
    <row r="73" spans="1:3">
      <c r="A73" t="s">
        <v>1171</v>
      </c>
      <c r="B73">
        <v>-1.6042780748662801E-2</v>
      </c>
      <c r="C73">
        <v>0.95789473684210502</v>
      </c>
    </row>
    <row r="74" spans="1:3">
      <c r="A74" t="s">
        <v>1172</v>
      </c>
      <c r="B74">
        <v>-1.0638297872342E-2</v>
      </c>
      <c r="C74">
        <v>0.97894736842105301</v>
      </c>
    </row>
    <row r="75" spans="1:3">
      <c r="A75" t="s">
        <v>1173</v>
      </c>
      <c r="B75">
        <v>-1.0638297872342E-2</v>
      </c>
      <c r="C75">
        <v>0.97894736842105301</v>
      </c>
    </row>
    <row r="76" spans="1:3">
      <c r="A76" t="s">
        <v>1174</v>
      </c>
      <c r="B76" t="s">
        <v>1094</v>
      </c>
      <c r="C76">
        <v>1</v>
      </c>
    </row>
    <row r="77" spans="1:3">
      <c r="A77" t="s">
        <v>1175</v>
      </c>
      <c r="B77" t="s">
        <v>1094</v>
      </c>
      <c r="C77">
        <v>1</v>
      </c>
    </row>
    <row r="78" spans="1:3">
      <c r="A78" t="s">
        <v>1176</v>
      </c>
      <c r="B78">
        <v>-1.0638297872342E-2</v>
      </c>
      <c r="C78">
        <v>0.97894736842105301</v>
      </c>
    </row>
    <row r="79" spans="1:3">
      <c r="A79" t="s">
        <v>1177</v>
      </c>
      <c r="B79">
        <v>-1.0638297872342E-2</v>
      </c>
      <c r="C79">
        <v>0.97894736842105301</v>
      </c>
    </row>
    <row r="80" spans="1:3">
      <c r="A80" t="s">
        <v>1178</v>
      </c>
      <c r="B80">
        <v>8.6538461538460898E-2</v>
      </c>
      <c r="C80">
        <v>0.92631578947368398</v>
      </c>
    </row>
    <row r="81" spans="1:3">
      <c r="A81" t="s">
        <v>1179</v>
      </c>
      <c r="B81">
        <v>9.8915989159891596E-2</v>
      </c>
      <c r="C81">
        <v>0.92631578947368398</v>
      </c>
    </row>
    <row r="82" spans="1:3">
      <c r="A82" t="s">
        <v>1180</v>
      </c>
      <c r="B82">
        <v>0.39618644067796599</v>
      </c>
      <c r="C82">
        <v>0.90526315789473699</v>
      </c>
    </row>
    <row r="83" spans="1:3">
      <c r="A83" t="s">
        <v>1181</v>
      </c>
      <c r="B83">
        <v>0.721407624633431</v>
      </c>
      <c r="C83">
        <v>0.87368421052631595</v>
      </c>
    </row>
    <row r="84" spans="1:3">
      <c r="A84" t="s">
        <v>1182</v>
      </c>
      <c r="B84">
        <v>0.57013574660633504</v>
      </c>
      <c r="C84">
        <v>0.87368421052631595</v>
      </c>
    </row>
    <row r="85" spans="1:3">
      <c r="A85" t="s">
        <v>1183</v>
      </c>
      <c r="B85">
        <v>0.69315245478036103</v>
      </c>
      <c r="C85">
        <v>0.94736842105263197</v>
      </c>
    </row>
    <row r="86" spans="1:3">
      <c r="A86" t="s">
        <v>1184</v>
      </c>
      <c r="B86">
        <v>0.32493540051679598</v>
      </c>
      <c r="C86">
        <v>0.884210526315789</v>
      </c>
    </row>
    <row r="87" spans="1:3">
      <c r="A87" t="s">
        <v>1185</v>
      </c>
      <c r="B87" t="s">
        <v>1094</v>
      </c>
      <c r="C87">
        <v>1</v>
      </c>
    </row>
    <row r="88" spans="1:3">
      <c r="A88" t="s">
        <v>1186</v>
      </c>
      <c r="B88">
        <v>0.74462365591397806</v>
      </c>
      <c r="C88">
        <v>0.884210526315789</v>
      </c>
    </row>
    <row r="89" spans="1:3">
      <c r="A89" t="s">
        <v>1187</v>
      </c>
      <c r="B89">
        <v>0.74462365591397806</v>
      </c>
      <c r="C89">
        <v>0.884210526315789</v>
      </c>
    </row>
    <row r="90" spans="1:3">
      <c r="A90" t="s">
        <v>1188</v>
      </c>
      <c r="B90">
        <v>0.74462365591397806</v>
      </c>
      <c r="C90">
        <v>0.884210526315789</v>
      </c>
    </row>
    <row r="91" spans="1:3">
      <c r="A91" t="s">
        <v>1189</v>
      </c>
      <c r="B91">
        <v>0.71438482886216403</v>
      </c>
      <c r="C91">
        <v>0.86315789473684201</v>
      </c>
    </row>
    <row r="92" spans="1:3">
      <c r="A92" t="s">
        <v>1190</v>
      </c>
      <c r="B92">
        <v>0.70283926852742995</v>
      </c>
      <c r="C92">
        <v>0.86315789473684201</v>
      </c>
    </row>
    <row r="93" spans="1:3">
      <c r="A93" t="s">
        <v>1191</v>
      </c>
      <c r="B93">
        <v>0.74184782608695599</v>
      </c>
      <c r="C93">
        <v>0.87368421052631595</v>
      </c>
    </row>
    <row r="94" spans="1:3">
      <c r="A94" t="s">
        <v>1192</v>
      </c>
      <c r="B94">
        <v>0.71090823970037398</v>
      </c>
      <c r="C94">
        <v>0.86315789473684201</v>
      </c>
    </row>
    <row r="95" spans="1:3">
      <c r="A95" t="s">
        <v>1193</v>
      </c>
      <c r="B95">
        <v>6.02517985611494E-2</v>
      </c>
      <c r="C95">
        <v>0.942105263157895</v>
      </c>
    </row>
    <row r="96" spans="1:3">
      <c r="A96" t="s">
        <v>1194</v>
      </c>
      <c r="B96">
        <v>0.74462365591397806</v>
      </c>
      <c r="C96">
        <v>0.884210526315789</v>
      </c>
    </row>
    <row r="97" spans="1:3">
      <c r="A97" t="s">
        <v>1195</v>
      </c>
      <c r="B97">
        <v>0.74462365591397806</v>
      </c>
      <c r="C97">
        <v>0.884210526315789</v>
      </c>
    </row>
    <row r="98" spans="1:3">
      <c r="A98" t="s">
        <v>1196</v>
      </c>
      <c r="B98">
        <v>0.72569778633301196</v>
      </c>
      <c r="C98">
        <v>0.87368421052631595</v>
      </c>
    </row>
    <row r="99" spans="1:3">
      <c r="A99" t="s">
        <v>1197</v>
      </c>
      <c r="B99">
        <v>0.74462365591397806</v>
      </c>
      <c r="C99">
        <v>0.884210526315789</v>
      </c>
    </row>
    <row r="100" spans="1:3">
      <c r="A100" t="s">
        <v>1198</v>
      </c>
      <c r="B100">
        <v>0.74462365591397806</v>
      </c>
      <c r="C100">
        <v>0.884210526315789</v>
      </c>
    </row>
    <row r="101" spans="1:3">
      <c r="A101" t="s">
        <v>1199</v>
      </c>
      <c r="B101">
        <v>0.74462365591397806</v>
      </c>
      <c r="C101">
        <v>0.884210526315789</v>
      </c>
    </row>
    <row r="102" spans="1:3">
      <c r="A102" t="s">
        <v>1200</v>
      </c>
      <c r="B102">
        <v>0.74462365591397806</v>
      </c>
      <c r="C102">
        <v>0.884210526315789</v>
      </c>
    </row>
    <row r="103" spans="1:3">
      <c r="A103" t="s">
        <v>1201</v>
      </c>
      <c r="B103">
        <v>0.74462365591397806</v>
      </c>
      <c r="C103">
        <v>0.884210526315789</v>
      </c>
    </row>
    <row r="104" spans="1:3">
      <c r="A104" t="s">
        <v>1202</v>
      </c>
      <c r="B104">
        <v>0.74462365591397806</v>
      </c>
      <c r="C104">
        <v>0.884210526315789</v>
      </c>
    </row>
    <row r="105" spans="1:3">
      <c r="A105" t="s">
        <v>1203</v>
      </c>
      <c r="B105">
        <v>0.74462365591397806</v>
      </c>
      <c r="C105">
        <v>0.884210526315789</v>
      </c>
    </row>
    <row r="106" spans="1:3">
      <c r="A106" t="s">
        <v>1204</v>
      </c>
      <c r="B106">
        <v>0.67044403330249802</v>
      </c>
      <c r="C106">
        <v>0.84210526315789502</v>
      </c>
    </row>
    <row r="107" spans="1:3">
      <c r="A107" t="s">
        <v>1205</v>
      </c>
      <c r="B107">
        <v>0.68453510436432596</v>
      </c>
      <c r="C107">
        <v>0.85263157894736796</v>
      </c>
    </row>
    <row r="108" spans="1:3">
      <c r="A108" t="s">
        <v>1206</v>
      </c>
      <c r="B108">
        <v>0.74462365591397806</v>
      </c>
      <c r="C108">
        <v>0.884210526315789</v>
      </c>
    </row>
    <row r="109" spans="1:3">
      <c r="A109" t="s">
        <v>1016</v>
      </c>
      <c r="B109">
        <v>0.76097895699908502</v>
      </c>
      <c r="C109">
        <v>0.884210526315789</v>
      </c>
    </row>
    <row r="110" spans="1:3">
      <c r="A110" t="s">
        <v>1017</v>
      </c>
      <c r="B110">
        <v>0.68453510436432596</v>
      </c>
      <c r="C110">
        <v>0.85263157894736796</v>
      </c>
    </row>
    <row r="111" spans="1:3">
      <c r="A111" t="s">
        <v>1018</v>
      </c>
      <c r="B111">
        <v>0.74184782608695599</v>
      </c>
      <c r="C111">
        <v>0.87368421052631595</v>
      </c>
    </row>
    <row r="112" spans="1:3">
      <c r="A112" t="s">
        <v>1019</v>
      </c>
      <c r="B112">
        <v>0.70283926852742995</v>
      </c>
      <c r="C112">
        <v>0.86315789473684201</v>
      </c>
    </row>
    <row r="113" spans="1:3">
      <c r="A113" t="s">
        <v>1020</v>
      </c>
      <c r="B113">
        <v>0.74462365591397806</v>
      </c>
      <c r="C113">
        <v>0.884210526315789</v>
      </c>
    </row>
    <row r="114" spans="1:3">
      <c r="A114" t="s">
        <v>1021</v>
      </c>
      <c r="B114">
        <v>0.74462365591397806</v>
      </c>
      <c r="C114">
        <v>0.884210526315789</v>
      </c>
    </row>
    <row r="115" spans="1:3">
      <c r="A115" t="s">
        <v>1022</v>
      </c>
      <c r="B115" t="s">
        <v>1094</v>
      </c>
      <c r="C115">
        <v>1</v>
      </c>
    </row>
    <row r="116" spans="1:3">
      <c r="A116" t="s">
        <v>1023</v>
      </c>
      <c r="B116" t="s">
        <v>1094</v>
      </c>
      <c r="C116">
        <v>1</v>
      </c>
    </row>
    <row r="117" spans="1:3">
      <c r="A117" t="s">
        <v>1024</v>
      </c>
      <c r="B117" t="s">
        <v>1094</v>
      </c>
      <c r="C117">
        <v>1</v>
      </c>
    </row>
    <row r="118" spans="1:3">
      <c r="A118" t="s">
        <v>1025</v>
      </c>
      <c r="B118">
        <v>0.74462365591397806</v>
      </c>
      <c r="C118">
        <v>0.884210526315789</v>
      </c>
    </row>
    <row r="119" spans="1:3">
      <c r="A119" t="s">
        <v>1026</v>
      </c>
      <c r="B119">
        <v>0.77043057996485098</v>
      </c>
      <c r="C119">
        <v>0.884210526315789</v>
      </c>
    </row>
    <row r="120" spans="1:3">
      <c r="A120" t="s">
        <v>1027</v>
      </c>
      <c r="B120">
        <v>0.62</v>
      </c>
      <c r="C120">
        <v>0.87368421052631595</v>
      </c>
    </row>
    <row r="121" spans="1:3">
      <c r="A121" t="s">
        <v>1028</v>
      </c>
      <c r="B121">
        <v>0.56412718736662404</v>
      </c>
      <c r="C121">
        <v>0.77368421052631597</v>
      </c>
    </row>
    <row r="122" spans="1:3">
      <c r="A122" t="s">
        <v>1029</v>
      </c>
      <c r="B122">
        <v>0.74462365591397806</v>
      </c>
      <c r="C122">
        <v>0.884210526315789</v>
      </c>
    </row>
    <row r="123" spans="1:3">
      <c r="A123" t="s">
        <v>1030</v>
      </c>
      <c r="B123">
        <v>0.74462365591397806</v>
      </c>
      <c r="C123">
        <v>0.884210526315789</v>
      </c>
    </row>
    <row r="124" spans="1:3">
      <c r="A124" t="s">
        <v>1031</v>
      </c>
      <c r="B124">
        <v>0.68453510436432596</v>
      </c>
      <c r="C124">
        <v>0.85263157894736796</v>
      </c>
    </row>
    <row r="125" spans="1:3">
      <c r="A125" t="s">
        <v>1032</v>
      </c>
      <c r="B125">
        <v>0.74462365591397806</v>
      </c>
      <c r="C125">
        <v>0.884210526315789</v>
      </c>
    </row>
    <row r="126" spans="1:3">
      <c r="A126" t="s">
        <v>1033</v>
      </c>
      <c r="B126">
        <v>0.72569778633301196</v>
      </c>
      <c r="C126">
        <v>0.87368421052631595</v>
      </c>
    </row>
    <row r="127" spans="1:3">
      <c r="A127" t="s">
        <v>1034</v>
      </c>
      <c r="B127">
        <v>0.74462365591397806</v>
      </c>
      <c r="C127">
        <v>0.884210526315789</v>
      </c>
    </row>
    <row r="128" spans="1:3">
      <c r="A128" t="s">
        <v>1035</v>
      </c>
      <c r="B128">
        <v>0.74462365591397806</v>
      </c>
      <c r="C128">
        <v>0.884210526315789</v>
      </c>
    </row>
    <row r="129" spans="1:3">
      <c r="A129" t="s">
        <v>1036</v>
      </c>
      <c r="B129">
        <v>0.74462365591397806</v>
      </c>
      <c r="C129">
        <v>0.884210526315789</v>
      </c>
    </row>
    <row r="130" spans="1:3">
      <c r="A130" t="s">
        <v>1037</v>
      </c>
      <c r="B130">
        <v>0.72569778633301196</v>
      </c>
      <c r="C130">
        <v>0.87368421052631595</v>
      </c>
    </row>
    <row r="131" spans="1:3">
      <c r="A131" t="s">
        <v>1038</v>
      </c>
      <c r="B131">
        <v>0.74462365591397806</v>
      </c>
      <c r="C131">
        <v>0.884210526315789</v>
      </c>
    </row>
    <row r="132" spans="1:3">
      <c r="A132" t="s">
        <v>1039</v>
      </c>
      <c r="B132">
        <v>0.74462365591397806</v>
      </c>
      <c r="C132">
        <v>0.884210526315789</v>
      </c>
    </row>
    <row r="133" spans="1:3">
      <c r="A133" t="s">
        <v>1040</v>
      </c>
      <c r="B133">
        <v>0.75538389513108595</v>
      </c>
      <c r="C133">
        <v>0.884210526315789</v>
      </c>
    </row>
    <row r="134" spans="1:3">
      <c r="A134" t="s">
        <v>1041</v>
      </c>
      <c r="B134">
        <v>0.74462365591397806</v>
      </c>
      <c r="C134">
        <v>0.884210526315789</v>
      </c>
    </row>
    <row r="135" spans="1:3">
      <c r="A135" t="s">
        <v>1042</v>
      </c>
      <c r="B135">
        <v>-1.0638297872342E-2</v>
      </c>
      <c r="C135">
        <v>0.97894736842105301</v>
      </c>
    </row>
    <row r="136" spans="1:3">
      <c r="A136" t="s">
        <v>1043</v>
      </c>
      <c r="B136">
        <v>-1.0638297872342E-2</v>
      </c>
      <c r="C136">
        <v>0.97894736842105301</v>
      </c>
    </row>
    <row r="137" spans="1:3">
      <c r="A137" t="s">
        <v>1044</v>
      </c>
      <c r="B137">
        <v>1</v>
      </c>
      <c r="C137">
        <v>1</v>
      </c>
    </row>
    <row r="138" spans="1:3">
      <c r="A138" t="s">
        <v>1045</v>
      </c>
      <c r="B138">
        <v>-1.0638297872342E-2</v>
      </c>
      <c r="C138">
        <v>0.97894736842105301</v>
      </c>
    </row>
    <row r="139" spans="1:3">
      <c r="A139" t="s">
        <v>1046</v>
      </c>
      <c r="B139">
        <v>0.34752747252747102</v>
      </c>
      <c r="C139">
        <v>0.94736842105263197</v>
      </c>
    </row>
    <row r="140" spans="1:3">
      <c r="A140" t="s">
        <v>1047</v>
      </c>
      <c r="B140" t="s">
        <v>1094</v>
      </c>
      <c r="C140">
        <v>1</v>
      </c>
    </row>
    <row r="141" spans="1:3">
      <c r="A141" t="s">
        <v>1048</v>
      </c>
      <c r="B141" t="s">
        <v>1094</v>
      </c>
      <c r="C141">
        <v>1</v>
      </c>
    </row>
    <row r="142" spans="1:3">
      <c r="A142" t="s">
        <v>1049</v>
      </c>
      <c r="B142" t="s">
        <v>1094</v>
      </c>
      <c r="C142">
        <v>1</v>
      </c>
    </row>
    <row r="143" spans="1:3">
      <c r="A143" t="s">
        <v>1050</v>
      </c>
      <c r="B143">
        <v>0.63953321878579605</v>
      </c>
      <c r="C143">
        <v>0.72105263157894695</v>
      </c>
    </row>
    <row r="144" spans="1:3">
      <c r="A144" t="s">
        <v>1051</v>
      </c>
      <c r="B144">
        <v>0.82810615199034998</v>
      </c>
      <c r="C144">
        <v>0.93684210526315803</v>
      </c>
    </row>
    <row r="145" spans="1:3">
      <c r="A145" t="s">
        <v>1052</v>
      </c>
      <c r="B145">
        <v>0.66981132075471705</v>
      </c>
      <c r="C145">
        <v>0.77894736842105305</v>
      </c>
    </row>
    <row r="146" spans="1:3">
      <c r="A146" t="s">
        <v>1053</v>
      </c>
      <c r="B146">
        <v>0.71624850657108696</v>
      </c>
      <c r="C146">
        <v>0.89473684210526305</v>
      </c>
    </row>
    <row r="147" spans="1:3">
      <c r="A147" t="s">
        <v>1054</v>
      </c>
      <c r="B147">
        <v>0.582954889494399</v>
      </c>
      <c r="C147">
        <v>0.69473684210526299</v>
      </c>
    </row>
    <row r="148" spans="1:3">
      <c r="A148" t="s">
        <v>1055</v>
      </c>
      <c r="B148">
        <v>0.386420919974795</v>
      </c>
      <c r="C148">
        <v>0.56842105263157905</v>
      </c>
    </row>
    <row r="149" spans="1:3">
      <c r="A149" t="s">
        <v>1056</v>
      </c>
      <c r="B149" t="s">
        <v>1094</v>
      </c>
      <c r="C149">
        <v>0.884210526315789</v>
      </c>
    </row>
    <row r="150" spans="1:3">
      <c r="A150" t="s">
        <v>1057</v>
      </c>
      <c r="B150">
        <v>0.35436893203883502</v>
      </c>
      <c r="C150">
        <v>0.48421052631578898</v>
      </c>
    </row>
    <row r="151" spans="1:3">
      <c r="A151" t="s">
        <v>1058</v>
      </c>
      <c r="B151">
        <v>0.22298203271654601</v>
      </c>
      <c r="C151">
        <v>0.35789473684210499</v>
      </c>
    </row>
    <row r="152" spans="1:3">
      <c r="A152" t="s">
        <v>1059</v>
      </c>
      <c r="B152">
        <v>0.55371732026143805</v>
      </c>
      <c r="C152">
        <v>0.63684210526315799</v>
      </c>
    </row>
    <row r="153" spans="1:3">
      <c r="A153" t="s">
        <v>1060</v>
      </c>
      <c r="B153">
        <v>0.79101194217473303</v>
      </c>
      <c r="C153">
        <v>0.92631578947368398</v>
      </c>
    </row>
    <row r="154" spans="1:3">
      <c r="A154" t="s">
        <v>1061</v>
      </c>
      <c r="B154">
        <v>0.127485675766768</v>
      </c>
      <c r="C154">
        <v>0.42631578947368398</v>
      </c>
    </row>
    <row r="155" spans="1:3">
      <c r="A155" t="s">
        <v>1062</v>
      </c>
      <c r="B155" t="s">
        <v>1094</v>
      </c>
      <c r="C155">
        <v>0.83157894736842097</v>
      </c>
    </row>
    <row r="156" spans="1:3">
      <c r="A156" t="s">
        <v>1063</v>
      </c>
      <c r="B156">
        <v>0.60751009915534304</v>
      </c>
      <c r="C156">
        <v>0.76315789473684204</v>
      </c>
    </row>
    <row r="157" spans="1:3">
      <c r="A157" t="s">
        <v>1064</v>
      </c>
      <c r="B157">
        <v>0.196859903381642</v>
      </c>
      <c r="C157">
        <v>0.52105263157894699</v>
      </c>
    </row>
    <row r="158" spans="1:3">
      <c r="A158" t="s">
        <v>1065</v>
      </c>
      <c r="B158" t="s">
        <v>1094</v>
      </c>
      <c r="C158">
        <v>0.115789473684211</v>
      </c>
    </row>
    <row r="159" spans="1:3">
      <c r="A159" t="s">
        <v>1066</v>
      </c>
      <c r="B159">
        <v>-1.0638297872342E-2</v>
      </c>
      <c r="C159">
        <v>0.97894736842105301</v>
      </c>
    </row>
    <row r="160" spans="1:3">
      <c r="A160" t="s">
        <v>1067</v>
      </c>
      <c r="B160">
        <v>0.607167470709855</v>
      </c>
      <c r="C160">
        <v>0.87368421052631595</v>
      </c>
    </row>
    <row r="161" spans="1:3">
      <c r="A161" t="s">
        <v>1068</v>
      </c>
      <c r="B161" t="s">
        <v>1094</v>
      </c>
      <c r="C161">
        <v>0.19473684210526301</v>
      </c>
    </row>
    <row r="162" spans="1:3">
      <c r="A162" t="s">
        <v>1069</v>
      </c>
      <c r="B162">
        <v>0.47575877020102503</v>
      </c>
      <c r="C162">
        <v>0.70526315789473704</v>
      </c>
    </row>
    <row r="163" spans="1:3">
      <c r="A163" t="s">
        <v>1070</v>
      </c>
      <c r="B163">
        <v>0.522346368715084</v>
      </c>
      <c r="C163">
        <v>0.71578947368421098</v>
      </c>
    </row>
    <row r="164" spans="1:3">
      <c r="A164" t="s">
        <v>1071</v>
      </c>
      <c r="B164" t="s">
        <v>1094</v>
      </c>
      <c r="C164">
        <v>0.70526315789473704</v>
      </c>
    </row>
    <row r="165" spans="1:3">
      <c r="A165" t="s">
        <v>1072</v>
      </c>
      <c r="B165">
        <v>0.19803024973619399</v>
      </c>
      <c r="C165">
        <v>0.49473684210526298</v>
      </c>
    </row>
    <row r="166" spans="1:3">
      <c r="A166" t="s">
        <v>1073</v>
      </c>
      <c r="B166" t="s">
        <v>1094</v>
      </c>
      <c r="C166">
        <v>1</v>
      </c>
    </row>
    <row r="167" spans="1:3">
      <c r="A167" t="s">
        <v>1074</v>
      </c>
      <c r="B167" t="s">
        <v>1094</v>
      </c>
      <c r="C167">
        <v>1</v>
      </c>
    </row>
    <row r="168" spans="1:3">
      <c r="A168" t="s">
        <v>1075</v>
      </c>
      <c r="B168" t="s">
        <v>1094</v>
      </c>
      <c r="C168">
        <v>1</v>
      </c>
    </row>
    <row r="169" spans="1:3">
      <c r="A169" t="s">
        <v>1076</v>
      </c>
      <c r="B169">
        <v>6.05726872246567E-3</v>
      </c>
      <c r="C169">
        <v>0.9</v>
      </c>
    </row>
    <row r="170" spans="1:3">
      <c r="A170" t="s">
        <v>1077</v>
      </c>
      <c r="B170">
        <v>-2.68479776847983E-2</v>
      </c>
      <c r="C170">
        <v>0.83684210526315805</v>
      </c>
    </row>
    <row r="171" spans="1:3">
      <c r="A171" t="s">
        <v>1078</v>
      </c>
      <c r="B171">
        <v>-8.6872586872587896E-3</v>
      </c>
      <c r="C171">
        <v>0.53684210526315801</v>
      </c>
    </row>
    <row r="172" spans="1:3">
      <c r="A172" t="s">
        <v>1079</v>
      </c>
      <c r="B172" t="s">
        <v>1094</v>
      </c>
      <c r="C172">
        <v>1</v>
      </c>
    </row>
    <row r="173" spans="1:3">
      <c r="A173" t="s">
        <v>1080</v>
      </c>
      <c r="B173">
        <v>0.57777777777777795</v>
      </c>
      <c r="C173">
        <v>0.95789473684210502</v>
      </c>
    </row>
    <row r="174" spans="1:3">
      <c r="A174" t="s">
        <v>1123</v>
      </c>
      <c r="B174">
        <v>-1.0638297872342E-2</v>
      </c>
      <c r="C174">
        <v>0.97894736842105301</v>
      </c>
    </row>
    <row r="175" spans="1:3">
      <c r="A175" t="s">
        <v>1124</v>
      </c>
      <c r="B175" t="s">
        <v>1094</v>
      </c>
      <c r="C175">
        <v>1</v>
      </c>
    </row>
    <row r="176" spans="1:3">
      <c r="A176" t="s">
        <v>1125</v>
      </c>
      <c r="B176" t="s">
        <v>1094</v>
      </c>
      <c r="C176">
        <v>1</v>
      </c>
    </row>
    <row r="177" spans="1:3">
      <c r="A177" t="s">
        <v>1126</v>
      </c>
      <c r="B177">
        <v>0.33170995670995701</v>
      </c>
      <c r="C177">
        <v>0.86315789473684201</v>
      </c>
    </row>
    <row r="178" spans="1:3">
      <c r="A178" t="s">
        <v>1127</v>
      </c>
      <c r="B178">
        <v>0.334733893557423</v>
      </c>
      <c r="C178">
        <v>0.89473684210526305</v>
      </c>
    </row>
    <row r="179" spans="1:3">
      <c r="A179" t="s">
        <v>1128</v>
      </c>
      <c r="B179">
        <v>0.52500000000000002</v>
      </c>
      <c r="C179">
        <v>0.87368421052631595</v>
      </c>
    </row>
    <row r="180" spans="1:3">
      <c r="A180" t="s">
        <v>1129</v>
      </c>
      <c r="B180">
        <v>0.45330188679245298</v>
      </c>
      <c r="C180">
        <v>0.67894736842105297</v>
      </c>
    </row>
    <row r="181" spans="1:3">
      <c r="A181" t="s">
        <v>1130</v>
      </c>
      <c r="B181">
        <v>0.70836531082118204</v>
      </c>
      <c r="C181">
        <v>0.91578947368421004</v>
      </c>
    </row>
    <row r="182" spans="1:3">
      <c r="A182" t="s">
        <v>1131</v>
      </c>
      <c r="B182">
        <v>0.799457177322075</v>
      </c>
      <c r="C182">
        <v>0.92631578947368398</v>
      </c>
    </row>
    <row r="183" spans="1:3">
      <c r="A183" t="s">
        <v>1132</v>
      </c>
      <c r="B183">
        <v>0.70525800130633498</v>
      </c>
      <c r="C183">
        <v>0.9</v>
      </c>
    </row>
    <row r="184" spans="1:3">
      <c r="A184" t="s">
        <v>1133</v>
      </c>
      <c r="B184" t="s">
        <v>1094</v>
      </c>
      <c r="C184">
        <v>1</v>
      </c>
    </row>
    <row r="185" spans="1:3">
      <c r="A185" t="s">
        <v>1134</v>
      </c>
      <c r="B185">
        <v>2.9291553133515301E-2</v>
      </c>
      <c r="C185">
        <v>0.92105263157894701</v>
      </c>
    </row>
    <row r="186" spans="1:3">
      <c r="A186" t="s">
        <v>1135</v>
      </c>
      <c r="B186">
        <v>0.73901098901098805</v>
      </c>
      <c r="C186">
        <v>0.97894736842105301</v>
      </c>
    </row>
    <row r="187" spans="1:3">
      <c r="A187" t="s">
        <v>1136</v>
      </c>
      <c r="B187" t="s">
        <v>1094</v>
      </c>
      <c r="C187">
        <v>1</v>
      </c>
    </row>
    <row r="188" spans="1:3">
      <c r="A188" t="s">
        <v>1137</v>
      </c>
      <c r="B188">
        <v>0.28110986547085198</v>
      </c>
      <c r="C188">
        <v>0.71578947368421098</v>
      </c>
    </row>
    <row r="189" spans="1:3">
      <c r="A189" t="s">
        <v>1138</v>
      </c>
      <c r="B189" t="s">
        <v>1094</v>
      </c>
      <c r="C189">
        <v>1</v>
      </c>
    </row>
    <row r="190" spans="1:3">
      <c r="A190" t="s">
        <v>1139</v>
      </c>
      <c r="B190">
        <v>0.58647707486941403</v>
      </c>
      <c r="C190">
        <v>0.84210526315789502</v>
      </c>
    </row>
    <row r="191" spans="1:3">
      <c r="A191" t="s">
        <v>1140</v>
      </c>
      <c r="B191">
        <v>0.41358024691357997</v>
      </c>
      <c r="C191">
        <v>0.85263157894736796</v>
      </c>
    </row>
    <row r="192" spans="1:3">
      <c r="A192" t="s">
        <v>1141</v>
      </c>
      <c r="B192" t="s">
        <v>1094</v>
      </c>
      <c r="C192">
        <v>5.2631578947368403E-3</v>
      </c>
    </row>
    <row r="193" spans="1:3">
      <c r="A193" t="s">
        <v>1142</v>
      </c>
      <c r="B193" t="s">
        <v>1094</v>
      </c>
      <c r="C193">
        <v>0</v>
      </c>
    </row>
    <row r="194" spans="1:3">
      <c r="A194" t="s">
        <v>1143</v>
      </c>
      <c r="B194" t="s">
        <v>1094</v>
      </c>
      <c r="C194">
        <v>5.2631578947368403E-3</v>
      </c>
    </row>
    <row r="195" spans="1:3">
      <c r="A195" t="s">
        <v>1144</v>
      </c>
      <c r="B195" t="s">
        <v>1094</v>
      </c>
      <c r="C195">
        <v>2.6315789473684199E-2</v>
      </c>
    </row>
    <row r="196" spans="1:3">
      <c r="A196" t="s">
        <v>1145</v>
      </c>
      <c r="B196" t="s">
        <v>1094</v>
      </c>
      <c r="C196">
        <v>2.1052631578947399E-2</v>
      </c>
    </row>
    <row r="197" spans="1:3">
      <c r="A197" t="s">
        <v>1146</v>
      </c>
      <c r="B197" t="s">
        <v>1094</v>
      </c>
      <c r="C197">
        <v>5.2631578947368403E-3</v>
      </c>
    </row>
    <row r="198" spans="1:3">
      <c r="A198" t="s">
        <v>1147</v>
      </c>
      <c r="B198" t="s">
        <v>1094</v>
      </c>
      <c r="C198">
        <v>5.2631578947368403E-3</v>
      </c>
    </row>
    <row r="199" spans="1:3">
      <c r="A199" t="s">
        <v>1148</v>
      </c>
      <c r="B199" t="s">
        <v>1094</v>
      </c>
      <c r="C199">
        <v>0</v>
      </c>
    </row>
  </sheetData>
  <sheetCalcPr fullCalcOnLoad="1"/>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
  <sheetViews>
    <sheetView view="pageLayout" topLeftCell="A3" workbookViewId="0">
      <selection activeCell="A5" sqref="A5:B6"/>
    </sheetView>
  </sheetViews>
  <sheetFormatPr baseColWidth="10" defaultRowHeight="13"/>
  <cols>
    <col min="1" max="1" width="14.140625" bestFit="1" customWidth="1"/>
  </cols>
  <sheetData>
    <row r="1" spans="1:2">
      <c r="A1" t="s">
        <v>1085</v>
      </c>
      <c r="B1">
        <v>170</v>
      </c>
    </row>
    <row r="2" spans="1:2">
      <c r="A2" t="s">
        <v>1086</v>
      </c>
      <c r="B2">
        <v>145</v>
      </c>
    </row>
    <row r="3" spans="1:2">
      <c r="A3" t="s">
        <v>1087</v>
      </c>
      <c r="B3">
        <f>B1-B2</f>
        <v>25</v>
      </c>
    </row>
    <row r="5" spans="1:2">
      <c r="A5" t="s">
        <v>1088</v>
      </c>
      <c r="B5">
        <v>91</v>
      </c>
    </row>
    <row r="6" spans="1:2">
      <c r="A6" t="s">
        <v>1089</v>
      </c>
      <c r="B6">
        <f>B1-B5</f>
        <v>79</v>
      </c>
    </row>
  </sheetData>
  <phoneticPr fontId="2" type="noConversion"/>
  <pageMargins left="0.75" right="0.75" top="1" bottom="1" header="0.5" footer="0.5"/>
  <pageSetup orientation="portrait" horizontalDpi="4294967292" verticalDpi="4294967292"/>
  <drawing r:id="rId1"/>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96"/>
  <sheetViews>
    <sheetView view="pageLayout" topLeftCell="A33" workbookViewId="0"/>
  </sheetViews>
  <sheetFormatPr baseColWidth="10" defaultRowHeight="13"/>
  <cols>
    <col min="1" max="1" width="45.42578125" bestFit="1" customWidth="1"/>
    <col min="2" max="2" width="12.7109375" bestFit="1" customWidth="1"/>
    <col min="3" max="3" width="12" bestFit="1" customWidth="1"/>
  </cols>
  <sheetData>
    <row r="1" spans="1:3">
      <c r="B1" t="s">
        <v>1090</v>
      </c>
      <c r="C1" t="s">
        <v>1152</v>
      </c>
    </row>
    <row r="2" spans="1:3">
      <c r="A2" t="s">
        <v>1091</v>
      </c>
      <c r="B2">
        <v>-1</v>
      </c>
      <c r="C2">
        <v>0</v>
      </c>
    </row>
    <row r="3" spans="1:3">
      <c r="A3" t="s">
        <v>1092</v>
      </c>
      <c r="B3">
        <v>1</v>
      </c>
      <c r="C3">
        <v>1</v>
      </c>
    </row>
    <row r="4" spans="1:3">
      <c r="A4" t="s">
        <v>1093</v>
      </c>
      <c r="B4" t="s">
        <v>1094</v>
      </c>
      <c r="C4">
        <v>0.45454545454545497</v>
      </c>
    </row>
    <row r="5" spans="1:3">
      <c r="A5" t="s">
        <v>1095</v>
      </c>
      <c r="B5" t="s">
        <v>1094</v>
      </c>
      <c r="C5">
        <v>0.54545454545454497</v>
      </c>
    </row>
    <row r="6" spans="1:3">
      <c r="A6" t="s">
        <v>1096</v>
      </c>
      <c r="B6" t="s">
        <v>1094</v>
      </c>
      <c r="C6">
        <v>1</v>
      </c>
    </row>
    <row r="7" spans="1:3">
      <c r="A7" t="s">
        <v>1097</v>
      </c>
      <c r="B7">
        <v>-0.36723163841807899</v>
      </c>
      <c r="C7">
        <v>0</v>
      </c>
    </row>
    <row r="8" spans="1:3">
      <c r="A8" t="s">
        <v>1098</v>
      </c>
      <c r="B8">
        <v>0.55102040816326503</v>
      </c>
      <c r="C8">
        <v>0.72727272727272696</v>
      </c>
    </row>
    <row r="9" spans="1:3">
      <c r="A9" t="s">
        <v>1101</v>
      </c>
      <c r="B9">
        <v>0.69444444444444497</v>
      </c>
      <c r="C9">
        <v>0.81818181818181801</v>
      </c>
    </row>
    <row r="10" spans="1:3">
      <c r="A10" t="s">
        <v>1102</v>
      </c>
      <c r="B10">
        <v>0.17499999999999999</v>
      </c>
      <c r="C10">
        <v>0.45454545454545497</v>
      </c>
    </row>
    <row r="11" spans="1:3">
      <c r="A11" t="s">
        <v>1103</v>
      </c>
      <c r="B11">
        <v>0.58878504672897203</v>
      </c>
      <c r="C11">
        <v>0.81818181818181801</v>
      </c>
    </row>
    <row r="12" spans="1:3">
      <c r="A12" t="s">
        <v>1104</v>
      </c>
      <c r="B12">
        <v>0.580952380952381</v>
      </c>
      <c r="C12">
        <v>0.81818181818181801</v>
      </c>
    </row>
    <row r="13" spans="1:3">
      <c r="A13" t="s">
        <v>1105</v>
      </c>
      <c r="B13" t="s">
        <v>1094</v>
      </c>
      <c r="C13">
        <v>1</v>
      </c>
    </row>
    <row r="14" spans="1:3">
      <c r="A14" t="s">
        <v>1106</v>
      </c>
      <c r="B14">
        <v>-4.7619047619046201E-2</v>
      </c>
      <c r="C14">
        <v>0.90909090909090895</v>
      </c>
    </row>
    <row r="15" spans="1:3">
      <c r="A15" t="s">
        <v>1107</v>
      </c>
      <c r="B15" t="s">
        <v>1094</v>
      </c>
      <c r="C15">
        <v>1</v>
      </c>
    </row>
    <row r="16" spans="1:3">
      <c r="A16" t="s">
        <v>1108</v>
      </c>
      <c r="B16">
        <v>0.38888888888888901</v>
      </c>
      <c r="C16">
        <v>0.81818181818181801</v>
      </c>
    </row>
    <row r="17" spans="1:3">
      <c r="A17" t="s">
        <v>1109</v>
      </c>
      <c r="B17">
        <v>-4.7619047619046201E-2</v>
      </c>
      <c r="C17">
        <v>0.90909090909090895</v>
      </c>
    </row>
    <row r="18" spans="1:3">
      <c r="A18" t="s">
        <v>1110</v>
      </c>
      <c r="B18" t="s">
        <v>1094</v>
      </c>
      <c r="C18">
        <v>1</v>
      </c>
    </row>
    <row r="19" spans="1:3">
      <c r="A19" t="s">
        <v>1111</v>
      </c>
      <c r="B19">
        <v>0.61403508771929904</v>
      </c>
      <c r="C19">
        <v>0.90909090909090895</v>
      </c>
    </row>
    <row r="20" spans="1:3">
      <c r="A20" t="s">
        <v>1112</v>
      </c>
      <c r="B20" t="s">
        <v>1094</v>
      </c>
      <c r="C20">
        <v>1</v>
      </c>
    </row>
    <row r="21" spans="1:3">
      <c r="A21" t="s">
        <v>1113</v>
      </c>
      <c r="B21" t="s">
        <v>1094</v>
      </c>
      <c r="C21">
        <v>1</v>
      </c>
    </row>
    <row r="22" spans="1:3">
      <c r="A22" t="s">
        <v>1114</v>
      </c>
      <c r="B22" t="s">
        <v>1094</v>
      </c>
      <c r="C22">
        <v>1</v>
      </c>
    </row>
    <row r="23" spans="1:3">
      <c r="A23" t="s">
        <v>1115</v>
      </c>
      <c r="B23">
        <v>0.60479041916167697</v>
      </c>
      <c r="C23">
        <v>0.72727272727272696</v>
      </c>
    </row>
    <row r="24" spans="1:3">
      <c r="A24" t="s">
        <v>1116</v>
      </c>
      <c r="B24" t="s">
        <v>1094</v>
      </c>
      <c r="C24">
        <v>1</v>
      </c>
    </row>
    <row r="25" spans="1:3">
      <c r="A25" t="s">
        <v>1117</v>
      </c>
      <c r="B25" t="s">
        <v>1094</v>
      </c>
      <c r="C25">
        <v>1</v>
      </c>
    </row>
    <row r="26" spans="1:3">
      <c r="A26" t="s">
        <v>1118</v>
      </c>
      <c r="B26" t="s">
        <v>1094</v>
      </c>
      <c r="C26">
        <v>1</v>
      </c>
    </row>
    <row r="27" spans="1:3">
      <c r="A27" t="s">
        <v>1119</v>
      </c>
      <c r="B27">
        <v>0.245714285714286</v>
      </c>
      <c r="C27">
        <v>0.45454545454545497</v>
      </c>
    </row>
    <row r="28" spans="1:3">
      <c r="A28" t="s">
        <v>1120</v>
      </c>
      <c r="B28">
        <v>1</v>
      </c>
      <c r="C28">
        <v>1</v>
      </c>
    </row>
    <row r="29" spans="1:3">
      <c r="A29" t="s">
        <v>960</v>
      </c>
      <c r="B29">
        <v>0.62711864406779705</v>
      </c>
      <c r="C29">
        <v>0.90909090909090895</v>
      </c>
    </row>
    <row r="30" spans="1:3">
      <c r="A30" t="s">
        <v>961</v>
      </c>
      <c r="B30">
        <v>-0.17333333333333301</v>
      </c>
      <c r="C30">
        <v>0.63636363636363602</v>
      </c>
    </row>
    <row r="31" spans="1:3">
      <c r="A31" t="s">
        <v>962</v>
      </c>
      <c r="B31">
        <v>0.86163522012578597</v>
      </c>
      <c r="C31">
        <v>0.90909090909090895</v>
      </c>
    </row>
    <row r="32" spans="1:3">
      <c r="A32" t="s">
        <v>963</v>
      </c>
      <c r="B32">
        <v>1</v>
      </c>
      <c r="C32">
        <v>1</v>
      </c>
    </row>
    <row r="33" spans="1:3">
      <c r="A33" t="s">
        <v>964</v>
      </c>
      <c r="B33">
        <v>0.81196581196581197</v>
      </c>
      <c r="C33">
        <v>0.90909090909090895</v>
      </c>
    </row>
    <row r="34" spans="1:3">
      <c r="A34" t="s">
        <v>965</v>
      </c>
      <c r="B34" t="s">
        <v>1094</v>
      </c>
      <c r="C34">
        <v>1</v>
      </c>
    </row>
    <row r="35" spans="1:3">
      <c r="A35" t="s">
        <v>966</v>
      </c>
      <c r="B35">
        <v>-0.46666666666666701</v>
      </c>
      <c r="C35">
        <v>0.27272727272727298</v>
      </c>
    </row>
    <row r="36" spans="1:3">
      <c r="A36" t="s">
        <v>967</v>
      </c>
      <c r="B36">
        <v>0.219858156028369</v>
      </c>
      <c r="C36">
        <v>0.54545454545454497</v>
      </c>
    </row>
    <row r="37" spans="1:3">
      <c r="A37" t="s">
        <v>968</v>
      </c>
      <c r="B37">
        <v>0.27472527472527503</v>
      </c>
      <c r="C37">
        <v>0.72727272727272696</v>
      </c>
    </row>
    <row r="38" spans="1:3">
      <c r="A38" t="s">
        <v>969</v>
      </c>
      <c r="B38" t="s">
        <v>1094</v>
      </c>
      <c r="C38">
        <v>1</v>
      </c>
    </row>
    <row r="39" spans="1:3">
      <c r="A39" t="s">
        <v>970</v>
      </c>
      <c r="B39" t="s">
        <v>1094</v>
      </c>
      <c r="C39">
        <v>1</v>
      </c>
    </row>
    <row r="40" spans="1:3">
      <c r="A40" t="s">
        <v>971</v>
      </c>
      <c r="B40" t="s">
        <v>1094</v>
      </c>
      <c r="C40">
        <v>1</v>
      </c>
    </row>
    <row r="41" spans="1:3">
      <c r="A41" t="s">
        <v>972</v>
      </c>
      <c r="B41">
        <v>-4.7619047619046201E-2</v>
      </c>
      <c r="C41">
        <v>0.90909090909090895</v>
      </c>
    </row>
    <row r="42" spans="1:3">
      <c r="A42" t="s">
        <v>973</v>
      </c>
      <c r="B42">
        <v>0.78217821782178198</v>
      </c>
      <c r="C42">
        <v>0.90909090909090895</v>
      </c>
    </row>
    <row r="43" spans="1:3">
      <c r="A43" t="s">
        <v>974</v>
      </c>
      <c r="B43">
        <v>0.78217821782178198</v>
      </c>
      <c r="C43">
        <v>0.90909090909090895</v>
      </c>
    </row>
    <row r="44" spans="1:3">
      <c r="A44" t="s">
        <v>975</v>
      </c>
      <c r="B44">
        <v>0.56435643564356497</v>
      </c>
      <c r="C44">
        <v>0.81818181818181801</v>
      </c>
    </row>
    <row r="45" spans="1:3">
      <c r="A45" t="s">
        <v>976</v>
      </c>
      <c r="B45">
        <v>0.133004926108374</v>
      </c>
      <c r="C45">
        <v>0.27272727272727298</v>
      </c>
    </row>
    <row r="46" spans="1:3">
      <c r="A46" t="s">
        <v>977</v>
      </c>
      <c r="B46">
        <v>0.54482758620689697</v>
      </c>
      <c r="C46">
        <v>0.72727272727272696</v>
      </c>
    </row>
    <row r="47" spans="1:3">
      <c r="A47" t="s">
        <v>978</v>
      </c>
      <c r="B47">
        <v>0.52857142857142903</v>
      </c>
      <c r="C47">
        <v>0.72727272727272696</v>
      </c>
    </row>
    <row r="48" spans="1:3">
      <c r="A48" t="s">
        <v>979</v>
      </c>
      <c r="B48">
        <v>0.62068965517241403</v>
      </c>
      <c r="C48">
        <v>0.81818181818181801</v>
      </c>
    </row>
    <row r="49" spans="1:3">
      <c r="A49" t="s">
        <v>980</v>
      </c>
      <c r="B49">
        <v>0.74117647058823599</v>
      </c>
      <c r="C49">
        <v>0.90909090909090895</v>
      </c>
    </row>
    <row r="50" spans="1:3">
      <c r="A50" t="s">
        <v>981</v>
      </c>
      <c r="B50">
        <v>0.56291390728476798</v>
      </c>
      <c r="C50">
        <v>0.72727272727272696</v>
      </c>
    </row>
    <row r="51" spans="1:3">
      <c r="A51" t="s">
        <v>982</v>
      </c>
      <c r="B51">
        <v>0.74117647058823599</v>
      </c>
      <c r="C51">
        <v>0.90909090909090895</v>
      </c>
    </row>
    <row r="52" spans="1:3">
      <c r="A52" t="s">
        <v>983</v>
      </c>
      <c r="B52">
        <v>0.74117647058823599</v>
      </c>
      <c r="C52">
        <v>0.90909090909090895</v>
      </c>
    </row>
    <row r="53" spans="1:3">
      <c r="A53" t="s">
        <v>984</v>
      </c>
      <c r="B53">
        <v>0.678832116788321</v>
      </c>
      <c r="C53">
        <v>0.81818181818181801</v>
      </c>
    </row>
    <row r="54" spans="1:3">
      <c r="A54" t="s">
        <v>985</v>
      </c>
      <c r="B54">
        <v>0.74117647058823599</v>
      </c>
      <c r="C54">
        <v>0.90909090909090895</v>
      </c>
    </row>
    <row r="55" spans="1:3">
      <c r="A55" t="s">
        <v>986</v>
      </c>
      <c r="B55">
        <v>0.74117647058823599</v>
      </c>
      <c r="C55">
        <v>0.90909090909090895</v>
      </c>
    </row>
    <row r="56" spans="1:3">
      <c r="A56" t="s">
        <v>987</v>
      </c>
      <c r="B56">
        <v>0.74117647058823599</v>
      </c>
      <c r="C56">
        <v>0.90909090909090895</v>
      </c>
    </row>
    <row r="57" spans="1:3">
      <c r="A57" t="s">
        <v>988</v>
      </c>
      <c r="B57">
        <v>0.74117647058823599</v>
      </c>
      <c r="C57">
        <v>0.90909090909090895</v>
      </c>
    </row>
    <row r="58" spans="1:3">
      <c r="A58" t="s">
        <v>989</v>
      </c>
      <c r="B58">
        <v>0.74117647058823599</v>
      </c>
      <c r="C58">
        <v>0.90909090909090895</v>
      </c>
    </row>
    <row r="59" spans="1:3">
      <c r="A59" t="s">
        <v>990</v>
      </c>
      <c r="B59">
        <v>0.74117647058823599</v>
      </c>
      <c r="C59">
        <v>0.90909090909090895</v>
      </c>
    </row>
    <row r="60" spans="1:3">
      <c r="A60" t="s">
        <v>991</v>
      </c>
      <c r="B60">
        <v>0.74117647058823599</v>
      </c>
      <c r="C60">
        <v>0.90909090909090895</v>
      </c>
    </row>
    <row r="61" spans="1:3">
      <c r="A61" t="s">
        <v>992</v>
      </c>
      <c r="B61">
        <v>0.74117647058823599</v>
      </c>
      <c r="C61">
        <v>0.90909090909090895</v>
      </c>
    </row>
    <row r="62" spans="1:3">
      <c r="A62" t="s">
        <v>993</v>
      </c>
      <c r="B62">
        <v>1</v>
      </c>
      <c r="C62">
        <v>1</v>
      </c>
    </row>
    <row r="63" spans="1:3">
      <c r="A63" t="s">
        <v>994</v>
      </c>
      <c r="B63">
        <v>0.20863309352518</v>
      </c>
      <c r="C63">
        <v>0.54545454545454497</v>
      </c>
    </row>
    <row r="64" spans="1:3">
      <c r="A64" t="s">
        <v>995</v>
      </c>
      <c r="B64">
        <v>0.446540880503145</v>
      </c>
      <c r="C64">
        <v>0.63636363636363602</v>
      </c>
    </row>
    <row r="65" spans="1:3">
      <c r="A65" t="s">
        <v>996</v>
      </c>
      <c r="B65">
        <v>1</v>
      </c>
      <c r="C65">
        <v>1</v>
      </c>
    </row>
    <row r="66" spans="1:3">
      <c r="A66" t="s">
        <v>997</v>
      </c>
      <c r="B66" t="s">
        <v>1094</v>
      </c>
      <c r="C66">
        <v>1</v>
      </c>
    </row>
    <row r="67" spans="1:3">
      <c r="A67" t="s">
        <v>998</v>
      </c>
      <c r="B67" t="s">
        <v>1094</v>
      </c>
      <c r="C67">
        <v>1</v>
      </c>
    </row>
    <row r="68" spans="1:3">
      <c r="A68" t="s">
        <v>999</v>
      </c>
      <c r="B68">
        <v>-4.7619047619046201E-2</v>
      </c>
      <c r="C68">
        <v>0.90909090909090895</v>
      </c>
    </row>
    <row r="69" spans="1:3">
      <c r="A69" t="s">
        <v>1000</v>
      </c>
      <c r="B69">
        <v>-4.7619047619046201E-2</v>
      </c>
      <c r="C69">
        <v>0.90909090909090895</v>
      </c>
    </row>
    <row r="70" spans="1:3">
      <c r="A70" t="s">
        <v>1170</v>
      </c>
      <c r="B70" t="s">
        <v>1094</v>
      </c>
      <c r="C70">
        <v>1</v>
      </c>
    </row>
    <row r="71" spans="1:3">
      <c r="A71" t="s">
        <v>1171</v>
      </c>
      <c r="B71" t="s">
        <v>1094</v>
      </c>
      <c r="C71">
        <v>1</v>
      </c>
    </row>
    <row r="72" spans="1:3">
      <c r="A72" t="s">
        <v>1172</v>
      </c>
      <c r="B72">
        <v>-4.7619047619046201E-2</v>
      </c>
      <c r="C72">
        <v>0.90909090909090895</v>
      </c>
    </row>
    <row r="73" spans="1:3">
      <c r="A73" t="s">
        <v>1173</v>
      </c>
      <c r="B73">
        <v>-4.7619047619046201E-2</v>
      </c>
      <c r="C73">
        <v>0.90909090909090895</v>
      </c>
    </row>
    <row r="74" spans="1:3">
      <c r="A74" t="s">
        <v>1174</v>
      </c>
      <c r="B74" t="s">
        <v>1094</v>
      </c>
      <c r="C74">
        <v>1</v>
      </c>
    </row>
    <row r="75" spans="1:3">
      <c r="A75" t="s">
        <v>1175</v>
      </c>
      <c r="B75" t="s">
        <v>1094</v>
      </c>
      <c r="C75">
        <v>1</v>
      </c>
    </row>
    <row r="76" spans="1:3">
      <c r="A76" t="s">
        <v>1176</v>
      </c>
      <c r="B76" t="s">
        <v>1094</v>
      </c>
      <c r="C76">
        <v>1</v>
      </c>
    </row>
    <row r="77" spans="1:3">
      <c r="A77" t="s">
        <v>1177</v>
      </c>
      <c r="B77" t="s">
        <v>1094</v>
      </c>
      <c r="C77">
        <v>1</v>
      </c>
    </row>
    <row r="78" spans="1:3">
      <c r="A78" t="s">
        <v>1178</v>
      </c>
      <c r="B78" t="s">
        <v>1094</v>
      </c>
      <c r="C78">
        <v>1</v>
      </c>
    </row>
    <row r="79" spans="1:3">
      <c r="A79" t="s">
        <v>1179</v>
      </c>
      <c r="B79" t="s">
        <v>1094</v>
      </c>
      <c r="C79">
        <v>1</v>
      </c>
    </row>
    <row r="80" spans="1:3">
      <c r="A80" t="s">
        <v>1180</v>
      </c>
      <c r="B80">
        <v>8.3333333333333301E-2</v>
      </c>
      <c r="C80">
        <v>0.63636363636363602</v>
      </c>
    </row>
    <row r="81" spans="1:3">
      <c r="A81" t="s">
        <v>1181</v>
      </c>
      <c r="B81">
        <v>1</v>
      </c>
      <c r="C81">
        <v>1</v>
      </c>
    </row>
    <row r="82" spans="1:3">
      <c r="A82" t="s">
        <v>1182</v>
      </c>
      <c r="B82">
        <v>-4.7619047619046201E-2</v>
      </c>
      <c r="C82">
        <v>0.90909090909090895</v>
      </c>
    </row>
    <row r="83" spans="1:3">
      <c r="A83" t="s">
        <v>1183</v>
      </c>
      <c r="B83">
        <v>-4.7619047619046201E-2</v>
      </c>
      <c r="C83">
        <v>0.90909090909090895</v>
      </c>
    </row>
    <row r="84" spans="1:3">
      <c r="A84" t="s">
        <v>1184</v>
      </c>
      <c r="B84" t="s">
        <v>1094</v>
      </c>
      <c r="C84">
        <v>1</v>
      </c>
    </row>
    <row r="85" spans="1:3">
      <c r="A85" t="s">
        <v>1185</v>
      </c>
      <c r="B85">
        <v>-4.7619047619046201E-2</v>
      </c>
      <c r="C85">
        <v>0.90909090909090895</v>
      </c>
    </row>
    <row r="86" spans="1:3">
      <c r="A86" t="s">
        <v>1187</v>
      </c>
      <c r="B86" t="s">
        <v>1094</v>
      </c>
      <c r="C86">
        <v>1</v>
      </c>
    </row>
    <row r="87" spans="1:3">
      <c r="A87" t="s">
        <v>1188</v>
      </c>
      <c r="B87" t="s">
        <v>1094</v>
      </c>
      <c r="C87">
        <v>1</v>
      </c>
    </row>
    <row r="88" spans="1:3">
      <c r="A88" t="s">
        <v>1189</v>
      </c>
      <c r="B88">
        <v>0.61403508771929904</v>
      </c>
      <c r="C88">
        <v>0.90909090909090895</v>
      </c>
    </row>
    <row r="89" spans="1:3">
      <c r="A89" t="s">
        <v>1190</v>
      </c>
      <c r="B89" t="s">
        <v>1094</v>
      </c>
      <c r="C89">
        <v>1</v>
      </c>
    </row>
    <row r="90" spans="1:3">
      <c r="A90" t="s">
        <v>1191</v>
      </c>
      <c r="B90">
        <v>-4.7619047619046201E-2</v>
      </c>
      <c r="C90">
        <v>0.90909090909090895</v>
      </c>
    </row>
    <row r="91" spans="1:3">
      <c r="A91" t="s">
        <v>1192</v>
      </c>
      <c r="B91">
        <v>-9.99999999999997E-2</v>
      </c>
      <c r="C91">
        <v>0.81818181818181801</v>
      </c>
    </row>
    <row r="92" spans="1:3">
      <c r="A92" t="s">
        <v>1193</v>
      </c>
      <c r="B92">
        <v>-9.99999999999997E-2</v>
      </c>
      <c r="C92">
        <v>0.81818181818181801</v>
      </c>
    </row>
    <row r="93" spans="1:3">
      <c r="A93" t="s">
        <v>1194</v>
      </c>
      <c r="B93" t="s">
        <v>1094</v>
      </c>
      <c r="C93">
        <v>1</v>
      </c>
    </row>
    <row r="94" spans="1:3">
      <c r="A94" t="s">
        <v>1195</v>
      </c>
      <c r="B94" t="s">
        <v>1094</v>
      </c>
      <c r="C94">
        <v>1</v>
      </c>
    </row>
    <row r="95" spans="1:3">
      <c r="A95" t="s">
        <v>1196</v>
      </c>
      <c r="B95">
        <v>-4.7619047619046201E-2</v>
      </c>
      <c r="C95">
        <v>0.90909090909090895</v>
      </c>
    </row>
    <row r="96" spans="1:3">
      <c r="A96" t="s">
        <v>1197</v>
      </c>
      <c r="B96" t="s">
        <v>1094</v>
      </c>
      <c r="C96">
        <v>1</v>
      </c>
    </row>
    <row r="97" spans="1:3">
      <c r="A97" t="s">
        <v>1198</v>
      </c>
      <c r="B97" t="s">
        <v>1094</v>
      </c>
      <c r="C97">
        <v>1</v>
      </c>
    </row>
    <row r="98" spans="1:3">
      <c r="A98" t="s">
        <v>1199</v>
      </c>
      <c r="B98" t="s">
        <v>1094</v>
      </c>
      <c r="C98">
        <v>1</v>
      </c>
    </row>
    <row r="99" spans="1:3">
      <c r="A99" t="s">
        <v>1200</v>
      </c>
      <c r="B99">
        <v>-4.7619047619046201E-2</v>
      </c>
      <c r="C99">
        <v>0.90909090909090895</v>
      </c>
    </row>
    <row r="100" spans="1:3">
      <c r="A100" t="s">
        <v>1201</v>
      </c>
      <c r="B100" t="s">
        <v>1094</v>
      </c>
      <c r="C100">
        <v>1</v>
      </c>
    </row>
    <row r="101" spans="1:3">
      <c r="A101" t="s">
        <v>1202</v>
      </c>
      <c r="B101" t="s">
        <v>1094</v>
      </c>
      <c r="C101">
        <v>1</v>
      </c>
    </row>
    <row r="102" spans="1:3">
      <c r="A102" t="s">
        <v>1203</v>
      </c>
      <c r="B102" t="s">
        <v>1094</v>
      </c>
      <c r="C102">
        <v>1</v>
      </c>
    </row>
    <row r="103" spans="1:3">
      <c r="A103" t="s">
        <v>1204</v>
      </c>
      <c r="B103">
        <v>0.706666666666667</v>
      </c>
      <c r="C103">
        <v>0.90909090909090895</v>
      </c>
    </row>
    <row r="104" spans="1:3">
      <c r="A104" t="s">
        <v>1205</v>
      </c>
      <c r="B104" t="s">
        <v>1094</v>
      </c>
      <c r="C104">
        <v>1</v>
      </c>
    </row>
    <row r="105" spans="1:3">
      <c r="A105" t="s">
        <v>1206</v>
      </c>
      <c r="B105" t="s">
        <v>1094</v>
      </c>
      <c r="C105">
        <v>1</v>
      </c>
    </row>
    <row r="106" spans="1:3">
      <c r="A106" t="s">
        <v>1016</v>
      </c>
      <c r="B106" t="s">
        <v>1094</v>
      </c>
      <c r="C106">
        <v>1</v>
      </c>
    </row>
    <row r="107" spans="1:3">
      <c r="A107" t="s">
        <v>1017</v>
      </c>
      <c r="B107" t="s">
        <v>1094</v>
      </c>
      <c r="C107">
        <v>1</v>
      </c>
    </row>
    <row r="108" spans="1:3">
      <c r="A108" t="s">
        <v>1018</v>
      </c>
      <c r="B108">
        <v>-4.7619047619046201E-2</v>
      </c>
      <c r="C108">
        <v>0.90909090909090895</v>
      </c>
    </row>
    <row r="109" spans="1:3">
      <c r="A109" t="s">
        <v>1019</v>
      </c>
      <c r="B109">
        <v>0.413333333333333</v>
      </c>
      <c r="C109">
        <v>0.81818181818181801</v>
      </c>
    </row>
    <row r="110" spans="1:3">
      <c r="A110" t="s">
        <v>1020</v>
      </c>
      <c r="B110" t="s">
        <v>1094</v>
      </c>
      <c r="C110">
        <v>1</v>
      </c>
    </row>
    <row r="111" spans="1:3">
      <c r="A111" t="s">
        <v>1021</v>
      </c>
      <c r="B111" t="s">
        <v>1094</v>
      </c>
      <c r="C111">
        <v>1</v>
      </c>
    </row>
    <row r="112" spans="1:3">
      <c r="A112" t="s">
        <v>1022</v>
      </c>
      <c r="B112" t="s">
        <v>1094</v>
      </c>
      <c r="C112">
        <v>1</v>
      </c>
    </row>
    <row r="113" spans="1:3">
      <c r="A113" t="s">
        <v>1023</v>
      </c>
      <c r="B113" t="s">
        <v>1094</v>
      </c>
      <c r="C113">
        <v>1</v>
      </c>
    </row>
    <row r="114" spans="1:3">
      <c r="A114" t="s">
        <v>1024</v>
      </c>
      <c r="B114" t="s">
        <v>1094</v>
      </c>
      <c r="C114">
        <v>1</v>
      </c>
    </row>
    <row r="115" spans="1:3">
      <c r="A115" t="s">
        <v>1025</v>
      </c>
      <c r="B115" t="s">
        <v>1094</v>
      </c>
      <c r="C115">
        <v>1</v>
      </c>
    </row>
    <row r="116" spans="1:3">
      <c r="A116" t="s">
        <v>1026</v>
      </c>
      <c r="B116" t="s">
        <v>1094</v>
      </c>
      <c r="C116">
        <v>1</v>
      </c>
    </row>
    <row r="117" spans="1:3">
      <c r="A117" t="s">
        <v>1027</v>
      </c>
      <c r="B117">
        <v>0.74117647058823599</v>
      </c>
      <c r="C117">
        <v>0.90909090909090895</v>
      </c>
    </row>
    <row r="118" spans="1:3">
      <c r="A118" t="s">
        <v>1028</v>
      </c>
      <c r="B118">
        <v>0.14728682170542601</v>
      </c>
      <c r="C118">
        <v>0.54545454545454497</v>
      </c>
    </row>
    <row r="119" spans="1:3">
      <c r="A119" t="s">
        <v>1029</v>
      </c>
      <c r="B119" t="s">
        <v>1094</v>
      </c>
      <c r="C119">
        <v>1</v>
      </c>
    </row>
    <row r="120" spans="1:3">
      <c r="A120" t="s">
        <v>1030</v>
      </c>
      <c r="B120" t="s">
        <v>1094</v>
      </c>
      <c r="C120">
        <v>1</v>
      </c>
    </row>
    <row r="121" spans="1:3">
      <c r="A121" t="s">
        <v>1031</v>
      </c>
      <c r="B121" t="s">
        <v>1094</v>
      </c>
      <c r="C121">
        <v>1</v>
      </c>
    </row>
    <row r="122" spans="1:3">
      <c r="A122" t="s">
        <v>1032</v>
      </c>
      <c r="B122" t="s">
        <v>1094</v>
      </c>
      <c r="C122">
        <v>1</v>
      </c>
    </row>
    <row r="123" spans="1:3">
      <c r="A123" t="s">
        <v>1033</v>
      </c>
      <c r="B123" t="s">
        <v>1094</v>
      </c>
      <c r="C123">
        <v>1</v>
      </c>
    </row>
    <row r="124" spans="1:3">
      <c r="A124" t="s">
        <v>1034</v>
      </c>
      <c r="B124" t="s">
        <v>1094</v>
      </c>
      <c r="C124">
        <v>1</v>
      </c>
    </row>
    <row r="125" spans="1:3">
      <c r="A125" t="s">
        <v>1035</v>
      </c>
      <c r="B125" t="s">
        <v>1094</v>
      </c>
      <c r="C125">
        <v>1</v>
      </c>
    </row>
    <row r="126" spans="1:3">
      <c r="A126" t="s">
        <v>1036</v>
      </c>
      <c r="B126">
        <v>-7.3170731707316805E-2</v>
      </c>
      <c r="C126">
        <v>0.81818181818181801</v>
      </c>
    </row>
    <row r="127" spans="1:3">
      <c r="A127" t="s">
        <v>1037</v>
      </c>
      <c r="B127">
        <v>0.46341463414634199</v>
      </c>
      <c r="C127">
        <v>0.90909090909090895</v>
      </c>
    </row>
    <row r="128" spans="1:3">
      <c r="A128" t="s">
        <v>1038</v>
      </c>
      <c r="B128" t="s">
        <v>1094</v>
      </c>
      <c r="C128">
        <v>1</v>
      </c>
    </row>
    <row r="129" spans="1:3">
      <c r="A129" t="s">
        <v>1039</v>
      </c>
      <c r="B129" t="s">
        <v>1094</v>
      </c>
      <c r="C129">
        <v>1</v>
      </c>
    </row>
    <row r="130" spans="1:3">
      <c r="A130" t="s">
        <v>1040</v>
      </c>
      <c r="B130" t="s">
        <v>1094</v>
      </c>
      <c r="C130">
        <v>1</v>
      </c>
    </row>
    <row r="131" spans="1:3">
      <c r="A131" t="s">
        <v>1041</v>
      </c>
      <c r="B131" t="s">
        <v>1094</v>
      </c>
      <c r="C131">
        <v>1</v>
      </c>
    </row>
    <row r="132" spans="1:3">
      <c r="A132" t="s">
        <v>1042</v>
      </c>
      <c r="B132">
        <v>-9.99999999999997E-2</v>
      </c>
      <c r="C132">
        <v>0.81818181818181801</v>
      </c>
    </row>
    <row r="133" spans="1:3">
      <c r="A133" t="s">
        <v>1043</v>
      </c>
      <c r="B133">
        <v>0.61403508771929904</v>
      </c>
      <c r="C133">
        <v>0.90909090909090895</v>
      </c>
    </row>
    <row r="134" spans="1:3">
      <c r="A134" t="s">
        <v>1044</v>
      </c>
      <c r="B134" t="s">
        <v>1094</v>
      </c>
      <c r="C134">
        <v>1</v>
      </c>
    </row>
    <row r="135" spans="1:3">
      <c r="A135" t="s">
        <v>1045</v>
      </c>
      <c r="B135" t="s">
        <v>1094</v>
      </c>
      <c r="C135">
        <v>1</v>
      </c>
    </row>
    <row r="136" spans="1:3">
      <c r="A136" t="s">
        <v>1046</v>
      </c>
      <c r="B136">
        <v>-4.7619047619046201E-2</v>
      </c>
      <c r="C136">
        <v>0.90909090909090895</v>
      </c>
    </row>
    <row r="137" spans="1:3">
      <c r="A137" t="s">
        <v>1047</v>
      </c>
      <c r="B137" t="s">
        <v>1094</v>
      </c>
      <c r="C137">
        <v>1</v>
      </c>
    </row>
    <row r="138" spans="1:3">
      <c r="A138" t="s">
        <v>1048</v>
      </c>
      <c r="B138" t="s">
        <v>1094</v>
      </c>
      <c r="C138">
        <v>1</v>
      </c>
    </row>
    <row r="139" spans="1:3">
      <c r="A139" t="s">
        <v>1049</v>
      </c>
      <c r="B139" t="s">
        <v>1094</v>
      </c>
      <c r="C139">
        <v>1</v>
      </c>
    </row>
    <row r="140" spans="1:3">
      <c r="A140" t="s">
        <v>1050</v>
      </c>
      <c r="B140">
        <v>0.67961165048543704</v>
      </c>
      <c r="C140">
        <v>0.72727272727272696</v>
      </c>
    </row>
    <row r="141" spans="1:3">
      <c r="A141" t="s">
        <v>1051</v>
      </c>
      <c r="B141">
        <v>0.790476190476191</v>
      </c>
      <c r="C141">
        <v>0.90909090909090895</v>
      </c>
    </row>
    <row r="142" spans="1:3">
      <c r="A142" t="s">
        <v>1052</v>
      </c>
      <c r="B142">
        <v>0.29032258064516098</v>
      </c>
      <c r="C142">
        <v>0.54545454545454497</v>
      </c>
    </row>
    <row r="143" spans="1:3">
      <c r="A143" t="s">
        <v>1053</v>
      </c>
      <c r="B143">
        <v>0.65625</v>
      </c>
      <c r="C143">
        <v>0.81818181818181801</v>
      </c>
    </row>
    <row r="144" spans="1:3">
      <c r="A144" t="s">
        <v>1054</v>
      </c>
      <c r="B144">
        <v>0.59509202453987697</v>
      </c>
      <c r="C144">
        <v>0.72727272727272696</v>
      </c>
    </row>
    <row r="145" spans="1:3">
      <c r="A145" t="s">
        <v>1055</v>
      </c>
      <c r="B145">
        <v>0.27868852459016402</v>
      </c>
      <c r="C145">
        <v>0.63636363636363602</v>
      </c>
    </row>
    <row r="146" spans="1:3">
      <c r="A146" t="s">
        <v>1056</v>
      </c>
      <c r="B146" t="s">
        <v>1094</v>
      </c>
      <c r="C146">
        <v>0.81818181818181801</v>
      </c>
    </row>
    <row r="147" spans="1:3">
      <c r="A147" t="s">
        <v>1057</v>
      </c>
      <c r="B147">
        <v>0.46666666666666701</v>
      </c>
      <c r="C147">
        <v>0.63636363636363602</v>
      </c>
    </row>
    <row r="148" spans="1:3">
      <c r="A148" t="s">
        <v>1058</v>
      </c>
      <c r="B148">
        <v>-9.3922651933701598E-2</v>
      </c>
      <c r="C148">
        <v>0.18181818181818199</v>
      </c>
    </row>
    <row r="149" spans="1:3">
      <c r="A149" t="s">
        <v>1059</v>
      </c>
      <c r="B149">
        <v>8.8757396449704207E-2</v>
      </c>
      <c r="C149">
        <v>0.36363636363636398</v>
      </c>
    </row>
    <row r="150" spans="1:3">
      <c r="A150" t="s">
        <v>1060</v>
      </c>
      <c r="B150">
        <v>0.42105263157894701</v>
      </c>
      <c r="C150">
        <v>0.63636363636363602</v>
      </c>
    </row>
    <row r="151" spans="1:3">
      <c r="A151" t="s">
        <v>1061</v>
      </c>
      <c r="B151">
        <v>0.29032258064516098</v>
      </c>
      <c r="C151">
        <v>0.54545454545454497</v>
      </c>
    </row>
    <row r="152" spans="1:3">
      <c r="A152" t="s">
        <v>1062</v>
      </c>
      <c r="B152" t="s">
        <v>1094</v>
      </c>
      <c r="C152">
        <v>0.90909090909090895</v>
      </c>
    </row>
    <row r="153" spans="1:3">
      <c r="A153" t="s">
        <v>1063</v>
      </c>
      <c r="B153">
        <v>0.59509202453987697</v>
      </c>
      <c r="C153">
        <v>0.72727272727272696</v>
      </c>
    </row>
    <row r="154" spans="1:3">
      <c r="A154" t="s">
        <v>1064</v>
      </c>
      <c r="B154">
        <v>0.72327044025157206</v>
      </c>
      <c r="C154">
        <v>0.81818181818181801</v>
      </c>
    </row>
    <row r="155" spans="1:3">
      <c r="A155" t="s">
        <v>1065</v>
      </c>
      <c r="B155" t="s">
        <v>1094</v>
      </c>
      <c r="C155">
        <v>0.27272727272727298</v>
      </c>
    </row>
    <row r="156" spans="1:3">
      <c r="A156" t="s">
        <v>1066</v>
      </c>
      <c r="B156" t="s">
        <v>1094</v>
      </c>
      <c r="C156">
        <v>1</v>
      </c>
    </row>
    <row r="157" spans="1:3">
      <c r="A157" t="s">
        <v>1067</v>
      </c>
      <c r="B157">
        <v>0.47928994082840198</v>
      </c>
      <c r="C157">
        <v>0.63636363636363602</v>
      </c>
    </row>
    <row r="158" spans="1:3">
      <c r="A158" t="s">
        <v>1068</v>
      </c>
      <c r="B158" t="s">
        <v>1094</v>
      </c>
      <c r="C158">
        <v>0.36363636363636398</v>
      </c>
    </row>
    <row r="159" spans="1:3">
      <c r="A159" t="s">
        <v>1069</v>
      </c>
      <c r="B159">
        <v>0.49618320610687</v>
      </c>
      <c r="C159">
        <v>0.72727272727272696</v>
      </c>
    </row>
    <row r="160" spans="1:3">
      <c r="A160" t="s">
        <v>1070</v>
      </c>
      <c r="B160">
        <v>0.790476190476191</v>
      </c>
      <c r="C160">
        <v>0.90909090909090895</v>
      </c>
    </row>
    <row r="161" spans="1:3">
      <c r="A161" t="s">
        <v>1071</v>
      </c>
      <c r="B161" t="s">
        <v>1094</v>
      </c>
      <c r="C161">
        <v>0.63636363636363602</v>
      </c>
    </row>
    <row r="162" spans="1:3">
      <c r="A162" t="s">
        <v>1072</v>
      </c>
      <c r="B162">
        <v>-3.3557046979865703E-2</v>
      </c>
      <c r="C162">
        <v>0.36363636363636398</v>
      </c>
    </row>
    <row r="163" spans="1:3">
      <c r="A163" t="s">
        <v>1073</v>
      </c>
      <c r="B163">
        <v>-4.7619047619046201E-2</v>
      </c>
      <c r="C163">
        <v>0.90909090909090895</v>
      </c>
    </row>
    <row r="164" spans="1:3">
      <c r="A164" t="s">
        <v>1074</v>
      </c>
      <c r="B164" t="s">
        <v>1094</v>
      </c>
      <c r="C164">
        <v>1</v>
      </c>
    </row>
    <row r="165" spans="1:3">
      <c r="A165" t="s">
        <v>1075</v>
      </c>
      <c r="B165">
        <v>1</v>
      </c>
      <c r="C165">
        <v>1</v>
      </c>
    </row>
    <row r="166" spans="1:3">
      <c r="A166" t="s">
        <v>1076</v>
      </c>
      <c r="B166" t="s">
        <v>1094</v>
      </c>
      <c r="C166">
        <v>1</v>
      </c>
    </row>
    <row r="167" spans="1:3">
      <c r="A167" t="s">
        <v>1077</v>
      </c>
      <c r="B167">
        <v>-4.7619047619046201E-2</v>
      </c>
      <c r="C167">
        <v>0.90909090909090895</v>
      </c>
    </row>
    <row r="168" spans="1:3">
      <c r="A168" t="s">
        <v>1079</v>
      </c>
      <c r="B168">
        <v>-4.7619047619046201E-2</v>
      </c>
      <c r="C168">
        <v>0.90909090909090895</v>
      </c>
    </row>
    <row r="169" spans="1:3">
      <c r="A169" t="s">
        <v>1080</v>
      </c>
      <c r="B169">
        <v>0.61403508771929904</v>
      </c>
      <c r="C169">
        <v>0.90909090909090895</v>
      </c>
    </row>
    <row r="170" spans="1:3">
      <c r="A170" t="s">
        <v>1123</v>
      </c>
      <c r="B170" t="s">
        <v>1094</v>
      </c>
      <c r="C170">
        <v>1</v>
      </c>
    </row>
    <row r="171" spans="1:3">
      <c r="A171" t="s">
        <v>1124</v>
      </c>
      <c r="B171" t="s">
        <v>1094</v>
      </c>
      <c r="C171">
        <v>1</v>
      </c>
    </row>
    <row r="172" spans="1:3">
      <c r="A172" t="s">
        <v>1125</v>
      </c>
      <c r="B172" t="s">
        <v>1094</v>
      </c>
      <c r="C172">
        <v>1</v>
      </c>
    </row>
    <row r="173" spans="1:3">
      <c r="A173" t="s">
        <v>1126</v>
      </c>
      <c r="B173">
        <v>-0.157894736842105</v>
      </c>
      <c r="C173">
        <v>0.72727272727272696</v>
      </c>
    </row>
    <row r="174" spans="1:3">
      <c r="A174" t="s">
        <v>1127</v>
      </c>
      <c r="B174">
        <v>0.46341463414634199</v>
      </c>
      <c r="C174">
        <v>0.90909090909090895</v>
      </c>
    </row>
    <row r="175" spans="1:3">
      <c r="A175" t="s">
        <v>1128</v>
      </c>
      <c r="B175">
        <v>-4.7619047619046201E-2</v>
      </c>
      <c r="C175">
        <v>0.90909090909090895</v>
      </c>
    </row>
    <row r="176" spans="1:3">
      <c r="A176" t="s">
        <v>1129</v>
      </c>
      <c r="B176">
        <v>0.52517985611510798</v>
      </c>
      <c r="C176">
        <v>0.72727272727272696</v>
      </c>
    </row>
    <row r="177" spans="1:3">
      <c r="A177" t="s">
        <v>1130</v>
      </c>
      <c r="B177">
        <v>0.75280898876404501</v>
      </c>
      <c r="C177">
        <v>0.90909090909090895</v>
      </c>
    </row>
    <row r="178" spans="1:3">
      <c r="A178" t="s">
        <v>1131</v>
      </c>
      <c r="B178">
        <v>1</v>
      </c>
      <c r="C178">
        <v>1</v>
      </c>
    </row>
    <row r="179" spans="1:3">
      <c r="A179" t="s">
        <v>1132</v>
      </c>
      <c r="B179">
        <v>0.790476190476191</v>
      </c>
      <c r="C179">
        <v>0.90909090909090895</v>
      </c>
    </row>
    <row r="180" spans="1:3">
      <c r="A180" t="s">
        <v>1133</v>
      </c>
      <c r="B180" t="s">
        <v>1094</v>
      </c>
      <c r="C180">
        <v>1</v>
      </c>
    </row>
    <row r="181" spans="1:3">
      <c r="A181" t="s">
        <v>1157</v>
      </c>
      <c r="B181" t="s">
        <v>1094</v>
      </c>
      <c r="C181">
        <v>1</v>
      </c>
    </row>
    <row r="182" spans="1:3">
      <c r="A182" t="s">
        <v>1134</v>
      </c>
      <c r="B182" t="s">
        <v>1094</v>
      </c>
      <c r="C182">
        <v>1</v>
      </c>
    </row>
    <row r="183" spans="1:3">
      <c r="A183" t="s">
        <v>1135</v>
      </c>
      <c r="B183">
        <v>1</v>
      </c>
      <c r="C183">
        <v>1</v>
      </c>
    </row>
    <row r="184" spans="1:3">
      <c r="A184" t="s">
        <v>1136</v>
      </c>
      <c r="B184" t="s">
        <v>1094</v>
      </c>
      <c r="C184">
        <v>1</v>
      </c>
    </row>
    <row r="185" spans="1:3">
      <c r="A185" t="s">
        <v>1137</v>
      </c>
      <c r="B185">
        <v>0.62711864406779705</v>
      </c>
      <c r="C185">
        <v>0.90909090909090895</v>
      </c>
    </row>
    <row r="186" spans="1:3">
      <c r="A186" t="s">
        <v>1138</v>
      </c>
      <c r="B186">
        <v>-4.7619047619046201E-2</v>
      </c>
      <c r="C186">
        <v>0.90909090909090895</v>
      </c>
    </row>
    <row r="187" spans="1:3">
      <c r="A187" t="s">
        <v>1139</v>
      </c>
      <c r="B187">
        <v>0.29032258064516098</v>
      </c>
      <c r="C187">
        <v>0.72727272727272696</v>
      </c>
    </row>
    <row r="188" spans="1:3">
      <c r="A188" t="s">
        <v>1140</v>
      </c>
      <c r="B188">
        <v>-4.7619047619046201E-2</v>
      </c>
      <c r="C188">
        <v>0.90909090909090895</v>
      </c>
    </row>
    <row r="189" spans="1:3">
      <c r="A189" t="s">
        <v>1141</v>
      </c>
      <c r="B189" t="s">
        <v>1094</v>
      </c>
      <c r="C189">
        <v>0</v>
      </c>
    </row>
    <row r="190" spans="1:3">
      <c r="A190" t="s">
        <v>1158</v>
      </c>
      <c r="B190">
        <v>-5.21739130434783E-2</v>
      </c>
      <c r="C190">
        <v>0</v>
      </c>
    </row>
    <row r="191" spans="1:3">
      <c r="A191" t="s">
        <v>1143</v>
      </c>
      <c r="B191" t="s">
        <v>1094</v>
      </c>
      <c r="C191">
        <v>0</v>
      </c>
    </row>
    <row r="192" spans="1:3">
      <c r="A192" t="s">
        <v>1144</v>
      </c>
      <c r="B192" t="s">
        <v>1094</v>
      </c>
      <c r="C192">
        <v>0.18181818181818199</v>
      </c>
    </row>
    <row r="193" spans="1:3">
      <c r="A193" t="s">
        <v>1145</v>
      </c>
      <c r="B193" t="s">
        <v>1094</v>
      </c>
      <c r="C193">
        <v>0</v>
      </c>
    </row>
    <row r="194" spans="1:3">
      <c r="A194" t="s">
        <v>1146</v>
      </c>
      <c r="B194" t="s">
        <v>1094</v>
      </c>
      <c r="C194">
        <v>0</v>
      </c>
    </row>
    <row r="195" spans="1:3">
      <c r="A195" t="s">
        <v>1147</v>
      </c>
      <c r="B195" t="s">
        <v>1094</v>
      </c>
      <c r="C195">
        <v>0</v>
      </c>
    </row>
    <row r="196" spans="1:3">
      <c r="A196" t="s">
        <v>1148</v>
      </c>
      <c r="B196" t="s">
        <v>1094</v>
      </c>
      <c r="C196">
        <v>0</v>
      </c>
    </row>
  </sheetData>
  <phoneticPr fontId="2"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Record of changes</vt:lpstr>
      <vt:lpstr>Kathy's original list</vt:lpstr>
      <vt:lpstr>Final items</vt:lpstr>
      <vt:lpstr>Analysis</vt:lpstr>
      <vt:lpstr>kappas</vt:lpstr>
      <vt:lpstr>scratch</vt:lpstr>
      <vt:lpstr>initial kappas</vt:lpstr>
    </vt:vector>
  </TitlesOfParts>
  <Company>AdNectar,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Mooney</dc:creator>
  <cp:lastModifiedBy>Steve Mooney</cp:lastModifiedBy>
  <dcterms:created xsi:type="dcterms:W3CDTF">2011-10-10T16:32:03Z</dcterms:created>
  <dcterms:modified xsi:type="dcterms:W3CDTF">2011-10-19T20:55:08Z</dcterms:modified>
</cp:coreProperties>
</file>